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19"/>
  <workbookPr showInkAnnotation="0" codeName="ThisWorkbook" defaultThemeVersion="124226"/>
  <mc:AlternateContent xmlns:mc="http://schemas.openxmlformats.org/markup-compatibility/2006">
    <mc:Choice Requires="x15">
      <x15ac:absPath xmlns:x15ac="http://schemas.microsoft.com/office/spreadsheetml/2010/11/ac" url="/Users/siddharthmalik/Downloads/"/>
    </mc:Choice>
  </mc:AlternateContent>
  <xr:revisionPtr revIDLastSave="0" documentId="13_ncr:1_{568B233B-6B1E-EE4F-882E-E779137E5605}" xr6:coauthVersionLast="47" xr6:coauthVersionMax="47" xr10:uidLastSave="{00000000-0000-0000-0000-000000000000}"/>
  <bookViews>
    <workbookView xWindow="38400" yWindow="0" windowWidth="38400" windowHeight="21600" firstSheet="4"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8"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627" i="3" l="1"/>
  <c r="Q627" i="3"/>
  <c r="W867" i="3" l="1"/>
  <c r="W866" i="3"/>
  <c r="W865" i="3"/>
  <c r="W854" i="3"/>
  <c r="W844" i="3"/>
  <c r="W843" i="3"/>
  <c r="E61" i="4" l="1"/>
  <c r="E58" i="4"/>
  <c r="E29" i="4"/>
  <c r="E10" i="4"/>
  <c r="E5" i="4"/>
  <c r="E4" i="4"/>
  <c r="E99" i="4" l="1"/>
  <c r="E65" i="4"/>
  <c r="E69" i="4"/>
  <c r="E30" i="4"/>
  <c r="AO630" i="3"/>
  <c r="AO631" i="3"/>
  <c r="AO629" i="3"/>
  <c r="AM561" i="3"/>
  <c r="E53" i="4" l="1"/>
  <c r="E49" i="4"/>
  <c r="E48" i="4" l="1"/>
  <c r="E95" i="4"/>
  <c r="E94" i="4"/>
  <c r="E93" i="4"/>
  <c r="E92" i="4" l="1"/>
  <c r="E91" i="4"/>
  <c r="E90" i="4"/>
  <c r="E89" i="4"/>
  <c r="E88" i="4"/>
  <c r="E86" i="4"/>
  <c r="E85" i="4"/>
  <c r="E84" i="4"/>
  <c r="E83" i="4"/>
  <c r="E80" i="4"/>
  <c r="E79" i="4"/>
  <c r="E75" i="4"/>
  <c r="E52" i="4"/>
  <c r="E51" i="4"/>
  <c r="E50" i="4"/>
  <c r="E47" i="4"/>
  <c r="E46" i="4"/>
  <c r="E45" i="4"/>
  <c r="E43" i="4"/>
  <c r="E40" i="4"/>
  <c r="E35" i="4"/>
  <c r="E34" i="4"/>
  <c r="E33" i="4"/>
  <c r="E32" i="4"/>
  <c r="E31" i="4"/>
  <c r="I947" i="3" l="1"/>
  <c r="H333" i="3" l="1"/>
  <c r="H331" i="3"/>
  <c r="H293" i="3"/>
  <c r="H291" i="3"/>
  <c r="M248" i="3"/>
  <c r="M247" i="3"/>
  <c r="M246" i="3"/>
  <c r="M245" i="3"/>
  <c r="M244" i="3"/>
  <c r="I13" i="21"/>
  <c r="Y67" i="15"/>
  <c r="C167" i="20" l="1"/>
  <c r="U363"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s="1"/>
  <c r="C5" i="7"/>
  <c r="C7" i="7"/>
  <c r="C9" i="7"/>
  <c r="E40" i="7"/>
  <c r="A40" i="7"/>
  <c r="E33" i="7"/>
  <c r="E32" i="7"/>
  <c r="E31" i="7"/>
  <c r="E30" i="7"/>
  <c r="E29" i="7"/>
  <c r="G29" i="7" s="1"/>
  <c r="I29" i="7" s="1"/>
  <c r="K29" i="7" s="1"/>
  <c r="M29" i="7" s="1"/>
  <c r="O29" i="7" s="1"/>
  <c r="Q29" i="7" s="1"/>
  <c r="S29" i="7" s="1"/>
  <c r="U29" i="7" s="1"/>
  <c r="W29" i="7" s="1"/>
  <c r="Y29" i="7" s="1"/>
  <c r="AA29" i="7" s="1"/>
  <c r="AC29" i="7" s="1"/>
  <c r="AE29" i="7" s="1"/>
  <c r="AG29" i="7" s="1"/>
  <c r="AI29" i="7" s="1"/>
  <c r="AK29" i="7" s="1"/>
  <c r="AM29" i="7" s="1"/>
  <c r="AO29" i="7" s="1"/>
  <c r="AQ29" i="7" s="1"/>
  <c r="AS29" i="7" s="1"/>
  <c r="AU29" i="7" s="1"/>
  <c r="AW29" i="7" s="1"/>
  <c r="AY29" i="7" s="1"/>
  <c r="BA29" i="7" s="1"/>
  <c r="BC29" i="7" s="1"/>
  <c r="BE29" i="7" s="1"/>
  <c r="BG29" i="7" s="1"/>
  <c r="BI29" i="7" s="1"/>
  <c r="BK29" i="7" s="1"/>
  <c r="BM29" i="7" s="1"/>
  <c r="BO29" i="7" s="1"/>
  <c r="BQ29" i="7" s="1"/>
  <c r="BS29" i="7" s="1"/>
  <c r="BU29" i="7" s="1"/>
  <c r="BW29" i="7" s="1"/>
  <c r="BY29" i="7" s="1"/>
  <c r="CA29" i="7" s="1"/>
  <c r="CC29" i="7" s="1"/>
  <c r="CE29" i="7" s="1"/>
  <c r="CG29" i="7" s="1"/>
  <c r="CI29" i="7" s="1"/>
  <c r="CK29" i="7" s="1"/>
  <c r="CM29" i="7" s="1"/>
  <c r="CO29" i="7" s="1"/>
  <c r="CQ29" i="7" s="1"/>
  <c r="CS29" i="7" s="1"/>
  <c r="CU29" i="7" s="1"/>
  <c r="CW29" i="7" s="1"/>
  <c r="CY29" i="7" s="1"/>
  <c r="DA29" i="7" s="1"/>
  <c r="DC29" i="7" s="1"/>
  <c r="DE29" i="7" s="1"/>
  <c r="DG29" i="7" s="1"/>
  <c r="DI29" i="7" s="1"/>
  <c r="DK29" i="7" s="1"/>
  <c r="DM29" i="7" s="1"/>
  <c r="DO29" i="7" s="1"/>
  <c r="DQ29" i="7" s="1"/>
  <c r="DS29" i="7" s="1"/>
  <c r="DU29" i="7" s="1"/>
  <c r="DW29" i="7" s="1"/>
  <c r="DY29" i="7" s="1"/>
  <c r="EA29" i="7" s="1"/>
  <c r="EC29" i="7" s="1"/>
  <c r="EE29" i="7" s="1"/>
  <c r="EG29" i="7" s="1"/>
  <c r="EI29" i="7" s="1"/>
  <c r="EK29" i="7" s="1"/>
  <c r="EM29" i="7" s="1"/>
  <c r="EO29" i="7" s="1"/>
  <c r="EQ29" i="7" s="1"/>
  <c r="ES29" i="7" s="1"/>
  <c r="EU29" i="7" s="1"/>
  <c r="EW29" i="7" s="1"/>
  <c r="EY29" i="7" s="1"/>
  <c r="FA29" i="7" s="1"/>
  <c r="FC29" i="7" s="1"/>
  <c r="FE29" i="7" s="1"/>
  <c r="FG29" i="7" s="1"/>
  <c r="FI29" i="7" s="1"/>
  <c r="FK29" i="7" s="1"/>
  <c r="FM29" i="7" s="1"/>
  <c r="FO29" i="7" s="1"/>
  <c r="FQ29" i="7" s="1"/>
  <c r="FS29" i="7" s="1"/>
  <c r="FU29" i="7" s="1"/>
  <c r="FW29" i="7" s="1"/>
  <c r="FY29" i="7" s="1"/>
  <c r="GA29" i="7" s="1"/>
  <c r="GC29" i="7" s="1"/>
  <c r="GE29" i="7" s="1"/>
  <c r="GG29" i="7" s="1"/>
  <c r="GI29" i="7" s="1"/>
  <c r="GK29" i="7" s="1"/>
  <c r="GM29" i="7" s="1"/>
  <c r="GO29" i="7" s="1"/>
  <c r="GQ29" i="7" s="1"/>
  <c r="GS29" i="7" s="1"/>
  <c r="GU29" i="7" s="1"/>
  <c r="GW29" i="7" s="1"/>
  <c r="GY29" i="7" s="1"/>
  <c r="HA29" i="7" s="1"/>
  <c r="HC29" i="7" s="1"/>
  <c r="HE29" i="7" s="1"/>
  <c r="HG29" i="7" s="1"/>
  <c r="HI29" i="7" s="1"/>
  <c r="HK29" i="7" s="1"/>
  <c r="HM29" i="7" s="1"/>
  <c r="HO29" i="7" s="1"/>
  <c r="HQ29" i="7" s="1"/>
  <c r="HS29" i="7" s="1"/>
  <c r="HU29" i="7" s="1"/>
  <c r="HW29" i="7" s="1"/>
  <c r="HY29" i="7" s="1"/>
  <c r="IA29" i="7" s="1"/>
  <c r="IC29" i="7" s="1"/>
  <c r="IE29" i="7" s="1"/>
  <c r="IG29" i="7" s="1"/>
  <c r="II29" i="7" s="1"/>
  <c r="IK29" i="7" s="1"/>
  <c r="IM29" i="7" s="1"/>
  <c r="IO29" i="7" s="1"/>
  <c r="IQ29" i="7" s="1"/>
  <c r="IS29" i="7" s="1"/>
  <c r="IU29" i="7" s="1"/>
  <c r="IW29" i="7" s="1"/>
  <c r="IY29" i="7" s="1"/>
  <c r="JA29" i="7" s="1"/>
  <c r="JC29" i="7" s="1"/>
  <c r="JE29" i="7" s="1"/>
  <c r="JG29" i="7" s="1"/>
  <c r="JI29" i="7" s="1"/>
  <c r="JK29" i="7" s="1"/>
  <c r="JM29" i="7" s="1"/>
  <c r="JO29" i="7" s="1"/>
  <c r="JQ29" i="7" s="1"/>
  <c r="JS29" i="7" s="1"/>
  <c r="JU29" i="7" s="1"/>
  <c r="JW29" i="7" s="1"/>
  <c r="JY29" i="7" s="1"/>
  <c r="KA29" i="7" s="1"/>
  <c r="KC29" i="7" s="1"/>
  <c r="KE29" i="7" s="1"/>
  <c r="KG29" i="7" s="1"/>
  <c r="KI29" i="7" s="1"/>
  <c r="KK29" i="7" s="1"/>
  <c r="KM29" i="7" s="1"/>
  <c r="KO29" i="7" s="1"/>
  <c r="KQ29" i="7" s="1"/>
  <c r="KS29" i="7" s="1"/>
  <c r="KU29" i="7" s="1"/>
  <c r="KW29" i="7" s="1"/>
  <c r="KY29" i="7" s="1"/>
  <c r="LA29" i="7" s="1"/>
  <c r="LC29" i="7" s="1"/>
  <c r="LE29" i="7" s="1"/>
  <c r="LG29" i="7" s="1"/>
  <c r="LI29" i="7" s="1"/>
  <c r="LK29" i="7" s="1"/>
  <c r="LM29" i="7" s="1"/>
  <c r="LO29" i="7" s="1"/>
  <c r="LQ29" i="7" s="1"/>
  <c r="LS29" i="7" s="1"/>
  <c r="LU29" i="7" s="1"/>
  <c r="LW29" i="7" s="1"/>
  <c r="LY29" i="7" s="1"/>
  <c r="MA29" i="7" s="1"/>
  <c r="MC29" i="7" s="1"/>
  <c r="ME29" i="7" s="1"/>
  <c r="MG29" i="7" s="1"/>
  <c r="MI29" i="7" s="1"/>
  <c r="MK29" i="7" s="1"/>
  <c r="MM29" i="7" s="1"/>
  <c r="MO29" i="7" s="1"/>
  <c r="MQ29" i="7" s="1"/>
  <c r="MS29" i="7" s="1"/>
  <c r="MU29" i="7" s="1"/>
  <c r="MW29" i="7" s="1"/>
  <c r="MY29" i="7" s="1"/>
  <c r="NA29" i="7" s="1"/>
  <c r="NC29" i="7" s="1"/>
  <c r="NE29" i="7" s="1"/>
  <c r="NG29" i="7" s="1"/>
  <c r="NI29" i="7" s="1"/>
  <c r="NK29" i="7" s="1"/>
  <c r="NM29" i="7" s="1"/>
  <c r="NO29" i="7" s="1"/>
  <c r="NQ29" i="7" s="1"/>
  <c r="NS29" i="7" s="1"/>
  <c r="NU29" i="7" s="1"/>
  <c r="NW29" i="7" s="1"/>
  <c r="NY29" i="7" s="1"/>
  <c r="OA29" i="7" s="1"/>
  <c r="OC29" i="7" s="1"/>
  <c r="OE29" i="7" s="1"/>
  <c r="OG29" i="7" s="1"/>
  <c r="OI29" i="7" s="1"/>
  <c r="OK29" i="7" s="1"/>
  <c r="OM29" i="7" s="1"/>
  <c r="OO29" i="7" s="1"/>
  <c r="OQ29" i="7" s="1"/>
  <c r="OS29" i="7" s="1"/>
  <c r="OU29" i="7" s="1"/>
  <c r="OW29" i="7" s="1"/>
  <c r="OY29" i="7" s="1"/>
  <c r="PA29" i="7" s="1"/>
  <c r="PC29" i="7" s="1"/>
  <c r="PE29" i="7" s="1"/>
  <c r="PG29" i="7" s="1"/>
  <c r="PI29" i="7" s="1"/>
  <c r="PK29" i="7" s="1"/>
  <c r="PM29" i="7" s="1"/>
  <c r="PO29" i="7" s="1"/>
  <c r="PQ29" i="7" s="1"/>
  <c r="PS29" i="7" s="1"/>
  <c r="PU29" i="7" s="1"/>
  <c r="PW29" i="7" s="1"/>
  <c r="PY29" i="7" s="1"/>
  <c r="QA29" i="7" s="1"/>
  <c r="QC29" i="7" s="1"/>
  <c r="QE29" i="7" s="1"/>
  <c r="QG29" i="7" s="1"/>
  <c r="QI29" i="7" s="1"/>
  <c r="QK29" i="7" s="1"/>
  <c r="QM29" i="7" s="1"/>
  <c r="QO29" i="7" s="1"/>
  <c r="QQ29" i="7" s="1"/>
  <c r="QS29" i="7" s="1"/>
  <c r="QU29" i="7" s="1"/>
  <c r="QW29" i="7" s="1"/>
  <c r="QY29" i="7" s="1"/>
  <c r="RA29" i="7" s="1"/>
  <c r="RC29" i="7" s="1"/>
  <c r="RE29" i="7" s="1"/>
  <c r="RG29" i="7" s="1"/>
  <c r="RI29" i="7" s="1"/>
  <c r="RK29" i="7" s="1"/>
  <c r="RM29" i="7" s="1"/>
  <c r="RO29" i="7" s="1"/>
  <c r="RQ29" i="7" s="1"/>
  <c r="RS29" i="7" s="1"/>
  <c r="RU29" i="7" s="1"/>
  <c r="RW29" i="7" s="1"/>
  <c r="RY29" i="7" s="1"/>
  <c r="SA29" i="7" s="1"/>
  <c r="SC29" i="7" s="1"/>
  <c r="SE29" i="7" s="1"/>
  <c r="SG29" i="7" s="1"/>
  <c r="SI29" i="7" s="1"/>
  <c r="SK29" i="7" s="1"/>
  <c r="SM29" i="7" s="1"/>
  <c r="SO29" i="7" s="1"/>
  <c r="SQ29" i="7" s="1"/>
  <c r="SS29" i="7" s="1"/>
  <c r="SU29" i="7" s="1"/>
  <c r="SW29" i="7" s="1"/>
  <c r="SY29" i="7" s="1"/>
  <c r="TA29" i="7" s="1"/>
  <c r="TC29" i="7" s="1"/>
  <c r="TE29" i="7" s="1"/>
  <c r="TG29" i="7" s="1"/>
  <c r="TI29" i="7" s="1"/>
  <c r="TK29" i="7" s="1"/>
  <c r="TM29" i="7" s="1"/>
  <c r="TO29" i="7" s="1"/>
  <c r="TQ29" i="7" s="1"/>
  <c r="TS29" i="7" s="1"/>
  <c r="TU29" i="7" s="1"/>
  <c r="TW29" i="7" s="1"/>
  <c r="TY29" i="7" s="1"/>
  <c r="UA29" i="7" s="1"/>
  <c r="UC29" i="7" s="1"/>
  <c r="UE29" i="7" s="1"/>
  <c r="UG29" i="7" s="1"/>
  <c r="UI29" i="7" s="1"/>
  <c r="UK29" i="7" s="1"/>
  <c r="UM29" i="7" s="1"/>
  <c r="UO29" i="7" s="1"/>
  <c r="UQ29" i="7" s="1"/>
  <c r="US29" i="7" s="1"/>
  <c r="UU29" i="7" s="1"/>
  <c r="UW29" i="7" s="1"/>
  <c r="UY29" i="7" s="1"/>
  <c r="VA29" i="7" s="1"/>
  <c r="VC29" i="7" s="1"/>
  <c r="VE29" i="7" s="1"/>
  <c r="VG29" i="7" s="1"/>
  <c r="VI29" i="7" s="1"/>
  <c r="VK29" i="7" s="1"/>
  <c r="VM29" i="7" s="1"/>
  <c r="VO29" i="7" s="1"/>
  <c r="VQ29" i="7" s="1"/>
  <c r="VS29" i="7" s="1"/>
  <c r="VU29" i="7" s="1"/>
  <c r="VW29" i="7" s="1"/>
  <c r="VY29" i="7" s="1"/>
  <c r="WA29" i="7" s="1"/>
  <c r="WC29" i="7" s="1"/>
  <c r="WE29" i="7" s="1"/>
  <c r="WG29" i="7" s="1"/>
  <c r="WI29" i="7" s="1"/>
  <c r="WK29" i="7" s="1"/>
  <c r="WM29" i="7" s="1"/>
  <c r="WO29" i="7" s="1"/>
  <c r="WQ29" i="7" s="1"/>
  <c r="WS29" i="7" s="1"/>
  <c r="WU29" i="7" s="1"/>
  <c r="WW29" i="7" s="1"/>
  <c r="WY29" i="7" s="1"/>
  <c r="XA29" i="7" s="1"/>
  <c r="XC29" i="7" s="1"/>
  <c r="XE29" i="7" s="1"/>
  <c r="XG29" i="7" s="1"/>
  <c r="XI29" i="7" s="1"/>
  <c r="XK29" i="7" s="1"/>
  <c r="XM29" i="7" s="1"/>
  <c r="XO29" i="7" s="1"/>
  <c r="XQ29" i="7" s="1"/>
  <c r="XS29" i="7" s="1"/>
  <c r="XU29" i="7" s="1"/>
  <c r="XW29" i="7" s="1"/>
  <c r="XY29" i="7" s="1"/>
  <c r="YA29" i="7" s="1"/>
  <c r="YC29" i="7" s="1"/>
  <c r="YE29" i="7" s="1"/>
  <c r="YG29" i="7" s="1"/>
  <c r="YI29" i="7" s="1"/>
  <c r="YK29" i="7" s="1"/>
  <c r="YM29" i="7" s="1"/>
  <c r="YO29" i="7" s="1"/>
  <c r="YQ29" i="7" s="1"/>
  <c r="YS29" i="7" s="1"/>
  <c r="YU29" i="7" s="1"/>
  <c r="YW29" i="7" s="1"/>
  <c r="YY29" i="7" s="1"/>
  <c r="ZA29" i="7" s="1"/>
  <c r="ZC29" i="7" s="1"/>
  <c r="ZE29" i="7" s="1"/>
  <c r="ZG29" i="7" s="1"/>
  <c r="ZI29" i="7" s="1"/>
  <c r="ZK29" i="7" s="1"/>
  <c r="ZM29" i="7" s="1"/>
  <c r="ZO29" i="7" s="1"/>
  <c r="ZQ29" i="7" s="1"/>
  <c r="ZS29" i="7" s="1"/>
  <c r="ZU29" i="7" s="1"/>
  <c r="ZW29" i="7" s="1"/>
  <c r="ZY29" i="7" s="1"/>
  <c r="AAA29" i="7" s="1"/>
  <c r="AAC29" i="7" s="1"/>
  <c r="AAE29" i="7" s="1"/>
  <c r="AAG29" i="7" s="1"/>
  <c r="AAI29" i="7" s="1"/>
  <c r="AAK29" i="7" s="1"/>
  <c r="AAM29" i="7" s="1"/>
  <c r="AAO29" i="7" s="1"/>
  <c r="AAQ29" i="7" s="1"/>
  <c r="AAS29" i="7" s="1"/>
  <c r="AAU29" i="7" s="1"/>
  <c r="AAW29" i="7" s="1"/>
  <c r="AAY29" i="7" s="1"/>
  <c r="ABA29" i="7" s="1"/>
  <c r="ABC29" i="7" s="1"/>
  <c r="ABE29" i="7" s="1"/>
  <c r="ABG29" i="7" s="1"/>
  <c r="ABI29" i="7" s="1"/>
  <c r="ABK29" i="7" s="1"/>
  <c r="ABM29" i="7" s="1"/>
  <c r="ABO29" i="7" s="1"/>
  <c r="ABQ29" i="7" s="1"/>
  <c r="ABS29" i="7" s="1"/>
  <c r="ABU29" i="7" s="1"/>
  <c r="ABW29" i="7" s="1"/>
  <c r="ABY29" i="7" s="1"/>
  <c r="ACA29" i="7" s="1"/>
  <c r="ACC29" i="7" s="1"/>
  <c r="ACE29" i="7" s="1"/>
  <c r="ACG29" i="7" s="1"/>
  <c r="ACI29" i="7" s="1"/>
  <c r="ACK29" i="7" s="1"/>
  <c r="ACM29" i="7" s="1"/>
  <c r="ACO29" i="7" s="1"/>
  <c r="ACQ29" i="7" s="1"/>
  <c r="ACS29" i="7" s="1"/>
  <c r="ACU29" i="7" s="1"/>
  <c r="ACW29" i="7" s="1"/>
  <c r="ACY29" i="7" s="1"/>
  <c r="ADA29" i="7" s="1"/>
  <c r="ADC29" i="7" s="1"/>
  <c r="ADE29" i="7" s="1"/>
  <c r="ADG29" i="7" s="1"/>
  <c r="ADI29" i="7" s="1"/>
  <c r="ADK29" i="7" s="1"/>
  <c r="ADM29" i="7" s="1"/>
  <c r="ADO29" i="7" s="1"/>
  <c r="ADQ29" i="7" s="1"/>
  <c r="ADS29" i="7" s="1"/>
  <c r="ADU29" i="7" s="1"/>
  <c r="ADW29" i="7" s="1"/>
  <c r="ADY29" i="7" s="1"/>
  <c r="AEA29" i="7" s="1"/>
  <c r="AEC29" i="7" s="1"/>
  <c r="AEE29" i="7" s="1"/>
  <c r="AEG29" i="7" s="1"/>
  <c r="AEI29" i="7" s="1"/>
  <c r="AEK29" i="7" s="1"/>
  <c r="AEM29" i="7" s="1"/>
  <c r="AEO29" i="7" s="1"/>
  <c r="AEQ29" i="7" s="1"/>
  <c r="AES29" i="7" s="1"/>
  <c r="AEU29" i="7" s="1"/>
  <c r="AEW29" i="7" s="1"/>
  <c r="AEY29" i="7" s="1"/>
  <c r="AFA29" i="7" s="1"/>
  <c r="AFC29" i="7" s="1"/>
  <c r="AFE29" i="7" s="1"/>
  <c r="AFG29" i="7" s="1"/>
  <c r="AFI29" i="7" s="1"/>
  <c r="AFK29" i="7" s="1"/>
  <c r="AFM29" i="7" s="1"/>
  <c r="AFO29" i="7" s="1"/>
  <c r="AFQ29" i="7" s="1"/>
  <c r="AFS29" i="7" s="1"/>
  <c r="AFU29" i="7" s="1"/>
  <c r="AFW29" i="7" s="1"/>
  <c r="AFY29" i="7" s="1"/>
  <c r="AGA29" i="7" s="1"/>
  <c r="AGC29" i="7" s="1"/>
  <c r="AGE29" i="7" s="1"/>
  <c r="AGG29" i="7" s="1"/>
  <c r="AGI29" i="7" s="1"/>
  <c r="AGK29" i="7" s="1"/>
  <c r="AGM29" i="7" s="1"/>
  <c r="AGO29" i="7" s="1"/>
  <c r="AGQ29" i="7" s="1"/>
  <c r="AGS29" i="7" s="1"/>
  <c r="AGU29" i="7" s="1"/>
  <c r="AGW29" i="7" s="1"/>
  <c r="AGY29" i="7" s="1"/>
  <c r="AHA29" i="7" s="1"/>
  <c r="AHC29" i="7" s="1"/>
  <c r="AHE29" i="7" s="1"/>
  <c r="AHG29" i="7" s="1"/>
  <c r="AHI29" i="7" s="1"/>
  <c r="AHK29" i="7" s="1"/>
  <c r="AHM29" i="7" s="1"/>
  <c r="AHO29" i="7" s="1"/>
  <c r="AHQ29" i="7" s="1"/>
  <c r="AHS29" i="7" s="1"/>
  <c r="AHU29" i="7" s="1"/>
  <c r="AHW29" i="7" s="1"/>
  <c r="AHY29" i="7" s="1"/>
  <c r="AIA29" i="7" s="1"/>
  <c r="AIC29" i="7" s="1"/>
  <c r="AIE29" i="7" s="1"/>
  <c r="AIG29" i="7" s="1"/>
  <c r="AII29" i="7" s="1"/>
  <c r="AIK29" i="7" s="1"/>
  <c r="AIM29" i="7" s="1"/>
  <c r="AIO29" i="7" s="1"/>
  <c r="AIQ29" i="7" s="1"/>
  <c r="AIS29" i="7" s="1"/>
  <c r="AIU29" i="7" s="1"/>
  <c r="AIW29" i="7" s="1"/>
  <c r="AIY29" i="7" s="1"/>
  <c r="AJA29" i="7" s="1"/>
  <c r="AJC29" i="7" s="1"/>
  <c r="AJE29" i="7" s="1"/>
  <c r="AJG29" i="7" s="1"/>
  <c r="AJI29" i="7" s="1"/>
  <c r="AJK29" i="7" s="1"/>
  <c r="AJM29" i="7" s="1"/>
  <c r="AJO29" i="7" s="1"/>
  <c r="AJQ29" i="7" s="1"/>
  <c r="AJS29" i="7" s="1"/>
  <c r="AJU29" i="7" s="1"/>
  <c r="AJW29" i="7" s="1"/>
  <c r="AJY29" i="7" s="1"/>
  <c r="AKA29" i="7" s="1"/>
  <c r="AKC29" i="7" s="1"/>
  <c r="AKE29" i="7" s="1"/>
  <c r="AKG29" i="7" s="1"/>
  <c r="AKI29" i="7" s="1"/>
  <c r="AKK29" i="7" s="1"/>
  <c r="AKM29" i="7" s="1"/>
  <c r="AKO29" i="7" s="1"/>
  <c r="AKQ29" i="7" s="1"/>
  <c r="AKS29" i="7" s="1"/>
  <c r="AKU29" i="7" s="1"/>
  <c r="AKW29" i="7" s="1"/>
  <c r="AKY29" i="7" s="1"/>
  <c r="ALA29" i="7" s="1"/>
  <c r="ALC29" i="7" s="1"/>
  <c r="ALE29" i="7" s="1"/>
  <c r="ALG29" i="7" s="1"/>
  <c r="ALI29" i="7" s="1"/>
  <c r="ALK29" i="7" s="1"/>
  <c r="ALM29" i="7" s="1"/>
  <c r="ALO29" i="7" s="1"/>
  <c r="ALQ29" i="7" s="1"/>
  <c r="ALS29" i="7" s="1"/>
  <c r="ALU29" i="7" s="1"/>
  <c r="ALW29" i="7" s="1"/>
  <c r="ALY29" i="7" s="1"/>
  <c r="AMA29" i="7" s="1"/>
  <c r="AMC29" i="7" s="1"/>
  <c r="AME29" i="7" s="1"/>
  <c r="AMG29" i="7" s="1"/>
  <c r="AMI29" i="7" s="1"/>
  <c r="AMK29" i="7" s="1"/>
  <c r="AMM29" i="7" s="1"/>
  <c r="AMO29" i="7" s="1"/>
  <c r="AMQ29" i="7" s="1"/>
  <c r="AMS29" i="7" s="1"/>
  <c r="AMU29" i="7" s="1"/>
  <c r="AMW29" i="7" s="1"/>
  <c r="AMY29" i="7" s="1"/>
  <c r="ANA29" i="7" s="1"/>
  <c r="ANC29" i="7" s="1"/>
  <c r="ANE29" i="7" s="1"/>
  <c r="ANG29" i="7" s="1"/>
  <c r="ANI29" i="7" s="1"/>
  <c r="ANK29" i="7" s="1"/>
  <c r="ANM29" i="7" s="1"/>
  <c r="ANO29" i="7" s="1"/>
  <c r="ANQ29" i="7" s="1"/>
  <c r="ANS29" i="7" s="1"/>
  <c r="ANU29" i="7" s="1"/>
  <c r="ANW29" i="7" s="1"/>
  <c r="ANY29" i="7" s="1"/>
  <c r="AOA29" i="7" s="1"/>
  <c r="AOC29" i="7" s="1"/>
  <c r="AOE29" i="7" s="1"/>
  <c r="AOG29" i="7" s="1"/>
  <c r="AOI29" i="7" s="1"/>
  <c r="AOK29" i="7" s="1"/>
  <c r="AOM29" i="7" s="1"/>
  <c r="AOO29" i="7" s="1"/>
  <c r="AOQ29" i="7" s="1"/>
  <c r="AOS29" i="7" s="1"/>
  <c r="AOU29" i="7" s="1"/>
  <c r="AOW29" i="7" s="1"/>
  <c r="AOY29" i="7" s="1"/>
  <c r="APA29" i="7" s="1"/>
  <c r="APC29" i="7" s="1"/>
  <c r="APE29" i="7" s="1"/>
  <c r="APG29" i="7" s="1"/>
  <c r="API29" i="7" s="1"/>
  <c r="APK29" i="7" s="1"/>
  <c r="APM29" i="7" s="1"/>
  <c r="APO29" i="7" s="1"/>
  <c r="APQ29" i="7" s="1"/>
  <c r="APS29" i="7" s="1"/>
  <c r="APU29" i="7" s="1"/>
  <c r="APW29" i="7" s="1"/>
  <c r="APY29" i="7" s="1"/>
  <c r="AQA29" i="7" s="1"/>
  <c r="AQC29" i="7" s="1"/>
  <c r="AQE29" i="7" s="1"/>
  <c r="AQG29" i="7" s="1"/>
  <c r="AQI29" i="7" s="1"/>
  <c r="AQK29" i="7" s="1"/>
  <c r="AQM29" i="7" s="1"/>
  <c r="AQO29" i="7" s="1"/>
  <c r="AQQ29" i="7" s="1"/>
  <c r="AQS29" i="7" s="1"/>
  <c r="AQU29" i="7" s="1"/>
  <c r="AQW29" i="7" s="1"/>
  <c r="AQY29" i="7" s="1"/>
  <c r="ARA29" i="7" s="1"/>
  <c r="ARC29" i="7" s="1"/>
  <c r="ARE29" i="7" s="1"/>
  <c r="ARG29" i="7" s="1"/>
  <c r="ARI29" i="7" s="1"/>
  <c r="ARK29" i="7" s="1"/>
  <c r="ARM29" i="7" s="1"/>
  <c r="ARO29" i="7" s="1"/>
  <c r="ARQ29" i="7" s="1"/>
  <c r="ARS29" i="7" s="1"/>
  <c r="ARU29" i="7" s="1"/>
  <c r="ARW29" i="7" s="1"/>
  <c r="ARY29" i="7" s="1"/>
  <c r="ASA29" i="7" s="1"/>
  <c r="ASC29" i="7" s="1"/>
  <c r="ASE29" i="7" s="1"/>
  <c r="ASG29" i="7" s="1"/>
  <c r="ASI29" i="7" s="1"/>
  <c r="ASK29" i="7" s="1"/>
  <c r="ASM29" i="7" s="1"/>
  <c r="ASO29" i="7" s="1"/>
  <c r="ASQ29" i="7" s="1"/>
  <c r="ASS29" i="7" s="1"/>
  <c r="ASU29" i="7" s="1"/>
  <c r="ASW29" i="7" s="1"/>
  <c r="ASY29" i="7" s="1"/>
  <c r="ATA29" i="7" s="1"/>
  <c r="ATC29" i="7" s="1"/>
  <c r="ATE29" i="7" s="1"/>
  <c r="ATG29" i="7" s="1"/>
  <c r="ATI29" i="7" s="1"/>
  <c r="ATK29" i="7" s="1"/>
  <c r="ATM29" i="7" s="1"/>
  <c r="ATO29" i="7" s="1"/>
  <c r="ATQ29" i="7" s="1"/>
  <c r="ATS29" i="7" s="1"/>
  <c r="ATU29" i="7" s="1"/>
  <c r="ATW29" i="7" s="1"/>
  <c r="ATY29" i="7" s="1"/>
  <c r="AUA29" i="7" s="1"/>
  <c r="AUC29" i="7" s="1"/>
  <c r="AUE29" i="7" s="1"/>
  <c r="AUG29" i="7" s="1"/>
  <c r="AUI29" i="7" s="1"/>
  <c r="AUK29" i="7" s="1"/>
  <c r="AUM29" i="7" s="1"/>
  <c r="AUO29" i="7" s="1"/>
  <c r="AUQ29" i="7" s="1"/>
  <c r="AUS29" i="7" s="1"/>
  <c r="AUU29" i="7" s="1"/>
  <c r="AUW29" i="7" s="1"/>
  <c r="AUY29" i="7" s="1"/>
  <c r="AVA29" i="7" s="1"/>
  <c r="AVC29" i="7" s="1"/>
  <c r="AVE29" i="7" s="1"/>
  <c r="AVG29" i="7" s="1"/>
  <c r="AVI29" i="7" s="1"/>
  <c r="AVK29" i="7" s="1"/>
  <c r="AVM29" i="7" s="1"/>
  <c r="AVO29" i="7" s="1"/>
  <c r="AVQ29" i="7" s="1"/>
  <c r="AVS29" i="7" s="1"/>
  <c r="AVU29" i="7" s="1"/>
  <c r="AVW29" i="7" s="1"/>
  <c r="AVY29" i="7" s="1"/>
  <c r="AWA29" i="7" s="1"/>
  <c r="AWC29" i="7" s="1"/>
  <c r="AWE29" i="7" s="1"/>
  <c r="AWG29" i="7" s="1"/>
  <c r="AWI29" i="7" s="1"/>
  <c r="AWK29" i="7" s="1"/>
  <c r="AWM29" i="7" s="1"/>
  <c r="AWO29" i="7" s="1"/>
  <c r="AWQ29" i="7" s="1"/>
  <c r="AWS29" i="7" s="1"/>
  <c r="AWU29" i="7" s="1"/>
  <c r="AWW29" i="7" s="1"/>
  <c r="AWY29" i="7" s="1"/>
  <c r="AXA29" i="7" s="1"/>
  <c r="AXC29" i="7" s="1"/>
  <c r="AXE29" i="7" s="1"/>
  <c r="AXG29" i="7" s="1"/>
  <c r="AXI29" i="7" s="1"/>
  <c r="AXK29" i="7" s="1"/>
  <c r="AXM29" i="7" s="1"/>
  <c r="AXO29" i="7" s="1"/>
  <c r="AXQ29" i="7" s="1"/>
  <c r="AXS29" i="7" s="1"/>
  <c r="AXU29" i="7" s="1"/>
  <c r="AXW29" i="7" s="1"/>
  <c r="AXY29" i="7" s="1"/>
  <c r="AYA29" i="7" s="1"/>
  <c r="AYC29" i="7" s="1"/>
  <c r="AYE29" i="7" s="1"/>
  <c r="AYG29" i="7" s="1"/>
  <c r="AYI29" i="7" s="1"/>
  <c r="AYK29" i="7" s="1"/>
  <c r="AYM29" i="7" s="1"/>
  <c r="AYO29" i="7" s="1"/>
  <c r="AYQ29" i="7" s="1"/>
  <c r="AYS29" i="7" s="1"/>
  <c r="AYU29" i="7" s="1"/>
  <c r="AYW29" i="7" s="1"/>
  <c r="AYY29" i="7" s="1"/>
  <c r="AZA29" i="7" s="1"/>
  <c r="AZC29" i="7" s="1"/>
  <c r="AZE29" i="7" s="1"/>
  <c r="AZG29" i="7" s="1"/>
  <c r="AZI29" i="7" s="1"/>
  <c r="AZK29" i="7" s="1"/>
  <c r="AZM29" i="7" s="1"/>
  <c r="AZO29" i="7" s="1"/>
  <c r="AZQ29" i="7" s="1"/>
  <c r="AZS29" i="7" s="1"/>
  <c r="AZU29" i="7" s="1"/>
  <c r="AZW29" i="7" s="1"/>
  <c r="AZY29" i="7" s="1"/>
  <c r="BAA29" i="7" s="1"/>
  <c r="BAC29" i="7" s="1"/>
  <c r="BAE29" i="7" s="1"/>
  <c r="BAG29" i="7" s="1"/>
  <c r="BAI29" i="7" s="1"/>
  <c r="BAK29" i="7" s="1"/>
  <c r="BAM29" i="7" s="1"/>
  <c r="BAO29" i="7" s="1"/>
  <c r="BAQ29" i="7" s="1"/>
  <c r="BAS29" i="7" s="1"/>
  <c r="BAU29" i="7" s="1"/>
  <c r="BAW29" i="7" s="1"/>
  <c r="BAY29" i="7" s="1"/>
  <c r="BBA29" i="7" s="1"/>
  <c r="BBC29" i="7" s="1"/>
  <c r="BBE29" i="7" s="1"/>
  <c r="BBG29" i="7" s="1"/>
  <c r="BBI29" i="7" s="1"/>
  <c r="BBK29" i="7" s="1"/>
  <c r="BBM29" i="7" s="1"/>
  <c r="BBO29" i="7" s="1"/>
  <c r="BBQ29" i="7" s="1"/>
  <c r="BBS29" i="7" s="1"/>
  <c r="BBU29" i="7" s="1"/>
  <c r="BBW29" i="7" s="1"/>
  <c r="BBY29" i="7" s="1"/>
  <c r="BCA29" i="7" s="1"/>
  <c r="BCC29" i="7" s="1"/>
  <c r="BCE29" i="7" s="1"/>
  <c r="BCG29" i="7" s="1"/>
  <c r="BCI29" i="7" s="1"/>
  <c r="BCK29" i="7" s="1"/>
  <c r="BCM29" i="7" s="1"/>
  <c r="BCO29" i="7" s="1"/>
  <c r="BCQ29" i="7" s="1"/>
  <c r="BCS29" i="7" s="1"/>
  <c r="BCU29" i="7" s="1"/>
  <c r="BCW29" i="7" s="1"/>
  <c r="BCY29" i="7" s="1"/>
  <c r="BDA29" i="7" s="1"/>
  <c r="BDC29" i="7" s="1"/>
  <c r="BDE29" i="7" s="1"/>
  <c r="BDG29" i="7" s="1"/>
  <c r="BDI29" i="7" s="1"/>
  <c r="BDK29" i="7" s="1"/>
  <c r="BDM29" i="7" s="1"/>
  <c r="BDO29" i="7" s="1"/>
  <c r="BDQ29" i="7" s="1"/>
  <c r="BDS29" i="7" s="1"/>
  <c r="BDU29" i="7" s="1"/>
  <c r="BDW29" i="7" s="1"/>
  <c r="BDY29" i="7" s="1"/>
  <c r="BEA29" i="7" s="1"/>
  <c r="BEC29" i="7" s="1"/>
  <c r="BEE29" i="7" s="1"/>
  <c r="BEG29" i="7" s="1"/>
  <c r="BEI29" i="7" s="1"/>
  <c r="BEK29" i="7" s="1"/>
  <c r="BEM29" i="7" s="1"/>
  <c r="BEO29" i="7" s="1"/>
  <c r="BEQ29" i="7" s="1"/>
  <c r="BES29" i="7" s="1"/>
  <c r="BEU29" i="7" s="1"/>
  <c r="BEW29" i="7" s="1"/>
  <c r="BEY29" i="7" s="1"/>
  <c r="BFA29" i="7" s="1"/>
  <c r="BFC29" i="7" s="1"/>
  <c r="BFE29" i="7" s="1"/>
  <c r="BFG29" i="7" s="1"/>
  <c r="BFI29" i="7" s="1"/>
  <c r="BFK29" i="7" s="1"/>
  <c r="BFM29" i="7" s="1"/>
  <c r="BFO29" i="7" s="1"/>
  <c r="BFQ29" i="7" s="1"/>
  <c r="BFS29" i="7" s="1"/>
  <c r="BFU29" i="7" s="1"/>
  <c r="BFW29" i="7" s="1"/>
  <c r="BFY29" i="7" s="1"/>
  <c r="BGA29" i="7" s="1"/>
  <c r="BGC29" i="7" s="1"/>
  <c r="BGE29" i="7" s="1"/>
  <c r="BGG29" i="7" s="1"/>
  <c r="BGI29" i="7" s="1"/>
  <c r="BGK29" i="7" s="1"/>
  <c r="BGM29" i="7" s="1"/>
  <c r="BGO29" i="7" s="1"/>
  <c r="BGQ29" i="7" s="1"/>
  <c r="BGS29" i="7" s="1"/>
  <c r="BGU29" i="7" s="1"/>
  <c r="BGW29" i="7" s="1"/>
  <c r="BGY29" i="7" s="1"/>
  <c r="BHA29" i="7" s="1"/>
  <c r="BHC29" i="7" s="1"/>
  <c r="BHE29" i="7" s="1"/>
  <c r="BHG29" i="7" s="1"/>
  <c r="BHI29" i="7" s="1"/>
  <c r="BHK29" i="7" s="1"/>
  <c r="BHM29" i="7" s="1"/>
  <c r="BHO29" i="7" s="1"/>
  <c r="BHQ29" i="7" s="1"/>
  <c r="BHS29" i="7" s="1"/>
  <c r="BHU29" i="7" s="1"/>
  <c r="BHW29" i="7" s="1"/>
  <c r="BHY29" i="7" s="1"/>
  <c r="BIA29" i="7" s="1"/>
  <c r="BIC29" i="7" s="1"/>
  <c r="BIE29" i="7" s="1"/>
  <c r="BIG29" i="7" s="1"/>
  <c r="BII29" i="7" s="1"/>
  <c r="BIK29" i="7" s="1"/>
  <c r="BIM29" i="7" s="1"/>
  <c r="BIO29" i="7" s="1"/>
  <c r="BIQ29" i="7" s="1"/>
  <c r="BIS29" i="7" s="1"/>
  <c r="BIU29" i="7" s="1"/>
  <c r="BIW29" i="7" s="1"/>
  <c r="BIY29" i="7" s="1"/>
  <c r="BJA29" i="7" s="1"/>
  <c r="BJC29" i="7" s="1"/>
  <c r="BJE29" i="7" s="1"/>
  <c r="BJG29" i="7" s="1"/>
  <c r="BJI29" i="7" s="1"/>
  <c r="BJK29" i="7" s="1"/>
  <c r="BJM29" i="7" s="1"/>
  <c r="BJO29" i="7" s="1"/>
  <c r="BJQ29" i="7" s="1"/>
  <c r="BJS29" i="7" s="1"/>
  <c r="BJU29" i="7" s="1"/>
  <c r="BJW29" i="7" s="1"/>
  <c r="BJY29" i="7" s="1"/>
  <c r="BKA29" i="7" s="1"/>
  <c r="BKC29" i="7" s="1"/>
  <c r="BKE29" i="7" s="1"/>
  <c r="BKG29" i="7" s="1"/>
  <c r="BKI29" i="7" s="1"/>
  <c r="BKK29" i="7" s="1"/>
  <c r="BKM29" i="7" s="1"/>
  <c r="BKO29" i="7" s="1"/>
  <c r="BKQ29" i="7" s="1"/>
  <c r="BKS29" i="7" s="1"/>
  <c r="BKU29" i="7" s="1"/>
  <c r="BKW29" i="7" s="1"/>
  <c r="BKY29" i="7" s="1"/>
  <c r="BLA29" i="7" s="1"/>
  <c r="BLC29" i="7" s="1"/>
  <c r="BLE29" i="7" s="1"/>
  <c r="BLG29" i="7" s="1"/>
  <c r="BLI29" i="7" s="1"/>
  <c r="BLK29" i="7" s="1"/>
  <c r="BLM29" i="7" s="1"/>
  <c r="BLO29" i="7" s="1"/>
  <c r="BLQ29" i="7" s="1"/>
  <c r="BLS29" i="7" s="1"/>
  <c r="BLU29" i="7" s="1"/>
  <c r="BLW29" i="7" s="1"/>
  <c r="BLY29" i="7" s="1"/>
  <c r="BMA29" i="7" s="1"/>
  <c r="BMC29" i="7" s="1"/>
  <c r="BME29" i="7" s="1"/>
  <c r="BMG29" i="7" s="1"/>
  <c r="BMI29" i="7" s="1"/>
  <c r="BMK29" i="7" s="1"/>
  <c r="BMM29" i="7" s="1"/>
  <c r="BMO29" i="7" s="1"/>
  <c r="BMQ29" i="7" s="1"/>
  <c r="BMS29" i="7" s="1"/>
  <c r="BMU29" i="7" s="1"/>
  <c r="BMW29" i="7" s="1"/>
  <c r="BMY29" i="7" s="1"/>
  <c r="BNA29" i="7" s="1"/>
  <c r="BNC29" i="7" s="1"/>
  <c r="BNE29" i="7" s="1"/>
  <c r="BNG29" i="7" s="1"/>
  <c r="BNI29" i="7" s="1"/>
  <c r="BNK29" i="7" s="1"/>
  <c r="BNM29" i="7" s="1"/>
  <c r="BNO29" i="7" s="1"/>
  <c r="BNQ29" i="7" s="1"/>
  <c r="BNS29" i="7" s="1"/>
  <c r="BNU29" i="7" s="1"/>
  <c r="BNW29" i="7" s="1"/>
  <c r="BNY29" i="7" s="1"/>
  <c r="BOA29" i="7" s="1"/>
  <c r="BOC29" i="7" s="1"/>
  <c r="BOE29" i="7" s="1"/>
  <c r="BOG29" i="7" s="1"/>
  <c r="BOI29" i="7" s="1"/>
  <c r="BOK29" i="7" s="1"/>
  <c r="BOM29" i="7" s="1"/>
  <c r="BOO29" i="7" s="1"/>
  <c r="BOQ29" i="7" s="1"/>
  <c r="BOS29" i="7" s="1"/>
  <c r="BOU29" i="7" s="1"/>
  <c r="BOW29" i="7" s="1"/>
  <c r="BOY29" i="7" s="1"/>
  <c r="BPA29" i="7" s="1"/>
  <c r="BPC29" i="7" s="1"/>
  <c r="BPE29" i="7" s="1"/>
  <c r="BPG29" i="7" s="1"/>
  <c r="BPI29" i="7" s="1"/>
  <c r="BPK29" i="7" s="1"/>
  <c r="BPM29" i="7" s="1"/>
  <c r="BPO29" i="7" s="1"/>
  <c r="BPQ29" i="7" s="1"/>
  <c r="BPS29" i="7" s="1"/>
  <c r="BPU29" i="7" s="1"/>
  <c r="BPW29" i="7" s="1"/>
  <c r="BPY29" i="7" s="1"/>
  <c r="BQA29" i="7" s="1"/>
  <c r="BQC29" i="7" s="1"/>
  <c r="BQE29" i="7" s="1"/>
  <c r="BQG29" i="7" s="1"/>
  <c r="BQI29" i="7" s="1"/>
  <c r="BQK29" i="7" s="1"/>
  <c r="BQM29" i="7" s="1"/>
  <c r="BQO29" i="7" s="1"/>
  <c r="BQQ29" i="7" s="1"/>
  <c r="BQS29" i="7" s="1"/>
  <c r="BQU29" i="7" s="1"/>
  <c r="BQW29" i="7" s="1"/>
  <c r="BQY29" i="7" s="1"/>
  <c r="BRA29" i="7" s="1"/>
  <c r="BRC29" i="7" s="1"/>
  <c r="BRE29" i="7" s="1"/>
  <c r="BRG29" i="7" s="1"/>
  <c r="BRI29" i="7" s="1"/>
  <c r="BRK29" i="7" s="1"/>
  <c r="BRM29" i="7" s="1"/>
  <c r="BRO29" i="7" s="1"/>
  <c r="BRQ29" i="7" s="1"/>
  <c r="BRS29" i="7" s="1"/>
  <c r="BRU29" i="7" s="1"/>
  <c r="BRW29" i="7" s="1"/>
  <c r="BRY29" i="7" s="1"/>
  <c r="BSA29" i="7" s="1"/>
  <c r="BSC29" i="7" s="1"/>
  <c r="BSE29" i="7" s="1"/>
  <c r="BSG29" i="7" s="1"/>
  <c r="BSI29" i="7" s="1"/>
  <c r="BSK29" i="7" s="1"/>
  <c r="BSM29" i="7" s="1"/>
  <c r="BSO29" i="7" s="1"/>
  <c r="BSQ29" i="7" s="1"/>
  <c r="BSS29" i="7" s="1"/>
  <c r="BSU29" i="7" s="1"/>
  <c r="BSW29" i="7" s="1"/>
  <c r="BSY29" i="7" s="1"/>
  <c r="BTA29" i="7" s="1"/>
  <c r="BTC29" i="7" s="1"/>
  <c r="BTE29" i="7" s="1"/>
  <c r="BTG29" i="7" s="1"/>
  <c r="BTI29" i="7" s="1"/>
  <c r="BTK29" i="7" s="1"/>
  <c r="BTM29" i="7" s="1"/>
  <c r="BTO29" i="7" s="1"/>
  <c r="BTQ29" i="7" s="1"/>
  <c r="BTS29" i="7" s="1"/>
  <c r="BTU29" i="7" s="1"/>
  <c r="BTW29" i="7" s="1"/>
  <c r="BTY29" i="7" s="1"/>
  <c r="BUA29" i="7" s="1"/>
  <c r="BUC29" i="7" s="1"/>
  <c r="BUE29" i="7" s="1"/>
  <c r="BUG29" i="7" s="1"/>
  <c r="BUI29" i="7" s="1"/>
  <c r="BUK29" i="7" s="1"/>
  <c r="BUM29" i="7" s="1"/>
  <c r="BUO29" i="7" s="1"/>
  <c r="BUQ29" i="7" s="1"/>
  <c r="BUS29" i="7" s="1"/>
  <c r="BUU29" i="7" s="1"/>
  <c r="BUW29" i="7" s="1"/>
  <c r="BUY29" i="7" s="1"/>
  <c r="BVA29" i="7" s="1"/>
  <c r="BVC29" i="7" s="1"/>
  <c r="BVE29" i="7" s="1"/>
  <c r="BVG29" i="7" s="1"/>
  <c r="BVI29" i="7" s="1"/>
  <c r="BVK29" i="7" s="1"/>
  <c r="BVM29" i="7" s="1"/>
  <c r="BVO29" i="7" s="1"/>
  <c r="BVQ29" i="7" s="1"/>
  <c r="BVS29" i="7" s="1"/>
  <c r="BVU29" i="7" s="1"/>
  <c r="BVW29" i="7" s="1"/>
  <c r="BVY29" i="7" s="1"/>
  <c r="BWA29" i="7" s="1"/>
  <c r="BWC29" i="7" s="1"/>
  <c r="BWE29" i="7" s="1"/>
  <c r="BWG29" i="7" s="1"/>
  <c r="BWI29" i="7" s="1"/>
  <c r="BWK29" i="7" s="1"/>
  <c r="BWM29" i="7" s="1"/>
  <c r="BWO29" i="7" s="1"/>
  <c r="BWQ29" i="7" s="1"/>
  <c r="BWS29" i="7" s="1"/>
  <c r="BWU29" i="7" s="1"/>
  <c r="BWW29" i="7" s="1"/>
  <c r="BWY29" i="7" s="1"/>
  <c r="BXA29" i="7" s="1"/>
  <c r="BXC29" i="7" s="1"/>
  <c r="BXE29" i="7" s="1"/>
  <c r="BXG29" i="7" s="1"/>
  <c r="BXI29" i="7" s="1"/>
  <c r="BXK29" i="7" s="1"/>
  <c r="BXM29" i="7" s="1"/>
  <c r="BXO29" i="7" s="1"/>
  <c r="BXQ29" i="7" s="1"/>
  <c r="BXS29" i="7" s="1"/>
  <c r="BXU29" i="7" s="1"/>
  <c r="BXW29" i="7" s="1"/>
  <c r="BXY29" i="7" s="1"/>
  <c r="BYA29" i="7" s="1"/>
  <c r="BYC29" i="7" s="1"/>
  <c r="BYE29" i="7" s="1"/>
  <c r="BYG29" i="7" s="1"/>
  <c r="BYI29" i="7" s="1"/>
  <c r="BYK29" i="7" s="1"/>
  <c r="BYM29" i="7" s="1"/>
  <c r="BYO29" i="7" s="1"/>
  <c r="BYQ29" i="7" s="1"/>
  <c r="BYS29" i="7" s="1"/>
  <c r="BYU29" i="7" s="1"/>
  <c r="BYW29" i="7" s="1"/>
  <c r="BYY29" i="7" s="1"/>
  <c r="BZA29" i="7" s="1"/>
  <c r="BZC29" i="7" s="1"/>
  <c r="BZE29" i="7" s="1"/>
  <c r="BZG29" i="7" s="1"/>
  <c r="BZI29" i="7" s="1"/>
  <c r="BZK29" i="7" s="1"/>
  <c r="BZM29" i="7" s="1"/>
  <c r="BZO29" i="7" s="1"/>
  <c r="BZQ29" i="7" s="1"/>
  <c r="BZS29" i="7" s="1"/>
  <c r="BZU29" i="7" s="1"/>
  <c r="BZW29" i="7" s="1"/>
  <c r="BZY29" i="7" s="1"/>
  <c r="CAA29" i="7" s="1"/>
  <c r="CAC29" i="7" s="1"/>
  <c r="CAE29" i="7" s="1"/>
  <c r="CAG29" i="7" s="1"/>
  <c r="CAI29" i="7" s="1"/>
  <c r="CAK29" i="7" s="1"/>
  <c r="CAM29" i="7" s="1"/>
  <c r="CAO29" i="7" s="1"/>
  <c r="CAQ29" i="7" s="1"/>
  <c r="CAS29" i="7" s="1"/>
  <c r="CAU29" i="7" s="1"/>
  <c r="CAW29" i="7" s="1"/>
  <c r="CAY29" i="7" s="1"/>
  <c r="CBA29" i="7" s="1"/>
  <c r="CBC29" i="7" s="1"/>
  <c r="CBE29" i="7" s="1"/>
  <c r="CBG29" i="7" s="1"/>
  <c r="CBI29" i="7" s="1"/>
  <c r="CBK29" i="7" s="1"/>
  <c r="CBM29" i="7" s="1"/>
  <c r="CBO29" i="7" s="1"/>
  <c r="CBQ29" i="7" s="1"/>
  <c r="CBS29" i="7" s="1"/>
  <c r="CBU29" i="7" s="1"/>
  <c r="CBW29" i="7" s="1"/>
  <c r="CBY29" i="7" s="1"/>
  <c r="CCA29" i="7" s="1"/>
  <c r="CCC29" i="7" s="1"/>
  <c r="CCE29" i="7" s="1"/>
  <c r="CCG29" i="7" s="1"/>
  <c r="CCI29" i="7" s="1"/>
  <c r="CCK29" i="7" s="1"/>
  <c r="CCM29" i="7" s="1"/>
  <c r="CCO29" i="7" s="1"/>
  <c r="CCQ29" i="7" s="1"/>
  <c r="CCS29" i="7" s="1"/>
  <c r="CCU29" i="7" s="1"/>
  <c r="CCW29" i="7" s="1"/>
  <c r="CCY29" i="7" s="1"/>
  <c r="CDA29" i="7" s="1"/>
  <c r="CDC29" i="7" s="1"/>
  <c r="CDE29" i="7" s="1"/>
  <c r="CDG29" i="7" s="1"/>
  <c r="CDI29" i="7" s="1"/>
  <c r="CDK29" i="7" s="1"/>
  <c r="CDM29" i="7" s="1"/>
  <c r="CDO29" i="7" s="1"/>
  <c r="CDQ29" i="7" s="1"/>
  <c r="CDS29" i="7" s="1"/>
  <c r="CDU29" i="7" s="1"/>
  <c r="CDW29" i="7" s="1"/>
  <c r="CDY29" i="7" s="1"/>
  <c r="CEA29" i="7" s="1"/>
  <c r="CEC29" i="7" s="1"/>
  <c r="CEE29" i="7" s="1"/>
  <c r="CEG29" i="7" s="1"/>
  <c r="CEI29" i="7" s="1"/>
  <c r="CEK29" i="7" s="1"/>
  <c r="CEM29" i="7" s="1"/>
  <c r="CEO29" i="7" s="1"/>
  <c r="CEQ29" i="7" s="1"/>
  <c r="CES29" i="7" s="1"/>
  <c r="CEU29" i="7" s="1"/>
  <c r="CEW29" i="7" s="1"/>
  <c r="CEY29" i="7" s="1"/>
  <c r="CFA29" i="7" s="1"/>
  <c r="CFC29" i="7" s="1"/>
  <c r="CFE29" i="7" s="1"/>
  <c r="CFG29" i="7" s="1"/>
  <c r="CFI29" i="7" s="1"/>
  <c r="CFK29" i="7" s="1"/>
  <c r="CFM29" i="7" s="1"/>
  <c r="CFO29" i="7" s="1"/>
  <c r="CFQ29" i="7" s="1"/>
  <c r="CFS29" i="7" s="1"/>
  <c r="CFU29" i="7" s="1"/>
  <c r="CFW29" i="7" s="1"/>
  <c r="CFY29" i="7" s="1"/>
  <c r="CGA29" i="7" s="1"/>
  <c r="CGC29" i="7" s="1"/>
  <c r="CGE29" i="7" s="1"/>
  <c r="CGG29" i="7" s="1"/>
  <c r="CGI29" i="7" s="1"/>
  <c r="CGK29" i="7" s="1"/>
  <c r="CGM29" i="7" s="1"/>
  <c r="CGO29" i="7" s="1"/>
  <c r="CGQ29" i="7" s="1"/>
  <c r="CGS29" i="7" s="1"/>
  <c r="CGU29" i="7" s="1"/>
  <c r="CGW29" i="7" s="1"/>
  <c r="CGY29" i="7" s="1"/>
  <c r="CHA29" i="7" s="1"/>
  <c r="CHC29" i="7" s="1"/>
  <c r="CHE29" i="7" s="1"/>
  <c r="CHG29" i="7" s="1"/>
  <c r="CHI29" i="7" s="1"/>
  <c r="CHK29" i="7" s="1"/>
  <c r="CHM29" i="7" s="1"/>
  <c r="CHO29" i="7" s="1"/>
  <c r="CHQ29" i="7" s="1"/>
  <c r="CHS29" i="7" s="1"/>
  <c r="CHU29" i="7" s="1"/>
  <c r="CHW29" i="7" s="1"/>
  <c r="CHY29" i="7" s="1"/>
  <c r="CIA29" i="7" s="1"/>
  <c r="CIC29" i="7" s="1"/>
  <c r="CIE29" i="7" s="1"/>
  <c r="CIG29" i="7" s="1"/>
  <c r="CII29" i="7" s="1"/>
  <c r="CIK29" i="7" s="1"/>
  <c r="CIM29" i="7" s="1"/>
  <c r="CIO29" i="7" s="1"/>
  <c r="CIQ29" i="7" s="1"/>
  <c r="CIS29" i="7" s="1"/>
  <c r="CIU29" i="7" s="1"/>
  <c r="CIW29" i="7" s="1"/>
  <c r="CIY29" i="7" s="1"/>
  <c r="CJA29" i="7" s="1"/>
  <c r="CJC29" i="7" s="1"/>
  <c r="CJE29" i="7" s="1"/>
  <c r="CJG29" i="7" s="1"/>
  <c r="CJI29" i="7" s="1"/>
  <c r="CJK29" i="7" s="1"/>
  <c r="CJM29" i="7" s="1"/>
  <c r="CJO29" i="7" s="1"/>
  <c r="CJQ29" i="7" s="1"/>
  <c r="CJS29" i="7" s="1"/>
  <c r="CJU29" i="7" s="1"/>
  <c r="CJW29" i="7" s="1"/>
  <c r="CJY29" i="7" s="1"/>
  <c r="CKA29" i="7" s="1"/>
  <c r="CKC29" i="7" s="1"/>
  <c r="CKE29" i="7" s="1"/>
  <c r="CKG29" i="7" s="1"/>
  <c r="CKI29" i="7" s="1"/>
  <c r="CKK29" i="7" s="1"/>
  <c r="CKM29" i="7" s="1"/>
  <c r="CKO29" i="7" s="1"/>
  <c r="CKQ29" i="7" s="1"/>
  <c r="CKS29" i="7" s="1"/>
  <c r="CKU29" i="7" s="1"/>
  <c r="CKW29" i="7" s="1"/>
  <c r="CKY29" i="7" s="1"/>
  <c r="CLA29" i="7" s="1"/>
  <c r="CLC29" i="7" s="1"/>
  <c r="CLE29" i="7" s="1"/>
  <c r="CLG29" i="7" s="1"/>
  <c r="CLI29" i="7" s="1"/>
  <c r="CLK29" i="7" s="1"/>
  <c r="CLM29" i="7" s="1"/>
  <c r="CLO29" i="7" s="1"/>
  <c r="CLQ29" i="7" s="1"/>
  <c r="CLS29" i="7" s="1"/>
  <c r="CLU29" i="7" s="1"/>
  <c r="CLW29" i="7" s="1"/>
  <c r="CLY29" i="7" s="1"/>
  <c r="CMA29" i="7" s="1"/>
  <c r="CMC29" i="7" s="1"/>
  <c r="CME29" i="7" s="1"/>
  <c r="CMG29" i="7" s="1"/>
  <c r="CMI29" i="7" s="1"/>
  <c r="CMK29" i="7" s="1"/>
  <c r="CMM29" i="7" s="1"/>
  <c r="CMO29" i="7" s="1"/>
  <c r="CMQ29" i="7" s="1"/>
  <c r="CMS29" i="7" s="1"/>
  <c r="CMU29" i="7" s="1"/>
  <c r="CMW29" i="7" s="1"/>
  <c r="CMY29" i="7" s="1"/>
  <c r="CNA29" i="7" s="1"/>
  <c r="CNC29" i="7" s="1"/>
  <c r="CNE29" i="7" s="1"/>
  <c r="CNG29" i="7" s="1"/>
  <c r="CNI29" i="7" s="1"/>
  <c r="CNK29" i="7" s="1"/>
  <c r="CNM29" i="7" s="1"/>
  <c r="CNO29" i="7" s="1"/>
  <c r="CNQ29" i="7" s="1"/>
  <c r="CNS29" i="7" s="1"/>
  <c r="CNU29" i="7" s="1"/>
  <c r="CNW29" i="7" s="1"/>
  <c r="CNY29" i="7" s="1"/>
  <c r="COA29" i="7" s="1"/>
  <c r="COC29" i="7" s="1"/>
  <c r="COE29" i="7" s="1"/>
  <c r="COG29" i="7" s="1"/>
  <c r="COI29" i="7" s="1"/>
  <c r="COK29" i="7" s="1"/>
  <c r="COM29" i="7" s="1"/>
  <c r="COO29" i="7" s="1"/>
  <c r="COQ29" i="7" s="1"/>
  <c r="COS29" i="7" s="1"/>
  <c r="COU29" i="7" s="1"/>
  <c r="COW29" i="7" s="1"/>
  <c r="COY29" i="7" s="1"/>
  <c r="CPA29" i="7" s="1"/>
  <c r="CPC29" i="7" s="1"/>
  <c r="CPE29" i="7" s="1"/>
  <c r="CPG29" i="7" s="1"/>
  <c r="CPI29" i="7" s="1"/>
  <c r="CPK29" i="7" s="1"/>
  <c r="CPM29" i="7" s="1"/>
  <c r="CPO29" i="7" s="1"/>
  <c r="CPQ29" i="7" s="1"/>
  <c r="CPS29" i="7" s="1"/>
  <c r="CPU29" i="7" s="1"/>
  <c r="CPW29" i="7" s="1"/>
  <c r="CPY29" i="7" s="1"/>
  <c r="CQA29" i="7" s="1"/>
  <c r="CQC29" i="7" s="1"/>
  <c r="CQE29" i="7" s="1"/>
  <c r="CQG29" i="7" s="1"/>
  <c r="CQI29" i="7" s="1"/>
  <c r="CQK29" i="7" s="1"/>
  <c r="CQM29" i="7" s="1"/>
  <c r="CQO29" i="7" s="1"/>
  <c r="CQQ29" i="7" s="1"/>
  <c r="CQS29" i="7" s="1"/>
  <c r="CQU29" i="7" s="1"/>
  <c r="CQW29" i="7" s="1"/>
  <c r="CQY29" i="7" s="1"/>
  <c r="CRA29" i="7" s="1"/>
  <c r="CRC29" i="7" s="1"/>
  <c r="CRE29" i="7" s="1"/>
  <c r="CRG29" i="7" s="1"/>
  <c r="CRI29" i="7" s="1"/>
  <c r="CRK29" i="7" s="1"/>
  <c r="CRM29" i="7" s="1"/>
  <c r="CRO29" i="7" s="1"/>
  <c r="CRQ29" i="7" s="1"/>
  <c r="CRS29" i="7" s="1"/>
  <c r="CRU29" i="7" s="1"/>
  <c r="CRW29" i="7" s="1"/>
  <c r="CRY29" i="7" s="1"/>
  <c r="CSA29" i="7" s="1"/>
  <c r="CSC29" i="7" s="1"/>
  <c r="CSE29" i="7" s="1"/>
  <c r="CSG29" i="7" s="1"/>
  <c r="CSI29" i="7" s="1"/>
  <c r="CSK29" i="7" s="1"/>
  <c r="CSM29" i="7" s="1"/>
  <c r="CSO29" i="7" s="1"/>
  <c r="CSQ29" i="7" s="1"/>
  <c r="CSS29" i="7" s="1"/>
  <c r="CSU29" i="7" s="1"/>
  <c r="CSW29" i="7" s="1"/>
  <c r="CSY29" i="7" s="1"/>
  <c r="CTA29" i="7" s="1"/>
  <c r="CTC29" i="7" s="1"/>
  <c r="CTE29" i="7" s="1"/>
  <c r="CTG29" i="7" s="1"/>
  <c r="CTI29" i="7" s="1"/>
  <c r="CTK29" i="7" s="1"/>
  <c r="CTM29" i="7" s="1"/>
  <c r="CTO29" i="7" s="1"/>
  <c r="CTQ29" i="7" s="1"/>
  <c r="CTS29" i="7" s="1"/>
  <c r="CTU29" i="7" s="1"/>
  <c r="CTW29" i="7" s="1"/>
  <c r="CTY29" i="7" s="1"/>
  <c r="CUA29" i="7" s="1"/>
  <c r="CUC29" i="7" s="1"/>
  <c r="CUE29" i="7" s="1"/>
  <c r="CUG29" i="7" s="1"/>
  <c r="CUI29" i="7" s="1"/>
  <c r="CUK29" i="7" s="1"/>
  <c r="CUM29" i="7" s="1"/>
  <c r="CUO29" i="7" s="1"/>
  <c r="CUQ29" i="7" s="1"/>
  <c r="CUS29" i="7" s="1"/>
  <c r="CUU29" i="7" s="1"/>
  <c r="CUW29" i="7" s="1"/>
  <c r="CUY29" i="7" s="1"/>
  <c r="CVA29" i="7" s="1"/>
  <c r="CVC29" i="7" s="1"/>
  <c r="CVE29" i="7" s="1"/>
  <c r="CVG29" i="7" s="1"/>
  <c r="CVI29" i="7" s="1"/>
  <c r="CVK29" i="7" s="1"/>
  <c r="CVM29" i="7" s="1"/>
  <c r="CVO29" i="7" s="1"/>
  <c r="CVQ29" i="7" s="1"/>
  <c r="CVS29" i="7" s="1"/>
  <c r="CVU29" i="7" s="1"/>
  <c r="CVW29" i="7" s="1"/>
  <c r="CVY29" i="7" s="1"/>
  <c r="CWA29" i="7" s="1"/>
  <c r="CWC29" i="7" s="1"/>
  <c r="CWE29" i="7" s="1"/>
  <c r="CWG29" i="7" s="1"/>
  <c r="CWI29" i="7" s="1"/>
  <c r="CWK29" i="7" s="1"/>
  <c r="CWM29" i="7" s="1"/>
  <c r="CWO29" i="7" s="1"/>
  <c r="CWQ29" i="7" s="1"/>
  <c r="CWS29" i="7" s="1"/>
  <c r="CWU29" i="7" s="1"/>
  <c r="CWW29" i="7" s="1"/>
  <c r="CWY29" i="7" s="1"/>
  <c r="CXA29" i="7" s="1"/>
  <c r="CXC29" i="7" s="1"/>
  <c r="CXE29" i="7" s="1"/>
  <c r="CXG29" i="7" s="1"/>
  <c r="CXI29" i="7" s="1"/>
  <c r="CXK29" i="7" s="1"/>
  <c r="CXM29" i="7" s="1"/>
  <c r="CXO29" i="7" s="1"/>
  <c r="CXQ29" i="7" s="1"/>
  <c r="CXS29" i="7" s="1"/>
  <c r="CXU29" i="7" s="1"/>
  <c r="CXW29" i="7" s="1"/>
  <c r="CXY29" i="7" s="1"/>
  <c r="CYA29" i="7" s="1"/>
  <c r="CYC29" i="7" s="1"/>
  <c r="CYE29" i="7" s="1"/>
  <c r="CYG29" i="7" s="1"/>
  <c r="CYI29" i="7" s="1"/>
  <c r="CYK29" i="7" s="1"/>
  <c r="CYM29" i="7" s="1"/>
  <c r="CYO29" i="7" s="1"/>
  <c r="CYQ29" i="7" s="1"/>
  <c r="CYS29" i="7" s="1"/>
  <c r="CYU29" i="7" s="1"/>
  <c r="CYW29" i="7" s="1"/>
  <c r="CYY29" i="7" s="1"/>
  <c r="CZA29" i="7" s="1"/>
  <c r="CZC29" i="7" s="1"/>
  <c r="CZE29" i="7" s="1"/>
  <c r="CZG29" i="7" s="1"/>
  <c r="CZI29" i="7" s="1"/>
  <c r="CZK29" i="7" s="1"/>
  <c r="CZM29" i="7" s="1"/>
  <c r="CZO29" i="7" s="1"/>
  <c r="CZQ29" i="7" s="1"/>
  <c r="CZS29" i="7" s="1"/>
  <c r="CZU29" i="7" s="1"/>
  <c r="CZW29" i="7" s="1"/>
  <c r="CZY29" i="7" s="1"/>
  <c r="DAA29" i="7" s="1"/>
  <c r="DAC29" i="7" s="1"/>
  <c r="DAE29" i="7" s="1"/>
  <c r="DAG29" i="7" s="1"/>
  <c r="DAI29" i="7" s="1"/>
  <c r="DAK29" i="7" s="1"/>
  <c r="DAM29" i="7" s="1"/>
  <c r="DAO29" i="7" s="1"/>
  <c r="DAQ29" i="7" s="1"/>
  <c r="DAS29" i="7" s="1"/>
  <c r="DAU29" i="7" s="1"/>
  <c r="DAW29" i="7" s="1"/>
  <c r="DAY29" i="7" s="1"/>
  <c r="DBA29" i="7" s="1"/>
  <c r="DBC29" i="7" s="1"/>
  <c r="DBE29" i="7" s="1"/>
  <c r="DBG29" i="7" s="1"/>
  <c r="DBI29" i="7" s="1"/>
  <c r="DBK29" i="7" s="1"/>
  <c r="DBM29" i="7" s="1"/>
  <c r="DBO29" i="7" s="1"/>
  <c r="DBQ29" i="7" s="1"/>
  <c r="DBS29" i="7" s="1"/>
  <c r="DBU29" i="7" s="1"/>
  <c r="DBW29" i="7" s="1"/>
  <c r="DBY29" i="7" s="1"/>
  <c r="DCA29" i="7" s="1"/>
  <c r="DCC29" i="7" s="1"/>
  <c r="DCE29" i="7" s="1"/>
  <c r="DCG29" i="7" s="1"/>
  <c r="DCI29" i="7" s="1"/>
  <c r="DCK29" i="7" s="1"/>
  <c r="DCM29" i="7" s="1"/>
  <c r="DCO29" i="7" s="1"/>
  <c r="DCQ29" i="7" s="1"/>
  <c r="DCS29" i="7" s="1"/>
  <c r="DCU29" i="7" s="1"/>
  <c r="DCW29" i="7" s="1"/>
  <c r="DCY29" i="7" s="1"/>
  <c r="DDA29" i="7" s="1"/>
  <c r="DDC29" i="7" s="1"/>
  <c r="DDE29" i="7" s="1"/>
  <c r="DDG29" i="7" s="1"/>
  <c r="DDI29" i="7" s="1"/>
  <c r="DDK29" i="7" s="1"/>
  <c r="DDM29" i="7" s="1"/>
  <c r="DDO29" i="7" s="1"/>
  <c r="DDQ29" i="7" s="1"/>
  <c r="DDS29" i="7" s="1"/>
  <c r="DDU29" i="7" s="1"/>
  <c r="DDW29" i="7" s="1"/>
  <c r="DDY29" i="7" s="1"/>
  <c r="DEA29" i="7" s="1"/>
  <c r="DEC29" i="7" s="1"/>
  <c r="DEE29" i="7" s="1"/>
  <c r="DEG29" i="7" s="1"/>
  <c r="DEI29" i="7" s="1"/>
  <c r="DEK29" i="7" s="1"/>
  <c r="DEM29" i="7" s="1"/>
  <c r="DEO29" i="7" s="1"/>
  <c r="DEQ29" i="7" s="1"/>
  <c r="DES29" i="7" s="1"/>
  <c r="DEU29" i="7" s="1"/>
  <c r="DEW29" i="7" s="1"/>
  <c r="DEY29" i="7" s="1"/>
  <c r="DFA29" i="7" s="1"/>
  <c r="DFC29" i="7" s="1"/>
  <c r="DFE29" i="7" s="1"/>
  <c r="DFG29" i="7" s="1"/>
  <c r="DFI29" i="7" s="1"/>
  <c r="DFK29" i="7" s="1"/>
  <c r="DFM29" i="7" s="1"/>
  <c r="DFO29" i="7" s="1"/>
  <c r="DFQ29" i="7" s="1"/>
  <c r="DFS29" i="7" s="1"/>
  <c r="DFU29" i="7" s="1"/>
  <c r="DFW29" i="7" s="1"/>
  <c r="DFY29" i="7" s="1"/>
  <c r="DGA29" i="7" s="1"/>
  <c r="DGC29" i="7" s="1"/>
  <c r="DGE29" i="7" s="1"/>
  <c r="DGG29" i="7" s="1"/>
  <c r="DGI29" i="7" s="1"/>
  <c r="DGK29" i="7" s="1"/>
  <c r="DGM29" i="7" s="1"/>
  <c r="DGO29" i="7" s="1"/>
  <c r="DGQ29" i="7" s="1"/>
  <c r="DGS29" i="7" s="1"/>
  <c r="DGU29" i="7" s="1"/>
  <c r="DGW29" i="7" s="1"/>
  <c r="DGY29" i="7" s="1"/>
  <c r="DHA29" i="7" s="1"/>
  <c r="DHC29" i="7" s="1"/>
  <c r="DHE29" i="7" s="1"/>
  <c r="DHG29" i="7" s="1"/>
  <c r="DHI29" i="7" s="1"/>
  <c r="DHK29" i="7" s="1"/>
  <c r="DHM29" i="7" s="1"/>
  <c r="DHO29" i="7" s="1"/>
  <c r="DHQ29" i="7" s="1"/>
  <c r="DHS29" i="7" s="1"/>
  <c r="DHU29" i="7" s="1"/>
  <c r="DHW29" i="7" s="1"/>
  <c r="DHY29" i="7" s="1"/>
  <c r="DIA29" i="7" s="1"/>
  <c r="DIC29" i="7" s="1"/>
  <c r="DIE29" i="7" s="1"/>
  <c r="DIG29" i="7" s="1"/>
  <c r="DII29" i="7" s="1"/>
  <c r="DIK29" i="7" s="1"/>
  <c r="DIM29" i="7" s="1"/>
  <c r="DIO29" i="7" s="1"/>
  <c r="DIQ29" i="7" s="1"/>
  <c r="DIS29" i="7" s="1"/>
  <c r="DIU29" i="7" s="1"/>
  <c r="DIW29" i="7" s="1"/>
  <c r="DIY29" i="7" s="1"/>
  <c r="DJA29" i="7" s="1"/>
  <c r="DJC29" i="7" s="1"/>
  <c r="DJE29" i="7" s="1"/>
  <c r="DJG29" i="7" s="1"/>
  <c r="DJI29" i="7" s="1"/>
  <c r="DJK29" i="7" s="1"/>
  <c r="DJM29" i="7" s="1"/>
  <c r="DJO29" i="7" s="1"/>
  <c r="DJQ29" i="7" s="1"/>
  <c r="DJS29" i="7" s="1"/>
  <c r="DJU29" i="7" s="1"/>
  <c r="DJW29" i="7" s="1"/>
  <c r="DJY29" i="7" s="1"/>
  <c r="DKA29" i="7" s="1"/>
  <c r="DKC29" i="7" s="1"/>
  <c r="DKE29" i="7" s="1"/>
  <c r="DKG29" i="7" s="1"/>
  <c r="DKI29" i="7" s="1"/>
  <c r="DKK29" i="7" s="1"/>
  <c r="DKM29" i="7" s="1"/>
  <c r="DKO29" i="7" s="1"/>
  <c r="DKQ29" i="7" s="1"/>
  <c r="DKS29" i="7" s="1"/>
  <c r="DKU29" i="7" s="1"/>
  <c r="DKW29" i="7" s="1"/>
  <c r="DKY29" i="7" s="1"/>
  <c r="DLA29" i="7" s="1"/>
  <c r="DLC29" i="7" s="1"/>
  <c r="DLE29" i="7" s="1"/>
  <c r="DLG29" i="7" s="1"/>
  <c r="DLI29" i="7" s="1"/>
  <c r="DLK29" i="7" s="1"/>
  <c r="DLM29" i="7" s="1"/>
  <c r="DLO29" i="7" s="1"/>
  <c r="DLQ29" i="7" s="1"/>
  <c r="DLS29" i="7" s="1"/>
  <c r="DLU29" i="7" s="1"/>
  <c r="DLW29" i="7" s="1"/>
  <c r="DLY29" i="7" s="1"/>
  <c r="DMA29" i="7" s="1"/>
  <c r="DMC29" i="7" s="1"/>
  <c r="DME29" i="7" s="1"/>
  <c r="DMG29" i="7" s="1"/>
  <c r="DMI29" i="7" s="1"/>
  <c r="DMK29" i="7" s="1"/>
  <c r="DMM29" i="7" s="1"/>
  <c r="DMO29" i="7" s="1"/>
  <c r="DMQ29" i="7" s="1"/>
  <c r="DMS29" i="7" s="1"/>
  <c r="DMU29" i="7" s="1"/>
  <c r="DMW29" i="7" s="1"/>
  <c r="DMY29" i="7" s="1"/>
  <c r="DNA29" i="7" s="1"/>
  <c r="DNC29" i="7" s="1"/>
  <c r="DNE29" i="7" s="1"/>
  <c r="DNG29" i="7" s="1"/>
  <c r="DNI29" i="7" s="1"/>
  <c r="DNK29" i="7" s="1"/>
  <c r="DNM29" i="7" s="1"/>
  <c r="DNO29" i="7" s="1"/>
  <c r="DNQ29" i="7" s="1"/>
  <c r="DNS29" i="7" s="1"/>
  <c r="DNU29" i="7" s="1"/>
  <c r="DNW29" i="7" s="1"/>
  <c r="DNY29" i="7" s="1"/>
  <c r="DOA29" i="7" s="1"/>
  <c r="DOC29" i="7" s="1"/>
  <c r="DOE29" i="7" s="1"/>
  <c r="DOG29" i="7" s="1"/>
  <c r="DOI29" i="7" s="1"/>
  <c r="DOK29" i="7" s="1"/>
  <c r="DOM29" i="7" s="1"/>
  <c r="DOO29" i="7" s="1"/>
  <c r="DOQ29" i="7" s="1"/>
  <c r="DOS29" i="7" s="1"/>
  <c r="DOU29" i="7" s="1"/>
  <c r="DOW29" i="7" s="1"/>
  <c r="DOY29" i="7" s="1"/>
  <c r="DPA29" i="7" s="1"/>
  <c r="DPC29" i="7" s="1"/>
  <c r="DPE29" i="7" s="1"/>
  <c r="DPG29" i="7" s="1"/>
  <c r="DPI29" i="7" s="1"/>
  <c r="DPK29" i="7" s="1"/>
  <c r="DPM29" i="7" s="1"/>
  <c r="DPO29" i="7" s="1"/>
  <c r="DPQ29" i="7" s="1"/>
  <c r="DPS29" i="7" s="1"/>
  <c r="DPU29" i="7" s="1"/>
  <c r="DPW29" i="7" s="1"/>
  <c r="DPY29" i="7" s="1"/>
  <c r="DQA29" i="7" s="1"/>
  <c r="DQC29" i="7" s="1"/>
  <c r="DQE29" i="7" s="1"/>
  <c r="DQG29" i="7" s="1"/>
  <c r="DQI29" i="7" s="1"/>
  <c r="DQK29" i="7" s="1"/>
  <c r="DQM29" i="7" s="1"/>
  <c r="DQO29" i="7" s="1"/>
  <c r="DQQ29" i="7" s="1"/>
  <c r="DQS29" i="7" s="1"/>
  <c r="DQU29" i="7" s="1"/>
  <c r="DQW29" i="7" s="1"/>
  <c r="DQY29" i="7" s="1"/>
  <c r="DRA29" i="7" s="1"/>
  <c r="DRC29" i="7" s="1"/>
  <c r="DRE29" i="7" s="1"/>
  <c r="DRG29" i="7" s="1"/>
  <c r="DRI29" i="7" s="1"/>
  <c r="DRK29" i="7" s="1"/>
  <c r="DRM29" i="7" s="1"/>
  <c r="DRO29" i="7" s="1"/>
  <c r="DRQ29" i="7" s="1"/>
  <c r="DRS29" i="7" s="1"/>
  <c r="DRU29" i="7" s="1"/>
  <c r="DRW29" i="7" s="1"/>
  <c r="DRY29" i="7" s="1"/>
  <c r="DSA29" i="7" s="1"/>
  <c r="DSC29" i="7" s="1"/>
  <c r="DSE29" i="7" s="1"/>
  <c r="DSG29" i="7" s="1"/>
  <c r="DSI29" i="7" s="1"/>
  <c r="DSK29" i="7" s="1"/>
  <c r="DSM29" i="7" s="1"/>
  <c r="DSO29" i="7" s="1"/>
  <c r="DSQ29" i="7" s="1"/>
  <c r="DSS29" i="7" s="1"/>
  <c r="DSU29" i="7" s="1"/>
  <c r="DSW29" i="7" s="1"/>
  <c r="DSY29" i="7" s="1"/>
  <c r="DTA29" i="7" s="1"/>
  <c r="DTC29" i="7" s="1"/>
  <c r="DTE29" i="7" s="1"/>
  <c r="DTG29" i="7" s="1"/>
  <c r="DTI29" i="7" s="1"/>
  <c r="DTK29" i="7" s="1"/>
  <c r="DTM29" i="7" s="1"/>
  <c r="DTO29" i="7" s="1"/>
  <c r="DTQ29" i="7" s="1"/>
  <c r="DTS29" i="7" s="1"/>
  <c r="DTU29" i="7" s="1"/>
  <c r="DTW29" i="7" s="1"/>
  <c r="DTY29" i="7" s="1"/>
  <c r="DUA29" i="7" s="1"/>
  <c r="DUC29" i="7" s="1"/>
  <c r="DUE29" i="7" s="1"/>
  <c r="DUG29" i="7" s="1"/>
  <c r="DUI29" i="7" s="1"/>
  <c r="DUK29" i="7" s="1"/>
  <c r="DUM29" i="7" s="1"/>
  <c r="DUO29" i="7" s="1"/>
  <c r="DUQ29" i="7" s="1"/>
  <c r="DUS29" i="7" s="1"/>
  <c r="DUU29" i="7" s="1"/>
  <c r="DUW29" i="7" s="1"/>
  <c r="DUY29" i="7" s="1"/>
  <c r="DVA29" i="7" s="1"/>
  <c r="DVC29" i="7" s="1"/>
  <c r="DVE29" i="7" s="1"/>
  <c r="DVG29" i="7" s="1"/>
  <c r="DVI29" i="7" s="1"/>
  <c r="DVK29" i="7" s="1"/>
  <c r="DVM29" i="7" s="1"/>
  <c r="DVO29" i="7" s="1"/>
  <c r="DVQ29" i="7" s="1"/>
  <c r="DVS29" i="7" s="1"/>
  <c r="DVU29" i="7" s="1"/>
  <c r="DVW29" i="7" s="1"/>
  <c r="DVY29" i="7" s="1"/>
  <c r="DWA29" i="7" s="1"/>
  <c r="DWC29" i="7" s="1"/>
  <c r="DWE29" i="7" s="1"/>
  <c r="DWG29" i="7" s="1"/>
  <c r="DWI29" i="7" s="1"/>
  <c r="DWK29" i="7" s="1"/>
  <c r="DWM29" i="7" s="1"/>
  <c r="DWO29" i="7" s="1"/>
  <c r="DWQ29" i="7" s="1"/>
  <c r="DWS29" i="7" s="1"/>
  <c r="DWU29" i="7" s="1"/>
  <c r="DWW29" i="7" s="1"/>
  <c r="DWY29" i="7" s="1"/>
  <c r="DXA29" i="7" s="1"/>
  <c r="DXC29" i="7" s="1"/>
  <c r="DXE29" i="7" s="1"/>
  <c r="DXG29" i="7" s="1"/>
  <c r="DXI29" i="7" s="1"/>
  <c r="DXK29" i="7" s="1"/>
  <c r="DXM29" i="7" s="1"/>
  <c r="DXO29" i="7" s="1"/>
  <c r="DXQ29" i="7" s="1"/>
  <c r="DXS29" i="7" s="1"/>
  <c r="DXU29" i="7" s="1"/>
  <c r="DXW29" i="7" s="1"/>
  <c r="DXY29" i="7" s="1"/>
  <c r="DYA29" i="7" s="1"/>
  <c r="DYC29" i="7" s="1"/>
  <c r="DYE29" i="7" s="1"/>
  <c r="DYG29" i="7" s="1"/>
  <c r="DYI29" i="7" s="1"/>
  <c r="DYK29" i="7" s="1"/>
  <c r="DYM29" i="7" s="1"/>
  <c r="DYO29" i="7" s="1"/>
  <c r="DYQ29" i="7" s="1"/>
  <c r="DYS29" i="7" s="1"/>
  <c r="DYU29" i="7" s="1"/>
  <c r="DYW29" i="7" s="1"/>
  <c r="DYY29" i="7" s="1"/>
  <c r="DZA29" i="7" s="1"/>
  <c r="DZC29" i="7" s="1"/>
  <c r="DZE29" i="7" s="1"/>
  <c r="DZG29" i="7" s="1"/>
  <c r="DZI29" i="7" s="1"/>
  <c r="DZK29" i="7" s="1"/>
  <c r="DZM29" i="7" s="1"/>
  <c r="DZO29" i="7" s="1"/>
  <c r="DZQ29" i="7" s="1"/>
  <c r="DZS29" i="7" s="1"/>
  <c r="DZU29" i="7" s="1"/>
  <c r="DZW29" i="7" s="1"/>
  <c r="DZY29" i="7" s="1"/>
  <c r="EAA29" i="7" s="1"/>
  <c r="EAC29" i="7" s="1"/>
  <c r="EAE29" i="7" s="1"/>
  <c r="EAG29" i="7" s="1"/>
  <c r="EAI29" i="7" s="1"/>
  <c r="EAK29" i="7" s="1"/>
  <c r="EAM29" i="7" s="1"/>
  <c r="EAO29" i="7" s="1"/>
  <c r="EAQ29" i="7" s="1"/>
  <c r="EAS29" i="7" s="1"/>
  <c r="EAU29" i="7" s="1"/>
  <c r="EAW29" i="7" s="1"/>
  <c r="EAY29" i="7" s="1"/>
  <c r="EBA29" i="7" s="1"/>
  <c r="EBC29" i="7" s="1"/>
  <c r="EBE29" i="7" s="1"/>
  <c r="EBG29" i="7" s="1"/>
  <c r="EBI29" i="7" s="1"/>
  <c r="EBK29" i="7" s="1"/>
  <c r="EBM29" i="7" s="1"/>
  <c r="EBO29" i="7" s="1"/>
  <c r="EBQ29" i="7" s="1"/>
  <c r="EBS29" i="7" s="1"/>
  <c r="EBU29" i="7" s="1"/>
  <c r="EBW29" i="7" s="1"/>
  <c r="EBY29" i="7" s="1"/>
  <c r="ECA29" i="7" s="1"/>
  <c r="ECC29" i="7" s="1"/>
  <c r="ECE29" i="7" s="1"/>
  <c r="ECG29" i="7" s="1"/>
  <c r="ECI29" i="7" s="1"/>
  <c r="ECK29" i="7" s="1"/>
  <c r="ECM29" i="7" s="1"/>
  <c r="ECO29" i="7" s="1"/>
  <c r="ECQ29" i="7" s="1"/>
  <c r="ECS29" i="7" s="1"/>
  <c r="ECU29" i="7" s="1"/>
  <c r="ECW29" i="7" s="1"/>
  <c r="ECY29" i="7" s="1"/>
  <c r="EDA29" i="7" s="1"/>
  <c r="EDC29" i="7" s="1"/>
  <c r="EDE29" i="7" s="1"/>
  <c r="EDG29" i="7" s="1"/>
  <c r="EDI29" i="7" s="1"/>
  <c r="EDK29" i="7" s="1"/>
  <c r="EDM29" i="7" s="1"/>
  <c r="EDO29" i="7" s="1"/>
  <c r="EDQ29" i="7" s="1"/>
  <c r="EDS29" i="7" s="1"/>
  <c r="EDU29" i="7" s="1"/>
  <c r="EDW29" i="7" s="1"/>
  <c r="EDY29" i="7" s="1"/>
  <c r="EEA29" i="7" s="1"/>
  <c r="EEC29" i="7" s="1"/>
  <c r="EEE29" i="7" s="1"/>
  <c r="EEG29" i="7" s="1"/>
  <c r="EEI29" i="7" s="1"/>
  <c r="EEK29" i="7" s="1"/>
  <c r="EEM29" i="7" s="1"/>
  <c r="EEO29" i="7" s="1"/>
  <c r="EEQ29" i="7" s="1"/>
  <c r="EES29" i="7" s="1"/>
  <c r="EEU29" i="7" s="1"/>
  <c r="EEW29" i="7" s="1"/>
  <c r="EEY29" i="7" s="1"/>
  <c r="EFA29" i="7" s="1"/>
  <c r="EFC29" i="7" s="1"/>
  <c r="EFE29" i="7" s="1"/>
  <c r="EFG29" i="7" s="1"/>
  <c r="EFI29" i="7" s="1"/>
  <c r="EFK29" i="7" s="1"/>
  <c r="EFM29" i="7" s="1"/>
  <c r="EFO29" i="7" s="1"/>
  <c r="EFQ29" i="7" s="1"/>
  <c r="EFS29" i="7" s="1"/>
  <c r="EFU29" i="7" s="1"/>
  <c r="EFW29" i="7" s="1"/>
  <c r="EFY29" i="7" s="1"/>
  <c r="EGA29" i="7" s="1"/>
  <c r="EGC29" i="7" s="1"/>
  <c r="EGE29" i="7" s="1"/>
  <c r="EGG29" i="7" s="1"/>
  <c r="EGI29" i="7" s="1"/>
  <c r="EGK29" i="7" s="1"/>
  <c r="EGM29" i="7" s="1"/>
  <c r="EGO29" i="7" s="1"/>
  <c r="EGQ29" i="7" s="1"/>
  <c r="EGS29" i="7" s="1"/>
  <c r="EGU29" i="7" s="1"/>
  <c r="EGW29" i="7" s="1"/>
  <c r="EGY29" i="7" s="1"/>
  <c r="EHA29" i="7" s="1"/>
  <c r="EHC29" i="7" s="1"/>
  <c r="EHE29" i="7" s="1"/>
  <c r="EHG29" i="7" s="1"/>
  <c r="EHI29" i="7" s="1"/>
  <c r="EHK29" i="7" s="1"/>
  <c r="EHM29" i="7" s="1"/>
  <c r="EHO29" i="7" s="1"/>
  <c r="EHQ29" i="7" s="1"/>
  <c r="EHS29" i="7" s="1"/>
  <c r="EHU29" i="7" s="1"/>
  <c r="EHW29" i="7" s="1"/>
  <c r="EHY29" i="7" s="1"/>
  <c r="EIA29" i="7" s="1"/>
  <c r="EIC29" i="7" s="1"/>
  <c r="EIE29" i="7" s="1"/>
  <c r="EIG29" i="7" s="1"/>
  <c r="EII29" i="7" s="1"/>
  <c r="EIK29" i="7" s="1"/>
  <c r="EIM29" i="7" s="1"/>
  <c r="EIO29" i="7" s="1"/>
  <c r="EIQ29" i="7" s="1"/>
  <c r="EIS29" i="7" s="1"/>
  <c r="EIU29" i="7" s="1"/>
  <c r="EIW29" i="7" s="1"/>
  <c r="EIY29" i="7" s="1"/>
  <c r="EJA29" i="7" s="1"/>
  <c r="EJC29" i="7" s="1"/>
  <c r="EJE29" i="7" s="1"/>
  <c r="EJG29" i="7" s="1"/>
  <c r="EJI29" i="7" s="1"/>
  <c r="EJK29" i="7" s="1"/>
  <c r="EJM29" i="7" s="1"/>
  <c r="EJO29" i="7" s="1"/>
  <c r="EJQ29" i="7" s="1"/>
  <c r="EJS29" i="7" s="1"/>
  <c r="EJU29" i="7" s="1"/>
  <c r="EJW29" i="7" s="1"/>
  <c r="EJY29" i="7" s="1"/>
  <c r="EKA29" i="7" s="1"/>
  <c r="EKC29" i="7" s="1"/>
  <c r="EKE29" i="7" s="1"/>
  <c r="EKG29" i="7" s="1"/>
  <c r="EKI29" i="7" s="1"/>
  <c r="EKK29" i="7" s="1"/>
  <c r="EKM29" i="7" s="1"/>
  <c r="EKO29" i="7" s="1"/>
  <c r="EKQ29" i="7" s="1"/>
  <c r="EKS29" i="7" s="1"/>
  <c r="EKU29" i="7" s="1"/>
  <c r="EKW29" i="7" s="1"/>
  <c r="EKY29" i="7" s="1"/>
  <c r="ELA29" i="7" s="1"/>
  <c r="ELC29" i="7" s="1"/>
  <c r="ELE29" i="7" s="1"/>
  <c r="ELG29" i="7" s="1"/>
  <c r="ELI29" i="7" s="1"/>
  <c r="ELK29" i="7" s="1"/>
  <c r="ELM29" i="7" s="1"/>
  <c r="ELO29" i="7" s="1"/>
  <c r="ELQ29" i="7" s="1"/>
  <c r="ELS29" i="7" s="1"/>
  <c r="ELU29" i="7" s="1"/>
  <c r="ELW29" i="7" s="1"/>
  <c r="ELY29" i="7" s="1"/>
  <c r="EMA29" i="7" s="1"/>
  <c r="EMC29" i="7" s="1"/>
  <c r="EME29" i="7" s="1"/>
  <c r="EMG29" i="7" s="1"/>
  <c r="EMI29" i="7" s="1"/>
  <c r="EMK29" i="7" s="1"/>
  <c r="EMM29" i="7" s="1"/>
  <c r="EMO29" i="7" s="1"/>
  <c r="EMQ29" i="7" s="1"/>
  <c r="EMS29" i="7" s="1"/>
  <c r="EMU29" i="7" s="1"/>
  <c r="EMW29" i="7" s="1"/>
  <c r="EMY29" i="7" s="1"/>
  <c r="ENA29" i="7" s="1"/>
  <c r="ENC29" i="7" s="1"/>
  <c r="ENE29" i="7" s="1"/>
  <c r="ENG29" i="7" s="1"/>
  <c r="ENI29" i="7" s="1"/>
  <c r="ENK29" i="7" s="1"/>
  <c r="ENM29" i="7" s="1"/>
  <c r="ENO29" i="7" s="1"/>
  <c r="ENQ29" i="7" s="1"/>
  <c r="ENS29" i="7" s="1"/>
  <c r="ENU29" i="7" s="1"/>
  <c r="ENW29" i="7" s="1"/>
  <c r="ENY29" i="7" s="1"/>
  <c r="EOA29" i="7" s="1"/>
  <c r="EOC29" i="7" s="1"/>
  <c r="EOE29" i="7" s="1"/>
  <c r="EOG29" i="7" s="1"/>
  <c r="EOI29" i="7" s="1"/>
  <c r="EOK29" i="7" s="1"/>
  <c r="EOM29" i="7" s="1"/>
  <c r="EOO29" i="7" s="1"/>
  <c r="EOQ29" i="7" s="1"/>
  <c r="EOS29" i="7" s="1"/>
  <c r="EOU29" i="7" s="1"/>
  <c r="EOW29" i="7" s="1"/>
  <c r="EOY29" i="7" s="1"/>
  <c r="EPA29" i="7" s="1"/>
  <c r="EPC29" i="7" s="1"/>
  <c r="EPE29" i="7" s="1"/>
  <c r="EPG29" i="7" s="1"/>
  <c r="EPI29" i="7" s="1"/>
  <c r="EPK29" i="7" s="1"/>
  <c r="EPM29" i="7" s="1"/>
  <c r="EPO29" i="7" s="1"/>
  <c r="EPQ29" i="7" s="1"/>
  <c r="EPS29" i="7" s="1"/>
  <c r="EPU29" i="7" s="1"/>
  <c r="EPW29" i="7" s="1"/>
  <c r="EPY29" i="7" s="1"/>
  <c r="EQA29" i="7" s="1"/>
  <c r="EQC29" i="7" s="1"/>
  <c r="EQE29" i="7" s="1"/>
  <c r="EQG29" i="7" s="1"/>
  <c r="EQI29" i="7" s="1"/>
  <c r="EQK29" i="7" s="1"/>
  <c r="EQM29" i="7" s="1"/>
  <c r="EQO29" i="7" s="1"/>
  <c r="EQQ29" i="7" s="1"/>
  <c r="EQS29" i="7" s="1"/>
  <c r="EQU29" i="7" s="1"/>
  <c r="EQW29" i="7" s="1"/>
  <c r="EQY29" i="7" s="1"/>
  <c r="ERA29" i="7" s="1"/>
  <c r="ERC29" i="7" s="1"/>
  <c r="ERE29" i="7" s="1"/>
  <c r="ERG29" i="7" s="1"/>
  <c r="ERI29" i="7" s="1"/>
  <c r="ERK29" i="7" s="1"/>
  <c r="ERM29" i="7" s="1"/>
  <c r="ERO29" i="7" s="1"/>
  <c r="ERQ29" i="7" s="1"/>
  <c r="ERS29" i="7" s="1"/>
  <c r="ERU29" i="7" s="1"/>
  <c r="ERW29" i="7" s="1"/>
  <c r="ERY29" i="7" s="1"/>
  <c r="ESA29" i="7" s="1"/>
  <c r="ESC29" i="7" s="1"/>
  <c r="ESE29" i="7" s="1"/>
  <c r="ESG29" i="7" s="1"/>
  <c r="ESI29" i="7" s="1"/>
  <c r="ESK29" i="7" s="1"/>
  <c r="ESM29" i="7" s="1"/>
  <c r="ESO29" i="7" s="1"/>
  <c r="ESQ29" i="7" s="1"/>
  <c r="ESS29" i="7" s="1"/>
  <c r="ESU29" i="7" s="1"/>
  <c r="ESW29" i="7" s="1"/>
  <c r="ESY29" i="7" s="1"/>
  <c r="ETA29" i="7" s="1"/>
  <c r="ETC29" i="7" s="1"/>
  <c r="ETE29" i="7" s="1"/>
  <c r="ETG29" i="7" s="1"/>
  <c r="ETI29" i="7" s="1"/>
  <c r="ETK29" i="7" s="1"/>
  <c r="ETM29" i="7" s="1"/>
  <c r="ETO29" i="7" s="1"/>
  <c r="ETQ29" i="7" s="1"/>
  <c r="ETS29" i="7" s="1"/>
  <c r="ETU29" i="7" s="1"/>
  <c r="ETW29" i="7" s="1"/>
  <c r="ETY29" i="7" s="1"/>
  <c r="EUA29" i="7" s="1"/>
  <c r="EUC29" i="7" s="1"/>
  <c r="EUE29" i="7" s="1"/>
  <c r="EUG29" i="7" s="1"/>
  <c r="EUI29" i="7" s="1"/>
  <c r="EUK29" i="7" s="1"/>
  <c r="EUM29" i="7" s="1"/>
  <c r="EUO29" i="7" s="1"/>
  <c r="EUQ29" i="7" s="1"/>
  <c r="EUS29" i="7" s="1"/>
  <c r="EUU29" i="7" s="1"/>
  <c r="EUW29" i="7" s="1"/>
  <c r="EUY29" i="7" s="1"/>
  <c r="EVA29" i="7" s="1"/>
  <c r="EVC29" i="7" s="1"/>
  <c r="EVE29" i="7" s="1"/>
  <c r="EVG29" i="7" s="1"/>
  <c r="EVI29" i="7" s="1"/>
  <c r="EVK29" i="7" s="1"/>
  <c r="EVM29" i="7" s="1"/>
  <c r="EVO29" i="7" s="1"/>
  <c r="EVQ29" i="7" s="1"/>
  <c r="EVS29" i="7" s="1"/>
  <c r="EVU29" i="7" s="1"/>
  <c r="EVW29" i="7" s="1"/>
  <c r="EVY29" i="7" s="1"/>
  <c r="EWA29" i="7" s="1"/>
  <c r="EWC29" i="7" s="1"/>
  <c r="EWE29" i="7" s="1"/>
  <c r="EWG29" i="7" s="1"/>
  <c r="EWI29" i="7" s="1"/>
  <c r="EWK29" i="7" s="1"/>
  <c r="EWM29" i="7" s="1"/>
  <c r="EWO29" i="7" s="1"/>
  <c r="EWQ29" i="7" s="1"/>
  <c r="EWS29" i="7" s="1"/>
  <c r="EWU29" i="7" s="1"/>
  <c r="EWW29" i="7" s="1"/>
  <c r="EWY29" i="7" s="1"/>
  <c r="EXA29" i="7" s="1"/>
  <c r="EXC29" i="7" s="1"/>
  <c r="EXE29" i="7" s="1"/>
  <c r="EXG29" i="7" s="1"/>
  <c r="EXI29" i="7" s="1"/>
  <c r="EXK29" i="7" s="1"/>
  <c r="EXM29" i="7" s="1"/>
  <c r="EXO29" i="7" s="1"/>
  <c r="EXQ29" i="7" s="1"/>
  <c r="EXS29" i="7" s="1"/>
  <c r="EXU29" i="7" s="1"/>
  <c r="EXW29" i="7" s="1"/>
  <c r="EXY29" i="7" s="1"/>
  <c r="EYA29" i="7" s="1"/>
  <c r="EYC29" i="7" s="1"/>
  <c r="EYE29" i="7" s="1"/>
  <c r="EYG29" i="7" s="1"/>
  <c r="EYI29" i="7" s="1"/>
  <c r="EYK29" i="7" s="1"/>
  <c r="EYM29" i="7" s="1"/>
  <c r="EYO29" i="7" s="1"/>
  <c r="EYQ29" i="7" s="1"/>
  <c r="EYS29" i="7" s="1"/>
  <c r="EYU29" i="7" s="1"/>
  <c r="EYW29" i="7" s="1"/>
  <c r="EYY29" i="7" s="1"/>
  <c r="EZA29" i="7" s="1"/>
  <c r="EZC29" i="7" s="1"/>
  <c r="EZE29" i="7" s="1"/>
  <c r="EZG29" i="7" s="1"/>
  <c r="EZI29" i="7" s="1"/>
  <c r="EZK29" i="7" s="1"/>
  <c r="EZM29" i="7" s="1"/>
  <c r="EZO29" i="7" s="1"/>
  <c r="EZQ29" i="7" s="1"/>
  <c r="EZS29" i="7" s="1"/>
  <c r="EZU29" i="7" s="1"/>
  <c r="EZW29" i="7" s="1"/>
  <c r="EZY29" i="7" s="1"/>
  <c r="FAA29" i="7" s="1"/>
  <c r="FAC29" i="7" s="1"/>
  <c r="FAE29" i="7" s="1"/>
  <c r="FAG29" i="7" s="1"/>
  <c r="FAI29" i="7" s="1"/>
  <c r="FAK29" i="7" s="1"/>
  <c r="FAM29" i="7" s="1"/>
  <c r="FAO29" i="7" s="1"/>
  <c r="FAQ29" i="7" s="1"/>
  <c r="FAS29" i="7" s="1"/>
  <c r="FAU29" i="7" s="1"/>
  <c r="FAW29" i="7" s="1"/>
  <c r="FAY29" i="7" s="1"/>
  <c r="FBA29" i="7" s="1"/>
  <c r="FBC29" i="7" s="1"/>
  <c r="FBE29" i="7" s="1"/>
  <c r="FBG29" i="7" s="1"/>
  <c r="FBI29" i="7" s="1"/>
  <c r="FBK29" i="7" s="1"/>
  <c r="FBM29" i="7" s="1"/>
  <c r="FBO29" i="7" s="1"/>
  <c r="FBQ29" i="7" s="1"/>
  <c r="FBS29" i="7" s="1"/>
  <c r="FBU29" i="7" s="1"/>
  <c r="FBW29" i="7" s="1"/>
  <c r="FBY29" i="7" s="1"/>
  <c r="FCA29" i="7" s="1"/>
  <c r="FCC29" i="7" s="1"/>
  <c r="FCE29" i="7" s="1"/>
  <c r="FCG29" i="7" s="1"/>
  <c r="FCI29" i="7" s="1"/>
  <c r="FCK29" i="7" s="1"/>
  <c r="FCM29" i="7" s="1"/>
  <c r="FCO29" i="7" s="1"/>
  <c r="FCQ29" i="7" s="1"/>
  <c r="FCS29" i="7" s="1"/>
  <c r="FCU29" i="7" s="1"/>
  <c r="FCW29" i="7" s="1"/>
  <c r="FCY29" i="7" s="1"/>
  <c r="FDA29" i="7" s="1"/>
  <c r="FDC29" i="7" s="1"/>
  <c r="FDE29" i="7" s="1"/>
  <c r="FDG29" i="7" s="1"/>
  <c r="FDI29" i="7" s="1"/>
  <c r="FDK29" i="7" s="1"/>
  <c r="FDM29" i="7" s="1"/>
  <c r="FDO29" i="7" s="1"/>
  <c r="FDQ29" i="7" s="1"/>
  <c r="FDS29" i="7" s="1"/>
  <c r="FDU29" i="7" s="1"/>
  <c r="FDW29" i="7" s="1"/>
  <c r="FDY29" i="7" s="1"/>
  <c r="FEA29" i="7" s="1"/>
  <c r="FEC29" i="7" s="1"/>
  <c r="FEE29" i="7" s="1"/>
  <c r="FEG29" i="7" s="1"/>
  <c r="FEI29" i="7" s="1"/>
  <c r="FEK29" i="7" s="1"/>
  <c r="FEM29" i="7" s="1"/>
  <c r="FEO29" i="7" s="1"/>
  <c r="FEQ29" i="7" s="1"/>
  <c r="FES29" i="7" s="1"/>
  <c r="FEU29" i="7" s="1"/>
  <c r="FEW29" i="7" s="1"/>
  <c r="FEY29" i="7" s="1"/>
  <c r="FFA29" i="7" s="1"/>
  <c r="FFC29" i="7" s="1"/>
  <c r="FFE29" i="7" s="1"/>
  <c r="FFG29" i="7" s="1"/>
  <c r="FFI29" i="7" s="1"/>
  <c r="FFK29" i="7" s="1"/>
  <c r="FFM29" i="7" s="1"/>
  <c r="FFO29" i="7" s="1"/>
  <c r="FFQ29" i="7" s="1"/>
  <c r="FFS29" i="7" s="1"/>
  <c r="FFU29" i="7" s="1"/>
  <c r="FFW29" i="7" s="1"/>
  <c r="FFY29" i="7" s="1"/>
  <c r="FGA29" i="7" s="1"/>
  <c r="FGC29" i="7" s="1"/>
  <c r="FGE29" i="7" s="1"/>
  <c r="FGG29" i="7" s="1"/>
  <c r="FGI29" i="7" s="1"/>
  <c r="FGK29" i="7" s="1"/>
  <c r="FGM29" i="7" s="1"/>
  <c r="FGO29" i="7" s="1"/>
  <c r="FGQ29" i="7" s="1"/>
  <c r="FGS29" i="7" s="1"/>
  <c r="FGU29" i="7" s="1"/>
  <c r="FGW29" i="7" s="1"/>
  <c r="FGY29" i="7" s="1"/>
  <c r="FHA29" i="7" s="1"/>
  <c r="FHC29" i="7" s="1"/>
  <c r="FHE29" i="7" s="1"/>
  <c r="FHG29" i="7" s="1"/>
  <c r="FHI29" i="7" s="1"/>
  <c r="FHK29" i="7" s="1"/>
  <c r="FHM29" i="7" s="1"/>
  <c r="FHO29" i="7" s="1"/>
  <c r="FHQ29" i="7" s="1"/>
  <c r="FHS29" i="7" s="1"/>
  <c r="FHU29" i="7" s="1"/>
  <c r="FHW29" i="7" s="1"/>
  <c r="FHY29" i="7" s="1"/>
  <c r="FIA29" i="7" s="1"/>
  <c r="FIC29" i="7" s="1"/>
  <c r="FIE29" i="7" s="1"/>
  <c r="FIG29" i="7" s="1"/>
  <c r="FII29" i="7" s="1"/>
  <c r="FIK29" i="7" s="1"/>
  <c r="FIM29" i="7" s="1"/>
  <c r="FIO29" i="7" s="1"/>
  <c r="FIQ29" i="7" s="1"/>
  <c r="FIS29" i="7" s="1"/>
  <c r="FIU29" i="7" s="1"/>
  <c r="FIW29" i="7" s="1"/>
  <c r="FIY29" i="7" s="1"/>
  <c r="FJA29" i="7" s="1"/>
  <c r="FJC29" i="7" s="1"/>
  <c r="FJE29" i="7" s="1"/>
  <c r="FJG29" i="7" s="1"/>
  <c r="FJI29" i="7" s="1"/>
  <c r="FJK29" i="7" s="1"/>
  <c r="FJM29" i="7" s="1"/>
  <c r="FJO29" i="7" s="1"/>
  <c r="FJQ29" i="7" s="1"/>
  <c r="FJS29" i="7" s="1"/>
  <c r="FJU29" i="7" s="1"/>
  <c r="FJW29" i="7" s="1"/>
  <c r="FJY29" i="7" s="1"/>
  <c r="FKA29" i="7" s="1"/>
  <c r="FKC29" i="7" s="1"/>
  <c r="FKE29" i="7" s="1"/>
  <c r="FKG29" i="7" s="1"/>
  <c r="FKI29" i="7" s="1"/>
  <c r="FKK29" i="7" s="1"/>
  <c r="FKM29" i="7" s="1"/>
  <c r="FKO29" i="7" s="1"/>
  <c r="FKQ29" i="7" s="1"/>
  <c r="FKS29" i="7" s="1"/>
  <c r="FKU29" i="7" s="1"/>
  <c r="FKW29" i="7" s="1"/>
  <c r="FKY29" i="7" s="1"/>
  <c r="FLA29" i="7" s="1"/>
  <c r="FLC29" i="7" s="1"/>
  <c r="FLE29" i="7" s="1"/>
  <c r="FLG29" i="7" s="1"/>
  <c r="FLI29" i="7" s="1"/>
  <c r="FLK29" i="7" s="1"/>
  <c r="FLM29" i="7" s="1"/>
  <c r="FLO29" i="7" s="1"/>
  <c r="FLQ29" i="7" s="1"/>
  <c r="FLS29" i="7" s="1"/>
  <c r="FLU29" i="7" s="1"/>
  <c r="FLW29" i="7" s="1"/>
  <c r="FLY29" i="7" s="1"/>
  <c r="FMA29" i="7" s="1"/>
  <c r="FMC29" i="7" s="1"/>
  <c r="FME29" i="7" s="1"/>
  <c r="FMG29" i="7" s="1"/>
  <c r="FMI29" i="7" s="1"/>
  <c r="FMK29" i="7" s="1"/>
  <c r="FMM29" i="7" s="1"/>
  <c r="FMO29" i="7" s="1"/>
  <c r="FMQ29" i="7" s="1"/>
  <c r="FMS29" i="7" s="1"/>
  <c r="FMU29" i="7" s="1"/>
  <c r="FMW29" i="7" s="1"/>
  <c r="FMY29" i="7" s="1"/>
  <c r="FNA29" i="7" s="1"/>
  <c r="FNC29" i="7" s="1"/>
  <c r="FNE29" i="7" s="1"/>
  <c r="FNG29" i="7" s="1"/>
  <c r="FNI29" i="7" s="1"/>
  <c r="FNK29" i="7" s="1"/>
  <c r="FNM29" i="7" s="1"/>
  <c r="FNO29" i="7" s="1"/>
  <c r="FNQ29" i="7" s="1"/>
  <c r="FNS29" i="7" s="1"/>
  <c r="FNU29" i="7" s="1"/>
  <c r="FNW29" i="7" s="1"/>
  <c r="FNY29" i="7" s="1"/>
  <c r="FOA29" i="7" s="1"/>
  <c r="FOC29" i="7" s="1"/>
  <c r="FOE29" i="7" s="1"/>
  <c r="FOG29" i="7" s="1"/>
  <c r="FOI29" i="7" s="1"/>
  <c r="FOK29" i="7" s="1"/>
  <c r="FOM29" i="7" s="1"/>
  <c r="FOO29" i="7" s="1"/>
  <c r="FOQ29" i="7" s="1"/>
  <c r="FOS29" i="7" s="1"/>
  <c r="FOU29" i="7" s="1"/>
  <c r="FOW29" i="7" s="1"/>
  <c r="FOY29" i="7" s="1"/>
  <c r="FPA29" i="7" s="1"/>
  <c r="FPC29" i="7" s="1"/>
  <c r="FPE29" i="7" s="1"/>
  <c r="FPG29" i="7" s="1"/>
  <c r="FPI29" i="7" s="1"/>
  <c r="FPK29" i="7" s="1"/>
  <c r="FPM29" i="7" s="1"/>
  <c r="FPO29" i="7" s="1"/>
  <c r="FPQ29" i="7" s="1"/>
  <c r="FPS29" i="7" s="1"/>
  <c r="FPU29" i="7" s="1"/>
  <c r="FPW29" i="7" s="1"/>
  <c r="FPY29" i="7" s="1"/>
  <c r="FQA29" i="7" s="1"/>
  <c r="FQC29" i="7" s="1"/>
  <c r="FQE29" i="7" s="1"/>
  <c r="FQG29" i="7" s="1"/>
  <c r="FQI29" i="7" s="1"/>
  <c r="FQK29" i="7" s="1"/>
  <c r="FQM29" i="7" s="1"/>
  <c r="FQO29" i="7" s="1"/>
  <c r="FQQ29" i="7" s="1"/>
  <c r="FQS29" i="7" s="1"/>
  <c r="FQU29" i="7" s="1"/>
  <c r="FQW29" i="7" s="1"/>
  <c r="FQY29" i="7" s="1"/>
  <c r="FRA29" i="7" s="1"/>
  <c r="FRC29" i="7" s="1"/>
  <c r="FRE29" i="7" s="1"/>
  <c r="FRG29" i="7" s="1"/>
  <c r="FRI29" i="7" s="1"/>
  <c r="FRK29" i="7" s="1"/>
  <c r="FRM29" i="7" s="1"/>
  <c r="FRO29" i="7" s="1"/>
  <c r="FRQ29" i="7" s="1"/>
  <c r="FRS29" i="7" s="1"/>
  <c r="FRU29" i="7" s="1"/>
  <c r="FRW29" i="7" s="1"/>
  <c r="FRY29" i="7" s="1"/>
  <c r="FSA29" i="7" s="1"/>
  <c r="FSC29" i="7" s="1"/>
  <c r="FSE29" i="7" s="1"/>
  <c r="FSG29" i="7" s="1"/>
  <c r="FSI29" i="7" s="1"/>
  <c r="FSK29" i="7" s="1"/>
  <c r="FSM29" i="7" s="1"/>
  <c r="FSO29" i="7" s="1"/>
  <c r="FSQ29" i="7" s="1"/>
  <c r="FSS29" i="7" s="1"/>
  <c r="FSU29" i="7" s="1"/>
  <c r="FSW29" i="7" s="1"/>
  <c r="FSY29" i="7" s="1"/>
  <c r="FTA29" i="7" s="1"/>
  <c r="FTC29" i="7" s="1"/>
  <c r="FTE29" i="7" s="1"/>
  <c r="FTG29" i="7" s="1"/>
  <c r="FTI29" i="7" s="1"/>
  <c r="FTK29" i="7" s="1"/>
  <c r="FTM29" i="7" s="1"/>
  <c r="FTO29" i="7" s="1"/>
  <c r="FTQ29" i="7" s="1"/>
  <c r="FTS29" i="7" s="1"/>
  <c r="FTU29" i="7" s="1"/>
  <c r="FTW29" i="7" s="1"/>
  <c r="FTY29" i="7" s="1"/>
  <c r="FUA29" i="7" s="1"/>
  <c r="FUC29" i="7" s="1"/>
  <c r="FUE29" i="7" s="1"/>
  <c r="FUG29" i="7" s="1"/>
  <c r="FUI29" i="7" s="1"/>
  <c r="FUK29" i="7" s="1"/>
  <c r="FUM29" i="7" s="1"/>
  <c r="FUO29" i="7" s="1"/>
  <c r="FUQ29" i="7" s="1"/>
  <c r="FUS29" i="7" s="1"/>
  <c r="FUU29" i="7" s="1"/>
  <c r="FUW29" i="7" s="1"/>
  <c r="FUY29" i="7" s="1"/>
  <c r="FVA29" i="7" s="1"/>
  <c r="FVC29" i="7" s="1"/>
  <c r="FVE29" i="7" s="1"/>
  <c r="FVG29" i="7" s="1"/>
  <c r="FVI29" i="7" s="1"/>
  <c r="FVK29" i="7" s="1"/>
  <c r="FVM29" i="7" s="1"/>
  <c r="FVO29" i="7" s="1"/>
  <c r="FVQ29" i="7" s="1"/>
  <c r="FVS29" i="7" s="1"/>
  <c r="FVU29" i="7" s="1"/>
  <c r="FVW29" i="7" s="1"/>
  <c r="FVY29" i="7" s="1"/>
  <c r="FWA29" i="7" s="1"/>
  <c r="FWC29" i="7" s="1"/>
  <c r="FWE29" i="7" s="1"/>
  <c r="FWG29" i="7" s="1"/>
  <c r="FWI29" i="7" s="1"/>
  <c r="FWK29" i="7" s="1"/>
  <c r="FWM29" i="7" s="1"/>
  <c r="FWO29" i="7" s="1"/>
  <c r="FWQ29" i="7" s="1"/>
  <c r="FWS29" i="7" s="1"/>
  <c r="FWU29" i="7" s="1"/>
  <c r="FWW29" i="7" s="1"/>
  <c r="FWY29" i="7" s="1"/>
  <c r="FXA29" i="7" s="1"/>
  <c r="FXC29" i="7" s="1"/>
  <c r="FXE29" i="7" s="1"/>
  <c r="FXG29" i="7" s="1"/>
  <c r="FXI29" i="7" s="1"/>
  <c r="FXK29" i="7" s="1"/>
  <c r="FXM29" i="7" s="1"/>
  <c r="FXO29" i="7" s="1"/>
  <c r="FXQ29" i="7" s="1"/>
  <c r="FXS29" i="7" s="1"/>
  <c r="FXU29" i="7" s="1"/>
  <c r="FXW29" i="7" s="1"/>
  <c r="FXY29" i="7" s="1"/>
  <c r="FYA29" i="7" s="1"/>
  <c r="FYC29" i="7" s="1"/>
  <c r="FYE29" i="7" s="1"/>
  <c r="FYG29" i="7" s="1"/>
  <c r="FYI29" i="7" s="1"/>
  <c r="FYK29" i="7" s="1"/>
  <c r="FYM29" i="7" s="1"/>
  <c r="FYO29" i="7" s="1"/>
  <c r="FYQ29" i="7" s="1"/>
  <c r="FYS29" i="7" s="1"/>
  <c r="FYU29" i="7" s="1"/>
  <c r="FYW29" i="7" s="1"/>
  <c r="FYY29" i="7" s="1"/>
  <c r="FZA29" i="7" s="1"/>
  <c r="FZC29" i="7" s="1"/>
  <c r="FZE29" i="7" s="1"/>
  <c r="FZG29" i="7" s="1"/>
  <c r="FZI29" i="7" s="1"/>
  <c r="FZK29" i="7" s="1"/>
  <c r="FZM29" i="7" s="1"/>
  <c r="FZO29" i="7" s="1"/>
  <c r="FZQ29" i="7" s="1"/>
  <c r="FZS29" i="7" s="1"/>
  <c r="FZU29" i="7" s="1"/>
  <c r="FZW29" i="7" s="1"/>
  <c r="FZY29" i="7" s="1"/>
  <c r="GAA29" i="7" s="1"/>
  <c r="GAC29" i="7" s="1"/>
  <c r="GAE29" i="7" s="1"/>
  <c r="GAG29" i="7" s="1"/>
  <c r="GAI29" i="7" s="1"/>
  <c r="GAK29" i="7" s="1"/>
  <c r="GAM29" i="7" s="1"/>
  <c r="GAO29" i="7" s="1"/>
  <c r="GAQ29" i="7" s="1"/>
  <c r="GAS29" i="7" s="1"/>
  <c r="GAU29" i="7" s="1"/>
  <c r="GAW29" i="7" s="1"/>
  <c r="GAY29" i="7" s="1"/>
  <c r="GBA29" i="7" s="1"/>
  <c r="GBC29" i="7" s="1"/>
  <c r="GBE29" i="7" s="1"/>
  <c r="GBG29" i="7" s="1"/>
  <c r="GBI29" i="7" s="1"/>
  <c r="GBK29" i="7" s="1"/>
  <c r="GBM29" i="7" s="1"/>
  <c r="GBO29" i="7" s="1"/>
  <c r="GBQ29" i="7" s="1"/>
  <c r="GBS29" i="7" s="1"/>
  <c r="GBU29" i="7" s="1"/>
  <c r="GBW29" i="7" s="1"/>
  <c r="GBY29" i="7" s="1"/>
  <c r="GCA29" i="7" s="1"/>
  <c r="GCC29" i="7" s="1"/>
  <c r="GCE29" i="7" s="1"/>
  <c r="GCG29" i="7" s="1"/>
  <c r="GCI29" i="7" s="1"/>
  <c r="GCK29" i="7" s="1"/>
  <c r="GCM29" i="7" s="1"/>
  <c r="GCO29" i="7" s="1"/>
  <c r="GCQ29" i="7" s="1"/>
  <c r="GCS29" i="7" s="1"/>
  <c r="GCU29" i="7" s="1"/>
  <c r="GCW29" i="7" s="1"/>
  <c r="GCY29" i="7" s="1"/>
  <c r="GDA29" i="7" s="1"/>
  <c r="GDC29" i="7" s="1"/>
  <c r="GDE29" i="7" s="1"/>
  <c r="GDG29" i="7" s="1"/>
  <c r="GDI29" i="7" s="1"/>
  <c r="GDK29" i="7" s="1"/>
  <c r="GDM29" i="7" s="1"/>
  <c r="GDO29" i="7" s="1"/>
  <c r="GDQ29" i="7" s="1"/>
  <c r="GDS29" i="7" s="1"/>
  <c r="GDU29" i="7" s="1"/>
  <c r="GDW29" i="7" s="1"/>
  <c r="GDY29" i="7" s="1"/>
  <c r="GEA29" i="7" s="1"/>
  <c r="GEC29" i="7" s="1"/>
  <c r="GEE29" i="7" s="1"/>
  <c r="GEG29" i="7" s="1"/>
  <c r="GEI29" i="7" s="1"/>
  <c r="GEK29" i="7" s="1"/>
  <c r="GEM29" i="7" s="1"/>
  <c r="GEO29" i="7" s="1"/>
  <c r="GEQ29" i="7" s="1"/>
  <c r="GES29" i="7" s="1"/>
  <c r="GEU29" i="7" s="1"/>
  <c r="GEW29" i="7" s="1"/>
  <c r="GEY29" i="7" s="1"/>
  <c r="GFA29" i="7" s="1"/>
  <c r="GFC29" i="7" s="1"/>
  <c r="GFE29" i="7" s="1"/>
  <c r="GFG29" i="7" s="1"/>
  <c r="GFI29" i="7" s="1"/>
  <c r="GFK29" i="7" s="1"/>
  <c r="GFM29" i="7" s="1"/>
  <c r="GFO29" i="7" s="1"/>
  <c r="GFQ29" i="7" s="1"/>
  <c r="GFS29" i="7" s="1"/>
  <c r="GFU29" i="7" s="1"/>
  <c r="GFW29" i="7" s="1"/>
  <c r="GFY29" i="7" s="1"/>
  <c r="GGA29" i="7" s="1"/>
  <c r="GGC29" i="7" s="1"/>
  <c r="GGE29" i="7" s="1"/>
  <c r="GGG29" i="7" s="1"/>
  <c r="GGI29" i="7" s="1"/>
  <c r="GGK29" i="7" s="1"/>
  <c r="GGM29" i="7" s="1"/>
  <c r="GGO29" i="7" s="1"/>
  <c r="GGQ29" i="7" s="1"/>
  <c r="GGS29" i="7" s="1"/>
  <c r="GGU29" i="7" s="1"/>
  <c r="GGW29" i="7" s="1"/>
  <c r="GGY29" i="7" s="1"/>
  <c r="GHA29" i="7" s="1"/>
  <c r="GHC29" i="7" s="1"/>
  <c r="GHE29" i="7" s="1"/>
  <c r="GHG29" i="7" s="1"/>
  <c r="GHI29" i="7" s="1"/>
  <c r="GHK29" i="7" s="1"/>
  <c r="GHM29" i="7" s="1"/>
  <c r="GHO29" i="7" s="1"/>
  <c r="GHQ29" i="7" s="1"/>
  <c r="GHS29" i="7" s="1"/>
  <c r="GHU29" i="7" s="1"/>
  <c r="GHW29" i="7" s="1"/>
  <c r="GHY29" i="7" s="1"/>
  <c r="GIA29" i="7" s="1"/>
  <c r="GIC29" i="7" s="1"/>
  <c r="GIE29" i="7" s="1"/>
  <c r="GIG29" i="7" s="1"/>
  <c r="GII29" i="7" s="1"/>
  <c r="GIK29" i="7" s="1"/>
  <c r="GIM29" i="7" s="1"/>
  <c r="GIO29" i="7" s="1"/>
  <c r="GIQ29" i="7" s="1"/>
  <c r="GIS29" i="7" s="1"/>
  <c r="GIU29" i="7" s="1"/>
  <c r="GIW29" i="7" s="1"/>
  <c r="GIY29" i="7" s="1"/>
  <c r="GJA29" i="7" s="1"/>
  <c r="GJC29" i="7" s="1"/>
  <c r="GJE29" i="7" s="1"/>
  <c r="GJG29" i="7" s="1"/>
  <c r="GJI29" i="7" s="1"/>
  <c r="GJK29" i="7" s="1"/>
  <c r="GJM29" i="7" s="1"/>
  <c r="GJO29" i="7" s="1"/>
  <c r="GJQ29" i="7" s="1"/>
  <c r="GJS29" i="7" s="1"/>
  <c r="GJU29" i="7" s="1"/>
  <c r="GJW29" i="7" s="1"/>
  <c r="GJY29" i="7" s="1"/>
  <c r="GKA29" i="7" s="1"/>
  <c r="GKC29" i="7" s="1"/>
  <c r="GKE29" i="7" s="1"/>
  <c r="GKG29" i="7" s="1"/>
  <c r="GKI29" i="7" s="1"/>
  <c r="GKK29" i="7" s="1"/>
  <c r="GKM29" i="7" s="1"/>
  <c r="GKO29" i="7" s="1"/>
  <c r="GKQ29" i="7" s="1"/>
  <c r="GKS29" i="7" s="1"/>
  <c r="GKU29" i="7" s="1"/>
  <c r="GKW29" i="7" s="1"/>
  <c r="GKY29" i="7" s="1"/>
  <c r="GLA29" i="7" s="1"/>
  <c r="GLC29" i="7" s="1"/>
  <c r="GLE29" i="7" s="1"/>
  <c r="GLG29" i="7" s="1"/>
  <c r="GLI29" i="7" s="1"/>
  <c r="GLK29" i="7" s="1"/>
  <c r="GLM29" i="7" s="1"/>
  <c r="GLO29" i="7" s="1"/>
  <c r="GLQ29" i="7" s="1"/>
  <c r="GLS29" i="7" s="1"/>
  <c r="GLU29" i="7" s="1"/>
  <c r="GLW29" i="7" s="1"/>
  <c r="GLY29" i="7" s="1"/>
  <c r="GMA29" i="7" s="1"/>
  <c r="GMC29" i="7" s="1"/>
  <c r="GME29" i="7" s="1"/>
  <c r="GMG29" i="7" s="1"/>
  <c r="GMI29" i="7" s="1"/>
  <c r="GMK29" i="7" s="1"/>
  <c r="GMM29" i="7" s="1"/>
  <c r="GMO29" i="7" s="1"/>
  <c r="GMQ29" i="7" s="1"/>
  <c r="GMS29" i="7" s="1"/>
  <c r="GMU29" i="7" s="1"/>
  <c r="GMW29" i="7" s="1"/>
  <c r="GMY29" i="7" s="1"/>
  <c r="GNA29" i="7" s="1"/>
  <c r="GNC29" i="7" s="1"/>
  <c r="GNE29" i="7" s="1"/>
  <c r="GNG29" i="7" s="1"/>
  <c r="GNI29" i="7" s="1"/>
  <c r="GNK29" i="7" s="1"/>
  <c r="GNM29" i="7" s="1"/>
  <c r="GNO29" i="7" s="1"/>
  <c r="GNQ29" i="7" s="1"/>
  <c r="GNS29" i="7" s="1"/>
  <c r="GNU29" i="7" s="1"/>
  <c r="GNW29" i="7" s="1"/>
  <c r="GNY29" i="7" s="1"/>
  <c r="GOA29" i="7" s="1"/>
  <c r="GOC29" i="7" s="1"/>
  <c r="GOE29" i="7" s="1"/>
  <c r="GOG29" i="7" s="1"/>
  <c r="GOI29" i="7" s="1"/>
  <c r="GOK29" i="7" s="1"/>
  <c r="GOM29" i="7" s="1"/>
  <c r="GOO29" i="7" s="1"/>
  <c r="GOQ29" i="7" s="1"/>
  <c r="GOS29" i="7" s="1"/>
  <c r="GOU29" i="7" s="1"/>
  <c r="GOW29" i="7" s="1"/>
  <c r="GOY29" i="7" s="1"/>
  <c r="GPA29" i="7" s="1"/>
  <c r="GPC29" i="7" s="1"/>
  <c r="GPE29" i="7" s="1"/>
  <c r="GPG29" i="7" s="1"/>
  <c r="GPI29" i="7" s="1"/>
  <c r="GPK29" i="7" s="1"/>
  <c r="GPM29" i="7" s="1"/>
  <c r="GPO29" i="7" s="1"/>
  <c r="GPQ29" i="7" s="1"/>
  <c r="GPS29" i="7" s="1"/>
  <c r="GPU29" i="7" s="1"/>
  <c r="GPW29" i="7" s="1"/>
  <c r="GPY29" i="7" s="1"/>
  <c r="GQA29" i="7" s="1"/>
  <c r="GQC29" i="7" s="1"/>
  <c r="GQE29" i="7" s="1"/>
  <c r="GQG29" i="7" s="1"/>
  <c r="GQI29" i="7" s="1"/>
  <c r="GQK29" i="7" s="1"/>
  <c r="GQM29" i="7" s="1"/>
  <c r="GQO29" i="7" s="1"/>
  <c r="GQQ29" i="7" s="1"/>
  <c r="GQS29" i="7" s="1"/>
  <c r="GQU29" i="7" s="1"/>
  <c r="GQW29" i="7" s="1"/>
  <c r="GQY29" i="7" s="1"/>
  <c r="GRA29" i="7" s="1"/>
  <c r="GRC29" i="7" s="1"/>
  <c r="GRE29" i="7" s="1"/>
  <c r="GRG29" i="7" s="1"/>
  <c r="GRI29" i="7" s="1"/>
  <c r="GRK29" i="7" s="1"/>
  <c r="GRM29" i="7" s="1"/>
  <c r="GRO29" i="7" s="1"/>
  <c r="GRQ29" i="7" s="1"/>
  <c r="GRS29" i="7" s="1"/>
  <c r="GRU29" i="7" s="1"/>
  <c r="GRW29" i="7" s="1"/>
  <c r="GRY29" i="7" s="1"/>
  <c r="GSA29" i="7" s="1"/>
  <c r="GSC29" i="7" s="1"/>
  <c r="GSE29" i="7" s="1"/>
  <c r="GSG29" i="7" s="1"/>
  <c r="GSI29" i="7" s="1"/>
  <c r="GSK29" i="7" s="1"/>
  <c r="GSM29" i="7" s="1"/>
  <c r="GSO29" i="7" s="1"/>
  <c r="GSQ29" i="7" s="1"/>
  <c r="GSS29" i="7" s="1"/>
  <c r="GSU29" i="7" s="1"/>
  <c r="GSW29" i="7" s="1"/>
  <c r="GSY29" i="7" s="1"/>
  <c r="GTA29" i="7" s="1"/>
  <c r="GTC29" i="7" s="1"/>
  <c r="GTE29" i="7" s="1"/>
  <c r="GTG29" i="7" s="1"/>
  <c r="GTI29" i="7" s="1"/>
  <c r="GTK29" i="7" s="1"/>
  <c r="GTM29" i="7" s="1"/>
  <c r="GTO29" i="7" s="1"/>
  <c r="GTQ29" i="7" s="1"/>
  <c r="GTS29" i="7" s="1"/>
  <c r="GTU29" i="7" s="1"/>
  <c r="GTW29" i="7" s="1"/>
  <c r="GTY29" i="7" s="1"/>
  <c r="GUA29" i="7" s="1"/>
  <c r="GUC29" i="7" s="1"/>
  <c r="GUE29" i="7" s="1"/>
  <c r="GUG29" i="7" s="1"/>
  <c r="GUI29" i="7" s="1"/>
  <c r="GUK29" i="7" s="1"/>
  <c r="GUM29" i="7" s="1"/>
  <c r="GUO29" i="7" s="1"/>
  <c r="GUQ29" i="7" s="1"/>
  <c r="GUS29" i="7" s="1"/>
  <c r="GUU29" i="7" s="1"/>
  <c r="GUW29" i="7" s="1"/>
  <c r="GUY29" i="7" s="1"/>
  <c r="GVA29" i="7" s="1"/>
  <c r="GVC29" i="7" s="1"/>
  <c r="GVE29" i="7" s="1"/>
  <c r="GVG29" i="7" s="1"/>
  <c r="GVI29" i="7" s="1"/>
  <c r="GVK29" i="7" s="1"/>
  <c r="GVM29" i="7" s="1"/>
  <c r="GVO29" i="7" s="1"/>
  <c r="GVQ29" i="7" s="1"/>
  <c r="GVS29" i="7" s="1"/>
  <c r="GVU29" i="7" s="1"/>
  <c r="GVW29" i="7" s="1"/>
  <c r="GVY29" i="7" s="1"/>
  <c r="GWA29" i="7" s="1"/>
  <c r="GWC29" i="7" s="1"/>
  <c r="GWE29" i="7" s="1"/>
  <c r="GWG29" i="7" s="1"/>
  <c r="GWI29" i="7" s="1"/>
  <c r="GWK29" i="7" s="1"/>
  <c r="GWM29" i="7" s="1"/>
  <c r="GWO29" i="7" s="1"/>
  <c r="GWQ29" i="7" s="1"/>
  <c r="GWS29" i="7" s="1"/>
  <c r="GWU29" i="7" s="1"/>
  <c r="GWW29" i="7" s="1"/>
  <c r="GWY29" i="7" s="1"/>
  <c r="GXA29" i="7" s="1"/>
  <c r="GXC29" i="7" s="1"/>
  <c r="GXE29" i="7" s="1"/>
  <c r="GXG29" i="7" s="1"/>
  <c r="GXI29" i="7" s="1"/>
  <c r="GXK29" i="7" s="1"/>
  <c r="GXM29" i="7" s="1"/>
  <c r="GXO29" i="7" s="1"/>
  <c r="GXQ29" i="7" s="1"/>
  <c r="GXS29" i="7" s="1"/>
  <c r="GXU29" i="7" s="1"/>
  <c r="GXW29" i="7" s="1"/>
  <c r="GXY29" i="7" s="1"/>
  <c r="GYA29" i="7" s="1"/>
  <c r="GYC29" i="7" s="1"/>
  <c r="GYE29" i="7" s="1"/>
  <c r="GYG29" i="7" s="1"/>
  <c r="GYI29" i="7" s="1"/>
  <c r="GYK29" i="7" s="1"/>
  <c r="GYM29" i="7" s="1"/>
  <c r="GYO29" i="7" s="1"/>
  <c r="GYQ29" i="7" s="1"/>
  <c r="GYS29" i="7" s="1"/>
  <c r="GYU29" i="7" s="1"/>
  <c r="GYW29" i="7" s="1"/>
  <c r="GYY29" i="7" s="1"/>
  <c r="GZA29" i="7" s="1"/>
  <c r="GZC29" i="7" s="1"/>
  <c r="GZE29" i="7" s="1"/>
  <c r="GZG29" i="7" s="1"/>
  <c r="GZI29" i="7" s="1"/>
  <c r="GZK29" i="7" s="1"/>
  <c r="GZM29" i="7" s="1"/>
  <c r="GZO29" i="7" s="1"/>
  <c r="GZQ29" i="7" s="1"/>
  <c r="GZS29" i="7" s="1"/>
  <c r="GZU29" i="7" s="1"/>
  <c r="GZW29" i="7" s="1"/>
  <c r="GZY29" i="7" s="1"/>
  <c r="HAA29" i="7" s="1"/>
  <c r="HAC29" i="7" s="1"/>
  <c r="HAE29" i="7" s="1"/>
  <c r="HAG29" i="7" s="1"/>
  <c r="HAI29" i="7" s="1"/>
  <c r="HAK29" i="7" s="1"/>
  <c r="HAM29" i="7" s="1"/>
  <c r="HAO29" i="7" s="1"/>
  <c r="HAQ29" i="7" s="1"/>
  <c r="HAS29" i="7" s="1"/>
  <c r="HAU29" i="7" s="1"/>
  <c r="HAW29" i="7" s="1"/>
  <c r="HAY29" i="7" s="1"/>
  <c r="HBA29" i="7" s="1"/>
  <c r="HBC29" i="7" s="1"/>
  <c r="HBE29" i="7" s="1"/>
  <c r="HBG29" i="7" s="1"/>
  <c r="HBI29" i="7" s="1"/>
  <c r="HBK29" i="7" s="1"/>
  <c r="HBM29" i="7" s="1"/>
  <c r="HBO29" i="7" s="1"/>
  <c r="HBQ29" i="7" s="1"/>
  <c r="HBS29" i="7" s="1"/>
  <c r="HBU29" i="7" s="1"/>
  <c r="HBW29" i="7" s="1"/>
  <c r="HBY29" i="7" s="1"/>
  <c r="HCA29" i="7" s="1"/>
  <c r="HCC29" i="7" s="1"/>
  <c r="HCE29" i="7" s="1"/>
  <c r="HCG29" i="7" s="1"/>
  <c r="HCI29" i="7" s="1"/>
  <c r="HCK29" i="7" s="1"/>
  <c r="HCM29" i="7" s="1"/>
  <c r="HCO29" i="7" s="1"/>
  <c r="HCQ29" i="7" s="1"/>
  <c r="HCS29" i="7" s="1"/>
  <c r="HCU29" i="7" s="1"/>
  <c r="HCW29" i="7" s="1"/>
  <c r="HCY29" i="7" s="1"/>
  <c r="HDA29" i="7" s="1"/>
  <c r="HDC29" i="7" s="1"/>
  <c r="HDE29" i="7" s="1"/>
  <c r="HDG29" i="7" s="1"/>
  <c r="HDI29" i="7" s="1"/>
  <c r="HDK29" i="7" s="1"/>
  <c r="HDM29" i="7" s="1"/>
  <c r="HDO29" i="7" s="1"/>
  <c r="HDQ29" i="7" s="1"/>
  <c r="HDS29" i="7" s="1"/>
  <c r="HDU29" i="7" s="1"/>
  <c r="HDW29" i="7" s="1"/>
  <c r="HDY29" i="7" s="1"/>
  <c r="HEA29" i="7" s="1"/>
  <c r="HEC29" i="7" s="1"/>
  <c r="HEE29" i="7" s="1"/>
  <c r="HEG29" i="7" s="1"/>
  <c r="HEI29" i="7" s="1"/>
  <c r="HEK29" i="7" s="1"/>
  <c r="HEM29" i="7" s="1"/>
  <c r="HEO29" i="7" s="1"/>
  <c r="HEQ29" i="7" s="1"/>
  <c r="HES29" i="7" s="1"/>
  <c r="HEU29" i="7" s="1"/>
  <c r="HEW29" i="7" s="1"/>
  <c r="HEY29" i="7" s="1"/>
  <c r="HFA29" i="7" s="1"/>
  <c r="HFC29" i="7" s="1"/>
  <c r="HFE29" i="7" s="1"/>
  <c r="HFG29" i="7" s="1"/>
  <c r="HFI29" i="7" s="1"/>
  <c r="HFK29" i="7" s="1"/>
  <c r="HFM29" i="7" s="1"/>
  <c r="HFO29" i="7" s="1"/>
  <c r="HFQ29" i="7" s="1"/>
  <c r="HFS29" i="7" s="1"/>
  <c r="HFU29" i="7" s="1"/>
  <c r="HFW29" i="7" s="1"/>
  <c r="HFY29" i="7" s="1"/>
  <c r="HGA29" i="7" s="1"/>
  <c r="HGC29" i="7" s="1"/>
  <c r="HGE29" i="7" s="1"/>
  <c r="HGG29" i="7" s="1"/>
  <c r="HGI29" i="7" s="1"/>
  <c r="HGK29" i="7" s="1"/>
  <c r="HGM29" i="7" s="1"/>
  <c r="HGO29" i="7" s="1"/>
  <c r="HGQ29" i="7" s="1"/>
  <c r="HGS29" i="7" s="1"/>
  <c r="HGU29" i="7" s="1"/>
  <c r="HGW29" i="7" s="1"/>
  <c r="HGY29" i="7" s="1"/>
  <c r="HHA29" i="7" s="1"/>
  <c r="HHC29" i="7" s="1"/>
  <c r="HHE29" i="7" s="1"/>
  <c r="HHG29" i="7" s="1"/>
  <c r="HHI29" i="7" s="1"/>
  <c r="HHK29" i="7" s="1"/>
  <c r="HHM29" i="7" s="1"/>
  <c r="HHO29" i="7" s="1"/>
  <c r="HHQ29" i="7" s="1"/>
  <c r="HHS29" i="7" s="1"/>
  <c r="HHU29" i="7" s="1"/>
  <c r="HHW29" i="7" s="1"/>
  <c r="HHY29" i="7" s="1"/>
  <c r="HIA29" i="7" s="1"/>
  <c r="HIC29" i="7" s="1"/>
  <c r="HIE29" i="7" s="1"/>
  <c r="HIG29" i="7" s="1"/>
  <c r="HII29" i="7" s="1"/>
  <c r="HIK29" i="7" s="1"/>
  <c r="HIM29" i="7" s="1"/>
  <c r="HIO29" i="7" s="1"/>
  <c r="HIQ29" i="7" s="1"/>
  <c r="HIS29" i="7" s="1"/>
  <c r="HIU29" i="7" s="1"/>
  <c r="HIW29" i="7" s="1"/>
  <c r="HIY29" i="7" s="1"/>
  <c r="HJA29" i="7" s="1"/>
  <c r="HJC29" i="7" s="1"/>
  <c r="HJE29" i="7" s="1"/>
  <c r="HJG29" i="7" s="1"/>
  <c r="HJI29" i="7" s="1"/>
  <c r="HJK29" i="7" s="1"/>
  <c r="HJM29" i="7" s="1"/>
  <c r="HJO29" i="7" s="1"/>
  <c r="HJQ29" i="7" s="1"/>
  <c r="HJS29" i="7" s="1"/>
  <c r="HJU29" i="7" s="1"/>
  <c r="HJW29" i="7" s="1"/>
  <c r="HJY29" i="7" s="1"/>
  <c r="HKA29" i="7" s="1"/>
  <c r="HKC29" i="7" s="1"/>
  <c r="HKE29" i="7" s="1"/>
  <c r="HKG29" i="7" s="1"/>
  <c r="HKI29" i="7" s="1"/>
  <c r="HKK29" i="7" s="1"/>
  <c r="HKM29" i="7" s="1"/>
  <c r="HKO29" i="7" s="1"/>
  <c r="HKQ29" i="7" s="1"/>
  <c r="HKS29" i="7" s="1"/>
  <c r="HKU29" i="7" s="1"/>
  <c r="HKW29" i="7" s="1"/>
  <c r="HKY29" i="7" s="1"/>
  <c r="HLA29" i="7" s="1"/>
  <c r="HLC29" i="7" s="1"/>
  <c r="HLE29" i="7" s="1"/>
  <c r="HLG29" i="7" s="1"/>
  <c r="HLI29" i="7" s="1"/>
  <c r="HLK29" i="7" s="1"/>
  <c r="HLM29" i="7" s="1"/>
  <c r="HLO29" i="7" s="1"/>
  <c r="HLQ29" i="7" s="1"/>
  <c r="HLS29" i="7" s="1"/>
  <c r="HLU29" i="7" s="1"/>
  <c r="HLW29" i="7" s="1"/>
  <c r="HLY29" i="7" s="1"/>
  <c r="HMA29" i="7" s="1"/>
  <c r="HMC29" i="7" s="1"/>
  <c r="HME29" i="7" s="1"/>
  <c r="HMG29" i="7" s="1"/>
  <c r="HMI29" i="7" s="1"/>
  <c r="HMK29" i="7" s="1"/>
  <c r="HMM29" i="7" s="1"/>
  <c r="HMO29" i="7" s="1"/>
  <c r="HMQ29" i="7" s="1"/>
  <c r="HMS29" i="7" s="1"/>
  <c r="HMU29" i="7" s="1"/>
  <c r="HMW29" i="7" s="1"/>
  <c r="HMY29" i="7" s="1"/>
  <c r="HNA29" i="7" s="1"/>
  <c r="HNC29" i="7" s="1"/>
  <c r="HNE29" i="7" s="1"/>
  <c r="HNG29" i="7" s="1"/>
  <c r="HNI29" i="7" s="1"/>
  <c r="HNK29" i="7" s="1"/>
  <c r="HNM29" i="7" s="1"/>
  <c r="HNO29" i="7" s="1"/>
  <c r="HNQ29" i="7" s="1"/>
  <c r="HNS29" i="7" s="1"/>
  <c r="HNU29" i="7" s="1"/>
  <c r="HNW29" i="7" s="1"/>
  <c r="HNY29" i="7" s="1"/>
  <c r="HOA29" i="7" s="1"/>
  <c r="HOC29" i="7" s="1"/>
  <c r="HOE29" i="7" s="1"/>
  <c r="HOG29" i="7" s="1"/>
  <c r="HOI29" i="7" s="1"/>
  <c r="HOK29" i="7" s="1"/>
  <c r="HOM29" i="7" s="1"/>
  <c r="HOO29" i="7" s="1"/>
  <c r="HOQ29" i="7" s="1"/>
  <c r="HOS29" i="7" s="1"/>
  <c r="HOU29" i="7" s="1"/>
  <c r="HOW29" i="7" s="1"/>
  <c r="HOY29" i="7" s="1"/>
  <c r="HPA29" i="7" s="1"/>
  <c r="HPC29" i="7" s="1"/>
  <c r="HPE29" i="7" s="1"/>
  <c r="HPG29" i="7" s="1"/>
  <c r="HPI29" i="7" s="1"/>
  <c r="HPK29" i="7" s="1"/>
  <c r="HPM29" i="7" s="1"/>
  <c r="HPO29" i="7" s="1"/>
  <c r="HPQ29" i="7" s="1"/>
  <c r="HPS29" i="7" s="1"/>
  <c r="HPU29" i="7" s="1"/>
  <c r="HPW29" i="7" s="1"/>
  <c r="HPY29" i="7" s="1"/>
  <c r="HQA29" i="7" s="1"/>
  <c r="HQC29" i="7" s="1"/>
  <c r="HQE29" i="7" s="1"/>
  <c r="HQG29" i="7" s="1"/>
  <c r="HQI29" i="7" s="1"/>
  <c r="HQK29" i="7" s="1"/>
  <c r="HQM29" i="7" s="1"/>
  <c r="HQO29" i="7" s="1"/>
  <c r="HQQ29" i="7" s="1"/>
  <c r="HQS29" i="7" s="1"/>
  <c r="HQU29" i="7" s="1"/>
  <c r="HQW29" i="7" s="1"/>
  <c r="HQY29" i="7" s="1"/>
  <c r="HRA29" i="7" s="1"/>
  <c r="HRC29" i="7" s="1"/>
  <c r="HRE29" i="7" s="1"/>
  <c r="HRG29" i="7" s="1"/>
  <c r="HRI29" i="7" s="1"/>
  <c r="HRK29" i="7" s="1"/>
  <c r="HRM29" i="7" s="1"/>
  <c r="HRO29" i="7" s="1"/>
  <c r="HRQ29" i="7" s="1"/>
  <c r="HRS29" i="7" s="1"/>
  <c r="HRU29" i="7" s="1"/>
  <c r="HRW29" i="7" s="1"/>
  <c r="HRY29" i="7" s="1"/>
  <c r="HSA29" i="7" s="1"/>
  <c r="HSC29" i="7" s="1"/>
  <c r="HSE29" i="7" s="1"/>
  <c r="HSG29" i="7" s="1"/>
  <c r="HSI29" i="7" s="1"/>
  <c r="HSK29" i="7" s="1"/>
  <c r="HSM29" i="7" s="1"/>
  <c r="HSO29" i="7" s="1"/>
  <c r="HSQ29" i="7" s="1"/>
  <c r="HSS29" i="7" s="1"/>
  <c r="HSU29" i="7" s="1"/>
  <c r="HSW29" i="7" s="1"/>
  <c r="HSY29" i="7" s="1"/>
  <c r="HTA29" i="7" s="1"/>
  <c r="HTC29" i="7" s="1"/>
  <c r="HTE29" i="7" s="1"/>
  <c r="HTG29" i="7" s="1"/>
  <c r="HTI29" i="7" s="1"/>
  <c r="HTK29" i="7" s="1"/>
  <c r="HTM29" i="7" s="1"/>
  <c r="HTO29" i="7" s="1"/>
  <c r="HTQ29" i="7" s="1"/>
  <c r="HTS29" i="7" s="1"/>
  <c r="HTU29" i="7" s="1"/>
  <c r="HTW29" i="7" s="1"/>
  <c r="HTY29" i="7" s="1"/>
  <c r="HUA29" i="7" s="1"/>
  <c r="HUC29" i="7" s="1"/>
  <c r="HUE29" i="7" s="1"/>
  <c r="HUG29" i="7" s="1"/>
  <c r="HUI29" i="7" s="1"/>
  <c r="HUK29" i="7" s="1"/>
  <c r="HUM29" i="7" s="1"/>
  <c r="HUO29" i="7" s="1"/>
  <c r="HUQ29" i="7" s="1"/>
  <c r="HUS29" i="7" s="1"/>
  <c r="HUU29" i="7" s="1"/>
  <c r="HUW29" i="7" s="1"/>
  <c r="HUY29" i="7" s="1"/>
  <c r="HVA29" i="7" s="1"/>
  <c r="HVC29" i="7" s="1"/>
  <c r="HVE29" i="7" s="1"/>
  <c r="HVG29" i="7" s="1"/>
  <c r="HVI29" i="7" s="1"/>
  <c r="HVK29" i="7" s="1"/>
  <c r="HVM29" i="7" s="1"/>
  <c r="HVO29" i="7" s="1"/>
  <c r="HVQ29" i="7" s="1"/>
  <c r="HVS29" i="7" s="1"/>
  <c r="HVU29" i="7" s="1"/>
  <c r="HVW29" i="7" s="1"/>
  <c r="HVY29" i="7" s="1"/>
  <c r="HWA29" i="7" s="1"/>
  <c r="HWC29" i="7" s="1"/>
  <c r="HWE29" i="7" s="1"/>
  <c r="HWG29" i="7" s="1"/>
  <c r="HWI29" i="7" s="1"/>
  <c r="HWK29" i="7" s="1"/>
  <c r="HWM29" i="7" s="1"/>
  <c r="HWO29" i="7" s="1"/>
  <c r="HWQ29" i="7" s="1"/>
  <c r="HWS29" i="7" s="1"/>
  <c r="HWU29" i="7" s="1"/>
  <c r="HWW29" i="7" s="1"/>
  <c r="HWY29" i="7" s="1"/>
  <c r="HXA29" i="7" s="1"/>
  <c r="HXC29" i="7" s="1"/>
  <c r="HXE29" i="7" s="1"/>
  <c r="HXG29" i="7" s="1"/>
  <c r="HXI29" i="7" s="1"/>
  <c r="HXK29" i="7" s="1"/>
  <c r="HXM29" i="7" s="1"/>
  <c r="HXO29" i="7" s="1"/>
  <c r="HXQ29" i="7" s="1"/>
  <c r="HXS29" i="7" s="1"/>
  <c r="HXU29" i="7" s="1"/>
  <c r="HXW29" i="7" s="1"/>
  <c r="HXY29" i="7" s="1"/>
  <c r="HYA29" i="7" s="1"/>
  <c r="HYC29" i="7" s="1"/>
  <c r="HYE29" i="7" s="1"/>
  <c r="HYG29" i="7" s="1"/>
  <c r="HYI29" i="7" s="1"/>
  <c r="HYK29" i="7" s="1"/>
  <c r="HYM29" i="7" s="1"/>
  <c r="HYO29" i="7" s="1"/>
  <c r="HYQ29" i="7" s="1"/>
  <c r="HYS29" i="7" s="1"/>
  <c r="HYU29" i="7" s="1"/>
  <c r="HYW29" i="7" s="1"/>
  <c r="HYY29" i="7" s="1"/>
  <c r="HZA29" i="7" s="1"/>
  <c r="HZC29" i="7" s="1"/>
  <c r="HZE29" i="7" s="1"/>
  <c r="HZG29" i="7" s="1"/>
  <c r="HZI29" i="7" s="1"/>
  <c r="HZK29" i="7" s="1"/>
  <c r="HZM29" i="7" s="1"/>
  <c r="HZO29" i="7" s="1"/>
  <c r="HZQ29" i="7" s="1"/>
  <c r="HZS29" i="7" s="1"/>
  <c r="HZU29" i="7" s="1"/>
  <c r="HZW29" i="7" s="1"/>
  <c r="HZY29" i="7" s="1"/>
  <c r="IAA29" i="7" s="1"/>
  <c r="IAC29" i="7" s="1"/>
  <c r="IAE29" i="7" s="1"/>
  <c r="IAG29" i="7" s="1"/>
  <c r="IAI29" i="7" s="1"/>
  <c r="IAK29" i="7" s="1"/>
  <c r="IAM29" i="7" s="1"/>
  <c r="IAO29" i="7" s="1"/>
  <c r="IAQ29" i="7" s="1"/>
  <c r="IAS29" i="7" s="1"/>
  <c r="IAU29" i="7" s="1"/>
  <c r="IAW29" i="7" s="1"/>
  <c r="IAY29" i="7" s="1"/>
  <c r="IBA29" i="7" s="1"/>
  <c r="IBC29" i="7" s="1"/>
  <c r="IBE29" i="7" s="1"/>
  <c r="IBG29" i="7" s="1"/>
  <c r="IBI29" i="7" s="1"/>
  <c r="IBK29" i="7" s="1"/>
  <c r="IBM29" i="7" s="1"/>
  <c r="IBO29" i="7" s="1"/>
  <c r="IBQ29" i="7" s="1"/>
  <c r="IBS29" i="7" s="1"/>
  <c r="IBU29" i="7" s="1"/>
  <c r="IBW29" i="7" s="1"/>
  <c r="IBY29" i="7" s="1"/>
  <c r="ICA29" i="7" s="1"/>
  <c r="ICC29" i="7" s="1"/>
  <c r="ICE29" i="7" s="1"/>
  <c r="ICG29" i="7" s="1"/>
  <c r="ICI29" i="7" s="1"/>
  <c r="ICK29" i="7" s="1"/>
  <c r="ICM29" i="7" s="1"/>
  <c r="ICO29" i="7" s="1"/>
  <c r="ICQ29" i="7" s="1"/>
  <c r="ICS29" i="7" s="1"/>
  <c r="ICU29" i="7" s="1"/>
  <c r="ICW29" i="7" s="1"/>
  <c r="ICY29" i="7" s="1"/>
  <c r="IDA29" i="7" s="1"/>
  <c r="IDC29" i="7" s="1"/>
  <c r="IDE29" i="7" s="1"/>
  <c r="IDG29" i="7" s="1"/>
  <c r="IDI29" i="7" s="1"/>
  <c r="IDK29" i="7" s="1"/>
  <c r="IDM29" i="7" s="1"/>
  <c r="IDO29" i="7" s="1"/>
  <c r="IDQ29" i="7" s="1"/>
  <c r="IDS29" i="7" s="1"/>
  <c r="IDU29" i="7" s="1"/>
  <c r="IDW29" i="7" s="1"/>
  <c r="IDY29" i="7" s="1"/>
  <c r="IEA29" i="7" s="1"/>
  <c r="IEC29" i="7" s="1"/>
  <c r="IEE29" i="7" s="1"/>
  <c r="IEG29" i="7" s="1"/>
  <c r="IEI29" i="7" s="1"/>
  <c r="IEK29" i="7" s="1"/>
  <c r="IEM29" i="7" s="1"/>
  <c r="IEO29" i="7" s="1"/>
  <c r="IEQ29" i="7" s="1"/>
  <c r="IES29" i="7" s="1"/>
  <c r="IEU29" i="7" s="1"/>
  <c r="IEW29" i="7" s="1"/>
  <c r="IEY29" i="7" s="1"/>
  <c r="IFA29" i="7" s="1"/>
  <c r="IFC29" i="7" s="1"/>
  <c r="IFE29" i="7" s="1"/>
  <c r="IFG29" i="7" s="1"/>
  <c r="IFI29" i="7" s="1"/>
  <c r="IFK29" i="7" s="1"/>
  <c r="IFM29" i="7" s="1"/>
  <c r="IFO29" i="7" s="1"/>
  <c r="IFQ29" i="7" s="1"/>
  <c r="IFS29" i="7" s="1"/>
  <c r="IFU29" i="7" s="1"/>
  <c r="IFW29" i="7" s="1"/>
  <c r="IFY29" i="7" s="1"/>
  <c r="IGA29" i="7" s="1"/>
  <c r="IGC29" i="7" s="1"/>
  <c r="IGE29" i="7" s="1"/>
  <c r="IGG29" i="7" s="1"/>
  <c r="IGI29" i="7" s="1"/>
  <c r="IGK29" i="7" s="1"/>
  <c r="IGM29" i="7" s="1"/>
  <c r="IGO29" i="7" s="1"/>
  <c r="IGQ29" i="7" s="1"/>
  <c r="IGS29" i="7" s="1"/>
  <c r="IGU29" i="7" s="1"/>
  <c r="IGW29" i="7" s="1"/>
  <c r="IGY29" i="7" s="1"/>
  <c r="IHA29" i="7" s="1"/>
  <c r="IHC29" i="7" s="1"/>
  <c r="IHE29" i="7" s="1"/>
  <c r="IHG29" i="7" s="1"/>
  <c r="IHI29" i="7" s="1"/>
  <c r="IHK29" i="7" s="1"/>
  <c r="IHM29" i="7" s="1"/>
  <c r="IHO29" i="7" s="1"/>
  <c r="IHQ29" i="7" s="1"/>
  <c r="IHS29" i="7" s="1"/>
  <c r="IHU29" i="7" s="1"/>
  <c r="IHW29" i="7" s="1"/>
  <c r="IHY29" i="7" s="1"/>
  <c r="IIA29" i="7" s="1"/>
  <c r="IIC29" i="7" s="1"/>
  <c r="IIE29" i="7" s="1"/>
  <c r="IIG29" i="7" s="1"/>
  <c r="III29" i="7" s="1"/>
  <c r="IIK29" i="7" s="1"/>
  <c r="IIM29" i="7" s="1"/>
  <c r="IIO29" i="7" s="1"/>
  <c r="IIQ29" i="7" s="1"/>
  <c r="IIS29" i="7" s="1"/>
  <c r="IIU29" i="7" s="1"/>
  <c r="IIW29" i="7" s="1"/>
  <c r="IIY29" i="7" s="1"/>
  <c r="IJA29" i="7" s="1"/>
  <c r="IJC29" i="7" s="1"/>
  <c r="IJE29" i="7" s="1"/>
  <c r="IJG29" i="7" s="1"/>
  <c r="IJI29" i="7" s="1"/>
  <c r="IJK29" i="7" s="1"/>
  <c r="IJM29" i="7" s="1"/>
  <c r="IJO29" i="7" s="1"/>
  <c r="IJQ29" i="7" s="1"/>
  <c r="IJS29" i="7" s="1"/>
  <c r="IJU29" i="7" s="1"/>
  <c r="IJW29" i="7" s="1"/>
  <c r="IJY29" i="7" s="1"/>
  <c r="IKA29" i="7" s="1"/>
  <c r="IKC29" i="7" s="1"/>
  <c r="IKE29" i="7" s="1"/>
  <c r="IKG29" i="7" s="1"/>
  <c r="IKI29" i="7" s="1"/>
  <c r="IKK29" i="7" s="1"/>
  <c r="IKM29" i="7" s="1"/>
  <c r="IKO29" i="7" s="1"/>
  <c r="IKQ29" i="7" s="1"/>
  <c r="IKS29" i="7" s="1"/>
  <c r="IKU29" i="7" s="1"/>
  <c r="IKW29" i="7" s="1"/>
  <c r="IKY29" i="7" s="1"/>
  <c r="ILA29" i="7" s="1"/>
  <c r="ILC29" i="7" s="1"/>
  <c r="ILE29" i="7" s="1"/>
  <c r="ILG29" i="7" s="1"/>
  <c r="ILI29" i="7" s="1"/>
  <c r="ILK29" i="7" s="1"/>
  <c r="ILM29" i="7" s="1"/>
  <c r="ILO29" i="7" s="1"/>
  <c r="ILQ29" i="7" s="1"/>
  <c r="ILS29" i="7" s="1"/>
  <c r="ILU29" i="7" s="1"/>
  <c r="ILW29" i="7" s="1"/>
  <c r="ILY29" i="7" s="1"/>
  <c r="IMA29" i="7" s="1"/>
  <c r="IMC29" i="7" s="1"/>
  <c r="IME29" i="7" s="1"/>
  <c r="IMG29" i="7" s="1"/>
  <c r="IMI29" i="7" s="1"/>
  <c r="IMK29" i="7" s="1"/>
  <c r="IMM29" i="7" s="1"/>
  <c r="IMO29" i="7" s="1"/>
  <c r="IMQ29" i="7" s="1"/>
  <c r="IMS29" i="7" s="1"/>
  <c r="IMU29" i="7" s="1"/>
  <c r="IMW29" i="7" s="1"/>
  <c r="IMY29" i="7" s="1"/>
  <c r="INA29" i="7" s="1"/>
  <c r="INC29" i="7" s="1"/>
  <c r="INE29" i="7" s="1"/>
  <c r="ING29" i="7" s="1"/>
  <c r="INI29" i="7" s="1"/>
  <c r="INK29" i="7" s="1"/>
  <c r="INM29" i="7" s="1"/>
  <c r="INO29" i="7" s="1"/>
  <c r="INQ29" i="7" s="1"/>
  <c r="INS29" i="7" s="1"/>
  <c r="INU29" i="7" s="1"/>
  <c r="INW29" i="7" s="1"/>
  <c r="INY29" i="7" s="1"/>
  <c r="IOA29" i="7" s="1"/>
  <c r="IOC29" i="7" s="1"/>
  <c r="IOE29" i="7" s="1"/>
  <c r="IOG29" i="7" s="1"/>
  <c r="IOI29" i="7" s="1"/>
  <c r="IOK29" i="7" s="1"/>
  <c r="IOM29" i="7" s="1"/>
  <c r="IOO29" i="7" s="1"/>
  <c r="IOQ29" i="7" s="1"/>
  <c r="IOS29" i="7" s="1"/>
  <c r="IOU29" i="7" s="1"/>
  <c r="IOW29" i="7" s="1"/>
  <c r="IOY29" i="7" s="1"/>
  <c r="IPA29" i="7" s="1"/>
  <c r="IPC29" i="7" s="1"/>
  <c r="IPE29" i="7" s="1"/>
  <c r="IPG29" i="7" s="1"/>
  <c r="IPI29" i="7" s="1"/>
  <c r="IPK29" i="7" s="1"/>
  <c r="IPM29" i="7" s="1"/>
  <c r="IPO29" i="7" s="1"/>
  <c r="IPQ29" i="7" s="1"/>
  <c r="IPS29" i="7" s="1"/>
  <c r="IPU29" i="7" s="1"/>
  <c r="IPW29" i="7" s="1"/>
  <c r="IPY29" i="7" s="1"/>
  <c r="IQA29" i="7" s="1"/>
  <c r="IQC29" i="7" s="1"/>
  <c r="IQE29" i="7" s="1"/>
  <c r="IQG29" i="7" s="1"/>
  <c r="IQI29" i="7" s="1"/>
  <c r="IQK29" i="7" s="1"/>
  <c r="IQM29" i="7" s="1"/>
  <c r="IQO29" i="7" s="1"/>
  <c r="IQQ29" i="7" s="1"/>
  <c r="IQS29" i="7" s="1"/>
  <c r="IQU29" i="7" s="1"/>
  <c r="IQW29" i="7" s="1"/>
  <c r="IQY29" i="7" s="1"/>
  <c r="IRA29" i="7" s="1"/>
  <c r="IRC29" i="7" s="1"/>
  <c r="IRE29" i="7" s="1"/>
  <c r="IRG29" i="7" s="1"/>
  <c r="IRI29" i="7" s="1"/>
  <c r="IRK29" i="7" s="1"/>
  <c r="IRM29" i="7" s="1"/>
  <c r="IRO29" i="7" s="1"/>
  <c r="IRQ29" i="7" s="1"/>
  <c r="IRS29" i="7" s="1"/>
  <c r="IRU29" i="7" s="1"/>
  <c r="IRW29" i="7" s="1"/>
  <c r="IRY29" i="7" s="1"/>
  <c r="ISA29" i="7" s="1"/>
  <c r="ISC29" i="7" s="1"/>
  <c r="ISE29" i="7" s="1"/>
  <c r="ISG29" i="7" s="1"/>
  <c r="ISI29" i="7" s="1"/>
  <c r="ISK29" i="7" s="1"/>
  <c r="ISM29" i="7" s="1"/>
  <c r="ISO29" i="7" s="1"/>
  <c r="ISQ29" i="7" s="1"/>
  <c r="ISS29" i="7" s="1"/>
  <c r="ISU29" i="7" s="1"/>
  <c r="ISW29" i="7" s="1"/>
  <c r="ISY29" i="7" s="1"/>
  <c r="ITA29" i="7" s="1"/>
  <c r="ITC29" i="7" s="1"/>
  <c r="ITE29" i="7" s="1"/>
  <c r="ITG29" i="7" s="1"/>
  <c r="ITI29" i="7" s="1"/>
  <c r="ITK29" i="7" s="1"/>
  <c r="ITM29" i="7" s="1"/>
  <c r="ITO29" i="7" s="1"/>
  <c r="ITQ29" i="7" s="1"/>
  <c r="ITS29" i="7" s="1"/>
  <c r="ITU29" i="7" s="1"/>
  <c r="ITW29" i="7" s="1"/>
  <c r="ITY29" i="7" s="1"/>
  <c r="IUA29" i="7" s="1"/>
  <c r="IUC29" i="7" s="1"/>
  <c r="IUE29" i="7" s="1"/>
  <c r="IUG29" i="7" s="1"/>
  <c r="IUI29" i="7" s="1"/>
  <c r="IUK29" i="7" s="1"/>
  <c r="IUM29" i="7" s="1"/>
  <c r="IUO29" i="7" s="1"/>
  <c r="IUQ29" i="7" s="1"/>
  <c r="IUS29" i="7" s="1"/>
  <c r="IUU29" i="7" s="1"/>
  <c r="IUW29" i="7" s="1"/>
  <c r="IUY29" i="7" s="1"/>
  <c r="IVA29" i="7" s="1"/>
  <c r="IVC29" i="7" s="1"/>
  <c r="IVE29" i="7" s="1"/>
  <c r="IVG29" i="7" s="1"/>
  <c r="IVI29" i="7" s="1"/>
  <c r="IVK29" i="7" s="1"/>
  <c r="IVM29" i="7" s="1"/>
  <c r="IVO29" i="7" s="1"/>
  <c r="IVQ29" i="7" s="1"/>
  <c r="IVS29" i="7" s="1"/>
  <c r="IVU29" i="7" s="1"/>
  <c r="IVW29" i="7" s="1"/>
  <c r="IVY29" i="7" s="1"/>
  <c r="IWA29" i="7" s="1"/>
  <c r="IWC29" i="7" s="1"/>
  <c r="IWE29" i="7" s="1"/>
  <c r="IWG29" i="7" s="1"/>
  <c r="IWI29" i="7" s="1"/>
  <c r="IWK29" i="7" s="1"/>
  <c r="IWM29" i="7" s="1"/>
  <c r="IWO29" i="7" s="1"/>
  <c r="IWQ29" i="7" s="1"/>
  <c r="IWS29" i="7" s="1"/>
  <c r="IWU29" i="7" s="1"/>
  <c r="IWW29" i="7" s="1"/>
  <c r="IWY29" i="7" s="1"/>
  <c r="IXA29" i="7" s="1"/>
  <c r="IXC29" i="7" s="1"/>
  <c r="IXE29" i="7" s="1"/>
  <c r="IXG29" i="7" s="1"/>
  <c r="IXI29" i="7" s="1"/>
  <c r="IXK29" i="7" s="1"/>
  <c r="IXM29" i="7" s="1"/>
  <c r="IXO29" i="7" s="1"/>
  <c r="IXQ29" i="7" s="1"/>
  <c r="IXS29" i="7" s="1"/>
  <c r="IXU29" i="7" s="1"/>
  <c r="IXW29" i="7" s="1"/>
  <c r="IXY29" i="7" s="1"/>
  <c r="IYA29" i="7" s="1"/>
  <c r="IYC29" i="7" s="1"/>
  <c r="IYE29" i="7" s="1"/>
  <c r="IYG29" i="7" s="1"/>
  <c r="IYI29" i="7" s="1"/>
  <c r="IYK29" i="7" s="1"/>
  <c r="IYM29" i="7" s="1"/>
  <c r="IYO29" i="7" s="1"/>
  <c r="IYQ29" i="7" s="1"/>
  <c r="IYS29" i="7" s="1"/>
  <c r="IYU29" i="7" s="1"/>
  <c r="IYW29" i="7" s="1"/>
  <c r="IYY29" i="7" s="1"/>
  <c r="IZA29" i="7" s="1"/>
  <c r="IZC29" i="7" s="1"/>
  <c r="IZE29" i="7" s="1"/>
  <c r="IZG29" i="7" s="1"/>
  <c r="IZI29" i="7" s="1"/>
  <c r="IZK29" i="7" s="1"/>
  <c r="IZM29" i="7" s="1"/>
  <c r="IZO29" i="7" s="1"/>
  <c r="IZQ29" i="7" s="1"/>
  <c r="IZS29" i="7" s="1"/>
  <c r="IZU29" i="7" s="1"/>
  <c r="IZW29" i="7" s="1"/>
  <c r="IZY29" i="7" s="1"/>
  <c r="JAA29" i="7" s="1"/>
  <c r="JAC29" i="7" s="1"/>
  <c r="JAE29" i="7" s="1"/>
  <c r="JAG29" i="7" s="1"/>
  <c r="JAI29" i="7" s="1"/>
  <c r="JAK29" i="7" s="1"/>
  <c r="JAM29" i="7" s="1"/>
  <c r="JAO29" i="7" s="1"/>
  <c r="JAQ29" i="7" s="1"/>
  <c r="JAS29" i="7" s="1"/>
  <c r="JAU29" i="7" s="1"/>
  <c r="JAW29" i="7" s="1"/>
  <c r="JAY29" i="7" s="1"/>
  <c r="JBA29" i="7" s="1"/>
  <c r="JBC29" i="7" s="1"/>
  <c r="JBE29" i="7" s="1"/>
  <c r="JBG29" i="7" s="1"/>
  <c r="JBI29" i="7" s="1"/>
  <c r="JBK29" i="7" s="1"/>
  <c r="JBM29" i="7" s="1"/>
  <c r="JBO29" i="7" s="1"/>
  <c r="JBQ29" i="7" s="1"/>
  <c r="JBS29" i="7" s="1"/>
  <c r="JBU29" i="7" s="1"/>
  <c r="JBW29" i="7" s="1"/>
  <c r="JBY29" i="7" s="1"/>
  <c r="JCA29" i="7" s="1"/>
  <c r="JCC29" i="7" s="1"/>
  <c r="JCE29" i="7" s="1"/>
  <c r="JCG29" i="7" s="1"/>
  <c r="JCI29" i="7" s="1"/>
  <c r="JCK29" i="7" s="1"/>
  <c r="JCM29" i="7" s="1"/>
  <c r="JCO29" i="7" s="1"/>
  <c r="JCQ29" i="7" s="1"/>
  <c r="JCS29" i="7" s="1"/>
  <c r="JCU29" i="7" s="1"/>
  <c r="JCW29" i="7" s="1"/>
  <c r="JCY29" i="7" s="1"/>
  <c r="JDA29" i="7" s="1"/>
  <c r="JDC29" i="7" s="1"/>
  <c r="JDE29" i="7" s="1"/>
  <c r="JDG29" i="7" s="1"/>
  <c r="JDI29" i="7" s="1"/>
  <c r="JDK29" i="7" s="1"/>
  <c r="JDM29" i="7" s="1"/>
  <c r="JDO29" i="7" s="1"/>
  <c r="JDQ29" i="7" s="1"/>
  <c r="JDS29" i="7" s="1"/>
  <c r="JDU29" i="7" s="1"/>
  <c r="JDW29" i="7" s="1"/>
  <c r="JDY29" i="7" s="1"/>
  <c r="JEA29" i="7" s="1"/>
  <c r="JEC29" i="7" s="1"/>
  <c r="JEE29" i="7" s="1"/>
  <c r="JEG29" i="7" s="1"/>
  <c r="JEI29" i="7" s="1"/>
  <c r="JEK29" i="7" s="1"/>
  <c r="JEM29" i="7" s="1"/>
  <c r="JEO29" i="7" s="1"/>
  <c r="JEQ29" i="7" s="1"/>
  <c r="JES29" i="7" s="1"/>
  <c r="JEU29" i="7" s="1"/>
  <c r="JEW29" i="7" s="1"/>
  <c r="JEY29" i="7" s="1"/>
  <c r="JFA29" i="7" s="1"/>
  <c r="JFC29" i="7" s="1"/>
  <c r="JFE29" i="7" s="1"/>
  <c r="JFG29" i="7" s="1"/>
  <c r="JFI29" i="7" s="1"/>
  <c r="JFK29" i="7" s="1"/>
  <c r="JFM29" i="7" s="1"/>
  <c r="JFO29" i="7" s="1"/>
  <c r="JFQ29" i="7" s="1"/>
  <c r="JFS29" i="7" s="1"/>
  <c r="JFU29" i="7" s="1"/>
  <c r="JFW29" i="7" s="1"/>
  <c r="JFY29" i="7" s="1"/>
  <c r="JGA29" i="7" s="1"/>
  <c r="JGC29" i="7" s="1"/>
  <c r="JGE29" i="7" s="1"/>
  <c r="JGG29" i="7" s="1"/>
  <c r="JGI29" i="7" s="1"/>
  <c r="JGK29" i="7" s="1"/>
  <c r="JGM29" i="7" s="1"/>
  <c r="JGO29" i="7" s="1"/>
  <c r="JGQ29" i="7" s="1"/>
  <c r="JGS29" i="7" s="1"/>
  <c r="JGU29" i="7" s="1"/>
  <c r="JGW29" i="7" s="1"/>
  <c r="JGY29" i="7" s="1"/>
  <c r="JHA29" i="7" s="1"/>
  <c r="JHC29" i="7" s="1"/>
  <c r="JHE29" i="7" s="1"/>
  <c r="JHG29" i="7" s="1"/>
  <c r="JHI29" i="7" s="1"/>
  <c r="JHK29" i="7" s="1"/>
  <c r="JHM29" i="7" s="1"/>
  <c r="JHO29" i="7" s="1"/>
  <c r="JHQ29" i="7" s="1"/>
  <c r="JHS29" i="7" s="1"/>
  <c r="JHU29" i="7" s="1"/>
  <c r="JHW29" i="7" s="1"/>
  <c r="JHY29" i="7" s="1"/>
  <c r="JIA29" i="7" s="1"/>
  <c r="JIC29" i="7" s="1"/>
  <c r="JIE29" i="7" s="1"/>
  <c r="JIG29" i="7" s="1"/>
  <c r="JII29" i="7" s="1"/>
  <c r="JIK29" i="7" s="1"/>
  <c r="JIM29" i="7" s="1"/>
  <c r="JIO29" i="7" s="1"/>
  <c r="JIQ29" i="7" s="1"/>
  <c r="JIS29" i="7" s="1"/>
  <c r="JIU29" i="7" s="1"/>
  <c r="JIW29" i="7" s="1"/>
  <c r="JIY29" i="7" s="1"/>
  <c r="JJA29" i="7" s="1"/>
  <c r="JJC29" i="7" s="1"/>
  <c r="JJE29" i="7" s="1"/>
  <c r="JJG29" i="7" s="1"/>
  <c r="JJI29" i="7" s="1"/>
  <c r="JJK29" i="7" s="1"/>
  <c r="JJM29" i="7" s="1"/>
  <c r="JJO29" i="7" s="1"/>
  <c r="JJQ29" i="7" s="1"/>
  <c r="JJS29" i="7" s="1"/>
  <c r="JJU29" i="7" s="1"/>
  <c r="JJW29" i="7" s="1"/>
  <c r="JJY29" i="7" s="1"/>
  <c r="JKA29" i="7" s="1"/>
  <c r="JKC29" i="7" s="1"/>
  <c r="JKE29" i="7" s="1"/>
  <c r="JKG29" i="7" s="1"/>
  <c r="JKI29" i="7" s="1"/>
  <c r="JKK29" i="7" s="1"/>
  <c r="JKM29" i="7" s="1"/>
  <c r="JKO29" i="7" s="1"/>
  <c r="JKQ29" i="7" s="1"/>
  <c r="JKS29" i="7" s="1"/>
  <c r="JKU29" i="7" s="1"/>
  <c r="JKW29" i="7" s="1"/>
  <c r="JKY29" i="7" s="1"/>
  <c r="JLA29" i="7" s="1"/>
  <c r="JLC29" i="7" s="1"/>
  <c r="JLE29" i="7" s="1"/>
  <c r="JLG29" i="7" s="1"/>
  <c r="JLI29" i="7" s="1"/>
  <c r="JLK29" i="7" s="1"/>
  <c r="JLM29" i="7" s="1"/>
  <c r="JLO29" i="7" s="1"/>
  <c r="JLQ29" i="7" s="1"/>
  <c r="JLS29" i="7" s="1"/>
  <c r="JLU29" i="7" s="1"/>
  <c r="JLW29" i="7" s="1"/>
  <c r="JLY29" i="7" s="1"/>
  <c r="JMA29" i="7" s="1"/>
  <c r="JMC29" i="7" s="1"/>
  <c r="JME29" i="7" s="1"/>
  <c r="JMG29" i="7" s="1"/>
  <c r="JMI29" i="7" s="1"/>
  <c r="JMK29" i="7" s="1"/>
  <c r="JMM29" i="7" s="1"/>
  <c r="JMO29" i="7" s="1"/>
  <c r="JMQ29" i="7" s="1"/>
  <c r="JMS29" i="7" s="1"/>
  <c r="JMU29" i="7" s="1"/>
  <c r="JMW29" i="7" s="1"/>
  <c r="JMY29" i="7" s="1"/>
  <c r="JNA29" i="7" s="1"/>
  <c r="JNC29" i="7" s="1"/>
  <c r="JNE29" i="7" s="1"/>
  <c r="JNG29" i="7" s="1"/>
  <c r="JNI29" i="7" s="1"/>
  <c r="JNK29" i="7" s="1"/>
  <c r="JNM29" i="7" s="1"/>
  <c r="JNO29" i="7" s="1"/>
  <c r="JNQ29" i="7" s="1"/>
  <c r="JNS29" i="7" s="1"/>
  <c r="JNU29" i="7" s="1"/>
  <c r="JNW29" i="7" s="1"/>
  <c r="JNY29" i="7" s="1"/>
  <c r="JOA29" i="7" s="1"/>
  <c r="JOC29" i="7" s="1"/>
  <c r="JOE29" i="7" s="1"/>
  <c r="JOG29" i="7" s="1"/>
  <c r="JOI29" i="7" s="1"/>
  <c r="JOK29" i="7" s="1"/>
  <c r="JOM29" i="7" s="1"/>
  <c r="JOO29" i="7" s="1"/>
  <c r="JOQ29" i="7" s="1"/>
  <c r="JOS29" i="7" s="1"/>
  <c r="JOU29" i="7" s="1"/>
  <c r="JOW29" i="7" s="1"/>
  <c r="JOY29" i="7" s="1"/>
  <c r="JPA29" i="7" s="1"/>
  <c r="JPC29" i="7" s="1"/>
  <c r="JPE29" i="7" s="1"/>
  <c r="JPG29" i="7" s="1"/>
  <c r="JPI29" i="7" s="1"/>
  <c r="JPK29" i="7" s="1"/>
  <c r="JPM29" i="7" s="1"/>
  <c r="JPO29" i="7" s="1"/>
  <c r="JPQ29" i="7" s="1"/>
  <c r="JPS29" i="7" s="1"/>
  <c r="JPU29" i="7" s="1"/>
  <c r="JPW29" i="7" s="1"/>
  <c r="JPY29" i="7" s="1"/>
  <c r="JQA29" i="7" s="1"/>
  <c r="JQC29" i="7" s="1"/>
  <c r="JQE29" i="7" s="1"/>
  <c r="JQG29" i="7" s="1"/>
  <c r="JQI29" i="7" s="1"/>
  <c r="JQK29" i="7" s="1"/>
  <c r="JQM29" i="7" s="1"/>
  <c r="JQO29" i="7" s="1"/>
  <c r="JQQ29" i="7" s="1"/>
  <c r="JQS29" i="7" s="1"/>
  <c r="JQU29" i="7" s="1"/>
  <c r="JQW29" i="7" s="1"/>
  <c r="JQY29" i="7" s="1"/>
  <c r="JRA29" i="7" s="1"/>
  <c r="JRC29" i="7" s="1"/>
  <c r="JRE29" i="7" s="1"/>
  <c r="JRG29" i="7" s="1"/>
  <c r="JRI29" i="7" s="1"/>
  <c r="JRK29" i="7" s="1"/>
  <c r="JRM29" i="7" s="1"/>
  <c r="JRO29" i="7" s="1"/>
  <c r="JRQ29" i="7" s="1"/>
  <c r="JRS29" i="7" s="1"/>
  <c r="JRU29" i="7" s="1"/>
  <c r="JRW29" i="7" s="1"/>
  <c r="JRY29" i="7" s="1"/>
  <c r="JSA29" i="7" s="1"/>
  <c r="JSC29" i="7" s="1"/>
  <c r="JSE29" i="7" s="1"/>
  <c r="JSG29" i="7" s="1"/>
  <c r="JSI29" i="7" s="1"/>
  <c r="JSK29" i="7" s="1"/>
  <c r="JSM29" i="7" s="1"/>
  <c r="JSO29" i="7" s="1"/>
  <c r="JSQ29" i="7" s="1"/>
  <c r="JSS29" i="7" s="1"/>
  <c r="JSU29" i="7" s="1"/>
  <c r="JSW29" i="7" s="1"/>
  <c r="JSY29" i="7" s="1"/>
  <c r="JTA29" i="7" s="1"/>
  <c r="JTC29" i="7" s="1"/>
  <c r="JTE29" i="7" s="1"/>
  <c r="JTG29" i="7" s="1"/>
  <c r="JTI29" i="7" s="1"/>
  <c r="JTK29" i="7" s="1"/>
  <c r="JTM29" i="7" s="1"/>
  <c r="JTO29" i="7" s="1"/>
  <c r="JTQ29" i="7" s="1"/>
  <c r="JTS29" i="7" s="1"/>
  <c r="JTU29" i="7" s="1"/>
  <c r="JTW29" i="7" s="1"/>
  <c r="JTY29" i="7" s="1"/>
  <c r="JUA29" i="7" s="1"/>
  <c r="JUC29" i="7" s="1"/>
  <c r="JUE29" i="7" s="1"/>
  <c r="JUG29" i="7" s="1"/>
  <c r="JUI29" i="7" s="1"/>
  <c r="JUK29" i="7" s="1"/>
  <c r="JUM29" i="7" s="1"/>
  <c r="JUO29" i="7" s="1"/>
  <c r="JUQ29" i="7" s="1"/>
  <c r="JUS29" i="7" s="1"/>
  <c r="JUU29" i="7" s="1"/>
  <c r="JUW29" i="7" s="1"/>
  <c r="JUY29" i="7" s="1"/>
  <c r="JVA29" i="7" s="1"/>
  <c r="JVC29" i="7" s="1"/>
  <c r="JVE29" i="7" s="1"/>
  <c r="JVG29" i="7" s="1"/>
  <c r="JVI29" i="7" s="1"/>
  <c r="JVK29" i="7" s="1"/>
  <c r="JVM29" i="7" s="1"/>
  <c r="JVO29" i="7" s="1"/>
  <c r="JVQ29" i="7" s="1"/>
  <c r="JVS29" i="7" s="1"/>
  <c r="JVU29" i="7" s="1"/>
  <c r="JVW29" i="7" s="1"/>
  <c r="JVY29" i="7" s="1"/>
  <c r="JWA29" i="7" s="1"/>
  <c r="JWC29" i="7" s="1"/>
  <c r="JWE29" i="7" s="1"/>
  <c r="JWG29" i="7" s="1"/>
  <c r="JWI29" i="7" s="1"/>
  <c r="JWK29" i="7" s="1"/>
  <c r="JWM29" i="7" s="1"/>
  <c r="JWO29" i="7" s="1"/>
  <c r="JWQ29" i="7" s="1"/>
  <c r="JWS29" i="7" s="1"/>
  <c r="JWU29" i="7" s="1"/>
  <c r="JWW29" i="7" s="1"/>
  <c r="JWY29" i="7" s="1"/>
  <c r="JXA29" i="7" s="1"/>
  <c r="JXC29" i="7" s="1"/>
  <c r="JXE29" i="7" s="1"/>
  <c r="JXG29" i="7" s="1"/>
  <c r="JXI29" i="7" s="1"/>
  <c r="JXK29" i="7" s="1"/>
  <c r="JXM29" i="7" s="1"/>
  <c r="JXO29" i="7" s="1"/>
  <c r="JXQ29" i="7" s="1"/>
  <c r="JXS29" i="7" s="1"/>
  <c r="JXU29" i="7" s="1"/>
  <c r="JXW29" i="7" s="1"/>
  <c r="JXY29" i="7" s="1"/>
  <c r="JYA29" i="7" s="1"/>
  <c r="JYC29" i="7" s="1"/>
  <c r="JYE29" i="7" s="1"/>
  <c r="JYG29" i="7" s="1"/>
  <c r="JYI29" i="7" s="1"/>
  <c r="JYK29" i="7" s="1"/>
  <c r="JYM29" i="7" s="1"/>
  <c r="JYO29" i="7" s="1"/>
  <c r="JYQ29" i="7" s="1"/>
  <c r="JYS29" i="7" s="1"/>
  <c r="JYU29" i="7" s="1"/>
  <c r="JYW29" i="7" s="1"/>
  <c r="JYY29" i="7" s="1"/>
  <c r="JZA29" i="7" s="1"/>
  <c r="JZC29" i="7" s="1"/>
  <c r="JZE29" i="7" s="1"/>
  <c r="JZG29" i="7" s="1"/>
  <c r="JZI29" i="7" s="1"/>
  <c r="JZK29" i="7" s="1"/>
  <c r="JZM29" i="7" s="1"/>
  <c r="JZO29" i="7" s="1"/>
  <c r="JZQ29" i="7" s="1"/>
  <c r="JZS29" i="7" s="1"/>
  <c r="JZU29" i="7" s="1"/>
  <c r="JZW29" i="7" s="1"/>
  <c r="JZY29" i="7" s="1"/>
  <c r="KAA29" i="7" s="1"/>
  <c r="KAC29" i="7" s="1"/>
  <c r="KAE29" i="7" s="1"/>
  <c r="KAG29" i="7" s="1"/>
  <c r="KAI29" i="7" s="1"/>
  <c r="KAK29" i="7" s="1"/>
  <c r="KAM29" i="7" s="1"/>
  <c r="KAO29" i="7" s="1"/>
  <c r="KAQ29" i="7" s="1"/>
  <c r="KAS29" i="7" s="1"/>
  <c r="KAU29" i="7" s="1"/>
  <c r="KAW29" i="7" s="1"/>
  <c r="KAY29" i="7" s="1"/>
  <c r="KBA29" i="7" s="1"/>
  <c r="KBC29" i="7" s="1"/>
  <c r="KBE29" i="7" s="1"/>
  <c r="KBG29" i="7" s="1"/>
  <c r="KBI29" i="7" s="1"/>
  <c r="KBK29" i="7" s="1"/>
  <c r="KBM29" i="7" s="1"/>
  <c r="KBO29" i="7" s="1"/>
  <c r="KBQ29" i="7" s="1"/>
  <c r="KBS29" i="7" s="1"/>
  <c r="KBU29" i="7" s="1"/>
  <c r="KBW29" i="7" s="1"/>
  <c r="KBY29" i="7" s="1"/>
  <c r="KCA29" i="7" s="1"/>
  <c r="KCC29" i="7" s="1"/>
  <c r="KCE29" i="7" s="1"/>
  <c r="KCG29" i="7" s="1"/>
  <c r="KCI29" i="7" s="1"/>
  <c r="KCK29" i="7" s="1"/>
  <c r="KCM29" i="7" s="1"/>
  <c r="KCO29" i="7" s="1"/>
  <c r="KCQ29" i="7" s="1"/>
  <c r="KCS29" i="7" s="1"/>
  <c r="KCU29" i="7" s="1"/>
  <c r="KCW29" i="7" s="1"/>
  <c r="KCY29" i="7" s="1"/>
  <c r="KDA29" i="7" s="1"/>
  <c r="KDC29" i="7" s="1"/>
  <c r="KDE29" i="7" s="1"/>
  <c r="KDG29" i="7" s="1"/>
  <c r="KDI29" i="7" s="1"/>
  <c r="KDK29" i="7" s="1"/>
  <c r="KDM29" i="7" s="1"/>
  <c r="KDO29" i="7" s="1"/>
  <c r="KDQ29" i="7" s="1"/>
  <c r="KDS29" i="7" s="1"/>
  <c r="KDU29" i="7" s="1"/>
  <c r="KDW29" i="7" s="1"/>
  <c r="KDY29" i="7" s="1"/>
  <c r="KEA29" i="7" s="1"/>
  <c r="KEC29" i="7" s="1"/>
  <c r="KEE29" i="7" s="1"/>
  <c r="KEG29" i="7" s="1"/>
  <c r="KEI29" i="7" s="1"/>
  <c r="KEK29" i="7" s="1"/>
  <c r="KEM29" i="7" s="1"/>
  <c r="KEO29" i="7" s="1"/>
  <c r="KEQ29" i="7" s="1"/>
  <c r="KES29" i="7" s="1"/>
  <c r="KEU29" i="7" s="1"/>
  <c r="KEW29" i="7" s="1"/>
  <c r="KEY29" i="7" s="1"/>
  <c r="KFA29" i="7" s="1"/>
  <c r="KFC29" i="7" s="1"/>
  <c r="KFE29" i="7" s="1"/>
  <c r="KFG29" i="7" s="1"/>
  <c r="KFI29" i="7" s="1"/>
  <c r="KFK29" i="7" s="1"/>
  <c r="KFM29" i="7" s="1"/>
  <c r="KFO29" i="7" s="1"/>
  <c r="KFQ29" i="7" s="1"/>
  <c r="KFS29" i="7" s="1"/>
  <c r="KFU29" i="7" s="1"/>
  <c r="KFW29" i="7" s="1"/>
  <c r="KFY29" i="7" s="1"/>
  <c r="KGA29" i="7" s="1"/>
  <c r="KGC29" i="7" s="1"/>
  <c r="KGE29" i="7" s="1"/>
  <c r="KGG29" i="7" s="1"/>
  <c r="KGI29" i="7" s="1"/>
  <c r="KGK29" i="7" s="1"/>
  <c r="KGM29" i="7" s="1"/>
  <c r="KGO29" i="7" s="1"/>
  <c r="KGQ29" i="7" s="1"/>
  <c r="KGS29" i="7" s="1"/>
  <c r="KGU29" i="7" s="1"/>
  <c r="KGW29" i="7" s="1"/>
  <c r="KGY29" i="7" s="1"/>
  <c r="KHA29" i="7" s="1"/>
  <c r="KHC29" i="7" s="1"/>
  <c r="KHE29" i="7" s="1"/>
  <c r="KHG29" i="7" s="1"/>
  <c r="KHI29" i="7" s="1"/>
  <c r="KHK29" i="7" s="1"/>
  <c r="KHM29" i="7" s="1"/>
  <c r="KHO29" i="7" s="1"/>
  <c r="KHQ29" i="7" s="1"/>
  <c r="KHS29" i="7" s="1"/>
  <c r="KHU29" i="7" s="1"/>
  <c r="KHW29" i="7" s="1"/>
  <c r="KHY29" i="7" s="1"/>
  <c r="KIA29" i="7" s="1"/>
  <c r="KIC29" i="7" s="1"/>
  <c r="KIE29" i="7" s="1"/>
  <c r="KIG29" i="7" s="1"/>
  <c r="KII29" i="7" s="1"/>
  <c r="KIK29" i="7" s="1"/>
  <c r="KIM29" i="7" s="1"/>
  <c r="KIO29" i="7" s="1"/>
  <c r="KIQ29" i="7" s="1"/>
  <c r="KIS29" i="7" s="1"/>
  <c r="KIU29" i="7" s="1"/>
  <c r="KIW29" i="7" s="1"/>
  <c r="KIY29" i="7" s="1"/>
  <c r="KJA29" i="7" s="1"/>
  <c r="KJC29" i="7" s="1"/>
  <c r="KJE29" i="7" s="1"/>
  <c r="KJG29" i="7" s="1"/>
  <c r="KJI29" i="7" s="1"/>
  <c r="KJK29" i="7" s="1"/>
  <c r="KJM29" i="7" s="1"/>
  <c r="KJO29" i="7" s="1"/>
  <c r="KJQ29" i="7" s="1"/>
  <c r="KJS29" i="7" s="1"/>
  <c r="KJU29" i="7" s="1"/>
  <c r="KJW29" i="7" s="1"/>
  <c r="KJY29" i="7" s="1"/>
  <c r="KKA29" i="7" s="1"/>
  <c r="KKC29" i="7" s="1"/>
  <c r="KKE29" i="7" s="1"/>
  <c r="KKG29" i="7" s="1"/>
  <c r="KKI29" i="7" s="1"/>
  <c r="KKK29" i="7" s="1"/>
  <c r="KKM29" i="7" s="1"/>
  <c r="KKO29" i="7" s="1"/>
  <c r="KKQ29" i="7" s="1"/>
  <c r="KKS29" i="7" s="1"/>
  <c r="KKU29" i="7" s="1"/>
  <c r="KKW29" i="7" s="1"/>
  <c r="KKY29" i="7" s="1"/>
  <c r="KLA29" i="7" s="1"/>
  <c r="KLC29" i="7" s="1"/>
  <c r="KLE29" i="7" s="1"/>
  <c r="KLG29" i="7" s="1"/>
  <c r="KLI29" i="7" s="1"/>
  <c r="KLK29" i="7" s="1"/>
  <c r="KLM29" i="7" s="1"/>
  <c r="KLO29" i="7" s="1"/>
  <c r="KLQ29" i="7" s="1"/>
  <c r="KLS29" i="7" s="1"/>
  <c r="KLU29" i="7" s="1"/>
  <c r="KLW29" i="7" s="1"/>
  <c r="KLY29" i="7" s="1"/>
  <c r="KMA29" i="7" s="1"/>
  <c r="KMC29" i="7" s="1"/>
  <c r="KME29" i="7" s="1"/>
  <c r="KMG29" i="7" s="1"/>
  <c r="KMI29" i="7" s="1"/>
  <c r="KMK29" i="7" s="1"/>
  <c r="KMM29" i="7" s="1"/>
  <c r="KMO29" i="7" s="1"/>
  <c r="KMQ29" i="7" s="1"/>
  <c r="KMS29" i="7" s="1"/>
  <c r="KMU29" i="7" s="1"/>
  <c r="KMW29" i="7" s="1"/>
  <c r="KMY29" i="7" s="1"/>
  <c r="KNA29" i="7" s="1"/>
  <c r="KNC29" i="7" s="1"/>
  <c r="KNE29" i="7" s="1"/>
  <c r="KNG29" i="7" s="1"/>
  <c r="KNI29" i="7" s="1"/>
  <c r="KNK29" i="7" s="1"/>
  <c r="KNM29" i="7" s="1"/>
  <c r="KNO29" i="7" s="1"/>
  <c r="KNQ29" i="7" s="1"/>
  <c r="KNS29" i="7" s="1"/>
  <c r="KNU29" i="7" s="1"/>
  <c r="KNW29" i="7" s="1"/>
  <c r="KNY29" i="7" s="1"/>
  <c r="KOA29" i="7" s="1"/>
  <c r="KOC29" i="7" s="1"/>
  <c r="KOE29" i="7" s="1"/>
  <c r="KOG29" i="7" s="1"/>
  <c r="KOI29" i="7" s="1"/>
  <c r="KOK29" i="7" s="1"/>
  <c r="KOM29" i="7" s="1"/>
  <c r="KOO29" i="7" s="1"/>
  <c r="KOQ29" i="7" s="1"/>
  <c r="KOS29" i="7" s="1"/>
  <c r="KOU29" i="7" s="1"/>
  <c r="KOW29" i="7" s="1"/>
  <c r="KOY29" i="7" s="1"/>
  <c r="KPA29" i="7" s="1"/>
  <c r="KPC29" i="7" s="1"/>
  <c r="KPE29" i="7" s="1"/>
  <c r="KPG29" i="7" s="1"/>
  <c r="KPI29" i="7" s="1"/>
  <c r="KPK29" i="7" s="1"/>
  <c r="KPM29" i="7" s="1"/>
  <c r="KPO29" i="7" s="1"/>
  <c r="KPQ29" i="7" s="1"/>
  <c r="KPS29" i="7" s="1"/>
  <c r="KPU29" i="7" s="1"/>
  <c r="KPW29" i="7" s="1"/>
  <c r="KPY29" i="7" s="1"/>
  <c r="KQA29" i="7" s="1"/>
  <c r="KQC29" i="7" s="1"/>
  <c r="KQE29" i="7" s="1"/>
  <c r="KQG29" i="7" s="1"/>
  <c r="KQI29" i="7" s="1"/>
  <c r="KQK29" i="7" s="1"/>
  <c r="KQM29" i="7" s="1"/>
  <c r="KQO29" i="7" s="1"/>
  <c r="KQQ29" i="7" s="1"/>
  <c r="KQS29" i="7" s="1"/>
  <c r="KQU29" i="7" s="1"/>
  <c r="KQW29" i="7" s="1"/>
  <c r="KQY29" i="7" s="1"/>
  <c r="KRA29" i="7" s="1"/>
  <c r="KRC29" i="7" s="1"/>
  <c r="KRE29" i="7" s="1"/>
  <c r="KRG29" i="7" s="1"/>
  <c r="KRI29" i="7" s="1"/>
  <c r="KRK29" i="7" s="1"/>
  <c r="KRM29" i="7" s="1"/>
  <c r="KRO29" i="7" s="1"/>
  <c r="KRQ29" i="7" s="1"/>
  <c r="KRS29" i="7" s="1"/>
  <c r="KRU29" i="7" s="1"/>
  <c r="KRW29" i="7" s="1"/>
  <c r="KRY29" i="7" s="1"/>
  <c r="KSA29" i="7" s="1"/>
  <c r="KSC29" i="7" s="1"/>
  <c r="KSE29" i="7" s="1"/>
  <c r="KSG29" i="7" s="1"/>
  <c r="KSI29" i="7" s="1"/>
  <c r="KSK29" i="7" s="1"/>
  <c r="KSM29" i="7" s="1"/>
  <c r="KSO29" i="7" s="1"/>
  <c r="KSQ29" i="7" s="1"/>
  <c r="KSS29" i="7" s="1"/>
  <c r="KSU29" i="7" s="1"/>
  <c r="KSW29" i="7" s="1"/>
  <c r="KSY29" i="7" s="1"/>
  <c r="KTA29" i="7" s="1"/>
  <c r="KTC29" i="7" s="1"/>
  <c r="KTE29" i="7" s="1"/>
  <c r="KTG29" i="7" s="1"/>
  <c r="KTI29" i="7" s="1"/>
  <c r="KTK29" i="7" s="1"/>
  <c r="KTM29" i="7" s="1"/>
  <c r="KTO29" i="7" s="1"/>
  <c r="KTQ29" i="7" s="1"/>
  <c r="KTS29" i="7" s="1"/>
  <c r="KTU29" i="7" s="1"/>
  <c r="KTW29" i="7" s="1"/>
  <c r="KTY29" i="7" s="1"/>
  <c r="KUA29" i="7" s="1"/>
  <c r="KUC29" i="7" s="1"/>
  <c r="KUE29" i="7" s="1"/>
  <c r="KUG29" i="7" s="1"/>
  <c r="KUI29" i="7" s="1"/>
  <c r="KUK29" i="7" s="1"/>
  <c r="KUM29" i="7" s="1"/>
  <c r="KUO29" i="7" s="1"/>
  <c r="KUQ29" i="7" s="1"/>
  <c r="KUS29" i="7" s="1"/>
  <c r="KUU29" i="7" s="1"/>
  <c r="KUW29" i="7" s="1"/>
  <c r="KUY29" i="7" s="1"/>
  <c r="KVA29" i="7" s="1"/>
  <c r="KVC29" i="7" s="1"/>
  <c r="KVE29" i="7" s="1"/>
  <c r="KVG29" i="7" s="1"/>
  <c r="KVI29" i="7" s="1"/>
  <c r="KVK29" i="7" s="1"/>
  <c r="KVM29" i="7" s="1"/>
  <c r="KVO29" i="7" s="1"/>
  <c r="KVQ29" i="7" s="1"/>
  <c r="KVS29" i="7" s="1"/>
  <c r="KVU29" i="7" s="1"/>
  <c r="KVW29" i="7" s="1"/>
  <c r="KVY29" i="7" s="1"/>
  <c r="KWA29" i="7" s="1"/>
  <c r="KWC29" i="7" s="1"/>
  <c r="KWE29" i="7" s="1"/>
  <c r="KWG29" i="7" s="1"/>
  <c r="KWI29" i="7" s="1"/>
  <c r="KWK29" i="7" s="1"/>
  <c r="KWM29" i="7" s="1"/>
  <c r="KWO29" i="7" s="1"/>
  <c r="KWQ29" i="7" s="1"/>
  <c r="KWS29" i="7" s="1"/>
  <c r="KWU29" i="7" s="1"/>
  <c r="KWW29" i="7" s="1"/>
  <c r="KWY29" i="7" s="1"/>
  <c r="KXA29" i="7" s="1"/>
  <c r="KXC29" i="7" s="1"/>
  <c r="KXE29" i="7" s="1"/>
  <c r="KXG29" i="7" s="1"/>
  <c r="KXI29" i="7" s="1"/>
  <c r="KXK29" i="7" s="1"/>
  <c r="KXM29" i="7" s="1"/>
  <c r="KXO29" i="7" s="1"/>
  <c r="KXQ29" i="7" s="1"/>
  <c r="KXS29" i="7" s="1"/>
  <c r="KXU29" i="7" s="1"/>
  <c r="KXW29" i="7" s="1"/>
  <c r="KXY29" i="7" s="1"/>
  <c r="KYA29" i="7" s="1"/>
  <c r="KYC29" i="7" s="1"/>
  <c r="KYE29" i="7" s="1"/>
  <c r="KYG29" i="7" s="1"/>
  <c r="KYI29" i="7" s="1"/>
  <c r="KYK29" i="7" s="1"/>
  <c r="KYM29" i="7" s="1"/>
  <c r="KYO29" i="7" s="1"/>
  <c r="KYQ29" i="7" s="1"/>
  <c r="KYS29" i="7" s="1"/>
  <c r="KYU29" i="7" s="1"/>
  <c r="KYW29" i="7" s="1"/>
  <c r="KYY29" i="7" s="1"/>
  <c r="KZA29" i="7" s="1"/>
  <c r="KZC29" i="7" s="1"/>
  <c r="KZE29" i="7" s="1"/>
  <c r="KZG29" i="7" s="1"/>
  <c r="KZI29" i="7" s="1"/>
  <c r="KZK29" i="7" s="1"/>
  <c r="KZM29" i="7" s="1"/>
  <c r="KZO29" i="7" s="1"/>
  <c r="KZQ29" i="7" s="1"/>
  <c r="KZS29" i="7" s="1"/>
  <c r="KZU29" i="7" s="1"/>
  <c r="KZW29" i="7" s="1"/>
  <c r="KZY29" i="7" s="1"/>
  <c r="LAA29" i="7" s="1"/>
  <c r="LAC29" i="7" s="1"/>
  <c r="LAE29" i="7" s="1"/>
  <c r="LAG29" i="7" s="1"/>
  <c r="LAI29" i="7" s="1"/>
  <c r="LAK29" i="7" s="1"/>
  <c r="LAM29" i="7" s="1"/>
  <c r="LAO29" i="7" s="1"/>
  <c r="LAQ29" i="7" s="1"/>
  <c r="LAS29" i="7" s="1"/>
  <c r="LAU29" i="7" s="1"/>
  <c r="LAW29" i="7" s="1"/>
  <c r="LAY29" i="7" s="1"/>
  <c r="LBA29" i="7" s="1"/>
  <c r="LBC29" i="7" s="1"/>
  <c r="LBE29" i="7" s="1"/>
  <c r="LBG29" i="7" s="1"/>
  <c r="LBI29" i="7" s="1"/>
  <c r="LBK29" i="7" s="1"/>
  <c r="LBM29" i="7" s="1"/>
  <c r="LBO29" i="7" s="1"/>
  <c r="LBQ29" i="7" s="1"/>
  <c r="LBS29" i="7" s="1"/>
  <c r="LBU29" i="7" s="1"/>
  <c r="LBW29" i="7" s="1"/>
  <c r="LBY29" i="7" s="1"/>
  <c r="LCA29" i="7" s="1"/>
  <c r="LCC29" i="7" s="1"/>
  <c r="LCE29" i="7" s="1"/>
  <c r="LCG29" i="7" s="1"/>
  <c r="LCI29" i="7" s="1"/>
  <c r="LCK29" i="7" s="1"/>
  <c r="LCM29" i="7" s="1"/>
  <c r="LCO29" i="7" s="1"/>
  <c r="LCQ29" i="7" s="1"/>
  <c r="LCS29" i="7" s="1"/>
  <c r="LCU29" i="7" s="1"/>
  <c r="LCW29" i="7" s="1"/>
  <c r="LCY29" i="7" s="1"/>
  <c r="LDA29" i="7" s="1"/>
  <c r="LDC29" i="7" s="1"/>
  <c r="LDE29" i="7" s="1"/>
  <c r="LDG29" i="7" s="1"/>
  <c r="LDI29" i="7" s="1"/>
  <c r="LDK29" i="7" s="1"/>
  <c r="LDM29" i="7" s="1"/>
  <c r="LDO29" i="7" s="1"/>
  <c r="LDQ29" i="7" s="1"/>
  <c r="LDS29" i="7" s="1"/>
  <c r="LDU29" i="7" s="1"/>
  <c r="LDW29" i="7" s="1"/>
  <c r="LDY29" i="7" s="1"/>
  <c r="LEA29" i="7" s="1"/>
  <c r="LEC29" i="7" s="1"/>
  <c r="LEE29" i="7" s="1"/>
  <c r="LEG29" i="7" s="1"/>
  <c r="LEI29" i="7" s="1"/>
  <c r="LEK29" i="7" s="1"/>
  <c r="LEM29" i="7" s="1"/>
  <c r="LEO29" i="7" s="1"/>
  <c r="LEQ29" i="7" s="1"/>
  <c r="LES29" i="7" s="1"/>
  <c r="LEU29" i="7" s="1"/>
  <c r="LEW29" i="7" s="1"/>
  <c r="LEY29" i="7" s="1"/>
  <c r="LFA29" i="7" s="1"/>
  <c r="LFC29" i="7" s="1"/>
  <c r="LFE29" i="7" s="1"/>
  <c r="LFG29" i="7" s="1"/>
  <c r="LFI29" i="7" s="1"/>
  <c r="LFK29" i="7" s="1"/>
  <c r="LFM29" i="7" s="1"/>
  <c r="LFO29" i="7" s="1"/>
  <c r="LFQ29" i="7" s="1"/>
  <c r="LFS29" i="7" s="1"/>
  <c r="LFU29" i="7" s="1"/>
  <c r="LFW29" i="7" s="1"/>
  <c r="LFY29" i="7" s="1"/>
  <c r="LGA29" i="7" s="1"/>
  <c r="LGC29" i="7" s="1"/>
  <c r="LGE29" i="7" s="1"/>
  <c r="LGG29" i="7" s="1"/>
  <c r="LGI29" i="7" s="1"/>
  <c r="LGK29" i="7" s="1"/>
  <c r="LGM29" i="7" s="1"/>
  <c r="LGO29" i="7" s="1"/>
  <c r="LGQ29" i="7" s="1"/>
  <c r="LGS29" i="7" s="1"/>
  <c r="LGU29" i="7" s="1"/>
  <c r="LGW29" i="7" s="1"/>
  <c r="LGY29" i="7" s="1"/>
  <c r="LHA29" i="7" s="1"/>
  <c r="LHC29" i="7" s="1"/>
  <c r="LHE29" i="7" s="1"/>
  <c r="LHG29" i="7" s="1"/>
  <c r="LHI29" i="7" s="1"/>
  <c r="LHK29" i="7" s="1"/>
  <c r="LHM29" i="7" s="1"/>
  <c r="LHO29" i="7" s="1"/>
  <c r="LHQ29" i="7" s="1"/>
  <c r="LHS29" i="7" s="1"/>
  <c r="LHU29" i="7" s="1"/>
  <c r="LHW29" i="7" s="1"/>
  <c r="LHY29" i="7" s="1"/>
  <c r="LIA29" i="7" s="1"/>
  <c r="LIC29" i="7" s="1"/>
  <c r="LIE29" i="7" s="1"/>
  <c r="LIG29" i="7" s="1"/>
  <c r="LII29" i="7" s="1"/>
  <c r="LIK29" i="7" s="1"/>
  <c r="LIM29" i="7" s="1"/>
  <c r="LIO29" i="7" s="1"/>
  <c r="LIQ29" i="7" s="1"/>
  <c r="LIS29" i="7" s="1"/>
  <c r="LIU29" i="7" s="1"/>
  <c r="LIW29" i="7" s="1"/>
  <c r="LIY29" i="7" s="1"/>
  <c r="LJA29" i="7" s="1"/>
  <c r="LJC29" i="7" s="1"/>
  <c r="LJE29" i="7" s="1"/>
  <c r="LJG29" i="7" s="1"/>
  <c r="LJI29" i="7" s="1"/>
  <c r="LJK29" i="7" s="1"/>
  <c r="LJM29" i="7" s="1"/>
  <c r="LJO29" i="7" s="1"/>
  <c r="LJQ29" i="7" s="1"/>
  <c r="LJS29" i="7" s="1"/>
  <c r="LJU29" i="7" s="1"/>
  <c r="LJW29" i="7" s="1"/>
  <c r="LJY29" i="7" s="1"/>
  <c r="LKA29" i="7" s="1"/>
  <c r="LKC29" i="7" s="1"/>
  <c r="LKE29" i="7" s="1"/>
  <c r="LKG29" i="7" s="1"/>
  <c r="LKI29" i="7" s="1"/>
  <c r="LKK29" i="7" s="1"/>
  <c r="LKM29" i="7" s="1"/>
  <c r="LKO29" i="7" s="1"/>
  <c r="LKQ29" i="7" s="1"/>
  <c r="LKS29" i="7" s="1"/>
  <c r="LKU29" i="7" s="1"/>
  <c r="LKW29" i="7" s="1"/>
  <c r="LKY29" i="7" s="1"/>
  <c r="LLA29" i="7" s="1"/>
  <c r="LLC29" i="7" s="1"/>
  <c r="LLE29" i="7" s="1"/>
  <c r="LLG29" i="7" s="1"/>
  <c r="LLI29" i="7" s="1"/>
  <c r="LLK29" i="7" s="1"/>
  <c r="LLM29" i="7" s="1"/>
  <c r="LLO29" i="7" s="1"/>
  <c r="LLQ29" i="7" s="1"/>
  <c r="LLS29" i="7" s="1"/>
  <c r="LLU29" i="7" s="1"/>
  <c r="LLW29" i="7" s="1"/>
  <c r="LLY29" i="7" s="1"/>
  <c r="LMA29" i="7" s="1"/>
  <c r="LMC29" i="7" s="1"/>
  <c r="LME29" i="7" s="1"/>
  <c r="LMG29" i="7" s="1"/>
  <c r="LMI29" i="7" s="1"/>
  <c r="LMK29" i="7" s="1"/>
  <c r="LMM29" i="7" s="1"/>
  <c r="LMO29" i="7" s="1"/>
  <c r="LMQ29" i="7" s="1"/>
  <c r="LMS29" i="7" s="1"/>
  <c r="LMU29" i="7" s="1"/>
  <c r="LMW29" i="7" s="1"/>
  <c r="LMY29" i="7" s="1"/>
  <c r="LNA29" i="7" s="1"/>
  <c r="LNC29" i="7" s="1"/>
  <c r="LNE29" i="7" s="1"/>
  <c r="LNG29" i="7" s="1"/>
  <c r="LNI29" i="7" s="1"/>
  <c r="LNK29" i="7" s="1"/>
  <c r="LNM29" i="7" s="1"/>
  <c r="LNO29" i="7" s="1"/>
  <c r="LNQ29" i="7" s="1"/>
  <c r="LNS29" i="7" s="1"/>
  <c r="LNU29" i="7" s="1"/>
  <c r="LNW29" i="7" s="1"/>
  <c r="LNY29" i="7" s="1"/>
  <c r="LOA29" i="7" s="1"/>
  <c r="LOC29" i="7" s="1"/>
  <c r="LOE29" i="7" s="1"/>
  <c r="LOG29" i="7" s="1"/>
  <c r="LOI29" i="7" s="1"/>
  <c r="LOK29" i="7" s="1"/>
  <c r="LOM29" i="7" s="1"/>
  <c r="LOO29" i="7" s="1"/>
  <c r="LOQ29" i="7" s="1"/>
  <c r="LOS29" i="7" s="1"/>
  <c r="LOU29" i="7" s="1"/>
  <c r="LOW29" i="7" s="1"/>
  <c r="LOY29" i="7" s="1"/>
  <c r="LPA29" i="7" s="1"/>
  <c r="LPC29" i="7" s="1"/>
  <c r="LPE29" i="7" s="1"/>
  <c r="LPG29" i="7" s="1"/>
  <c r="LPI29" i="7" s="1"/>
  <c r="LPK29" i="7" s="1"/>
  <c r="LPM29" i="7" s="1"/>
  <c r="LPO29" i="7" s="1"/>
  <c r="LPQ29" i="7" s="1"/>
  <c r="LPS29" i="7" s="1"/>
  <c r="LPU29" i="7" s="1"/>
  <c r="LPW29" i="7" s="1"/>
  <c r="LPY29" i="7" s="1"/>
  <c r="LQA29" i="7" s="1"/>
  <c r="LQC29" i="7" s="1"/>
  <c r="LQE29" i="7" s="1"/>
  <c r="LQG29" i="7" s="1"/>
  <c r="LQI29" i="7" s="1"/>
  <c r="LQK29" i="7" s="1"/>
  <c r="LQM29" i="7" s="1"/>
  <c r="LQO29" i="7" s="1"/>
  <c r="LQQ29" i="7" s="1"/>
  <c r="LQS29" i="7" s="1"/>
  <c r="LQU29" i="7" s="1"/>
  <c r="LQW29" i="7" s="1"/>
  <c r="LQY29" i="7" s="1"/>
  <c r="LRA29" i="7" s="1"/>
  <c r="LRC29" i="7" s="1"/>
  <c r="LRE29" i="7" s="1"/>
  <c r="LRG29" i="7" s="1"/>
  <c r="LRI29" i="7" s="1"/>
  <c r="LRK29" i="7" s="1"/>
  <c r="LRM29" i="7" s="1"/>
  <c r="LRO29" i="7" s="1"/>
  <c r="LRQ29" i="7" s="1"/>
  <c r="LRS29" i="7" s="1"/>
  <c r="LRU29" i="7" s="1"/>
  <c r="LRW29" i="7" s="1"/>
  <c r="LRY29" i="7" s="1"/>
  <c r="LSA29" i="7" s="1"/>
  <c r="LSC29" i="7" s="1"/>
  <c r="LSE29" i="7" s="1"/>
  <c r="LSG29" i="7" s="1"/>
  <c r="LSI29" i="7" s="1"/>
  <c r="LSK29" i="7" s="1"/>
  <c r="LSM29" i="7" s="1"/>
  <c r="LSO29" i="7" s="1"/>
  <c r="LSQ29" i="7" s="1"/>
  <c r="LSS29" i="7" s="1"/>
  <c r="LSU29" i="7" s="1"/>
  <c r="LSW29" i="7" s="1"/>
  <c r="LSY29" i="7" s="1"/>
  <c r="LTA29" i="7" s="1"/>
  <c r="LTC29" i="7" s="1"/>
  <c r="LTE29" i="7" s="1"/>
  <c r="LTG29" i="7" s="1"/>
  <c r="LTI29" i="7" s="1"/>
  <c r="LTK29" i="7" s="1"/>
  <c r="LTM29" i="7" s="1"/>
  <c r="LTO29" i="7" s="1"/>
  <c r="LTQ29" i="7" s="1"/>
  <c r="LTS29" i="7" s="1"/>
  <c r="LTU29" i="7" s="1"/>
  <c r="LTW29" i="7" s="1"/>
  <c r="LTY29" i="7" s="1"/>
  <c r="LUA29" i="7" s="1"/>
  <c r="LUC29" i="7" s="1"/>
  <c r="LUE29" i="7" s="1"/>
  <c r="LUG29" i="7" s="1"/>
  <c r="LUI29" i="7" s="1"/>
  <c r="LUK29" i="7" s="1"/>
  <c r="LUM29" i="7" s="1"/>
  <c r="LUO29" i="7" s="1"/>
  <c r="LUQ29" i="7" s="1"/>
  <c r="LUS29" i="7" s="1"/>
  <c r="LUU29" i="7" s="1"/>
  <c r="LUW29" i="7" s="1"/>
  <c r="LUY29" i="7" s="1"/>
  <c r="LVA29" i="7" s="1"/>
  <c r="LVC29" i="7" s="1"/>
  <c r="LVE29" i="7" s="1"/>
  <c r="LVG29" i="7" s="1"/>
  <c r="LVI29" i="7" s="1"/>
  <c r="LVK29" i="7" s="1"/>
  <c r="LVM29" i="7" s="1"/>
  <c r="LVO29" i="7" s="1"/>
  <c r="LVQ29" i="7" s="1"/>
  <c r="LVS29" i="7" s="1"/>
  <c r="LVU29" i="7" s="1"/>
  <c r="LVW29" i="7" s="1"/>
  <c r="LVY29" i="7" s="1"/>
  <c r="LWA29" i="7" s="1"/>
  <c r="LWC29" i="7" s="1"/>
  <c r="LWE29" i="7" s="1"/>
  <c r="LWG29" i="7" s="1"/>
  <c r="LWI29" i="7" s="1"/>
  <c r="LWK29" i="7" s="1"/>
  <c r="LWM29" i="7" s="1"/>
  <c r="LWO29" i="7" s="1"/>
  <c r="LWQ29" i="7" s="1"/>
  <c r="LWS29" i="7" s="1"/>
  <c r="LWU29" i="7" s="1"/>
  <c r="LWW29" i="7" s="1"/>
  <c r="LWY29" i="7" s="1"/>
  <c r="LXA29" i="7" s="1"/>
  <c r="LXC29" i="7" s="1"/>
  <c r="LXE29" i="7" s="1"/>
  <c r="LXG29" i="7" s="1"/>
  <c r="LXI29" i="7" s="1"/>
  <c r="LXK29" i="7" s="1"/>
  <c r="LXM29" i="7" s="1"/>
  <c r="LXO29" i="7" s="1"/>
  <c r="LXQ29" i="7" s="1"/>
  <c r="LXS29" i="7" s="1"/>
  <c r="LXU29" i="7" s="1"/>
  <c r="LXW29" i="7" s="1"/>
  <c r="LXY29" i="7" s="1"/>
  <c r="LYA29" i="7" s="1"/>
  <c r="LYC29" i="7" s="1"/>
  <c r="LYE29" i="7" s="1"/>
  <c r="LYG29" i="7" s="1"/>
  <c r="LYI29" i="7" s="1"/>
  <c r="LYK29" i="7" s="1"/>
  <c r="LYM29" i="7" s="1"/>
  <c r="LYO29" i="7" s="1"/>
  <c r="LYQ29" i="7" s="1"/>
  <c r="LYS29" i="7" s="1"/>
  <c r="LYU29" i="7" s="1"/>
  <c r="LYW29" i="7" s="1"/>
  <c r="LYY29" i="7" s="1"/>
  <c r="LZA29" i="7" s="1"/>
  <c r="LZC29" i="7" s="1"/>
  <c r="LZE29" i="7" s="1"/>
  <c r="LZG29" i="7" s="1"/>
  <c r="LZI29" i="7" s="1"/>
  <c r="LZK29" i="7" s="1"/>
  <c r="LZM29" i="7" s="1"/>
  <c r="LZO29" i="7" s="1"/>
  <c r="LZQ29" i="7" s="1"/>
  <c r="LZS29" i="7" s="1"/>
  <c r="LZU29" i="7" s="1"/>
  <c r="LZW29" i="7" s="1"/>
  <c r="LZY29" i="7" s="1"/>
  <c r="MAA29" i="7" s="1"/>
  <c r="MAC29" i="7" s="1"/>
  <c r="MAE29" i="7" s="1"/>
  <c r="MAG29" i="7" s="1"/>
  <c r="MAI29" i="7" s="1"/>
  <c r="MAK29" i="7" s="1"/>
  <c r="MAM29" i="7" s="1"/>
  <c r="MAO29" i="7" s="1"/>
  <c r="MAQ29" i="7" s="1"/>
  <c r="MAS29" i="7" s="1"/>
  <c r="MAU29" i="7" s="1"/>
  <c r="MAW29" i="7" s="1"/>
  <c r="MAY29" i="7" s="1"/>
  <c r="MBA29" i="7" s="1"/>
  <c r="MBC29" i="7" s="1"/>
  <c r="MBE29" i="7" s="1"/>
  <c r="MBG29" i="7" s="1"/>
  <c r="MBI29" i="7" s="1"/>
  <c r="MBK29" i="7" s="1"/>
  <c r="MBM29" i="7" s="1"/>
  <c r="MBO29" i="7" s="1"/>
  <c r="MBQ29" i="7" s="1"/>
  <c r="MBS29" i="7" s="1"/>
  <c r="MBU29" i="7" s="1"/>
  <c r="MBW29" i="7" s="1"/>
  <c r="MBY29" i="7" s="1"/>
  <c r="MCA29" i="7" s="1"/>
  <c r="MCC29" i="7" s="1"/>
  <c r="MCE29" i="7" s="1"/>
  <c r="MCG29" i="7" s="1"/>
  <c r="MCI29" i="7" s="1"/>
  <c r="MCK29" i="7" s="1"/>
  <c r="MCM29" i="7" s="1"/>
  <c r="MCO29" i="7" s="1"/>
  <c r="MCQ29" i="7" s="1"/>
  <c r="MCS29" i="7" s="1"/>
  <c r="MCU29" i="7" s="1"/>
  <c r="MCW29" i="7" s="1"/>
  <c r="MCY29" i="7" s="1"/>
  <c r="MDA29" i="7" s="1"/>
  <c r="MDC29" i="7" s="1"/>
  <c r="MDE29" i="7" s="1"/>
  <c r="MDG29" i="7" s="1"/>
  <c r="MDI29" i="7" s="1"/>
  <c r="MDK29" i="7" s="1"/>
  <c r="MDM29" i="7" s="1"/>
  <c r="MDO29" i="7" s="1"/>
  <c r="MDQ29" i="7" s="1"/>
  <c r="MDS29" i="7" s="1"/>
  <c r="MDU29" i="7" s="1"/>
  <c r="MDW29" i="7" s="1"/>
  <c r="MDY29" i="7" s="1"/>
  <c r="MEA29" i="7" s="1"/>
  <c r="MEC29" i="7" s="1"/>
  <c r="MEE29" i="7" s="1"/>
  <c r="MEG29" i="7" s="1"/>
  <c r="MEI29" i="7" s="1"/>
  <c r="MEK29" i="7" s="1"/>
  <c r="MEM29" i="7" s="1"/>
  <c r="MEO29" i="7" s="1"/>
  <c r="MEQ29" i="7" s="1"/>
  <c r="MES29" i="7" s="1"/>
  <c r="MEU29" i="7" s="1"/>
  <c r="MEW29" i="7" s="1"/>
  <c r="MEY29" i="7" s="1"/>
  <c r="MFA29" i="7" s="1"/>
  <c r="MFC29" i="7" s="1"/>
  <c r="MFE29" i="7" s="1"/>
  <c r="MFG29" i="7" s="1"/>
  <c r="MFI29" i="7" s="1"/>
  <c r="MFK29" i="7" s="1"/>
  <c r="MFM29" i="7" s="1"/>
  <c r="MFO29" i="7" s="1"/>
  <c r="MFQ29" i="7" s="1"/>
  <c r="MFS29" i="7" s="1"/>
  <c r="MFU29" i="7" s="1"/>
  <c r="MFW29" i="7" s="1"/>
  <c r="MFY29" i="7" s="1"/>
  <c r="MGA29" i="7" s="1"/>
  <c r="MGC29" i="7" s="1"/>
  <c r="MGE29" i="7" s="1"/>
  <c r="MGG29" i="7" s="1"/>
  <c r="MGI29" i="7" s="1"/>
  <c r="MGK29" i="7" s="1"/>
  <c r="MGM29" i="7" s="1"/>
  <c r="MGO29" i="7" s="1"/>
  <c r="MGQ29" i="7" s="1"/>
  <c r="MGS29" i="7" s="1"/>
  <c r="MGU29" i="7" s="1"/>
  <c r="MGW29" i="7" s="1"/>
  <c r="MGY29" i="7" s="1"/>
  <c r="MHA29" i="7" s="1"/>
  <c r="MHC29" i="7" s="1"/>
  <c r="MHE29" i="7" s="1"/>
  <c r="MHG29" i="7" s="1"/>
  <c r="MHI29" i="7" s="1"/>
  <c r="MHK29" i="7" s="1"/>
  <c r="MHM29" i="7" s="1"/>
  <c r="MHO29" i="7" s="1"/>
  <c r="MHQ29" i="7" s="1"/>
  <c r="MHS29" i="7" s="1"/>
  <c r="MHU29" i="7" s="1"/>
  <c r="MHW29" i="7" s="1"/>
  <c r="MHY29" i="7" s="1"/>
  <c r="MIA29" i="7" s="1"/>
  <c r="MIC29" i="7" s="1"/>
  <c r="MIE29" i="7" s="1"/>
  <c r="MIG29" i="7" s="1"/>
  <c r="MII29" i="7" s="1"/>
  <c r="MIK29" i="7" s="1"/>
  <c r="MIM29" i="7" s="1"/>
  <c r="MIO29" i="7" s="1"/>
  <c r="MIQ29" i="7" s="1"/>
  <c r="MIS29" i="7" s="1"/>
  <c r="MIU29" i="7" s="1"/>
  <c r="MIW29" i="7" s="1"/>
  <c r="MIY29" i="7" s="1"/>
  <c r="MJA29" i="7" s="1"/>
  <c r="MJC29" i="7" s="1"/>
  <c r="MJE29" i="7" s="1"/>
  <c r="MJG29" i="7" s="1"/>
  <c r="MJI29" i="7" s="1"/>
  <c r="MJK29" i="7" s="1"/>
  <c r="MJM29" i="7" s="1"/>
  <c r="MJO29" i="7" s="1"/>
  <c r="MJQ29" i="7" s="1"/>
  <c r="MJS29" i="7" s="1"/>
  <c r="MJU29" i="7" s="1"/>
  <c r="MJW29" i="7" s="1"/>
  <c r="MJY29" i="7" s="1"/>
  <c r="MKA29" i="7" s="1"/>
  <c r="MKC29" i="7" s="1"/>
  <c r="MKE29" i="7" s="1"/>
  <c r="MKG29" i="7" s="1"/>
  <c r="MKI29" i="7" s="1"/>
  <c r="MKK29" i="7" s="1"/>
  <c r="MKM29" i="7" s="1"/>
  <c r="MKO29" i="7" s="1"/>
  <c r="MKQ29" i="7" s="1"/>
  <c r="MKS29" i="7" s="1"/>
  <c r="MKU29" i="7" s="1"/>
  <c r="MKW29" i="7" s="1"/>
  <c r="MKY29" i="7" s="1"/>
  <c r="MLA29" i="7" s="1"/>
  <c r="MLC29" i="7" s="1"/>
  <c r="MLE29" i="7" s="1"/>
  <c r="MLG29" i="7" s="1"/>
  <c r="MLI29" i="7" s="1"/>
  <c r="MLK29" i="7" s="1"/>
  <c r="MLM29" i="7" s="1"/>
  <c r="MLO29" i="7" s="1"/>
  <c r="MLQ29" i="7" s="1"/>
  <c r="MLS29" i="7" s="1"/>
  <c r="MLU29" i="7" s="1"/>
  <c r="MLW29" i="7" s="1"/>
  <c r="MLY29" i="7" s="1"/>
  <c r="MMA29" i="7" s="1"/>
  <c r="MMC29" i="7" s="1"/>
  <c r="MME29" i="7" s="1"/>
  <c r="MMG29" i="7" s="1"/>
  <c r="MMI29" i="7" s="1"/>
  <c r="MMK29" i="7" s="1"/>
  <c r="MMM29" i="7" s="1"/>
  <c r="MMO29" i="7" s="1"/>
  <c r="MMQ29" i="7" s="1"/>
  <c r="MMS29" i="7" s="1"/>
  <c r="MMU29" i="7" s="1"/>
  <c r="MMW29" i="7" s="1"/>
  <c r="MMY29" i="7" s="1"/>
  <c r="MNA29" i="7" s="1"/>
  <c r="MNC29" i="7" s="1"/>
  <c r="MNE29" i="7" s="1"/>
  <c r="MNG29" i="7" s="1"/>
  <c r="MNI29" i="7" s="1"/>
  <c r="MNK29" i="7" s="1"/>
  <c r="MNM29" i="7" s="1"/>
  <c r="MNO29" i="7" s="1"/>
  <c r="MNQ29" i="7" s="1"/>
  <c r="MNS29" i="7" s="1"/>
  <c r="MNU29" i="7" s="1"/>
  <c r="MNW29" i="7" s="1"/>
  <c r="MNY29" i="7" s="1"/>
  <c r="MOA29" i="7" s="1"/>
  <c r="MOC29" i="7" s="1"/>
  <c r="MOE29" i="7" s="1"/>
  <c r="MOG29" i="7" s="1"/>
  <c r="MOI29" i="7" s="1"/>
  <c r="MOK29" i="7" s="1"/>
  <c r="MOM29" i="7" s="1"/>
  <c r="MOO29" i="7" s="1"/>
  <c r="MOQ29" i="7" s="1"/>
  <c r="MOS29" i="7" s="1"/>
  <c r="MOU29" i="7" s="1"/>
  <c r="MOW29" i="7" s="1"/>
  <c r="MOY29" i="7" s="1"/>
  <c r="MPA29" i="7" s="1"/>
  <c r="MPC29" i="7" s="1"/>
  <c r="MPE29" i="7" s="1"/>
  <c r="MPG29" i="7" s="1"/>
  <c r="MPI29" i="7" s="1"/>
  <c r="MPK29" i="7" s="1"/>
  <c r="MPM29" i="7" s="1"/>
  <c r="MPO29" i="7" s="1"/>
  <c r="MPQ29" i="7" s="1"/>
  <c r="MPS29" i="7" s="1"/>
  <c r="MPU29" i="7" s="1"/>
  <c r="MPW29" i="7" s="1"/>
  <c r="MPY29" i="7" s="1"/>
  <c r="MQA29" i="7" s="1"/>
  <c r="MQC29" i="7" s="1"/>
  <c r="MQE29" i="7" s="1"/>
  <c r="MQG29" i="7" s="1"/>
  <c r="MQI29" i="7" s="1"/>
  <c r="MQK29" i="7" s="1"/>
  <c r="MQM29" i="7" s="1"/>
  <c r="MQO29" i="7" s="1"/>
  <c r="MQQ29" i="7" s="1"/>
  <c r="MQS29" i="7" s="1"/>
  <c r="MQU29" i="7" s="1"/>
  <c r="MQW29" i="7" s="1"/>
  <c r="MQY29" i="7" s="1"/>
  <c r="MRA29" i="7" s="1"/>
  <c r="MRC29" i="7" s="1"/>
  <c r="MRE29" i="7" s="1"/>
  <c r="MRG29" i="7" s="1"/>
  <c r="MRI29" i="7" s="1"/>
  <c r="MRK29" i="7" s="1"/>
  <c r="MRM29" i="7" s="1"/>
  <c r="MRO29" i="7" s="1"/>
  <c r="MRQ29" i="7" s="1"/>
  <c r="MRS29" i="7" s="1"/>
  <c r="MRU29" i="7" s="1"/>
  <c r="MRW29" i="7" s="1"/>
  <c r="MRY29" i="7" s="1"/>
  <c r="MSA29" i="7" s="1"/>
  <c r="MSC29" i="7" s="1"/>
  <c r="MSE29" i="7" s="1"/>
  <c r="MSG29" i="7" s="1"/>
  <c r="MSI29" i="7" s="1"/>
  <c r="MSK29" i="7" s="1"/>
  <c r="MSM29" i="7" s="1"/>
  <c r="MSO29" i="7" s="1"/>
  <c r="MSQ29" i="7" s="1"/>
  <c r="MSS29" i="7" s="1"/>
  <c r="MSU29" i="7" s="1"/>
  <c r="MSW29" i="7" s="1"/>
  <c r="MSY29" i="7" s="1"/>
  <c r="MTA29" i="7" s="1"/>
  <c r="MTC29" i="7" s="1"/>
  <c r="MTE29" i="7" s="1"/>
  <c r="MTG29" i="7" s="1"/>
  <c r="MTI29" i="7" s="1"/>
  <c r="MTK29" i="7" s="1"/>
  <c r="MTM29" i="7" s="1"/>
  <c r="MTO29" i="7" s="1"/>
  <c r="MTQ29" i="7" s="1"/>
  <c r="MTS29" i="7" s="1"/>
  <c r="MTU29" i="7" s="1"/>
  <c r="MTW29" i="7" s="1"/>
  <c r="MTY29" i="7" s="1"/>
  <c r="MUA29" i="7" s="1"/>
  <c r="MUC29" i="7" s="1"/>
  <c r="MUE29" i="7" s="1"/>
  <c r="MUG29" i="7" s="1"/>
  <c r="MUI29" i="7" s="1"/>
  <c r="MUK29" i="7" s="1"/>
  <c r="MUM29" i="7" s="1"/>
  <c r="MUO29" i="7" s="1"/>
  <c r="MUQ29" i="7" s="1"/>
  <c r="MUS29" i="7" s="1"/>
  <c r="MUU29" i="7" s="1"/>
  <c r="MUW29" i="7" s="1"/>
  <c r="MUY29" i="7" s="1"/>
  <c r="MVA29" i="7" s="1"/>
  <c r="MVC29" i="7" s="1"/>
  <c r="MVE29" i="7" s="1"/>
  <c r="MVG29" i="7" s="1"/>
  <c r="MVI29" i="7" s="1"/>
  <c r="MVK29" i="7" s="1"/>
  <c r="MVM29" i="7" s="1"/>
  <c r="MVO29" i="7" s="1"/>
  <c r="MVQ29" i="7" s="1"/>
  <c r="MVS29" i="7" s="1"/>
  <c r="MVU29" i="7" s="1"/>
  <c r="MVW29" i="7" s="1"/>
  <c r="MVY29" i="7" s="1"/>
  <c r="MWA29" i="7" s="1"/>
  <c r="MWC29" i="7" s="1"/>
  <c r="MWE29" i="7" s="1"/>
  <c r="MWG29" i="7" s="1"/>
  <c r="MWI29" i="7" s="1"/>
  <c r="MWK29" i="7" s="1"/>
  <c r="MWM29" i="7" s="1"/>
  <c r="MWO29" i="7" s="1"/>
  <c r="MWQ29" i="7" s="1"/>
  <c r="MWS29" i="7" s="1"/>
  <c r="MWU29" i="7" s="1"/>
  <c r="MWW29" i="7" s="1"/>
  <c r="MWY29" i="7" s="1"/>
  <c r="MXA29" i="7" s="1"/>
  <c r="MXC29" i="7" s="1"/>
  <c r="MXE29" i="7" s="1"/>
  <c r="MXG29" i="7" s="1"/>
  <c r="MXI29" i="7" s="1"/>
  <c r="MXK29" i="7" s="1"/>
  <c r="MXM29" i="7" s="1"/>
  <c r="MXO29" i="7" s="1"/>
  <c r="MXQ29" i="7" s="1"/>
  <c r="MXS29" i="7" s="1"/>
  <c r="MXU29" i="7" s="1"/>
  <c r="MXW29" i="7" s="1"/>
  <c r="MXY29" i="7" s="1"/>
  <c r="MYA29" i="7" s="1"/>
  <c r="MYC29" i="7" s="1"/>
  <c r="MYE29" i="7" s="1"/>
  <c r="MYG29" i="7" s="1"/>
  <c r="MYI29" i="7" s="1"/>
  <c r="MYK29" i="7" s="1"/>
  <c r="MYM29" i="7" s="1"/>
  <c r="MYO29" i="7" s="1"/>
  <c r="MYQ29" i="7" s="1"/>
  <c r="MYS29" i="7" s="1"/>
  <c r="MYU29" i="7" s="1"/>
  <c r="MYW29" i="7" s="1"/>
  <c r="MYY29" i="7" s="1"/>
  <c r="MZA29" i="7" s="1"/>
  <c r="MZC29" i="7" s="1"/>
  <c r="MZE29" i="7" s="1"/>
  <c r="MZG29" i="7" s="1"/>
  <c r="MZI29" i="7" s="1"/>
  <c r="MZK29" i="7" s="1"/>
  <c r="MZM29" i="7" s="1"/>
  <c r="MZO29" i="7" s="1"/>
  <c r="MZQ29" i="7" s="1"/>
  <c r="MZS29" i="7" s="1"/>
  <c r="MZU29" i="7" s="1"/>
  <c r="MZW29" i="7" s="1"/>
  <c r="MZY29" i="7" s="1"/>
  <c r="NAA29" i="7" s="1"/>
  <c r="NAC29" i="7" s="1"/>
  <c r="NAE29" i="7" s="1"/>
  <c r="NAG29" i="7" s="1"/>
  <c r="NAI29" i="7" s="1"/>
  <c r="NAK29" i="7" s="1"/>
  <c r="NAM29" i="7" s="1"/>
  <c r="NAO29" i="7" s="1"/>
  <c r="NAQ29" i="7" s="1"/>
  <c r="NAS29" i="7" s="1"/>
  <c r="NAU29" i="7" s="1"/>
  <c r="NAW29" i="7" s="1"/>
  <c r="NAY29" i="7" s="1"/>
  <c r="NBA29" i="7" s="1"/>
  <c r="NBC29" i="7" s="1"/>
  <c r="NBE29" i="7" s="1"/>
  <c r="NBG29" i="7" s="1"/>
  <c r="NBI29" i="7" s="1"/>
  <c r="NBK29" i="7" s="1"/>
  <c r="NBM29" i="7" s="1"/>
  <c r="NBO29" i="7" s="1"/>
  <c r="NBQ29" i="7" s="1"/>
  <c r="NBS29" i="7" s="1"/>
  <c r="NBU29" i="7" s="1"/>
  <c r="NBW29" i="7" s="1"/>
  <c r="NBY29" i="7" s="1"/>
  <c r="NCA29" i="7" s="1"/>
  <c r="NCC29" i="7" s="1"/>
  <c r="NCE29" i="7" s="1"/>
  <c r="NCG29" i="7" s="1"/>
  <c r="NCI29" i="7" s="1"/>
  <c r="NCK29" i="7" s="1"/>
  <c r="NCM29" i="7" s="1"/>
  <c r="NCO29" i="7" s="1"/>
  <c r="NCQ29" i="7" s="1"/>
  <c r="NCS29" i="7" s="1"/>
  <c r="NCU29" i="7" s="1"/>
  <c r="NCW29" i="7" s="1"/>
  <c r="NCY29" i="7" s="1"/>
  <c r="NDA29" i="7" s="1"/>
  <c r="NDC29" i="7" s="1"/>
  <c r="NDE29" i="7" s="1"/>
  <c r="NDG29" i="7" s="1"/>
  <c r="NDI29" i="7" s="1"/>
  <c r="NDK29" i="7" s="1"/>
  <c r="NDM29" i="7" s="1"/>
  <c r="NDO29" i="7" s="1"/>
  <c r="NDQ29" i="7" s="1"/>
  <c r="NDS29" i="7" s="1"/>
  <c r="NDU29" i="7" s="1"/>
  <c r="NDW29" i="7" s="1"/>
  <c r="NDY29" i="7" s="1"/>
  <c r="NEA29" i="7" s="1"/>
  <c r="NEC29" i="7" s="1"/>
  <c r="NEE29" i="7" s="1"/>
  <c r="NEG29" i="7" s="1"/>
  <c r="NEI29" i="7" s="1"/>
  <c r="NEK29" i="7" s="1"/>
  <c r="NEM29" i="7" s="1"/>
  <c r="NEO29" i="7" s="1"/>
  <c r="NEQ29" i="7" s="1"/>
  <c r="NES29" i="7" s="1"/>
  <c r="NEU29" i="7" s="1"/>
  <c r="NEW29" i="7" s="1"/>
  <c r="NEY29" i="7" s="1"/>
  <c r="NFA29" i="7" s="1"/>
  <c r="NFC29" i="7" s="1"/>
  <c r="NFE29" i="7" s="1"/>
  <c r="NFG29" i="7" s="1"/>
  <c r="NFI29" i="7" s="1"/>
  <c r="NFK29" i="7" s="1"/>
  <c r="NFM29" i="7" s="1"/>
  <c r="NFO29" i="7" s="1"/>
  <c r="NFQ29" i="7" s="1"/>
  <c r="NFS29" i="7" s="1"/>
  <c r="NFU29" i="7" s="1"/>
  <c r="NFW29" i="7" s="1"/>
  <c r="NFY29" i="7" s="1"/>
  <c r="NGA29" i="7" s="1"/>
  <c r="NGC29" i="7" s="1"/>
  <c r="NGE29" i="7" s="1"/>
  <c r="NGG29" i="7" s="1"/>
  <c r="NGI29" i="7" s="1"/>
  <c r="NGK29" i="7" s="1"/>
  <c r="NGM29" i="7" s="1"/>
  <c r="NGO29" i="7" s="1"/>
  <c r="NGQ29" i="7" s="1"/>
  <c r="NGS29" i="7" s="1"/>
  <c r="NGU29" i="7" s="1"/>
  <c r="NGW29" i="7" s="1"/>
  <c r="NGY29" i="7" s="1"/>
  <c r="NHA29" i="7" s="1"/>
  <c r="NHC29" i="7" s="1"/>
  <c r="NHE29" i="7" s="1"/>
  <c r="NHG29" i="7" s="1"/>
  <c r="NHI29" i="7" s="1"/>
  <c r="NHK29" i="7" s="1"/>
  <c r="NHM29" i="7" s="1"/>
  <c r="NHO29" i="7" s="1"/>
  <c r="NHQ29" i="7" s="1"/>
  <c r="NHS29" i="7" s="1"/>
  <c r="NHU29" i="7" s="1"/>
  <c r="NHW29" i="7" s="1"/>
  <c r="NHY29" i="7" s="1"/>
  <c r="NIA29" i="7" s="1"/>
  <c r="NIC29" i="7" s="1"/>
  <c r="NIE29" i="7" s="1"/>
  <c r="NIG29" i="7" s="1"/>
  <c r="NII29" i="7" s="1"/>
  <c r="NIK29" i="7" s="1"/>
  <c r="NIM29" i="7" s="1"/>
  <c r="NIO29" i="7" s="1"/>
  <c r="NIQ29" i="7" s="1"/>
  <c r="NIS29" i="7" s="1"/>
  <c r="NIU29" i="7" s="1"/>
  <c r="NIW29" i="7" s="1"/>
  <c r="NIY29" i="7" s="1"/>
  <c r="NJA29" i="7" s="1"/>
  <c r="NJC29" i="7" s="1"/>
  <c r="NJE29" i="7" s="1"/>
  <c r="NJG29" i="7" s="1"/>
  <c r="NJI29" i="7" s="1"/>
  <c r="NJK29" i="7" s="1"/>
  <c r="NJM29" i="7" s="1"/>
  <c r="NJO29" i="7" s="1"/>
  <c r="NJQ29" i="7" s="1"/>
  <c r="NJS29" i="7" s="1"/>
  <c r="NJU29" i="7" s="1"/>
  <c r="NJW29" i="7" s="1"/>
  <c r="NJY29" i="7" s="1"/>
  <c r="NKA29" i="7" s="1"/>
  <c r="NKC29" i="7" s="1"/>
  <c r="NKE29" i="7" s="1"/>
  <c r="NKG29" i="7" s="1"/>
  <c r="NKI29" i="7" s="1"/>
  <c r="NKK29" i="7" s="1"/>
  <c r="NKM29" i="7" s="1"/>
  <c r="NKO29" i="7" s="1"/>
  <c r="NKQ29" i="7" s="1"/>
  <c r="NKS29" i="7" s="1"/>
  <c r="NKU29" i="7" s="1"/>
  <c r="NKW29" i="7" s="1"/>
  <c r="NKY29" i="7" s="1"/>
  <c r="NLA29" i="7" s="1"/>
  <c r="NLC29" i="7" s="1"/>
  <c r="NLE29" i="7" s="1"/>
  <c r="NLG29" i="7" s="1"/>
  <c r="NLI29" i="7" s="1"/>
  <c r="NLK29" i="7" s="1"/>
  <c r="NLM29" i="7" s="1"/>
  <c r="NLO29" i="7" s="1"/>
  <c r="NLQ29" i="7" s="1"/>
  <c r="NLS29" i="7" s="1"/>
  <c r="NLU29" i="7" s="1"/>
  <c r="NLW29" i="7" s="1"/>
  <c r="NLY29" i="7" s="1"/>
  <c r="NMA29" i="7" s="1"/>
  <c r="NMC29" i="7" s="1"/>
  <c r="NME29" i="7" s="1"/>
  <c r="NMG29" i="7" s="1"/>
  <c r="NMI29" i="7" s="1"/>
  <c r="NMK29" i="7" s="1"/>
  <c r="NMM29" i="7" s="1"/>
  <c r="NMO29" i="7" s="1"/>
  <c r="NMQ29" i="7" s="1"/>
  <c r="NMS29" i="7" s="1"/>
  <c r="NMU29" i="7" s="1"/>
  <c r="NMW29" i="7" s="1"/>
  <c r="NMY29" i="7" s="1"/>
  <c r="NNA29" i="7" s="1"/>
  <c r="NNC29" i="7" s="1"/>
  <c r="NNE29" i="7" s="1"/>
  <c r="NNG29" i="7" s="1"/>
  <c r="NNI29" i="7" s="1"/>
  <c r="NNK29" i="7" s="1"/>
  <c r="NNM29" i="7" s="1"/>
  <c r="NNO29" i="7" s="1"/>
  <c r="NNQ29" i="7" s="1"/>
  <c r="NNS29" i="7" s="1"/>
  <c r="NNU29" i="7" s="1"/>
  <c r="NNW29" i="7" s="1"/>
  <c r="NNY29" i="7" s="1"/>
  <c r="NOA29" i="7" s="1"/>
  <c r="NOC29" i="7" s="1"/>
  <c r="NOE29" i="7" s="1"/>
  <c r="NOG29" i="7" s="1"/>
  <c r="NOI29" i="7" s="1"/>
  <c r="NOK29" i="7" s="1"/>
  <c r="NOM29" i="7" s="1"/>
  <c r="NOO29" i="7" s="1"/>
  <c r="NOQ29" i="7" s="1"/>
  <c r="NOS29" i="7" s="1"/>
  <c r="NOU29" i="7" s="1"/>
  <c r="NOW29" i="7" s="1"/>
  <c r="NOY29" i="7" s="1"/>
  <c r="NPA29" i="7" s="1"/>
  <c r="NPC29" i="7" s="1"/>
  <c r="NPE29" i="7" s="1"/>
  <c r="NPG29" i="7" s="1"/>
  <c r="NPI29" i="7" s="1"/>
  <c r="NPK29" i="7" s="1"/>
  <c r="NPM29" i="7" s="1"/>
  <c r="NPO29" i="7" s="1"/>
  <c r="NPQ29" i="7" s="1"/>
  <c r="NPS29" i="7" s="1"/>
  <c r="NPU29" i="7" s="1"/>
  <c r="NPW29" i="7" s="1"/>
  <c r="NPY29" i="7" s="1"/>
  <c r="NQA29" i="7" s="1"/>
  <c r="NQC29" i="7" s="1"/>
  <c r="NQE29" i="7" s="1"/>
  <c r="NQG29" i="7" s="1"/>
  <c r="NQI29" i="7" s="1"/>
  <c r="NQK29" i="7" s="1"/>
  <c r="NQM29" i="7" s="1"/>
  <c r="NQO29" i="7" s="1"/>
  <c r="NQQ29" i="7" s="1"/>
  <c r="NQS29" i="7" s="1"/>
  <c r="NQU29" i="7" s="1"/>
  <c r="NQW29" i="7" s="1"/>
  <c r="NQY29" i="7" s="1"/>
  <c r="NRA29" i="7" s="1"/>
  <c r="NRC29" i="7" s="1"/>
  <c r="NRE29" i="7" s="1"/>
  <c r="NRG29" i="7" s="1"/>
  <c r="NRI29" i="7" s="1"/>
  <c r="NRK29" i="7" s="1"/>
  <c r="NRM29" i="7" s="1"/>
  <c r="NRO29" i="7" s="1"/>
  <c r="NRQ29" i="7" s="1"/>
  <c r="NRS29" i="7" s="1"/>
  <c r="NRU29" i="7" s="1"/>
  <c r="NRW29" i="7" s="1"/>
  <c r="NRY29" i="7" s="1"/>
  <c r="NSA29" i="7" s="1"/>
  <c r="NSC29" i="7" s="1"/>
  <c r="NSE29" i="7" s="1"/>
  <c r="NSG29" i="7" s="1"/>
  <c r="NSI29" i="7" s="1"/>
  <c r="NSK29" i="7" s="1"/>
  <c r="NSM29" i="7" s="1"/>
  <c r="NSO29" i="7" s="1"/>
  <c r="NSQ29" i="7" s="1"/>
  <c r="NSS29" i="7" s="1"/>
  <c r="NSU29" i="7" s="1"/>
  <c r="NSW29" i="7" s="1"/>
  <c r="NSY29" i="7" s="1"/>
  <c r="NTA29" i="7" s="1"/>
  <c r="NTC29" i="7" s="1"/>
  <c r="NTE29" i="7" s="1"/>
  <c r="NTG29" i="7" s="1"/>
  <c r="NTI29" i="7" s="1"/>
  <c r="NTK29" i="7" s="1"/>
  <c r="NTM29" i="7" s="1"/>
  <c r="NTO29" i="7" s="1"/>
  <c r="NTQ29" i="7" s="1"/>
  <c r="NTS29" i="7" s="1"/>
  <c r="NTU29" i="7" s="1"/>
  <c r="NTW29" i="7" s="1"/>
  <c r="NTY29" i="7" s="1"/>
  <c r="NUA29" i="7" s="1"/>
  <c r="NUC29" i="7" s="1"/>
  <c r="NUE29" i="7" s="1"/>
  <c r="NUG29" i="7" s="1"/>
  <c r="NUI29" i="7" s="1"/>
  <c r="NUK29" i="7" s="1"/>
  <c r="NUM29" i="7" s="1"/>
  <c r="NUO29" i="7" s="1"/>
  <c r="NUQ29" i="7" s="1"/>
  <c r="NUS29" i="7" s="1"/>
  <c r="NUU29" i="7" s="1"/>
  <c r="NUW29" i="7" s="1"/>
  <c r="NUY29" i="7" s="1"/>
  <c r="NVA29" i="7" s="1"/>
  <c r="NVC29" i="7" s="1"/>
  <c r="NVE29" i="7" s="1"/>
  <c r="NVG29" i="7" s="1"/>
  <c r="NVI29" i="7" s="1"/>
  <c r="NVK29" i="7" s="1"/>
  <c r="NVM29" i="7" s="1"/>
  <c r="NVO29" i="7" s="1"/>
  <c r="NVQ29" i="7" s="1"/>
  <c r="NVS29" i="7" s="1"/>
  <c r="NVU29" i="7" s="1"/>
  <c r="NVW29" i="7" s="1"/>
  <c r="NVY29" i="7" s="1"/>
  <c r="NWA29" i="7" s="1"/>
  <c r="NWC29" i="7" s="1"/>
  <c r="NWE29" i="7" s="1"/>
  <c r="NWG29" i="7" s="1"/>
  <c r="NWI29" i="7" s="1"/>
  <c r="NWK29" i="7" s="1"/>
  <c r="NWM29" i="7" s="1"/>
  <c r="NWO29" i="7" s="1"/>
  <c r="NWQ29" i="7" s="1"/>
  <c r="NWS29" i="7" s="1"/>
  <c r="NWU29" i="7" s="1"/>
  <c r="NWW29" i="7" s="1"/>
  <c r="NWY29" i="7" s="1"/>
  <c r="NXA29" i="7" s="1"/>
  <c r="NXC29" i="7" s="1"/>
  <c r="NXE29" i="7" s="1"/>
  <c r="NXG29" i="7" s="1"/>
  <c r="NXI29" i="7" s="1"/>
  <c r="NXK29" i="7" s="1"/>
  <c r="NXM29" i="7" s="1"/>
  <c r="NXO29" i="7" s="1"/>
  <c r="NXQ29" i="7" s="1"/>
  <c r="NXS29" i="7" s="1"/>
  <c r="NXU29" i="7" s="1"/>
  <c r="NXW29" i="7" s="1"/>
  <c r="NXY29" i="7" s="1"/>
  <c r="NYA29" i="7" s="1"/>
  <c r="NYC29" i="7" s="1"/>
  <c r="NYE29" i="7" s="1"/>
  <c r="NYG29" i="7" s="1"/>
  <c r="NYI29" i="7" s="1"/>
  <c r="NYK29" i="7" s="1"/>
  <c r="NYM29" i="7" s="1"/>
  <c r="NYO29" i="7" s="1"/>
  <c r="NYQ29" i="7" s="1"/>
  <c r="NYS29" i="7" s="1"/>
  <c r="NYU29" i="7" s="1"/>
  <c r="NYW29" i="7" s="1"/>
  <c r="NYY29" i="7" s="1"/>
  <c r="NZA29" i="7" s="1"/>
  <c r="NZC29" i="7" s="1"/>
  <c r="NZE29" i="7" s="1"/>
  <c r="NZG29" i="7" s="1"/>
  <c r="NZI29" i="7" s="1"/>
  <c r="NZK29" i="7" s="1"/>
  <c r="NZM29" i="7" s="1"/>
  <c r="NZO29" i="7" s="1"/>
  <c r="NZQ29" i="7" s="1"/>
  <c r="NZS29" i="7" s="1"/>
  <c r="NZU29" i="7" s="1"/>
  <c r="NZW29" i="7" s="1"/>
  <c r="NZY29" i="7" s="1"/>
  <c r="OAA29" i="7" s="1"/>
  <c r="OAC29" i="7" s="1"/>
  <c r="OAE29" i="7" s="1"/>
  <c r="OAG29" i="7" s="1"/>
  <c r="OAI29" i="7" s="1"/>
  <c r="OAK29" i="7" s="1"/>
  <c r="OAM29" i="7" s="1"/>
  <c r="OAO29" i="7" s="1"/>
  <c r="OAQ29" i="7" s="1"/>
  <c r="OAS29" i="7" s="1"/>
  <c r="OAU29" i="7" s="1"/>
  <c r="OAW29" i="7" s="1"/>
  <c r="OAY29" i="7" s="1"/>
  <c r="OBA29" i="7" s="1"/>
  <c r="OBC29" i="7" s="1"/>
  <c r="OBE29" i="7" s="1"/>
  <c r="OBG29" i="7" s="1"/>
  <c r="OBI29" i="7" s="1"/>
  <c r="OBK29" i="7" s="1"/>
  <c r="OBM29" i="7" s="1"/>
  <c r="OBO29" i="7" s="1"/>
  <c r="OBQ29" i="7" s="1"/>
  <c r="OBS29" i="7" s="1"/>
  <c r="OBU29" i="7" s="1"/>
  <c r="OBW29" i="7" s="1"/>
  <c r="OBY29" i="7" s="1"/>
  <c r="OCA29" i="7" s="1"/>
  <c r="OCC29" i="7" s="1"/>
  <c r="OCE29" i="7" s="1"/>
  <c r="OCG29" i="7" s="1"/>
  <c r="OCI29" i="7" s="1"/>
  <c r="OCK29" i="7" s="1"/>
  <c r="OCM29" i="7" s="1"/>
  <c r="OCO29" i="7" s="1"/>
  <c r="OCQ29" i="7" s="1"/>
  <c r="OCS29" i="7" s="1"/>
  <c r="OCU29" i="7" s="1"/>
  <c r="OCW29" i="7" s="1"/>
  <c r="OCY29" i="7" s="1"/>
  <c r="ODA29" i="7" s="1"/>
  <c r="ODC29" i="7" s="1"/>
  <c r="ODE29" i="7" s="1"/>
  <c r="ODG29" i="7" s="1"/>
  <c r="ODI29" i="7" s="1"/>
  <c r="ODK29" i="7" s="1"/>
  <c r="ODM29" i="7" s="1"/>
  <c r="ODO29" i="7" s="1"/>
  <c r="ODQ29" i="7" s="1"/>
  <c r="ODS29" i="7" s="1"/>
  <c r="ODU29" i="7" s="1"/>
  <c r="ODW29" i="7" s="1"/>
  <c r="ODY29" i="7" s="1"/>
  <c r="OEA29" i="7" s="1"/>
  <c r="OEC29" i="7" s="1"/>
  <c r="OEE29" i="7" s="1"/>
  <c r="OEG29" i="7" s="1"/>
  <c r="OEI29" i="7" s="1"/>
  <c r="OEK29" i="7" s="1"/>
  <c r="OEM29" i="7" s="1"/>
  <c r="OEO29" i="7" s="1"/>
  <c r="OEQ29" i="7" s="1"/>
  <c r="OES29" i="7" s="1"/>
  <c r="OEU29" i="7" s="1"/>
  <c r="OEW29" i="7" s="1"/>
  <c r="OEY29" i="7" s="1"/>
  <c r="OFA29" i="7" s="1"/>
  <c r="OFC29" i="7" s="1"/>
  <c r="OFE29" i="7" s="1"/>
  <c r="OFG29" i="7" s="1"/>
  <c r="OFI29" i="7" s="1"/>
  <c r="OFK29" i="7" s="1"/>
  <c r="OFM29" i="7" s="1"/>
  <c r="OFO29" i="7" s="1"/>
  <c r="OFQ29" i="7" s="1"/>
  <c r="OFS29" i="7" s="1"/>
  <c r="OFU29" i="7" s="1"/>
  <c r="OFW29" i="7" s="1"/>
  <c r="OFY29" i="7" s="1"/>
  <c r="OGA29" i="7" s="1"/>
  <c r="OGC29" i="7" s="1"/>
  <c r="OGE29" i="7" s="1"/>
  <c r="OGG29" i="7" s="1"/>
  <c r="OGI29" i="7" s="1"/>
  <c r="OGK29" i="7" s="1"/>
  <c r="OGM29" i="7" s="1"/>
  <c r="OGO29" i="7" s="1"/>
  <c r="OGQ29" i="7" s="1"/>
  <c r="OGS29" i="7" s="1"/>
  <c r="OGU29" i="7" s="1"/>
  <c r="OGW29" i="7" s="1"/>
  <c r="OGY29" i="7" s="1"/>
  <c r="OHA29" i="7" s="1"/>
  <c r="OHC29" i="7" s="1"/>
  <c r="OHE29" i="7" s="1"/>
  <c r="OHG29" i="7" s="1"/>
  <c r="OHI29" i="7" s="1"/>
  <c r="OHK29" i="7" s="1"/>
  <c r="OHM29" i="7" s="1"/>
  <c r="OHO29" i="7" s="1"/>
  <c r="OHQ29" i="7" s="1"/>
  <c r="OHS29" i="7" s="1"/>
  <c r="OHU29" i="7" s="1"/>
  <c r="OHW29" i="7" s="1"/>
  <c r="OHY29" i="7" s="1"/>
  <c r="OIA29" i="7" s="1"/>
  <c r="OIC29" i="7" s="1"/>
  <c r="OIE29" i="7" s="1"/>
  <c r="OIG29" i="7" s="1"/>
  <c r="OII29" i="7" s="1"/>
  <c r="OIK29" i="7" s="1"/>
  <c r="OIM29" i="7" s="1"/>
  <c r="OIO29" i="7" s="1"/>
  <c r="OIQ29" i="7" s="1"/>
  <c r="OIS29" i="7" s="1"/>
  <c r="OIU29" i="7" s="1"/>
  <c r="OIW29" i="7" s="1"/>
  <c r="OIY29" i="7" s="1"/>
  <c r="OJA29" i="7" s="1"/>
  <c r="OJC29" i="7" s="1"/>
  <c r="OJE29" i="7" s="1"/>
  <c r="OJG29" i="7" s="1"/>
  <c r="OJI29" i="7" s="1"/>
  <c r="OJK29" i="7" s="1"/>
  <c r="OJM29" i="7" s="1"/>
  <c r="OJO29" i="7" s="1"/>
  <c r="OJQ29" i="7" s="1"/>
  <c r="OJS29" i="7" s="1"/>
  <c r="OJU29" i="7" s="1"/>
  <c r="OJW29" i="7" s="1"/>
  <c r="OJY29" i="7" s="1"/>
  <c r="OKA29" i="7" s="1"/>
  <c r="OKC29" i="7" s="1"/>
  <c r="OKE29" i="7" s="1"/>
  <c r="OKG29" i="7" s="1"/>
  <c r="OKI29" i="7" s="1"/>
  <c r="OKK29" i="7" s="1"/>
  <c r="OKM29" i="7" s="1"/>
  <c r="OKO29" i="7" s="1"/>
  <c r="OKQ29" i="7" s="1"/>
  <c r="OKS29" i="7" s="1"/>
  <c r="OKU29" i="7" s="1"/>
  <c r="OKW29" i="7" s="1"/>
  <c r="OKY29" i="7" s="1"/>
  <c r="OLA29" i="7" s="1"/>
  <c r="OLC29" i="7" s="1"/>
  <c r="OLE29" i="7" s="1"/>
  <c r="OLG29" i="7" s="1"/>
  <c r="OLI29" i="7" s="1"/>
  <c r="OLK29" i="7" s="1"/>
  <c r="OLM29" i="7" s="1"/>
  <c r="OLO29" i="7" s="1"/>
  <c r="OLQ29" i="7" s="1"/>
  <c r="OLS29" i="7" s="1"/>
  <c r="OLU29" i="7" s="1"/>
  <c r="OLW29" i="7" s="1"/>
  <c r="OLY29" i="7" s="1"/>
  <c r="OMA29" i="7" s="1"/>
  <c r="OMC29" i="7" s="1"/>
  <c r="OME29" i="7" s="1"/>
  <c r="OMG29" i="7" s="1"/>
  <c r="OMI29" i="7" s="1"/>
  <c r="OMK29" i="7" s="1"/>
  <c r="OMM29" i="7" s="1"/>
  <c r="OMO29" i="7" s="1"/>
  <c r="OMQ29" i="7" s="1"/>
  <c r="OMS29" i="7" s="1"/>
  <c r="OMU29" i="7" s="1"/>
  <c r="OMW29" i="7" s="1"/>
  <c r="OMY29" i="7" s="1"/>
  <c r="ONA29" i="7" s="1"/>
  <c r="ONC29" i="7" s="1"/>
  <c r="ONE29" i="7" s="1"/>
  <c r="ONG29" i="7" s="1"/>
  <c r="ONI29" i="7" s="1"/>
  <c r="ONK29" i="7" s="1"/>
  <c r="ONM29" i="7" s="1"/>
  <c r="ONO29" i="7" s="1"/>
  <c r="ONQ29" i="7" s="1"/>
  <c r="ONS29" i="7" s="1"/>
  <c r="ONU29" i="7" s="1"/>
  <c r="ONW29" i="7" s="1"/>
  <c r="ONY29" i="7" s="1"/>
  <c r="OOA29" i="7" s="1"/>
  <c r="OOC29" i="7" s="1"/>
  <c r="OOE29" i="7" s="1"/>
  <c r="OOG29" i="7" s="1"/>
  <c r="OOI29" i="7" s="1"/>
  <c r="OOK29" i="7" s="1"/>
  <c r="OOM29" i="7" s="1"/>
  <c r="OOO29" i="7" s="1"/>
  <c r="OOQ29" i="7" s="1"/>
  <c r="OOS29" i="7" s="1"/>
  <c r="OOU29" i="7" s="1"/>
  <c r="OOW29" i="7" s="1"/>
  <c r="OOY29" i="7" s="1"/>
  <c r="OPA29" i="7" s="1"/>
  <c r="OPC29" i="7" s="1"/>
  <c r="OPE29" i="7" s="1"/>
  <c r="OPG29" i="7" s="1"/>
  <c r="OPI29" i="7" s="1"/>
  <c r="OPK29" i="7" s="1"/>
  <c r="OPM29" i="7" s="1"/>
  <c r="OPO29" i="7" s="1"/>
  <c r="OPQ29" i="7" s="1"/>
  <c r="OPS29" i="7" s="1"/>
  <c r="OPU29" i="7" s="1"/>
  <c r="OPW29" i="7" s="1"/>
  <c r="OPY29" i="7" s="1"/>
  <c r="OQA29" i="7" s="1"/>
  <c r="OQC29" i="7" s="1"/>
  <c r="OQE29" i="7" s="1"/>
  <c r="OQG29" i="7" s="1"/>
  <c r="OQI29" i="7" s="1"/>
  <c r="OQK29" i="7" s="1"/>
  <c r="OQM29" i="7" s="1"/>
  <c r="OQO29" i="7" s="1"/>
  <c r="OQQ29" i="7" s="1"/>
  <c r="OQS29" i="7" s="1"/>
  <c r="OQU29" i="7" s="1"/>
  <c r="OQW29" i="7" s="1"/>
  <c r="OQY29" i="7" s="1"/>
  <c r="ORA29" i="7" s="1"/>
  <c r="ORC29" i="7" s="1"/>
  <c r="ORE29" i="7" s="1"/>
  <c r="ORG29" i="7" s="1"/>
  <c r="ORI29" i="7" s="1"/>
  <c r="ORK29" i="7" s="1"/>
  <c r="ORM29" i="7" s="1"/>
  <c r="ORO29" i="7" s="1"/>
  <c r="ORQ29" i="7" s="1"/>
  <c r="ORS29" i="7" s="1"/>
  <c r="ORU29" i="7" s="1"/>
  <c r="ORW29" i="7" s="1"/>
  <c r="ORY29" i="7" s="1"/>
  <c r="OSA29" i="7" s="1"/>
  <c r="OSC29" i="7" s="1"/>
  <c r="OSE29" i="7" s="1"/>
  <c r="OSG29" i="7" s="1"/>
  <c r="OSI29" i="7" s="1"/>
  <c r="OSK29" i="7" s="1"/>
  <c r="OSM29" i="7" s="1"/>
  <c r="OSO29" i="7" s="1"/>
  <c r="OSQ29" i="7" s="1"/>
  <c r="OSS29" i="7" s="1"/>
  <c r="OSU29" i="7" s="1"/>
  <c r="OSW29" i="7" s="1"/>
  <c r="OSY29" i="7" s="1"/>
  <c r="OTA29" i="7" s="1"/>
  <c r="OTC29" i="7" s="1"/>
  <c r="OTE29" i="7" s="1"/>
  <c r="OTG29" i="7" s="1"/>
  <c r="OTI29" i="7" s="1"/>
  <c r="OTK29" i="7" s="1"/>
  <c r="OTM29" i="7" s="1"/>
  <c r="OTO29" i="7" s="1"/>
  <c r="OTQ29" i="7" s="1"/>
  <c r="OTS29" i="7" s="1"/>
  <c r="OTU29" i="7" s="1"/>
  <c r="OTW29" i="7" s="1"/>
  <c r="OTY29" i="7" s="1"/>
  <c r="OUA29" i="7" s="1"/>
  <c r="OUC29" i="7" s="1"/>
  <c r="OUE29" i="7" s="1"/>
  <c r="OUG29" i="7" s="1"/>
  <c r="OUI29" i="7" s="1"/>
  <c r="OUK29" i="7" s="1"/>
  <c r="OUM29" i="7" s="1"/>
  <c r="OUO29" i="7" s="1"/>
  <c r="OUQ29" i="7" s="1"/>
  <c r="OUS29" i="7" s="1"/>
  <c r="OUU29" i="7" s="1"/>
  <c r="OUW29" i="7" s="1"/>
  <c r="OUY29" i="7" s="1"/>
  <c r="OVA29" i="7" s="1"/>
  <c r="OVC29" i="7" s="1"/>
  <c r="OVE29" i="7" s="1"/>
  <c r="OVG29" i="7" s="1"/>
  <c r="OVI29" i="7" s="1"/>
  <c r="OVK29" i="7" s="1"/>
  <c r="OVM29" i="7" s="1"/>
  <c r="OVO29" i="7" s="1"/>
  <c r="OVQ29" i="7" s="1"/>
  <c r="OVS29" i="7" s="1"/>
  <c r="OVU29" i="7" s="1"/>
  <c r="OVW29" i="7" s="1"/>
  <c r="OVY29" i="7" s="1"/>
  <c r="OWA29" i="7" s="1"/>
  <c r="OWC29" i="7" s="1"/>
  <c r="OWE29" i="7" s="1"/>
  <c r="OWG29" i="7" s="1"/>
  <c r="OWI29" i="7" s="1"/>
  <c r="OWK29" i="7" s="1"/>
  <c r="OWM29" i="7" s="1"/>
  <c r="OWO29" i="7" s="1"/>
  <c r="OWQ29" i="7" s="1"/>
  <c r="OWS29" i="7" s="1"/>
  <c r="OWU29" i="7" s="1"/>
  <c r="OWW29" i="7" s="1"/>
  <c r="OWY29" i="7" s="1"/>
  <c r="OXA29" i="7" s="1"/>
  <c r="OXC29" i="7" s="1"/>
  <c r="OXE29" i="7" s="1"/>
  <c r="OXG29" i="7" s="1"/>
  <c r="OXI29" i="7" s="1"/>
  <c r="OXK29" i="7" s="1"/>
  <c r="OXM29" i="7" s="1"/>
  <c r="OXO29" i="7" s="1"/>
  <c r="OXQ29" i="7" s="1"/>
  <c r="OXS29" i="7" s="1"/>
  <c r="OXU29" i="7" s="1"/>
  <c r="OXW29" i="7" s="1"/>
  <c r="OXY29" i="7" s="1"/>
  <c r="OYA29" i="7" s="1"/>
  <c r="OYC29" i="7" s="1"/>
  <c r="OYE29" i="7" s="1"/>
  <c r="OYG29" i="7" s="1"/>
  <c r="OYI29" i="7" s="1"/>
  <c r="OYK29" i="7" s="1"/>
  <c r="OYM29" i="7" s="1"/>
  <c r="OYO29" i="7" s="1"/>
  <c r="OYQ29" i="7" s="1"/>
  <c r="OYS29" i="7" s="1"/>
  <c r="OYU29" i="7" s="1"/>
  <c r="OYW29" i="7" s="1"/>
  <c r="OYY29" i="7" s="1"/>
  <c r="OZA29" i="7" s="1"/>
  <c r="OZC29" i="7" s="1"/>
  <c r="OZE29" i="7" s="1"/>
  <c r="OZG29" i="7" s="1"/>
  <c r="OZI29" i="7" s="1"/>
  <c r="OZK29" i="7" s="1"/>
  <c r="OZM29" i="7" s="1"/>
  <c r="OZO29" i="7" s="1"/>
  <c r="OZQ29" i="7" s="1"/>
  <c r="OZS29" i="7" s="1"/>
  <c r="OZU29" i="7" s="1"/>
  <c r="OZW29" i="7" s="1"/>
  <c r="OZY29" i="7" s="1"/>
  <c r="PAA29" i="7" s="1"/>
  <c r="PAC29" i="7" s="1"/>
  <c r="PAE29" i="7" s="1"/>
  <c r="PAG29" i="7" s="1"/>
  <c r="PAI29" i="7" s="1"/>
  <c r="PAK29" i="7" s="1"/>
  <c r="PAM29" i="7" s="1"/>
  <c r="PAO29" i="7" s="1"/>
  <c r="PAQ29" i="7" s="1"/>
  <c r="PAS29" i="7" s="1"/>
  <c r="PAU29" i="7" s="1"/>
  <c r="PAW29" i="7" s="1"/>
  <c r="PAY29" i="7" s="1"/>
  <c r="PBA29" i="7" s="1"/>
  <c r="PBC29" i="7" s="1"/>
  <c r="PBE29" i="7" s="1"/>
  <c r="PBG29" i="7" s="1"/>
  <c r="PBI29" i="7" s="1"/>
  <c r="PBK29" i="7" s="1"/>
  <c r="PBM29" i="7" s="1"/>
  <c r="PBO29" i="7" s="1"/>
  <c r="PBQ29" i="7" s="1"/>
  <c r="PBS29" i="7" s="1"/>
  <c r="PBU29" i="7" s="1"/>
  <c r="PBW29" i="7" s="1"/>
  <c r="PBY29" i="7" s="1"/>
  <c r="PCA29" i="7" s="1"/>
  <c r="PCC29" i="7" s="1"/>
  <c r="PCE29" i="7" s="1"/>
  <c r="PCG29" i="7" s="1"/>
  <c r="PCI29" i="7" s="1"/>
  <c r="PCK29" i="7" s="1"/>
  <c r="PCM29" i="7" s="1"/>
  <c r="PCO29" i="7" s="1"/>
  <c r="PCQ29" i="7" s="1"/>
  <c r="PCS29" i="7" s="1"/>
  <c r="PCU29" i="7" s="1"/>
  <c r="PCW29" i="7" s="1"/>
  <c r="PCY29" i="7" s="1"/>
  <c r="PDA29" i="7" s="1"/>
  <c r="PDC29" i="7" s="1"/>
  <c r="PDE29" i="7" s="1"/>
  <c r="PDG29" i="7" s="1"/>
  <c r="PDI29" i="7" s="1"/>
  <c r="PDK29" i="7" s="1"/>
  <c r="PDM29" i="7" s="1"/>
  <c r="PDO29" i="7" s="1"/>
  <c r="PDQ29" i="7" s="1"/>
  <c r="PDS29" i="7" s="1"/>
  <c r="PDU29" i="7" s="1"/>
  <c r="PDW29" i="7" s="1"/>
  <c r="PDY29" i="7" s="1"/>
  <c r="PEA29" i="7" s="1"/>
  <c r="PEC29" i="7" s="1"/>
  <c r="PEE29" i="7" s="1"/>
  <c r="PEG29" i="7" s="1"/>
  <c r="PEI29" i="7" s="1"/>
  <c r="PEK29" i="7" s="1"/>
  <c r="PEM29" i="7" s="1"/>
  <c r="PEO29" i="7" s="1"/>
  <c r="PEQ29" i="7" s="1"/>
  <c r="PES29" i="7" s="1"/>
  <c r="PEU29" i="7" s="1"/>
  <c r="PEW29" i="7" s="1"/>
  <c r="PEY29" i="7" s="1"/>
  <c r="PFA29" i="7" s="1"/>
  <c r="PFC29" i="7" s="1"/>
  <c r="PFE29" i="7" s="1"/>
  <c r="PFG29" i="7" s="1"/>
  <c r="PFI29" i="7" s="1"/>
  <c r="PFK29" i="7" s="1"/>
  <c r="PFM29" i="7" s="1"/>
  <c r="PFO29" i="7" s="1"/>
  <c r="PFQ29" i="7" s="1"/>
  <c r="PFS29" i="7" s="1"/>
  <c r="PFU29" i="7" s="1"/>
  <c r="PFW29" i="7" s="1"/>
  <c r="PFY29" i="7" s="1"/>
  <c r="PGA29" i="7" s="1"/>
  <c r="PGC29" i="7" s="1"/>
  <c r="PGE29" i="7" s="1"/>
  <c r="PGG29" i="7" s="1"/>
  <c r="PGI29" i="7" s="1"/>
  <c r="PGK29" i="7" s="1"/>
  <c r="PGM29" i="7" s="1"/>
  <c r="PGO29" i="7" s="1"/>
  <c r="PGQ29" i="7" s="1"/>
  <c r="PGS29" i="7" s="1"/>
  <c r="PGU29" i="7" s="1"/>
  <c r="PGW29" i="7" s="1"/>
  <c r="PGY29" i="7" s="1"/>
  <c r="PHA29" i="7" s="1"/>
  <c r="PHC29" i="7" s="1"/>
  <c r="PHE29" i="7" s="1"/>
  <c r="PHG29" i="7" s="1"/>
  <c r="PHI29" i="7" s="1"/>
  <c r="PHK29" i="7" s="1"/>
  <c r="PHM29" i="7" s="1"/>
  <c r="PHO29" i="7" s="1"/>
  <c r="PHQ29" i="7" s="1"/>
  <c r="PHS29" i="7" s="1"/>
  <c r="PHU29" i="7" s="1"/>
  <c r="PHW29" i="7" s="1"/>
  <c r="PHY29" i="7" s="1"/>
  <c r="PIA29" i="7" s="1"/>
  <c r="PIC29" i="7" s="1"/>
  <c r="PIE29" i="7" s="1"/>
  <c r="PIG29" i="7" s="1"/>
  <c r="PII29" i="7" s="1"/>
  <c r="PIK29" i="7" s="1"/>
  <c r="PIM29" i="7" s="1"/>
  <c r="PIO29" i="7" s="1"/>
  <c r="PIQ29" i="7" s="1"/>
  <c r="PIS29" i="7" s="1"/>
  <c r="PIU29" i="7" s="1"/>
  <c r="PIW29" i="7" s="1"/>
  <c r="PIY29" i="7" s="1"/>
  <c r="PJA29" i="7" s="1"/>
  <c r="PJC29" i="7" s="1"/>
  <c r="PJE29" i="7" s="1"/>
  <c r="PJG29" i="7" s="1"/>
  <c r="PJI29" i="7" s="1"/>
  <c r="PJK29" i="7" s="1"/>
  <c r="PJM29" i="7" s="1"/>
  <c r="PJO29" i="7" s="1"/>
  <c r="PJQ29" i="7" s="1"/>
  <c r="PJS29" i="7" s="1"/>
  <c r="PJU29" i="7" s="1"/>
  <c r="PJW29" i="7" s="1"/>
  <c r="PJY29" i="7" s="1"/>
  <c r="PKA29" i="7" s="1"/>
  <c r="PKC29" i="7" s="1"/>
  <c r="PKE29" i="7" s="1"/>
  <c r="PKG29" i="7" s="1"/>
  <c r="PKI29" i="7" s="1"/>
  <c r="PKK29" i="7" s="1"/>
  <c r="PKM29" i="7" s="1"/>
  <c r="PKO29" i="7" s="1"/>
  <c r="PKQ29" i="7" s="1"/>
  <c r="PKS29" i="7" s="1"/>
  <c r="PKU29" i="7" s="1"/>
  <c r="PKW29" i="7" s="1"/>
  <c r="PKY29" i="7" s="1"/>
  <c r="PLA29" i="7" s="1"/>
  <c r="PLC29" i="7" s="1"/>
  <c r="PLE29" i="7" s="1"/>
  <c r="PLG29" i="7" s="1"/>
  <c r="PLI29" i="7" s="1"/>
  <c r="PLK29" i="7" s="1"/>
  <c r="PLM29" i="7" s="1"/>
  <c r="PLO29" i="7" s="1"/>
  <c r="PLQ29" i="7" s="1"/>
  <c r="PLS29" i="7" s="1"/>
  <c r="PLU29" i="7" s="1"/>
  <c r="PLW29" i="7" s="1"/>
  <c r="PLY29" i="7" s="1"/>
  <c r="PMA29" i="7" s="1"/>
  <c r="PMC29" i="7" s="1"/>
  <c r="PME29" i="7" s="1"/>
  <c r="PMG29" i="7" s="1"/>
  <c r="PMI29" i="7" s="1"/>
  <c r="PMK29" i="7" s="1"/>
  <c r="PMM29" i="7" s="1"/>
  <c r="PMO29" i="7" s="1"/>
  <c r="PMQ29" i="7" s="1"/>
  <c r="PMS29" i="7" s="1"/>
  <c r="PMU29" i="7" s="1"/>
  <c r="PMW29" i="7" s="1"/>
  <c r="PMY29" i="7" s="1"/>
  <c r="PNA29" i="7" s="1"/>
  <c r="PNC29" i="7" s="1"/>
  <c r="PNE29" i="7" s="1"/>
  <c r="PNG29" i="7" s="1"/>
  <c r="PNI29" i="7" s="1"/>
  <c r="PNK29" i="7" s="1"/>
  <c r="PNM29" i="7" s="1"/>
  <c r="PNO29" i="7" s="1"/>
  <c r="PNQ29" i="7" s="1"/>
  <c r="PNS29" i="7" s="1"/>
  <c r="PNU29" i="7" s="1"/>
  <c r="PNW29" i="7" s="1"/>
  <c r="PNY29" i="7" s="1"/>
  <c r="POA29" i="7" s="1"/>
  <c r="POC29" i="7" s="1"/>
  <c r="POE29" i="7" s="1"/>
  <c r="POG29" i="7" s="1"/>
  <c r="POI29" i="7" s="1"/>
  <c r="POK29" i="7" s="1"/>
  <c r="POM29" i="7" s="1"/>
  <c r="POO29" i="7" s="1"/>
  <c r="POQ29" i="7" s="1"/>
  <c r="POS29" i="7" s="1"/>
  <c r="POU29" i="7" s="1"/>
  <c r="POW29" i="7" s="1"/>
  <c r="POY29" i="7" s="1"/>
  <c r="PPA29" i="7" s="1"/>
  <c r="PPC29" i="7" s="1"/>
  <c r="PPE29" i="7" s="1"/>
  <c r="PPG29" i="7" s="1"/>
  <c r="PPI29" i="7" s="1"/>
  <c r="PPK29" i="7" s="1"/>
  <c r="PPM29" i="7" s="1"/>
  <c r="PPO29" i="7" s="1"/>
  <c r="PPQ29" i="7" s="1"/>
  <c r="PPS29" i="7" s="1"/>
  <c r="PPU29" i="7" s="1"/>
  <c r="PPW29" i="7" s="1"/>
  <c r="PPY29" i="7" s="1"/>
  <c r="PQA29" i="7" s="1"/>
  <c r="PQC29" i="7" s="1"/>
  <c r="PQE29" i="7" s="1"/>
  <c r="PQG29" i="7" s="1"/>
  <c r="PQI29" i="7" s="1"/>
  <c r="PQK29" i="7" s="1"/>
  <c r="PQM29" i="7" s="1"/>
  <c r="PQO29" i="7" s="1"/>
  <c r="PQQ29" i="7" s="1"/>
  <c r="PQS29" i="7" s="1"/>
  <c r="PQU29" i="7" s="1"/>
  <c r="PQW29" i="7" s="1"/>
  <c r="PQY29" i="7" s="1"/>
  <c r="PRA29" i="7" s="1"/>
  <c r="PRC29" i="7" s="1"/>
  <c r="PRE29" i="7" s="1"/>
  <c r="PRG29" i="7" s="1"/>
  <c r="PRI29" i="7" s="1"/>
  <c r="PRK29" i="7" s="1"/>
  <c r="PRM29" i="7" s="1"/>
  <c r="PRO29" i="7" s="1"/>
  <c r="PRQ29" i="7" s="1"/>
  <c r="PRS29" i="7" s="1"/>
  <c r="PRU29" i="7" s="1"/>
  <c r="PRW29" i="7" s="1"/>
  <c r="PRY29" i="7" s="1"/>
  <c r="PSA29" i="7" s="1"/>
  <c r="PSC29" i="7" s="1"/>
  <c r="PSE29" i="7" s="1"/>
  <c r="PSG29" i="7" s="1"/>
  <c r="PSI29" i="7" s="1"/>
  <c r="PSK29" i="7" s="1"/>
  <c r="PSM29" i="7" s="1"/>
  <c r="PSO29" i="7" s="1"/>
  <c r="PSQ29" i="7" s="1"/>
  <c r="PSS29" i="7" s="1"/>
  <c r="PSU29" i="7" s="1"/>
  <c r="PSW29" i="7" s="1"/>
  <c r="PSY29" i="7" s="1"/>
  <c r="PTA29" i="7" s="1"/>
  <c r="PTC29" i="7" s="1"/>
  <c r="PTE29" i="7" s="1"/>
  <c r="PTG29" i="7" s="1"/>
  <c r="PTI29" i="7" s="1"/>
  <c r="PTK29" i="7" s="1"/>
  <c r="PTM29" i="7" s="1"/>
  <c r="PTO29" i="7" s="1"/>
  <c r="PTQ29" i="7" s="1"/>
  <c r="PTS29" i="7" s="1"/>
  <c r="PTU29" i="7" s="1"/>
  <c r="PTW29" i="7" s="1"/>
  <c r="PTY29" i="7" s="1"/>
  <c r="PUA29" i="7" s="1"/>
  <c r="PUC29" i="7" s="1"/>
  <c r="PUE29" i="7" s="1"/>
  <c r="PUG29" i="7" s="1"/>
  <c r="PUI29" i="7" s="1"/>
  <c r="PUK29" i="7" s="1"/>
  <c r="PUM29" i="7" s="1"/>
  <c r="PUO29" i="7" s="1"/>
  <c r="PUQ29" i="7" s="1"/>
  <c r="PUS29" i="7" s="1"/>
  <c r="PUU29" i="7" s="1"/>
  <c r="PUW29" i="7" s="1"/>
  <c r="PUY29" i="7" s="1"/>
  <c r="PVA29" i="7" s="1"/>
  <c r="PVC29" i="7" s="1"/>
  <c r="PVE29" i="7" s="1"/>
  <c r="PVG29" i="7" s="1"/>
  <c r="PVI29" i="7" s="1"/>
  <c r="PVK29" i="7" s="1"/>
  <c r="PVM29" i="7" s="1"/>
  <c r="PVO29" i="7" s="1"/>
  <c r="PVQ29" i="7" s="1"/>
  <c r="PVS29" i="7" s="1"/>
  <c r="PVU29" i="7" s="1"/>
  <c r="PVW29" i="7" s="1"/>
  <c r="PVY29" i="7" s="1"/>
  <c r="PWA29" i="7" s="1"/>
  <c r="PWC29" i="7" s="1"/>
  <c r="PWE29" i="7" s="1"/>
  <c r="PWG29" i="7" s="1"/>
  <c r="PWI29" i="7" s="1"/>
  <c r="PWK29" i="7" s="1"/>
  <c r="PWM29" i="7" s="1"/>
  <c r="PWO29" i="7" s="1"/>
  <c r="PWQ29" i="7" s="1"/>
  <c r="PWS29" i="7" s="1"/>
  <c r="PWU29" i="7" s="1"/>
  <c r="PWW29" i="7" s="1"/>
  <c r="PWY29" i="7" s="1"/>
  <c r="PXA29" i="7" s="1"/>
  <c r="PXC29" i="7" s="1"/>
  <c r="PXE29" i="7" s="1"/>
  <c r="PXG29" i="7" s="1"/>
  <c r="PXI29" i="7" s="1"/>
  <c r="PXK29" i="7" s="1"/>
  <c r="PXM29" i="7" s="1"/>
  <c r="PXO29" i="7" s="1"/>
  <c r="PXQ29" i="7" s="1"/>
  <c r="PXS29" i="7" s="1"/>
  <c r="PXU29" i="7" s="1"/>
  <c r="PXW29" i="7" s="1"/>
  <c r="PXY29" i="7" s="1"/>
  <c r="PYA29" i="7" s="1"/>
  <c r="PYC29" i="7" s="1"/>
  <c r="PYE29" i="7" s="1"/>
  <c r="PYG29" i="7" s="1"/>
  <c r="PYI29" i="7" s="1"/>
  <c r="PYK29" i="7" s="1"/>
  <c r="PYM29" i="7" s="1"/>
  <c r="PYO29" i="7" s="1"/>
  <c r="PYQ29" i="7" s="1"/>
  <c r="PYS29" i="7" s="1"/>
  <c r="PYU29" i="7" s="1"/>
  <c r="PYW29" i="7" s="1"/>
  <c r="PYY29" i="7" s="1"/>
  <c r="PZA29" i="7" s="1"/>
  <c r="PZC29" i="7" s="1"/>
  <c r="PZE29" i="7" s="1"/>
  <c r="PZG29" i="7" s="1"/>
  <c r="PZI29" i="7" s="1"/>
  <c r="PZK29" i="7" s="1"/>
  <c r="PZM29" i="7" s="1"/>
  <c r="PZO29" i="7" s="1"/>
  <c r="PZQ29" i="7" s="1"/>
  <c r="PZS29" i="7" s="1"/>
  <c r="PZU29" i="7" s="1"/>
  <c r="PZW29" i="7" s="1"/>
  <c r="PZY29" i="7" s="1"/>
  <c r="QAA29" i="7" s="1"/>
  <c r="QAC29" i="7" s="1"/>
  <c r="QAE29" i="7" s="1"/>
  <c r="QAG29" i="7" s="1"/>
  <c r="QAI29" i="7" s="1"/>
  <c r="QAK29" i="7" s="1"/>
  <c r="QAM29" i="7" s="1"/>
  <c r="QAO29" i="7" s="1"/>
  <c r="QAQ29" i="7" s="1"/>
  <c r="QAS29" i="7" s="1"/>
  <c r="QAU29" i="7" s="1"/>
  <c r="QAW29" i="7" s="1"/>
  <c r="QAY29" i="7" s="1"/>
  <c r="QBA29" i="7" s="1"/>
  <c r="QBC29" i="7" s="1"/>
  <c r="QBE29" i="7" s="1"/>
  <c r="QBG29" i="7" s="1"/>
  <c r="QBI29" i="7" s="1"/>
  <c r="QBK29" i="7" s="1"/>
  <c r="QBM29" i="7" s="1"/>
  <c r="QBO29" i="7" s="1"/>
  <c r="QBQ29" i="7" s="1"/>
  <c r="QBS29" i="7" s="1"/>
  <c r="QBU29" i="7" s="1"/>
  <c r="QBW29" i="7" s="1"/>
  <c r="QBY29" i="7" s="1"/>
  <c r="QCA29" i="7" s="1"/>
  <c r="QCC29" i="7" s="1"/>
  <c r="QCE29" i="7" s="1"/>
  <c r="QCG29" i="7" s="1"/>
  <c r="QCI29" i="7" s="1"/>
  <c r="QCK29" i="7" s="1"/>
  <c r="QCM29" i="7" s="1"/>
  <c r="QCO29" i="7" s="1"/>
  <c r="QCQ29" i="7" s="1"/>
  <c r="QCS29" i="7" s="1"/>
  <c r="QCU29" i="7" s="1"/>
  <c r="QCW29" i="7" s="1"/>
  <c r="QCY29" i="7" s="1"/>
  <c r="QDA29" i="7" s="1"/>
  <c r="QDC29" i="7" s="1"/>
  <c r="QDE29" i="7" s="1"/>
  <c r="QDG29" i="7" s="1"/>
  <c r="QDI29" i="7" s="1"/>
  <c r="QDK29" i="7" s="1"/>
  <c r="QDM29" i="7" s="1"/>
  <c r="QDO29" i="7" s="1"/>
  <c r="QDQ29" i="7" s="1"/>
  <c r="QDS29" i="7" s="1"/>
  <c r="QDU29" i="7" s="1"/>
  <c r="QDW29" i="7" s="1"/>
  <c r="QDY29" i="7" s="1"/>
  <c r="QEA29" i="7" s="1"/>
  <c r="QEC29" i="7" s="1"/>
  <c r="QEE29" i="7" s="1"/>
  <c r="QEG29" i="7" s="1"/>
  <c r="QEI29" i="7" s="1"/>
  <c r="QEK29" i="7" s="1"/>
  <c r="QEM29" i="7" s="1"/>
  <c r="QEO29" i="7" s="1"/>
  <c r="QEQ29" i="7" s="1"/>
  <c r="QES29" i="7" s="1"/>
  <c r="QEU29" i="7" s="1"/>
  <c r="QEW29" i="7" s="1"/>
  <c r="QEY29" i="7" s="1"/>
  <c r="QFA29" i="7" s="1"/>
  <c r="QFC29" i="7" s="1"/>
  <c r="QFE29" i="7" s="1"/>
  <c r="QFG29" i="7" s="1"/>
  <c r="QFI29" i="7" s="1"/>
  <c r="QFK29" i="7" s="1"/>
  <c r="QFM29" i="7" s="1"/>
  <c r="QFO29" i="7" s="1"/>
  <c r="QFQ29" i="7" s="1"/>
  <c r="QFS29" i="7" s="1"/>
  <c r="QFU29" i="7" s="1"/>
  <c r="QFW29" i="7" s="1"/>
  <c r="QFY29" i="7" s="1"/>
  <c r="QGA29" i="7" s="1"/>
  <c r="QGC29" i="7" s="1"/>
  <c r="QGE29" i="7" s="1"/>
  <c r="QGG29" i="7" s="1"/>
  <c r="QGI29" i="7" s="1"/>
  <c r="QGK29" i="7" s="1"/>
  <c r="QGM29" i="7" s="1"/>
  <c r="QGO29" i="7" s="1"/>
  <c r="QGQ29" i="7" s="1"/>
  <c r="QGS29" i="7" s="1"/>
  <c r="QGU29" i="7" s="1"/>
  <c r="QGW29" i="7" s="1"/>
  <c r="QGY29" i="7" s="1"/>
  <c r="QHA29" i="7" s="1"/>
  <c r="QHC29" i="7" s="1"/>
  <c r="QHE29" i="7" s="1"/>
  <c r="QHG29" i="7" s="1"/>
  <c r="QHI29" i="7" s="1"/>
  <c r="QHK29" i="7" s="1"/>
  <c r="QHM29" i="7" s="1"/>
  <c r="QHO29" i="7" s="1"/>
  <c r="QHQ29" i="7" s="1"/>
  <c r="QHS29" i="7" s="1"/>
  <c r="QHU29" i="7" s="1"/>
  <c r="QHW29" i="7" s="1"/>
  <c r="QHY29" i="7" s="1"/>
  <c r="QIA29" i="7" s="1"/>
  <c r="QIC29" i="7" s="1"/>
  <c r="QIE29" i="7" s="1"/>
  <c r="QIG29" i="7" s="1"/>
  <c r="QII29" i="7" s="1"/>
  <c r="QIK29" i="7" s="1"/>
  <c r="QIM29" i="7" s="1"/>
  <c r="QIO29" i="7" s="1"/>
  <c r="QIQ29" i="7" s="1"/>
  <c r="QIS29" i="7" s="1"/>
  <c r="QIU29" i="7" s="1"/>
  <c r="QIW29" i="7" s="1"/>
  <c r="QIY29" i="7" s="1"/>
  <c r="QJA29" i="7" s="1"/>
  <c r="QJC29" i="7" s="1"/>
  <c r="QJE29" i="7" s="1"/>
  <c r="QJG29" i="7" s="1"/>
  <c r="QJI29" i="7" s="1"/>
  <c r="QJK29" i="7" s="1"/>
  <c r="QJM29" i="7" s="1"/>
  <c r="QJO29" i="7" s="1"/>
  <c r="QJQ29" i="7" s="1"/>
  <c r="QJS29" i="7" s="1"/>
  <c r="QJU29" i="7" s="1"/>
  <c r="QJW29" i="7" s="1"/>
  <c r="QJY29" i="7" s="1"/>
  <c r="QKA29" i="7" s="1"/>
  <c r="QKC29" i="7" s="1"/>
  <c r="QKE29" i="7" s="1"/>
  <c r="QKG29" i="7" s="1"/>
  <c r="QKI29" i="7" s="1"/>
  <c r="QKK29" i="7" s="1"/>
  <c r="QKM29" i="7" s="1"/>
  <c r="QKO29" i="7" s="1"/>
  <c r="QKQ29" i="7" s="1"/>
  <c r="QKS29" i="7" s="1"/>
  <c r="QKU29" i="7" s="1"/>
  <c r="QKW29" i="7" s="1"/>
  <c r="QKY29" i="7" s="1"/>
  <c r="QLA29" i="7" s="1"/>
  <c r="QLC29" i="7" s="1"/>
  <c r="QLE29" i="7" s="1"/>
  <c r="QLG29" i="7" s="1"/>
  <c r="QLI29" i="7" s="1"/>
  <c r="QLK29" i="7" s="1"/>
  <c r="QLM29" i="7" s="1"/>
  <c r="QLO29" i="7" s="1"/>
  <c r="QLQ29" i="7" s="1"/>
  <c r="QLS29" i="7" s="1"/>
  <c r="QLU29" i="7" s="1"/>
  <c r="QLW29" i="7" s="1"/>
  <c r="QLY29" i="7" s="1"/>
  <c r="QMA29" i="7" s="1"/>
  <c r="QMC29" i="7" s="1"/>
  <c r="QME29" i="7" s="1"/>
  <c r="QMG29" i="7" s="1"/>
  <c r="QMI29" i="7" s="1"/>
  <c r="QMK29" i="7" s="1"/>
  <c r="QMM29" i="7" s="1"/>
  <c r="QMO29" i="7" s="1"/>
  <c r="QMQ29" i="7" s="1"/>
  <c r="QMS29" i="7" s="1"/>
  <c r="QMU29" i="7" s="1"/>
  <c r="QMW29" i="7" s="1"/>
  <c r="QMY29" i="7" s="1"/>
  <c r="QNA29" i="7" s="1"/>
  <c r="QNC29" i="7" s="1"/>
  <c r="QNE29" i="7" s="1"/>
  <c r="QNG29" i="7" s="1"/>
  <c r="QNI29" i="7" s="1"/>
  <c r="QNK29" i="7" s="1"/>
  <c r="QNM29" i="7" s="1"/>
  <c r="QNO29" i="7" s="1"/>
  <c r="QNQ29" i="7" s="1"/>
  <c r="QNS29" i="7" s="1"/>
  <c r="QNU29" i="7" s="1"/>
  <c r="QNW29" i="7" s="1"/>
  <c r="QNY29" i="7" s="1"/>
  <c r="QOA29" i="7" s="1"/>
  <c r="QOC29" i="7" s="1"/>
  <c r="QOE29" i="7" s="1"/>
  <c r="QOG29" i="7" s="1"/>
  <c r="QOI29" i="7" s="1"/>
  <c r="QOK29" i="7" s="1"/>
  <c r="QOM29" i="7" s="1"/>
  <c r="QOO29" i="7" s="1"/>
  <c r="QOQ29" i="7" s="1"/>
  <c r="QOS29" i="7" s="1"/>
  <c r="QOU29" i="7" s="1"/>
  <c r="QOW29" i="7" s="1"/>
  <c r="QOY29" i="7" s="1"/>
  <c r="QPA29" i="7" s="1"/>
  <c r="QPC29" i="7" s="1"/>
  <c r="QPE29" i="7" s="1"/>
  <c r="QPG29" i="7" s="1"/>
  <c r="QPI29" i="7" s="1"/>
  <c r="QPK29" i="7" s="1"/>
  <c r="QPM29" i="7" s="1"/>
  <c r="QPO29" i="7" s="1"/>
  <c r="QPQ29" i="7" s="1"/>
  <c r="QPS29" i="7" s="1"/>
  <c r="QPU29" i="7" s="1"/>
  <c r="QPW29" i="7" s="1"/>
  <c r="QPY29" i="7" s="1"/>
  <c r="QQA29" i="7" s="1"/>
  <c r="QQC29" i="7" s="1"/>
  <c r="QQE29" i="7" s="1"/>
  <c r="QQG29" i="7" s="1"/>
  <c r="QQI29" i="7" s="1"/>
  <c r="QQK29" i="7" s="1"/>
  <c r="QQM29" i="7" s="1"/>
  <c r="QQO29" i="7" s="1"/>
  <c r="QQQ29" i="7" s="1"/>
  <c r="QQS29" i="7" s="1"/>
  <c r="QQU29" i="7" s="1"/>
  <c r="QQW29" i="7" s="1"/>
  <c r="QQY29" i="7" s="1"/>
  <c r="QRA29" i="7" s="1"/>
  <c r="QRC29" i="7" s="1"/>
  <c r="QRE29" i="7" s="1"/>
  <c r="QRG29" i="7" s="1"/>
  <c r="QRI29" i="7" s="1"/>
  <c r="QRK29" i="7" s="1"/>
  <c r="QRM29" i="7" s="1"/>
  <c r="QRO29" i="7" s="1"/>
  <c r="QRQ29" i="7" s="1"/>
  <c r="QRS29" i="7" s="1"/>
  <c r="QRU29" i="7" s="1"/>
  <c r="QRW29" i="7" s="1"/>
  <c r="QRY29" i="7" s="1"/>
  <c r="QSA29" i="7" s="1"/>
  <c r="QSC29" i="7" s="1"/>
  <c r="QSE29" i="7" s="1"/>
  <c r="QSG29" i="7" s="1"/>
  <c r="QSI29" i="7" s="1"/>
  <c r="QSK29" i="7" s="1"/>
  <c r="QSM29" i="7" s="1"/>
  <c r="QSO29" i="7" s="1"/>
  <c r="QSQ29" i="7" s="1"/>
  <c r="QSS29" i="7" s="1"/>
  <c r="QSU29" i="7" s="1"/>
  <c r="QSW29" i="7" s="1"/>
  <c r="QSY29" i="7" s="1"/>
  <c r="QTA29" i="7" s="1"/>
  <c r="QTC29" i="7" s="1"/>
  <c r="QTE29" i="7" s="1"/>
  <c r="QTG29" i="7" s="1"/>
  <c r="QTI29" i="7" s="1"/>
  <c r="QTK29" i="7" s="1"/>
  <c r="QTM29" i="7" s="1"/>
  <c r="QTO29" i="7" s="1"/>
  <c r="QTQ29" i="7" s="1"/>
  <c r="QTS29" i="7" s="1"/>
  <c r="QTU29" i="7" s="1"/>
  <c r="QTW29" i="7" s="1"/>
  <c r="QTY29" i="7" s="1"/>
  <c r="QUA29" i="7" s="1"/>
  <c r="QUC29" i="7" s="1"/>
  <c r="QUE29" i="7" s="1"/>
  <c r="QUG29" i="7" s="1"/>
  <c r="QUI29" i="7" s="1"/>
  <c r="QUK29" i="7" s="1"/>
  <c r="QUM29" i="7" s="1"/>
  <c r="QUO29" i="7" s="1"/>
  <c r="QUQ29" i="7" s="1"/>
  <c r="QUS29" i="7" s="1"/>
  <c r="QUU29" i="7" s="1"/>
  <c r="QUW29" i="7" s="1"/>
  <c r="QUY29" i="7" s="1"/>
  <c r="QVA29" i="7" s="1"/>
  <c r="QVC29" i="7" s="1"/>
  <c r="QVE29" i="7" s="1"/>
  <c r="QVG29" i="7" s="1"/>
  <c r="QVI29" i="7" s="1"/>
  <c r="QVK29" i="7" s="1"/>
  <c r="QVM29" i="7" s="1"/>
  <c r="QVO29" i="7" s="1"/>
  <c r="QVQ29" i="7" s="1"/>
  <c r="QVS29" i="7" s="1"/>
  <c r="QVU29" i="7" s="1"/>
  <c r="QVW29" i="7" s="1"/>
  <c r="QVY29" i="7" s="1"/>
  <c r="QWA29" i="7" s="1"/>
  <c r="QWC29" i="7" s="1"/>
  <c r="QWE29" i="7" s="1"/>
  <c r="QWG29" i="7" s="1"/>
  <c r="QWI29" i="7" s="1"/>
  <c r="QWK29" i="7" s="1"/>
  <c r="QWM29" i="7" s="1"/>
  <c r="QWO29" i="7" s="1"/>
  <c r="QWQ29" i="7" s="1"/>
  <c r="QWS29" i="7" s="1"/>
  <c r="QWU29" i="7" s="1"/>
  <c r="QWW29" i="7" s="1"/>
  <c r="QWY29" i="7" s="1"/>
  <c r="QXA29" i="7" s="1"/>
  <c r="QXC29" i="7" s="1"/>
  <c r="QXE29" i="7" s="1"/>
  <c r="QXG29" i="7" s="1"/>
  <c r="QXI29" i="7" s="1"/>
  <c r="QXK29" i="7" s="1"/>
  <c r="QXM29" i="7" s="1"/>
  <c r="QXO29" i="7" s="1"/>
  <c r="QXQ29" i="7" s="1"/>
  <c r="QXS29" i="7" s="1"/>
  <c r="QXU29" i="7" s="1"/>
  <c r="QXW29" i="7" s="1"/>
  <c r="QXY29" i="7" s="1"/>
  <c r="QYA29" i="7" s="1"/>
  <c r="QYC29" i="7" s="1"/>
  <c r="QYE29" i="7" s="1"/>
  <c r="QYG29" i="7" s="1"/>
  <c r="QYI29" i="7" s="1"/>
  <c r="QYK29" i="7" s="1"/>
  <c r="QYM29" i="7" s="1"/>
  <c r="QYO29" i="7" s="1"/>
  <c r="QYQ29" i="7" s="1"/>
  <c r="QYS29" i="7" s="1"/>
  <c r="QYU29" i="7" s="1"/>
  <c r="QYW29" i="7" s="1"/>
  <c r="QYY29" i="7" s="1"/>
  <c r="QZA29" i="7" s="1"/>
  <c r="QZC29" i="7" s="1"/>
  <c r="QZE29" i="7" s="1"/>
  <c r="QZG29" i="7" s="1"/>
  <c r="QZI29" i="7" s="1"/>
  <c r="QZK29" i="7" s="1"/>
  <c r="QZM29" i="7" s="1"/>
  <c r="QZO29" i="7" s="1"/>
  <c r="QZQ29" i="7" s="1"/>
  <c r="QZS29" i="7" s="1"/>
  <c r="QZU29" i="7" s="1"/>
  <c r="QZW29" i="7" s="1"/>
  <c r="QZY29" i="7" s="1"/>
  <c r="RAA29" i="7" s="1"/>
  <c r="RAC29" i="7" s="1"/>
  <c r="RAE29" i="7" s="1"/>
  <c r="RAG29" i="7" s="1"/>
  <c r="RAI29" i="7" s="1"/>
  <c r="RAK29" i="7" s="1"/>
  <c r="RAM29" i="7" s="1"/>
  <c r="RAO29" i="7" s="1"/>
  <c r="RAQ29" i="7" s="1"/>
  <c r="RAS29" i="7" s="1"/>
  <c r="RAU29" i="7" s="1"/>
  <c r="RAW29" i="7" s="1"/>
  <c r="RAY29" i="7" s="1"/>
  <c r="RBA29" i="7" s="1"/>
  <c r="RBC29" i="7" s="1"/>
  <c r="RBE29" i="7" s="1"/>
  <c r="RBG29" i="7" s="1"/>
  <c r="RBI29" i="7" s="1"/>
  <c r="RBK29" i="7" s="1"/>
  <c r="RBM29" i="7" s="1"/>
  <c r="RBO29" i="7" s="1"/>
  <c r="RBQ29" i="7" s="1"/>
  <c r="RBS29" i="7" s="1"/>
  <c r="RBU29" i="7" s="1"/>
  <c r="RBW29" i="7" s="1"/>
  <c r="RBY29" i="7" s="1"/>
  <c r="RCA29" i="7" s="1"/>
  <c r="RCC29" i="7" s="1"/>
  <c r="RCE29" i="7" s="1"/>
  <c r="RCG29" i="7" s="1"/>
  <c r="RCI29" i="7" s="1"/>
  <c r="RCK29" i="7" s="1"/>
  <c r="RCM29" i="7" s="1"/>
  <c r="RCO29" i="7" s="1"/>
  <c r="RCQ29" i="7" s="1"/>
  <c r="RCS29" i="7" s="1"/>
  <c r="RCU29" i="7" s="1"/>
  <c r="RCW29" i="7" s="1"/>
  <c r="RCY29" i="7" s="1"/>
  <c r="RDA29" i="7" s="1"/>
  <c r="RDC29" i="7" s="1"/>
  <c r="RDE29" i="7" s="1"/>
  <c r="RDG29" i="7" s="1"/>
  <c r="RDI29" i="7" s="1"/>
  <c r="RDK29" i="7" s="1"/>
  <c r="RDM29" i="7" s="1"/>
  <c r="RDO29" i="7" s="1"/>
  <c r="RDQ29" i="7" s="1"/>
  <c r="RDS29" i="7" s="1"/>
  <c r="RDU29" i="7" s="1"/>
  <c r="RDW29" i="7" s="1"/>
  <c r="RDY29" i="7" s="1"/>
  <c r="REA29" i="7" s="1"/>
  <c r="REC29" i="7" s="1"/>
  <c r="REE29" i="7" s="1"/>
  <c r="REG29" i="7" s="1"/>
  <c r="REI29" i="7" s="1"/>
  <c r="REK29" i="7" s="1"/>
  <c r="REM29" i="7" s="1"/>
  <c r="REO29" i="7" s="1"/>
  <c r="REQ29" i="7" s="1"/>
  <c r="RES29" i="7" s="1"/>
  <c r="REU29" i="7" s="1"/>
  <c r="REW29" i="7" s="1"/>
  <c r="REY29" i="7" s="1"/>
  <c r="RFA29" i="7" s="1"/>
  <c r="RFC29" i="7" s="1"/>
  <c r="RFE29" i="7" s="1"/>
  <c r="RFG29" i="7" s="1"/>
  <c r="RFI29" i="7" s="1"/>
  <c r="RFK29" i="7" s="1"/>
  <c r="RFM29" i="7" s="1"/>
  <c r="RFO29" i="7" s="1"/>
  <c r="RFQ29" i="7" s="1"/>
  <c r="RFS29" i="7" s="1"/>
  <c r="RFU29" i="7" s="1"/>
  <c r="RFW29" i="7" s="1"/>
  <c r="RFY29" i="7" s="1"/>
  <c r="RGA29" i="7" s="1"/>
  <c r="RGC29" i="7" s="1"/>
  <c r="RGE29" i="7" s="1"/>
  <c r="RGG29" i="7" s="1"/>
  <c r="RGI29" i="7" s="1"/>
  <c r="RGK29" i="7" s="1"/>
  <c r="RGM29" i="7" s="1"/>
  <c r="RGO29" i="7" s="1"/>
  <c r="RGQ29" i="7" s="1"/>
  <c r="RGS29" i="7" s="1"/>
  <c r="RGU29" i="7" s="1"/>
  <c r="RGW29" i="7" s="1"/>
  <c r="RGY29" i="7" s="1"/>
  <c r="RHA29" i="7" s="1"/>
  <c r="RHC29" i="7" s="1"/>
  <c r="RHE29" i="7" s="1"/>
  <c r="RHG29" i="7" s="1"/>
  <c r="RHI29" i="7" s="1"/>
  <c r="RHK29" i="7" s="1"/>
  <c r="RHM29" i="7" s="1"/>
  <c r="RHO29" i="7" s="1"/>
  <c r="RHQ29" i="7" s="1"/>
  <c r="RHS29" i="7" s="1"/>
  <c r="RHU29" i="7" s="1"/>
  <c r="RHW29" i="7" s="1"/>
  <c r="RHY29" i="7" s="1"/>
  <c r="RIA29" i="7" s="1"/>
  <c r="RIC29" i="7" s="1"/>
  <c r="RIE29" i="7" s="1"/>
  <c r="RIG29" i="7" s="1"/>
  <c r="RII29" i="7" s="1"/>
  <c r="RIK29" i="7" s="1"/>
  <c r="RIM29" i="7" s="1"/>
  <c r="RIO29" i="7" s="1"/>
  <c r="RIQ29" i="7" s="1"/>
  <c r="RIS29" i="7" s="1"/>
  <c r="RIU29" i="7" s="1"/>
  <c r="RIW29" i="7" s="1"/>
  <c r="RIY29" i="7" s="1"/>
  <c r="RJA29" i="7" s="1"/>
  <c r="RJC29" i="7" s="1"/>
  <c r="RJE29" i="7" s="1"/>
  <c r="RJG29" i="7" s="1"/>
  <c r="RJI29" i="7" s="1"/>
  <c r="RJK29" i="7" s="1"/>
  <c r="RJM29" i="7" s="1"/>
  <c r="RJO29" i="7" s="1"/>
  <c r="RJQ29" i="7" s="1"/>
  <c r="RJS29" i="7" s="1"/>
  <c r="RJU29" i="7" s="1"/>
  <c r="RJW29" i="7" s="1"/>
  <c r="RJY29" i="7" s="1"/>
  <c r="RKA29" i="7" s="1"/>
  <c r="RKC29" i="7" s="1"/>
  <c r="RKE29" i="7" s="1"/>
  <c r="RKG29" i="7" s="1"/>
  <c r="RKI29" i="7" s="1"/>
  <c r="RKK29" i="7" s="1"/>
  <c r="RKM29" i="7" s="1"/>
  <c r="RKO29" i="7" s="1"/>
  <c r="RKQ29" i="7" s="1"/>
  <c r="RKS29" i="7" s="1"/>
  <c r="RKU29" i="7" s="1"/>
  <c r="RKW29" i="7" s="1"/>
  <c r="RKY29" i="7" s="1"/>
  <c r="RLA29" i="7" s="1"/>
  <c r="RLC29" i="7" s="1"/>
  <c r="RLE29" i="7" s="1"/>
  <c r="RLG29" i="7" s="1"/>
  <c r="RLI29" i="7" s="1"/>
  <c r="RLK29" i="7" s="1"/>
  <c r="RLM29" i="7" s="1"/>
  <c r="RLO29" i="7" s="1"/>
  <c r="RLQ29" i="7" s="1"/>
  <c r="RLS29" i="7" s="1"/>
  <c r="RLU29" i="7" s="1"/>
  <c r="RLW29" i="7" s="1"/>
  <c r="RLY29" i="7" s="1"/>
  <c r="RMA29" i="7" s="1"/>
  <c r="RMC29" i="7" s="1"/>
  <c r="RME29" i="7" s="1"/>
  <c r="RMG29" i="7" s="1"/>
  <c r="RMI29" i="7" s="1"/>
  <c r="RMK29" i="7" s="1"/>
  <c r="RMM29" i="7" s="1"/>
  <c r="RMO29" i="7" s="1"/>
  <c r="RMQ29" i="7" s="1"/>
  <c r="RMS29" i="7" s="1"/>
  <c r="RMU29" i="7" s="1"/>
  <c r="RMW29" i="7" s="1"/>
  <c r="RMY29" i="7" s="1"/>
  <c r="RNA29" i="7" s="1"/>
  <c r="RNC29" i="7" s="1"/>
  <c r="RNE29" i="7" s="1"/>
  <c r="RNG29" i="7" s="1"/>
  <c r="RNI29" i="7" s="1"/>
  <c r="RNK29" i="7" s="1"/>
  <c r="RNM29" i="7" s="1"/>
  <c r="RNO29" i="7" s="1"/>
  <c r="RNQ29" i="7" s="1"/>
  <c r="RNS29" i="7" s="1"/>
  <c r="RNU29" i="7" s="1"/>
  <c r="RNW29" i="7" s="1"/>
  <c r="RNY29" i="7" s="1"/>
  <c r="ROA29" i="7" s="1"/>
  <c r="ROC29" i="7" s="1"/>
  <c r="ROE29" i="7" s="1"/>
  <c r="ROG29" i="7" s="1"/>
  <c r="ROI29" i="7" s="1"/>
  <c r="ROK29" i="7" s="1"/>
  <c r="ROM29" i="7" s="1"/>
  <c r="ROO29" i="7" s="1"/>
  <c r="ROQ29" i="7" s="1"/>
  <c r="ROS29" i="7" s="1"/>
  <c r="ROU29" i="7" s="1"/>
  <c r="ROW29" i="7" s="1"/>
  <c r="ROY29" i="7" s="1"/>
  <c r="RPA29" i="7" s="1"/>
  <c r="RPC29" i="7" s="1"/>
  <c r="RPE29" i="7" s="1"/>
  <c r="RPG29" i="7" s="1"/>
  <c r="RPI29" i="7" s="1"/>
  <c r="RPK29" i="7" s="1"/>
  <c r="RPM29" i="7" s="1"/>
  <c r="RPO29" i="7" s="1"/>
  <c r="RPQ29" i="7" s="1"/>
  <c r="RPS29" i="7" s="1"/>
  <c r="RPU29" i="7" s="1"/>
  <c r="RPW29" i="7" s="1"/>
  <c r="RPY29" i="7" s="1"/>
  <c r="RQA29" i="7" s="1"/>
  <c r="RQC29" i="7" s="1"/>
  <c r="RQE29" i="7" s="1"/>
  <c r="RQG29" i="7" s="1"/>
  <c r="RQI29" i="7" s="1"/>
  <c r="RQK29" i="7" s="1"/>
  <c r="RQM29" i="7" s="1"/>
  <c r="RQO29" i="7" s="1"/>
  <c r="RQQ29" i="7" s="1"/>
  <c r="RQS29" i="7" s="1"/>
  <c r="RQU29" i="7" s="1"/>
  <c r="RQW29" i="7" s="1"/>
  <c r="RQY29" i="7" s="1"/>
  <c r="RRA29" i="7" s="1"/>
  <c r="RRC29" i="7" s="1"/>
  <c r="RRE29" i="7" s="1"/>
  <c r="RRG29" i="7" s="1"/>
  <c r="RRI29" i="7" s="1"/>
  <c r="RRK29" i="7" s="1"/>
  <c r="RRM29" i="7" s="1"/>
  <c r="RRO29" i="7" s="1"/>
  <c r="RRQ29" i="7" s="1"/>
  <c r="RRS29" i="7" s="1"/>
  <c r="RRU29" i="7" s="1"/>
  <c r="RRW29" i="7" s="1"/>
  <c r="RRY29" i="7" s="1"/>
  <c r="RSA29" i="7" s="1"/>
  <c r="RSC29" i="7" s="1"/>
  <c r="RSE29" i="7" s="1"/>
  <c r="RSG29" i="7" s="1"/>
  <c r="RSI29" i="7" s="1"/>
  <c r="RSK29" i="7" s="1"/>
  <c r="RSM29" i="7" s="1"/>
  <c r="RSO29" i="7" s="1"/>
  <c r="RSQ29" i="7" s="1"/>
  <c r="RSS29" i="7" s="1"/>
  <c r="RSU29" i="7" s="1"/>
  <c r="RSW29" i="7" s="1"/>
  <c r="RSY29" i="7" s="1"/>
  <c r="RTA29" i="7" s="1"/>
  <c r="RTC29" i="7" s="1"/>
  <c r="RTE29" i="7" s="1"/>
  <c r="RTG29" i="7" s="1"/>
  <c r="RTI29" i="7" s="1"/>
  <c r="RTK29" i="7" s="1"/>
  <c r="RTM29" i="7" s="1"/>
  <c r="RTO29" i="7" s="1"/>
  <c r="RTQ29" i="7" s="1"/>
  <c r="RTS29" i="7" s="1"/>
  <c r="RTU29" i="7" s="1"/>
  <c r="RTW29" i="7" s="1"/>
  <c r="RTY29" i="7" s="1"/>
  <c r="RUA29" i="7" s="1"/>
  <c r="RUC29" i="7" s="1"/>
  <c r="RUE29" i="7" s="1"/>
  <c r="RUG29" i="7" s="1"/>
  <c r="RUI29" i="7" s="1"/>
  <c r="RUK29" i="7" s="1"/>
  <c r="RUM29" i="7" s="1"/>
  <c r="RUO29" i="7" s="1"/>
  <c r="RUQ29" i="7" s="1"/>
  <c r="RUS29" i="7" s="1"/>
  <c r="RUU29" i="7" s="1"/>
  <c r="RUW29" i="7" s="1"/>
  <c r="RUY29" i="7" s="1"/>
  <c r="RVA29" i="7" s="1"/>
  <c r="RVC29" i="7" s="1"/>
  <c r="RVE29" i="7" s="1"/>
  <c r="RVG29" i="7" s="1"/>
  <c r="RVI29" i="7" s="1"/>
  <c r="RVK29" i="7" s="1"/>
  <c r="RVM29" i="7" s="1"/>
  <c r="RVO29" i="7" s="1"/>
  <c r="RVQ29" i="7" s="1"/>
  <c r="RVS29" i="7" s="1"/>
  <c r="RVU29" i="7" s="1"/>
  <c r="RVW29" i="7" s="1"/>
  <c r="RVY29" i="7" s="1"/>
  <c r="RWA29" i="7" s="1"/>
  <c r="RWC29" i="7" s="1"/>
  <c r="RWE29" i="7" s="1"/>
  <c r="RWG29" i="7" s="1"/>
  <c r="RWI29" i="7" s="1"/>
  <c r="RWK29" i="7" s="1"/>
  <c r="RWM29" i="7" s="1"/>
  <c r="RWO29" i="7" s="1"/>
  <c r="RWQ29" i="7" s="1"/>
  <c r="RWS29" i="7" s="1"/>
  <c r="RWU29" i="7" s="1"/>
  <c r="RWW29" i="7" s="1"/>
  <c r="RWY29" i="7" s="1"/>
  <c r="RXA29" i="7" s="1"/>
  <c r="RXC29" i="7" s="1"/>
  <c r="RXE29" i="7" s="1"/>
  <c r="RXG29" i="7" s="1"/>
  <c r="RXI29" i="7" s="1"/>
  <c r="RXK29" i="7" s="1"/>
  <c r="RXM29" i="7" s="1"/>
  <c r="RXO29" i="7" s="1"/>
  <c r="RXQ29" i="7" s="1"/>
  <c r="RXS29" i="7" s="1"/>
  <c r="RXU29" i="7" s="1"/>
  <c r="RXW29" i="7" s="1"/>
  <c r="RXY29" i="7" s="1"/>
  <c r="RYA29" i="7" s="1"/>
  <c r="RYC29" i="7" s="1"/>
  <c r="RYE29" i="7" s="1"/>
  <c r="RYG29" i="7" s="1"/>
  <c r="RYI29" i="7" s="1"/>
  <c r="RYK29" i="7" s="1"/>
  <c r="RYM29" i="7" s="1"/>
  <c r="RYO29" i="7" s="1"/>
  <c r="RYQ29" i="7" s="1"/>
  <c r="RYS29" i="7" s="1"/>
  <c r="RYU29" i="7" s="1"/>
  <c r="RYW29" i="7" s="1"/>
  <c r="RYY29" i="7" s="1"/>
  <c r="RZA29" i="7" s="1"/>
  <c r="RZC29" i="7" s="1"/>
  <c r="RZE29" i="7" s="1"/>
  <c r="RZG29" i="7" s="1"/>
  <c r="RZI29" i="7" s="1"/>
  <c r="RZK29" i="7" s="1"/>
  <c r="RZM29" i="7" s="1"/>
  <c r="RZO29" i="7" s="1"/>
  <c r="RZQ29" i="7" s="1"/>
  <c r="RZS29" i="7" s="1"/>
  <c r="RZU29" i="7" s="1"/>
  <c r="RZW29" i="7" s="1"/>
  <c r="RZY29" i="7" s="1"/>
  <c r="SAA29" i="7" s="1"/>
  <c r="SAC29" i="7" s="1"/>
  <c r="SAE29" i="7" s="1"/>
  <c r="SAG29" i="7" s="1"/>
  <c r="SAI29" i="7" s="1"/>
  <c r="SAK29" i="7" s="1"/>
  <c r="SAM29" i="7" s="1"/>
  <c r="SAO29" i="7" s="1"/>
  <c r="SAQ29" i="7" s="1"/>
  <c r="SAS29" i="7" s="1"/>
  <c r="SAU29" i="7" s="1"/>
  <c r="SAW29" i="7" s="1"/>
  <c r="SAY29" i="7" s="1"/>
  <c r="SBA29" i="7" s="1"/>
  <c r="SBC29" i="7" s="1"/>
  <c r="SBE29" i="7" s="1"/>
  <c r="SBG29" i="7" s="1"/>
  <c r="SBI29" i="7" s="1"/>
  <c r="SBK29" i="7" s="1"/>
  <c r="SBM29" i="7" s="1"/>
  <c r="SBO29" i="7" s="1"/>
  <c r="SBQ29" i="7" s="1"/>
  <c r="SBS29" i="7" s="1"/>
  <c r="SBU29" i="7" s="1"/>
  <c r="SBW29" i="7" s="1"/>
  <c r="SBY29" i="7" s="1"/>
  <c r="SCA29" i="7" s="1"/>
  <c r="SCC29" i="7" s="1"/>
  <c r="SCE29" i="7" s="1"/>
  <c r="SCG29" i="7" s="1"/>
  <c r="SCI29" i="7" s="1"/>
  <c r="SCK29" i="7" s="1"/>
  <c r="SCM29" i="7" s="1"/>
  <c r="SCO29" i="7" s="1"/>
  <c r="SCQ29" i="7" s="1"/>
  <c r="SCS29" i="7" s="1"/>
  <c r="SCU29" i="7" s="1"/>
  <c r="SCW29" i="7" s="1"/>
  <c r="SCY29" i="7" s="1"/>
  <c r="SDA29" i="7" s="1"/>
  <c r="SDC29" i="7" s="1"/>
  <c r="SDE29" i="7" s="1"/>
  <c r="SDG29" i="7" s="1"/>
  <c r="SDI29" i="7" s="1"/>
  <c r="SDK29" i="7" s="1"/>
  <c r="SDM29" i="7" s="1"/>
  <c r="SDO29" i="7" s="1"/>
  <c r="SDQ29" i="7" s="1"/>
  <c r="SDS29" i="7" s="1"/>
  <c r="SDU29" i="7" s="1"/>
  <c r="SDW29" i="7" s="1"/>
  <c r="SDY29" i="7" s="1"/>
  <c r="SEA29" i="7" s="1"/>
  <c r="SEC29" i="7" s="1"/>
  <c r="SEE29" i="7" s="1"/>
  <c r="SEG29" i="7" s="1"/>
  <c r="SEI29" i="7" s="1"/>
  <c r="SEK29" i="7" s="1"/>
  <c r="SEM29" i="7" s="1"/>
  <c r="SEO29" i="7" s="1"/>
  <c r="SEQ29" i="7" s="1"/>
  <c r="SES29" i="7" s="1"/>
  <c r="SEU29" i="7" s="1"/>
  <c r="SEW29" i="7" s="1"/>
  <c r="SEY29" i="7" s="1"/>
  <c r="SFA29" i="7" s="1"/>
  <c r="SFC29" i="7" s="1"/>
  <c r="SFE29" i="7" s="1"/>
  <c r="SFG29" i="7" s="1"/>
  <c r="SFI29" i="7" s="1"/>
  <c r="SFK29" i="7" s="1"/>
  <c r="SFM29" i="7" s="1"/>
  <c r="SFO29" i="7" s="1"/>
  <c r="SFQ29" i="7" s="1"/>
  <c r="SFS29" i="7" s="1"/>
  <c r="SFU29" i="7" s="1"/>
  <c r="SFW29" i="7" s="1"/>
  <c r="SFY29" i="7" s="1"/>
  <c r="SGA29" i="7" s="1"/>
  <c r="SGC29" i="7" s="1"/>
  <c r="SGE29" i="7" s="1"/>
  <c r="SGG29" i="7" s="1"/>
  <c r="SGI29" i="7" s="1"/>
  <c r="SGK29" i="7" s="1"/>
  <c r="SGM29" i="7" s="1"/>
  <c r="SGO29" i="7" s="1"/>
  <c r="SGQ29" i="7" s="1"/>
  <c r="SGS29" i="7" s="1"/>
  <c r="SGU29" i="7" s="1"/>
  <c r="SGW29" i="7" s="1"/>
  <c r="SGY29" i="7" s="1"/>
  <c r="SHA29" i="7" s="1"/>
  <c r="SHC29" i="7" s="1"/>
  <c r="SHE29" i="7" s="1"/>
  <c r="SHG29" i="7" s="1"/>
  <c r="SHI29" i="7" s="1"/>
  <c r="SHK29" i="7" s="1"/>
  <c r="SHM29" i="7" s="1"/>
  <c r="SHO29" i="7" s="1"/>
  <c r="SHQ29" i="7" s="1"/>
  <c r="SHS29" i="7" s="1"/>
  <c r="SHU29" i="7" s="1"/>
  <c r="SHW29" i="7" s="1"/>
  <c r="SHY29" i="7" s="1"/>
  <c r="SIA29" i="7" s="1"/>
  <c r="SIC29" i="7" s="1"/>
  <c r="SIE29" i="7" s="1"/>
  <c r="SIG29" i="7" s="1"/>
  <c r="SII29" i="7" s="1"/>
  <c r="SIK29" i="7" s="1"/>
  <c r="SIM29" i="7" s="1"/>
  <c r="SIO29" i="7" s="1"/>
  <c r="SIQ29" i="7" s="1"/>
  <c r="SIS29" i="7" s="1"/>
  <c r="SIU29" i="7" s="1"/>
  <c r="SIW29" i="7" s="1"/>
  <c r="SIY29" i="7" s="1"/>
  <c r="SJA29" i="7" s="1"/>
  <c r="SJC29" i="7" s="1"/>
  <c r="SJE29" i="7" s="1"/>
  <c r="SJG29" i="7" s="1"/>
  <c r="SJI29" i="7" s="1"/>
  <c r="SJK29" i="7" s="1"/>
  <c r="SJM29" i="7" s="1"/>
  <c r="SJO29" i="7" s="1"/>
  <c r="SJQ29" i="7" s="1"/>
  <c r="SJS29" i="7" s="1"/>
  <c r="SJU29" i="7" s="1"/>
  <c r="SJW29" i="7" s="1"/>
  <c r="SJY29" i="7" s="1"/>
  <c r="SKA29" i="7" s="1"/>
  <c r="SKC29" i="7" s="1"/>
  <c r="SKE29" i="7" s="1"/>
  <c r="SKG29" i="7" s="1"/>
  <c r="SKI29" i="7" s="1"/>
  <c r="SKK29" i="7" s="1"/>
  <c r="SKM29" i="7" s="1"/>
  <c r="SKO29" i="7" s="1"/>
  <c r="SKQ29" i="7" s="1"/>
  <c r="SKS29" i="7" s="1"/>
  <c r="SKU29" i="7" s="1"/>
  <c r="SKW29" i="7" s="1"/>
  <c r="SKY29" i="7" s="1"/>
  <c r="SLA29" i="7" s="1"/>
  <c r="SLC29" i="7" s="1"/>
  <c r="SLE29" i="7" s="1"/>
  <c r="SLG29" i="7" s="1"/>
  <c r="SLI29" i="7" s="1"/>
  <c r="SLK29" i="7" s="1"/>
  <c r="SLM29" i="7" s="1"/>
  <c r="SLO29" i="7" s="1"/>
  <c r="SLQ29" i="7" s="1"/>
  <c r="SLS29" i="7" s="1"/>
  <c r="SLU29" i="7" s="1"/>
  <c r="SLW29" i="7" s="1"/>
  <c r="SLY29" i="7" s="1"/>
  <c r="SMA29" i="7" s="1"/>
  <c r="SMC29" i="7" s="1"/>
  <c r="SME29" i="7" s="1"/>
  <c r="SMG29" i="7" s="1"/>
  <c r="SMI29" i="7" s="1"/>
  <c r="SMK29" i="7" s="1"/>
  <c r="SMM29" i="7" s="1"/>
  <c r="SMO29" i="7" s="1"/>
  <c r="SMQ29" i="7" s="1"/>
  <c r="SMS29" i="7" s="1"/>
  <c r="SMU29" i="7" s="1"/>
  <c r="SMW29" i="7" s="1"/>
  <c r="SMY29" i="7" s="1"/>
  <c r="SNA29" i="7" s="1"/>
  <c r="SNC29" i="7" s="1"/>
  <c r="SNE29" i="7" s="1"/>
  <c r="SNG29" i="7" s="1"/>
  <c r="SNI29" i="7" s="1"/>
  <c r="SNK29" i="7" s="1"/>
  <c r="SNM29" i="7" s="1"/>
  <c r="SNO29" i="7" s="1"/>
  <c r="SNQ29" i="7" s="1"/>
  <c r="SNS29" i="7" s="1"/>
  <c r="SNU29" i="7" s="1"/>
  <c r="SNW29" i="7" s="1"/>
  <c r="SNY29" i="7" s="1"/>
  <c r="SOA29" i="7" s="1"/>
  <c r="SOC29" i="7" s="1"/>
  <c r="SOE29" i="7" s="1"/>
  <c r="SOG29" i="7" s="1"/>
  <c r="SOI29" i="7" s="1"/>
  <c r="SOK29" i="7" s="1"/>
  <c r="SOM29" i="7" s="1"/>
  <c r="SOO29" i="7" s="1"/>
  <c r="SOQ29" i="7" s="1"/>
  <c r="SOS29" i="7" s="1"/>
  <c r="SOU29" i="7" s="1"/>
  <c r="SOW29" i="7" s="1"/>
  <c r="SOY29" i="7" s="1"/>
  <c r="SPA29" i="7" s="1"/>
  <c r="SPC29" i="7" s="1"/>
  <c r="SPE29" i="7" s="1"/>
  <c r="SPG29" i="7" s="1"/>
  <c r="SPI29" i="7" s="1"/>
  <c r="SPK29" i="7" s="1"/>
  <c r="SPM29" i="7" s="1"/>
  <c r="SPO29" i="7" s="1"/>
  <c r="SPQ29" i="7" s="1"/>
  <c r="SPS29" i="7" s="1"/>
  <c r="SPU29" i="7" s="1"/>
  <c r="SPW29" i="7" s="1"/>
  <c r="SPY29" i="7" s="1"/>
  <c r="SQA29" i="7" s="1"/>
  <c r="SQC29" i="7" s="1"/>
  <c r="SQE29" i="7" s="1"/>
  <c r="SQG29" i="7" s="1"/>
  <c r="SQI29" i="7" s="1"/>
  <c r="SQK29" i="7" s="1"/>
  <c r="SQM29" i="7" s="1"/>
  <c r="SQO29" i="7" s="1"/>
  <c r="SQQ29" i="7" s="1"/>
  <c r="SQS29" i="7" s="1"/>
  <c r="SQU29" i="7" s="1"/>
  <c r="SQW29" i="7" s="1"/>
  <c r="SQY29" i="7" s="1"/>
  <c r="SRA29" i="7" s="1"/>
  <c r="SRC29" i="7" s="1"/>
  <c r="SRE29" i="7" s="1"/>
  <c r="SRG29" i="7" s="1"/>
  <c r="SRI29" i="7" s="1"/>
  <c r="SRK29" i="7" s="1"/>
  <c r="SRM29" i="7" s="1"/>
  <c r="SRO29" i="7" s="1"/>
  <c r="SRQ29" i="7" s="1"/>
  <c r="SRS29" i="7" s="1"/>
  <c r="SRU29" i="7" s="1"/>
  <c r="SRW29" i="7" s="1"/>
  <c r="SRY29" i="7" s="1"/>
  <c r="SSA29" i="7" s="1"/>
  <c r="SSC29" i="7" s="1"/>
  <c r="SSE29" i="7" s="1"/>
  <c r="SSG29" i="7" s="1"/>
  <c r="SSI29" i="7" s="1"/>
  <c r="SSK29" i="7" s="1"/>
  <c r="SSM29" i="7" s="1"/>
  <c r="SSO29" i="7" s="1"/>
  <c r="SSQ29" i="7" s="1"/>
  <c r="SSS29" i="7" s="1"/>
  <c r="SSU29" i="7" s="1"/>
  <c r="SSW29" i="7" s="1"/>
  <c r="SSY29" i="7" s="1"/>
  <c r="STA29" i="7" s="1"/>
  <c r="STC29" i="7" s="1"/>
  <c r="STE29" i="7" s="1"/>
  <c r="STG29" i="7" s="1"/>
  <c r="STI29" i="7" s="1"/>
  <c r="STK29" i="7" s="1"/>
  <c r="STM29" i="7" s="1"/>
  <c r="STO29" i="7" s="1"/>
  <c r="STQ29" i="7" s="1"/>
  <c r="STS29" i="7" s="1"/>
  <c r="STU29" i="7" s="1"/>
  <c r="STW29" i="7" s="1"/>
  <c r="STY29" i="7" s="1"/>
  <c r="SUA29" i="7" s="1"/>
  <c r="SUC29" i="7" s="1"/>
  <c r="SUE29" i="7" s="1"/>
  <c r="SUG29" i="7" s="1"/>
  <c r="SUI29" i="7" s="1"/>
  <c r="SUK29" i="7" s="1"/>
  <c r="SUM29" i="7" s="1"/>
  <c r="SUO29" i="7" s="1"/>
  <c r="SUQ29" i="7" s="1"/>
  <c r="SUS29" i="7" s="1"/>
  <c r="SUU29" i="7" s="1"/>
  <c r="SUW29" i="7" s="1"/>
  <c r="SUY29" i="7" s="1"/>
  <c r="SVA29" i="7" s="1"/>
  <c r="SVC29" i="7" s="1"/>
  <c r="SVE29" i="7" s="1"/>
  <c r="SVG29" i="7" s="1"/>
  <c r="SVI29" i="7" s="1"/>
  <c r="SVK29" i="7" s="1"/>
  <c r="SVM29" i="7" s="1"/>
  <c r="SVO29" i="7" s="1"/>
  <c r="SVQ29" i="7" s="1"/>
  <c r="SVS29" i="7" s="1"/>
  <c r="SVU29" i="7" s="1"/>
  <c r="SVW29" i="7" s="1"/>
  <c r="SVY29" i="7" s="1"/>
  <c r="SWA29" i="7" s="1"/>
  <c r="SWC29" i="7" s="1"/>
  <c r="SWE29" i="7" s="1"/>
  <c r="SWG29" i="7" s="1"/>
  <c r="SWI29" i="7" s="1"/>
  <c r="SWK29" i="7" s="1"/>
  <c r="SWM29" i="7" s="1"/>
  <c r="SWO29" i="7" s="1"/>
  <c r="SWQ29" i="7" s="1"/>
  <c r="SWS29" i="7" s="1"/>
  <c r="SWU29" i="7" s="1"/>
  <c r="SWW29" i="7" s="1"/>
  <c r="SWY29" i="7" s="1"/>
  <c r="SXA29" i="7" s="1"/>
  <c r="SXC29" i="7" s="1"/>
  <c r="SXE29" i="7" s="1"/>
  <c r="SXG29" i="7" s="1"/>
  <c r="SXI29" i="7" s="1"/>
  <c r="SXK29" i="7" s="1"/>
  <c r="SXM29" i="7" s="1"/>
  <c r="SXO29" i="7" s="1"/>
  <c r="SXQ29" i="7" s="1"/>
  <c r="SXS29" i="7" s="1"/>
  <c r="SXU29" i="7" s="1"/>
  <c r="SXW29" i="7" s="1"/>
  <c r="SXY29" i="7" s="1"/>
  <c r="SYA29" i="7" s="1"/>
  <c r="SYC29" i="7" s="1"/>
  <c r="SYE29" i="7" s="1"/>
  <c r="SYG29" i="7" s="1"/>
  <c r="SYI29" i="7" s="1"/>
  <c r="SYK29" i="7" s="1"/>
  <c r="SYM29" i="7" s="1"/>
  <c r="SYO29" i="7" s="1"/>
  <c r="SYQ29" i="7" s="1"/>
  <c r="SYS29" i="7" s="1"/>
  <c r="SYU29" i="7" s="1"/>
  <c r="SYW29" i="7" s="1"/>
  <c r="SYY29" i="7" s="1"/>
  <c r="SZA29" i="7" s="1"/>
  <c r="SZC29" i="7" s="1"/>
  <c r="SZE29" i="7" s="1"/>
  <c r="SZG29" i="7" s="1"/>
  <c r="SZI29" i="7" s="1"/>
  <c r="SZK29" i="7" s="1"/>
  <c r="SZM29" i="7" s="1"/>
  <c r="SZO29" i="7" s="1"/>
  <c r="SZQ29" i="7" s="1"/>
  <c r="SZS29" i="7" s="1"/>
  <c r="SZU29" i="7" s="1"/>
  <c r="SZW29" i="7" s="1"/>
  <c r="SZY29" i="7" s="1"/>
  <c r="TAA29" i="7" s="1"/>
  <c r="TAC29" i="7" s="1"/>
  <c r="TAE29" i="7" s="1"/>
  <c r="TAG29" i="7" s="1"/>
  <c r="TAI29" i="7" s="1"/>
  <c r="TAK29" i="7" s="1"/>
  <c r="TAM29" i="7" s="1"/>
  <c r="TAO29" i="7" s="1"/>
  <c r="TAQ29" i="7" s="1"/>
  <c r="TAS29" i="7" s="1"/>
  <c r="TAU29" i="7" s="1"/>
  <c r="TAW29" i="7" s="1"/>
  <c r="TAY29" i="7" s="1"/>
  <c r="TBA29" i="7" s="1"/>
  <c r="TBC29" i="7" s="1"/>
  <c r="TBE29" i="7" s="1"/>
  <c r="TBG29" i="7" s="1"/>
  <c r="TBI29" i="7" s="1"/>
  <c r="TBK29" i="7" s="1"/>
  <c r="TBM29" i="7" s="1"/>
  <c r="TBO29" i="7" s="1"/>
  <c r="TBQ29" i="7" s="1"/>
  <c r="TBS29" i="7" s="1"/>
  <c r="TBU29" i="7" s="1"/>
  <c r="TBW29" i="7" s="1"/>
  <c r="TBY29" i="7" s="1"/>
  <c r="TCA29" i="7" s="1"/>
  <c r="TCC29" i="7" s="1"/>
  <c r="TCE29" i="7" s="1"/>
  <c r="TCG29" i="7" s="1"/>
  <c r="TCI29" i="7" s="1"/>
  <c r="TCK29" i="7" s="1"/>
  <c r="TCM29" i="7" s="1"/>
  <c r="TCO29" i="7" s="1"/>
  <c r="TCQ29" i="7" s="1"/>
  <c r="TCS29" i="7" s="1"/>
  <c r="TCU29" i="7" s="1"/>
  <c r="TCW29" i="7" s="1"/>
  <c r="TCY29" i="7" s="1"/>
  <c r="TDA29" i="7" s="1"/>
  <c r="TDC29" i="7" s="1"/>
  <c r="TDE29" i="7" s="1"/>
  <c r="TDG29" i="7" s="1"/>
  <c r="TDI29" i="7" s="1"/>
  <c r="TDK29" i="7" s="1"/>
  <c r="TDM29" i="7" s="1"/>
  <c r="TDO29" i="7" s="1"/>
  <c r="TDQ29" i="7" s="1"/>
  <c r="TDS29" i="7" s="1"/>
  <c r="TDU29" i="7" s="1"/>
  <c r="TDW29" i="7" s="1"/>
  <c r="TDY29" i="7" s="1"/>
  <c r="TEA29" i="7" s="1"/>
  <c r="TEC29" i="7" s="1"/>
  <c r="TEE29" i="7" s="1"/>
  <c r="TEG29" i="7" s="1"/>
  <c r="TEI29" i="7" s="1"/>
  <c r="TEK29" i="7" s="1"/>
  <c r="TEM29" i="7" s="1"/>
  <c r="TEO29" i="7" s="1"/>
  <c r="TEQ29" i="7" s="1"/>
  <c r="TES29" i="7" s="1"/>
  <c r="TEU29" i="7" s="1"/>
  <c r="TEW29" i="7" s="1"/>
  <c r="TEY29" i="7" s="1"/>
  <c r="TFA29" i="7" s="1"/>
  <c r="TFC29" i="7" s="1"/>
  <c r="TFE29" i="7" s="1"/>
  <c r="TFG29" i="7" s="1"/>
  <c r="TFI29" i="7" s="1"/>
  <c r="TFK29" i="7" s="1"/>
  <c r="TFM29" i="7" s="1"/>
  <c r="TFO29" i="7" s="1"/>
  <c r="TFQ29" i="7" s="1"/>
  <c r="TFS29" i="7" s="1"/>
  <c r="TFU29" i="7" s="1"/>
  <c r="TFW29" i="7" s="1"/>
  <c r="TFY29" i="7" s="1"/>
  <c r="TGA29" i="7" s="1"/>
  <c r="TGC29" i="7" s="1"/>
  <c r="TGE29" i="7" s="1"/>
  <c r="TGG29" i="7" s="1"/>
  <c r="TGI29" i="7" s="1"/>
  <c r="TGK29" i="7" s="1"/>
  <c r="TGM29" i="7" s="1"/>
  <c r="TGO29" i="7" s="1"/>
  <c r="TGQ29" i="7" s="1"/>
  <c r="TGS29" i="7" s="1"/>
  <c r="TGU29" i="7" s="1"/>
  <c r="TGW29" i="7" s="1"/>
  <c r="TGY29" i="7" s="1"/>
  <c r="THA29" i="7" s="1"/>
  <c r="THC29" i="7" s="1"/>
  <c r="THE29" i="7" s="1"/>
  <c r="THG29" i="7" s="1"/>
  <c r="THI29" i="7" s="1"/>
  <c r="THK29" i="7" s="1"/>
  <c r="THM29" i="7" s="1"/>
  <c r="THO29" i="7" s="1"/>
  <c r="THQ29" i="7" s="1"/>
  <c r="THS29" i="7" s="1"/>
  <c r="THU29" i="7" s="1"/>
  <c r="THW29" i="7" s="1"/>
  <c r="THY29" i="7" s="1"/>
  <c r="TIA29" i="7" s="1"/>
  <c r="TIC29" i="7" s="1"/>
  <c r="TIE29" i="7" s="1"/>
  <c r="TIG29" i="7" s="1"/>
  <c r="TII29" i="7" s="1"/>
  <c r="TIK29" i="7" s="1"/>
  <c r="TIM29" i="7" s="1"/>
  <c r="TIO29" i="7" s="1"/>
  <c r="TIQ29" i="7" s="1"/>
  <c r="TIS29" i="7" s="1"/>
  <c r="TIU29" i="7" s="1"/>
  <c r="TIW29" i="7" s="1"/>
  <c r="TIY29" i="7" s="1"/>
  <c r="TJA29" i="7" s="1"/>
  <c r="TJC29" i="7" s="1"/>
  <c r="TJE29" i="7" s="1"/>
  <c r="TJG29" i="7" s="1"/>
  <c r="TJI29" i="7" s="1"/>
  <c r="TJK29" i="7" s="1"/>
  <c r="TJM29" i="7" s="1"/>
  <c r="TJO29" i="7" s="1"/>
  <c r="TJQ29" i="7" s="1"/>
  <c r="TJS29" i="7" s="1"/>
  <c r="TJU29" i="7" s="1"/>
  <c r="TJW29" i="7" s="1"/>
  <c r="TJY29" i="7" s="1"/>
  <c r="TKA29" i="7" s="1"/>
  <c r="TKC29" i="7" s="1"/>
  <c r="TKE29" i="7" s="1"/>
  <c r="TKG29" i="7" s="1"/>
  <c r="TKI29" i="7" s="1"/>
  <c r="TKK29" i="7" s="1"/>
  <c r="TKM29" i="7" s="1"/>
  <c r="TKO29" i="7" s="1"/>
  <c r="TKQ29" i="7" s="1"/>
  <c r="TKS29" i="7" s="1"/>
  <c r="TKU29" i="7" s="1"/>
  <c r="TKW29" i="7" s="1"/>
  <c r="TKY29" i="7" s="1"/>
  <c r="TLA29" i="7" s="1"/>
  <c r="TLC29" i="7" s="1"/>
  <c r="TLE29" i="7" s="1"/>
  <c r="TLG29" i="7" s="1"/>
  <c r="TLI29" i="7" s="1"/>
  <c r="TLK29" i="7" s="1"/>
  <c r="TLM29" i="7" s="1"/>
  <c r="TLO29" i="7" s="1"/>
  <c r="TLQ29" i="7" s="1"/>
  <c r="TLS29" i="7" s="1"/>
  <c r="TLU29" i="7" s="1"/>
  <c r="TLW29" i="7" s="1"/>
  <c r="TLY29" i="7" s="1"/>
  <c r="TMA29" i="7" s="1"/>
  <c r="TMC29" i="7" s="1"/>
  <c r="TME29" i="7" s="1"/>
  <c r="TMG29" i="7" s="1"/>
  <c r="TMI29" i="7" s="1"/>
  <c r="TMK29" i="7" s="1"/>
  <c r="TMM29" i="7" s="1"/>
  <c r="TMO29" i="7" s="1"/>
  <c r="TMQ29" i="7" s="1"/>
  <c r="TMS29" i="7" s="1"/>
  <c r="TMU29" i="7" s="1"/>
  <c r="TMW29" i="7" s="1"/>
  <c r="TMY29" i="7" s="1"/>
  <c r="TNA29" i="7" s="1"/>
  <c r="TNC29" i="7" s="1"/>
  <c r="TNE29" i="7" s="1"/>
  <c r="TNG29" i="7" s="1"/>
  <c r="TNI29" i="7" s="1"/>
  <c r="TNK29" i="7" s="1"/>
  <c r="TNM29" i="7" s="1"/>
  <c r="TNO29" i="7" s="1"/>
  <c r="TNQ29" i="7" s="1"/>
  <c r="TNS29" i="7" s="1"/>
  <c r="TNU29" i="7" s="1"/>
  <c r="TNW29" i="7" s="1"/>
  <c r="TNY29" i="7" s="1"/>
  <c r="TOA29" i="7" s="1"/>
  <c r="TOC29" i="7" s="1"/>
  <c r="TOE29" i="7" s="1"/>
  <c r="TOG29" i="7" s="1"/>
  <c r="TOI29" i="7" s="1"/>
  <c r="TOK29" i="7" s="1"/>
  <c r="TOM29" i="7" s="1"/>
  <c r="TOO29" i="7" s="1"/>
  <c r="TOQ29" i="7" s="1"/>
  <c r="TOS29" i="7" s="1"/>
  <c r="TOU29" i="7" s="1"/>
  <c r="TOW29" i="7" s="1"/>
  <c r="TOY29" i="7" s="1"/>
  <c r="TPA29" i="7" s="1"/>
  <c r="TPC29" i="7" s="1"/>
  <c r="TPE29" i="7" s="1"/>
  <c r="TPG29" i="7" s="1"/>
  <c r="TPI29" i="7" s="1"/>
  <c r="TPK29" i="7" s="1"/>
  <c r="TPM29" i="7" s="1"/>
  <c r="TPO29" i="7" s="1"/>
  <c r="TPQ29" i="7" s="1"/>
  <c r="TPS29" i="7" s="1"/>
  <c r="TPU29" i="7" s="1"/>
  <c r="TPW29" i="7" s="1"/>
  <c r="TPY29" i="7" s="1"/>
  <c r="TQA29" i="7" s="1"/>
  <c r="TQC29" i="7" s="1"/>
  <c r="TQE29" i="7" s="1"/>
  <c r="TQG29" i="7" s="1"/>
  <c r="TQI29" i="7" s="1"/>
  <c r="TQK29" i="7" s="1"/>
  <c r="TQM29" i="7" s="1"/>
  <c r="TQO29" i="7" s="1"/>
  <c r="TQQ29" i="7" s="1"/>
  <c r="TQS29" i="7" s="1"/>
  <c r="TQU29" i="7" s="1"/>
  <c r="TQW29" i="7" s="1"/>
  <c r="TQY29" i="7" s="1"/>
  <c r="TRA29" i="7" s="1"/>
  <c r="TRC29" i="7" s="1"/>
  <c r="TRE29" i="7" s="1"/>
  <c r="TRG29" i="7" s="1"/>
  <c r="TRI29" i="7" s="1"/>
  <c r="TRK29" i="7" s="1"/>
  <c r="TRM29" i="7" s="1"/>
  <c r="TRO29" i="7" s="1"/>
  <c r="TRQ29" i="7" s="1"/>
  <c r="TRS29" i="7" s="1"/>
  <c r="TRU29" i="7" s="1"/>
  <c r="TRW29" i="7" s="1"/>
  <c r="TRY29" i="7" s="1"/>
  <c r="TSA29" i="7" s="1"/>
  <c r="TSC29" i="7" s="1"/>
  <c r="TSE29" i="7" s="1"/>
  <c r="TSG29" i="7" s="1"/>
  <c r="TSI29" i="7" s="1"/>
  <c r="TSK29" i="7" s="1"/>
  <c r="TSM29" i="7" s="1"/>
  <c r="TSO29" i="7" s="1"/>
  <c r="TSQ29" i="7" s="1"/>
  <c r="TSS29" i="7" s="1"/>
  <c r="TSU29" i="7" s="1"/>
  <c r="TSW29" i="7" s="1"/>
  <c r="TSY29" i="7" s="1"/>
  <c r="TTA29" i="7" s="1"/>
  <c r="TTC29" i="7" s="1"/>
  <c r="TTE29" i="7" s="1"/>
  <c r="TTG29" i="7" s="1"/>
  <c r="TTI29" i="7" s="1"/>
  <c r="TTK29" i="7" s="1"/>
  <c r="TTM29" i="7" s="1"/>
  <c r="TTO29" i="7" s="1"/>
  <c r="TTQ29" i="7" s="1"/>
  <c r="TTS29" i="7" s="1"/>
  <c r="TTU29" i="7" s="1"/>
  <c r="TTW29" i="7" s="1"/>
  <c r="TTY29" i="7" s="1"/>
  <c r="TUA29" i="7" s="1"/>
  <c r="TUC29" i="7" s="1"/>
  <c r="TUE29" i="7" s="1"/>
  <c r="TUG29" i="7" s="1"/>
  <c r="TUI29" i="7" s="1"/>
  <c r="TUK29" i="7" s="1"/>
  <c r="TUM29" i="7" s="1"/>
  <c r="TUO29" i="7" s="1"/>
  <c r="TUQ29" i="7" s="1"/>
  <c r="TUS29" i="7" s="1"/>
  <c r="TUU29" i="7" s="1"/>
  <c r="TUW29" i="7" s="1"/>
  <c r="TUY29" i="7" s="1"/>
  <c r="TVA29" i="7" s="1"/>
  <c r="TVC29" i="7" s="1"/>
  <c r="TVE29" i="7" s="1"/>
  <c r="TVG29" i="7" s="1"/>
  <c r="TVI29" i="7" s="1"/>
  <c r="TVK29" i="7" s="1"/>
  <c r="TVM29" i="7" s="1"/>
  <c r="TVO29" i="7" s="1"/>
  <c r="TVQ29" i="7" s="1"/>
  <c r="TVS29" i="7" s="1"/>
  <c r="TVU29" i="7" s="1"/>
  <c r="TVW29" i="7" s="1"/>
  <c r="TVY29" i="7" s="1"/>
  <c r="TWA29" i="7" s="1"/>
  <c r="TWC29" i="7" s="1"/>
  <c r="TWE29" i="7" s="1"/>
  <c r="TWG29" i="7" s="1"/>
  <c r="TWI29" i="7" s="1"/>
  <c r="TWK29" i="7" s="1"/>
  <c r="TWM29" i="7" s="1"/>
  <c r="TWO29" i="7" s="1"/>
  <c r="TWQ29" i="7" s="1"/>
  <c r="TWS29" i="7" s="1"/>
  <c r="TWU29" i="7" s="1"/>
  <c r="TWW29" i="7" s="1"/>
  <c r="TWY29" i="7" s="1"/>
  <c r="TXA29" i="7" s="1"/>
  <c r="TXC29" i="7" s="1"/>
  <c r="TXE29" i="7" s="1"/>
  <c r="TXG29" i="7" s="1"/>
  <c r="TXI29" i="7" s="1"/>
  <c r="TXK29" i="7" s="1"/>
  <c r="TXM29" i="7" s="1"/>
  <c r="TXO29" i="7" s="1"/>
  <c r="TXQ29" i="7" s="1"/>
  <c r="TXS29" i="7" s="1"/>
  <c r="TXU29" i="7" s="1"/>
  <c r="TXW29" i="7" s="1"/>
  <c r="TXY29" i="7" s="1"/>
  <c r="TYA29" i="7" s="1"/>
  <c r="TYC29" i="7" s="1"/>
  <c r="TYE29" i="7" s="1"/>
  <c r="TYG29" i="7" s="1"/>
  <c r="TYI29" i="7" s="1"/>
  <c r="TYK29" i="7" s="1"/>
  <c r="TYM29" i="7" s="1"/>
  <c r="TYO29" i="7" s="1"/>
  <c r="TYQ29" i="7" s="1"/>
  <c r="TYS29" i="7" s="1"/>
  <c r="TYU29" i="7" s="1"/>
  <c r="TYW29" i="7" s="1"/>
  <c r="TYY29" i="7" s="1"/>
  <c r="TZA29" i="7" s="1"/>
  <c r="TZC29" i="7" s="1"/>
  <c r="TZE29" i="7" s="1"/>
  <c r="TZG29" i="7" s="1"/>
  <c r="TZI29" i="7" s="1"/>
  <c r="TZK29" i="7" s="1"/>
  <c r="TZM29" i="7" s="1"/>
  <c r="TZO29" i="7" s="1"/>
  <c r="TZQ29" i="7" s="1"/>
  <c r="TZS29" i="7" s="1"/>
  <c r="TZU29" i="7" s="1"/>
  <c r="TZW29" i="7" s="1"/>
  <c r="TZY29" i="7" s="1"/>
  <c r="UAA29" i="7" s="1"/>
  <c r="UAC29" i="7" s="1"/>
  <c r="UAE29" i="7" s="1"/>
  <c r="UAG29" i="7" s="1"/>
  <c r="UAI29" i="7" s="1"/>
  <c r="UAK29" i="7" s="1"/>
  <c r="UAM29" i="7" s="1"/>
  <c r="UAO29" i="7" s="1"/>
  <c r="UAQ29" i="7" s="1"/>
  <c r="UAS29" i="7" s="1"/>
  <c r="UAU29" i="7" s="1"/>
  <c r="UAW29" i="7" s="1"/>
  <c r="UAY29" i="7" s="1"/>
  <c r="UBA29" i="7" s="1"/>
  <c r="UBC29" i="7" s="1"/>
  <c r="UBE29" i="7" s="1"/>
  <c r="UBG29" i="7" s="1"/>
  <c r="UBI29" i="7" s="1"/>
  <c r="UBK29" i="7" s="1"/>
  <c r="UBM29" i="7" s="1"/>
  <c r="UBO29" i="7" s="1"/>
  <c r="UBQ29" i="7" s="1"/>
  <c r="UBS29" i="7" s="1"/>
  <c r="UBU29" i="7" s="1"/>
  <c r="UBW29" i="7" s="1"/>
  <c r="UBY29" i="7" s="1"/>
  <c r="UCA29" i="7" s="1"/>
  <c r="UCC29" i="7" s="1"/>
  <c r="UCE29" i="7" s="1"/>
  <c r="UCG29" i="7" s="1"/>
  <c r="UCI29" i="7" s="1"/>
  <c r="UCK29" i="7" s="1"/>
  <c r="UCM29" i="7" s="1"/>
  <c r="UCO29" i="7" s="1"/>
  <c r="UCQ29" i="7" s="1"/>
  <c r="UCS29" i="7" s="1"/>
  <c r="UCU29" i="7" s="1"/>
  <c r="UCW29" i="7" s="1"/>
  <c r="UCY29" i="7" s="1"/>
  <c r="UDA29" i="7" s="1"/>
  <c r="UDC29" i="7" s="1"/>
  <c r="UDE29" i="7" s="1"/>
  <c r="UDG29" i="7" s="1"/>
  <c r="UDI29" i="7" s="1"/>
  <c r="UDK29" i="7" s="1"/>
  <c r="UDM29" i="7" s="1"/>
  <c r="UDO29" i="7" s="1"/>
  <c r="UDQ29" i="7" s="1"/>
  <c r="UDS29" i="7" s="1"/>
  <c r="UDU29" i="7" s="1"/>
  <c r="UDW29" i="7" s="1"/>
  <c r="UDY29" i="7" s="1"/>
  <c r="UEA29" i="7" s="1"/>
  <c r="UEC29" i="7" s="1"/>
  <c r="UEE29" i="7" s="1"/>
  <c r="UEG29" i="7" s="1"/>
  <c r="UEI29" i="7" s="1"/>
  <c r="UEK29" i="7" s="1"/>
  <c r="UEM29" i="7" s="1"/>
  <c r="UEO29" i="7" s="1"/>
  <c r="UEQ29" i="7" s="1"/>
  <c r="UES29" i="7" s="1"/>
  <c r="UEU29" i="7" s="1"/>
  <c r="UEW29" i="7" s="1"/>
  <c r="UEY29" i="7" s="1"/>
  <c r="UFA29" i="7" s="1"/>
  <c r="UFC29" i="7" s="1"/>
  <c r="UFE29" i="7" s="1"/>
  <c r="UFG29" i="7" s="1"/>
  <c r="UFI29" i="7" s="1"/>
  <c r="UFK29" i="7" s="1"/>
  <c r="UFM29" i="7" s="1"/>
  <c r="UFO29" i="7" s="1"/>
  <c r="UFQ29" i="7" s="1"/>
  <c r="UFS29" i="7" s="1"/>
  <c r="UFU29" i="7" s="1"/>
  <c r="UFW29" i="7" s="1"/>
  <c r="UFY29" i="7" s="1"/>
  <c r="UGA29" i="7" s="1"/>
  <c r="UGC29" i="7" s="1"/>
  <c r="UGE29" i="7" s="1"/>
  <c r="UGG29" i="7" s="1"/>
  <c r="UGI29" i="7" s="1"/>
  <c r="UGK29" i="7" s="1"/>
  <c r="UGM29" i="7" s="1"/>
  <c r="UGO29" i="7" s="1"/>
  <c r="UGQ29" i="7" s="1"/>
  <c r="UGS29" i="7" s="1"/>
  <c r="UGU29" i="7" s="1"/>
  <c r="UGW29" i="7" s="1"/>
  <c r="UGY29" i="7" s="1"/>
  <c r="UHA29" i="7" s="1"/>
  <c r="UHC29" i="7" s="1"/>
  <c r="UHE29" i="7" s="1"/>
  <c r="UHG29" i="7" s="1"/>
  <c r="UHI29" i="7" s="1"/>
  <c r="UHK29" i="7" s="1"/>
  <c r="UHM29" i="7" s="1"/>
  <c r="UHO29" i="7" s="1"/>
  <c r="UHQ29" i="7" s="1"/>
  <c r="UHS29" i="7" s="1"/>
  <c r="UHU29" i="7" s="1"/>
  <c r="UHW29" i="7" s="1"/>
  <c r="UHY29" i="7" s="1"/>
  <c r="UIA29" i="7" s="1"/>
  <c r="UIC29" i="7" s="1"/>
  <c r="UIE29" i="7" s="1"/>
  <c r="UIG29" i="7" s="1"/>
  <c r="UII29" i="7" s="1"/>
  <c r="UIK29" i="7" s="1"/>
  <c r="UIM29" i="7" s="1"/>
  <c r="UIO29" i="7" s="1"/>
  <c r="UIQ29" i="7" s="1"/>
  <c r="UIS29" i="7" s="1"/>
  <c r="UIU29" i="7" s="1"/>
  <c r="UIW29" i="7" s="1"/>
  <c r="UIY29" i="7" s="1"/>
  <c r="UJA29" i="7" s="1"/>
  <c r="UJC29" i="7" s="1"/>
  <c r="UJE29" i="7" s="1"/>
  <c r="UJG29" i="7" s="1"/>
  <c r="UJI29" i="7" s="1"/>
  <c r="UJK29" i="7" s="1"/>
  <c r="UJM29" i="7" s="1"/>
  <c r="UJO29" i="7" s="1"/>
  <c r="UJQ29" i="7" s="1"/>
  <c r="UJS29" i="7" s="1"/>
  <c r="UJU29" i="7" s="1"/>
  <c r="UJW29" i="7" s="1"/>
  <c r="UJY29" i="7" s="1"/>
  <c r="UKA29" i="7" s="1"/>
  <c r="UKC29" i="7" s="1"/>
  <c r="UKE29" i="7" s="1"/>
  <c r="UKG29" i="7" s="1"/>
  <c r="UKI29" i="7" s="1"/>
  <c r="UKK29" i="7" s="1"/>
  <c r="UKM29" i="7" s="1"/>
  <c r="UKO29" i="7" s="1"/>
  <c r="UKQ29" i="7" s="1"/>
  <c r="UKS29" i="7" s="1"/>
  <c r="UKU29" i="7" s="1"/>
  <c r="UKW29" i="7" s="1"/>
  <c r="UKY29" i="7" s="1"/>
  <c r="ULA29" i="7" s="1"/>
  <c r="ULC29" i="7" s="1"/>
  <c r="ULE29" i="7" s="1"/>
  <c r="ULG29" i="7" s="1"/>
  <c r="ULI29" i="7" s="1"/>
  <c r="ULK29" i="7" s="1"/>
  <c r="ULM29" i="7" s="1"/>
  <c r="ULO29" i="7" s="1"/>
  <c r="ULQ29" i="7" s="1"/>
  <c r="ULS29" i="7" s="1"/>
  <c r="ULU29" i="7" s="1"/>
  <c r="ULW29" i="7" s="1"/>
  <c r="ULY29" i="7" s="1"/>
  <c r="UMA29" i="7" s="1"/>
  <c r="UMC29" i="7" s="1"/>
  <c r="UME29" i="7" s="1"/>
  <c r="UMG29" i="7" s="1"/>
  <c r="UMI29" i="7" s="1"/>
  <c r="UMK29" i="7" s="1"/>
  <c r="UMM29" i="7" s="1"/>
  <c r="UMO29" i="7" s="1"/>
  <c r="UMQ29" i="7" s="1"/>
  <c r="UMS29" i="7" s="1"/>
  <c r="UMU29" i="7" s="1"/>
  <c r="UMW29" i="7" s="1"/>
  <c r="UMY29" i="7" s="1"/>
  <c r="UNA29" i="7" s="1"/>
  <c r="UNC29" i="7" s="1"/>
  <c r="UNE29" i="7" s="1"/>
  <c r="UNG29" i="7" s="1"/>
  <c r="UNI29" i="7" s="1"/>
  <c r="UNK29" i="7" s="1"/>
  <c r="UNM29" i="7" s="1"/>
  <c r="UNO29" i="7" s="1"/>
  <c r="UNQ29" i="7" s="1"/>
  <c r="UNS29" i="7" s="1"/>
  <c r="UNU29" i="7" s="1"/>
  <c r="UNW29" i="7" s="1"/>
  <c r="UNY29" i="7" s="1"/>
  <c r="UOA29" i="7" s="1"/>
  <c r="UOC29" i="7" s="1"/>
  <c r="UOE29" i="7" s="1"/>
  <c r="UOG29" i="7" s="1"/>
  <c r="UOI29" i="7" s="1"/>
  <c r="UOK29" i="7" s="1"/>
  <c r="UOM29" i="7" s="1"/>
  <c r="UOO29" i="7" s="1"/>
  <c r="UOQ29" i="7" s="1"/>
  <c r="UOS29" i="7" s="1"/>
  <c r="UOU29" i="7" s="1"/>
  <c r="UOW29" i="7" s="1"/>
  <c r="UOY29" i="7" s="1"/>
  <c r="UPA29" i="7" s="1"/>
  <c r="UPC29" i="7" s="1"/>
  <c r="UPE29" i="7" s="1"/>
  <c r="UPG29" i="7" s="1"/>
  <c r="UPI29" i="7" s="1"/>
  <c r="UPK29" i="7" s="1"/>
  <c r="UPM29" i="7" s="1"/>
  <c r="UPO29" i="7" s="1"/>
  <c r="UPQ29" i="7" s="1"/>
  <c r="UPS29" i="7" s="1"/>
  <c r="UPU29" i="7" s="1"/>
  <c r="UPW29" i="7" s="1"/>
  <c r="UPY29" i="7" s="1"/>
  <c r="UQA29" i="7" s="1"/>
  <c r="UQC29" i="7" s="1"/>
  <c r="UQE29" i="7" s="1"/>
  <c r="UQG29" i="7" s="1"/>
  <c r="UQI29" i="7" s="1"/>
  <c r="UQK29" i="7" s="1"/>
  <c r="UQM29" i="7" s="1"/>
  <c r="UQO29" i="7" s="1"/>
  <c r="UQQ29" i="7" s="1"/>
  <c r="UQS29" i="7" s="1"/>
  <c r="UQU29" i="7" s="1"/>
  <c r="UQW29" i="7" s="1"/>
  <c r="UQY29" i="7" s="1"/>
  <c r="URA29" i="7" s="1"/>
  <c r="URC29" i="7" s="1"/>
  <c r="URE29" i="7" s="1"/>
  <c r="URG29" i="7" s="1"/>
  <c r="URI29" i="7" s="1"/>
  <c r="URK29" i="7" s="1"/>
  <c r="URM29" i="7" s="1"/>
  <c r="URO29" i="7" s="1"/>
  <c r="URQ29" i="7" s="1"/>
  <c r="URS29" i="7" s="1"/>
  <c r="URU29" i="7" s="1"/>
  <c r="URW29" i="7" s="1"/>
  <c r="URY29" i="7" s="1"/>
  <c r="USA29" i="7" s="1"/>
  <c r="USC29" i="7" s="1"/>
  <c r="USE29" i="7" s="1"/>
  <c r="USG29" i="7" s="1"/>
  <c r="USI29" i="7" s="1"/>
  <c r="USK29" i="7" s="1"/>
  <c r="USM29" i="7" s="1"/>
  <c r="USO29" i="7" s="1"/>
  <c r="USQ29" i="7" s="1"/>
  <c r="USS29" i="7" s="1"/>
  <c r="USU29" i="7" s="1"/>
  <c r="USW29" i="7" s="1"/>
  <c r="USY29" i="7" s="1"/>
  <c r="UTA29" i="7" s="1"/>
  <c r="UTC29" i="7" s="1"/>
  <c r="UTE29" i="7" s="1"/>
  <c r="UTG29" i="7" s="1"/>
  <c r="UTI29" i="7" s="1"/>
  <c r="UTK29" i="7" s="1"/>
  <c r="UTM29" i="7" s="1"/>
  <c r="UTO29" i="7" s="1"/>
  <c r="UTQ29" i="7" s="1"/>
  <c r="UTS29" i="7" s="1"/>
  <c r="UTU29" i="7" s="1"/>
  <c r="UTW29" i="7" s="1"/>
  <c r="UTY29" i="7" s="1"/>
  <c r="UUA29" i="7" s="1"/>
  <c r="UUC29" i="7" s="1"/>
  <c r="UUE29" i="7" s="1"/>
  <c r="UUG29" i="7" s="1"/>
  <c r="UUI29" i="7" s="1"/>
  <c r="UUK29" i="7" s="1"/>
  <c r="UUM29" i="7" s="1"/>
  <c r="UUO29" i="7" s="1"/>
  <c r="UUQ29" i="7" s="1"/>
  <c r="UUS29" i="7" s="1"/>
  <c r="UUU29" i="7" s="1"/>
  <c r="UUW29" i="7" s="1"/>
  <c r="UUY29" i="7" s="1"/>
  <c r="UVA29" i="7" s="1"/>
  <c r="UVC29" i="7" s="1"/>
  <c r="UVE29" i="7" s="1"/>
  <c r="UVG29" i="7" s="1"/>
  <c r="UVI29" i="7" s="1"/>
  <c r="UVK29" i="7" s="1"/>
  <c r="UVM29" i="7" s="1"/>
  <c r="UVO29" i="7" s="1"/>
  <c r="UVQ29" i="7" s="1"/>
  <c r="UVS29" i="7" s="1"/>
  <c r="UVU29" i="7" s="1"/>
  <c r="UVW29" i="7" s="1"/>
  <c r="UVY29" i="7" s="1"/>
  <c r="UWA29" i="7" s="1"/>
  <c r="UWC29" i="7" s="1"/>
  <c r="UWE29" i="7" s="1"/>
  <c r="UWG29" i="7" s="1"/>
  <c r="UWI29" i="7" s="1"/>
  <c r="UWK29" i="7" s="1"/>
  <c r="UWM29" i="7" s="1"/>
  <c r="UWO29" i="7" s="1"/>
  <c r="UWQ29" i="7" s="1"/>
  <c r="UWS29" i="7" s="1"/>
  <c r="UWU29" i="7" s="1"/>
  <c r="UWW29" i="7" s="1"/>
  <c r="UWY29" i="7" s="1"/>
  <c r="UXA29" i="7" s="1"/>
  <c r="UXC29" i="7" s="1"/>
  <c r="UXE29" i="7" s="1"/>
  <c r="UXG29" i="7" s="1"/>
  <c r="UXI29" i="7" s="1"/>
  <c r="UXK29" i="7" s="1"/>
  <c r="UXM29" i="7" s="1"/>
  <c r="UXO29" i="7" s="1"/>
  <c r="UXQ29" i="7" s="1"/>
  <c r="UXS29" i="7" s="1"/>
  <c r="UXU29" i="7" s="1"/>
  <c r="UXW29" i="7" s="1"/>
  <c r="UXY29" i="7" s="1"/>
  <c r="UYA29" i="7" s="1"/>
  <c r="UYC29" i="7" s="1"/>
  <c r="UYE29" i="7" s="1"/>
  <c r="UYG29" i="7" s="1"/>
  <c r="UYI29" i="7" s="1"/>
  <c r="UYK29" i="7" s="1"/>
  <c r="UYM29" i="7" s="1"/>
  <c r="UYO29" i="7" s="1"/>
  <c r="UYQ29" i="7" s="1"/>
  <c r="UYS29" i="7" s="1"/>
  <c r="UYU29" i="7" s="1"/>
  <c r="UYW29" i="7" s="1"/>
  <c r="UYY29" i="7" s="1"/>
  <c r="UZA29" i="7" s="1"/>
  <c r="UZC29" i="7" s="1"/>
  <c r="UZE29" i="7" s="1"/>
  <c r="UZG29" i="7" s="1"/>
  <c r="UZI29" i="7" s="1"/>
  <c r="UZK29" i="7" s="1"/>
  <c r="UZM29" i="7" s="1"/>
  <c r="UZO29" i="7" s="1"/>
  <c r="UZQ29" i="7" s="1"/>
  <c r="UZS29" i="7" s="1"/>
  <c r="UZU29" i="7" s="1"/>
  <c r="UZW29" i="7" s="1"/>
  <c r="UZY29" i="7" s="1"/>
  <c r="VAA29" i="7" s="1"/>
  <c r="VAC29" i="7" s="1"/>
  <c r="VAE29" i="7" s="1"/>
  <c r="VAG29" i="7" s="1"/>
  <c r="VAI29" i="7" s="1"/>
  <c r="VAK29" i="7" s="1"/>
  <c r="VAM29" i="7" s="1"/>
  <c r="VAO29" i="7" s="1"/>
  <c r="VAQ29" i="7" s="1"/>
  <c r="VAS29" i="7" s="1"/>
  <c r="VAU29" i="7" s="1"/>
  <c r="VAW29" i="7" s="1"/>
  <c r="VAY29" i="7" s="1"/>
  <c r="VBA29" i="7" s="1"/>
  <c r="VBC29" i="7" s="1"/>
  <c r="VBE29" i="7" s="1"/>
  <c r="VBG29" i="7" s="1"/>
  <c r="VBI29" i="7" s="1"/>
  <c r="VBK29" i="7" s="1"/>
  <c r="VBM29" i="7" s="1"/>
  <c r="VBO29" i="7" s="1"/>
  <c r="VBQ29" i="7" s="1"/>
  <c r="VBS29" i="7" s="1"/>
  <c r="VBU29" i="7" s="1"/>
  <c r="VBW29" i="7" s="1"/>
  <c r="VBY29" i="7" s="1"/>
  <c r="VCA29" i="7" s="1"/>
  <c r="VCC29" i="7" s="1"/>
  <c r="VCE29" i="7" s="1"/>
  <c r="VCG29" i="7" s="1"/>
  <c r="VCI29" i="7" s="1"/>
  <c r="VCK29" i="7" s="1"/>
  <c r="VCM29" i="7" s="1"/>
  <c r="VCO29" i="7" s="1"/>
  <c r="VCQ29" i="7" s="1"/>
  <c r="VCS29" i="7" s="1"/>
  <c r="VCU29" i="7" s="1"/>
  <c r="VCW29" i="7" s="1"/>
  <c r="VCY29" i="7" s="1"/>
  <c r="VDA29" i="7" s="1"/>
  <c r="VDC29" i="7" s="1"/>
  <c r="VDE29" i="7" s="1"/>
  <c r="VDG29" i="7" s="1"/>
  <c r="VDI29" i="7" s="1"/>
  <c r="VDK29" i="7" s="1"/>
  <c r="VDM29" i="7" s="1"/>
  <c r="VDO29" i="7" s="1"/>
  <c r="VDQ29" i="7" s="1"/>
  <c r="VDS29" i="7" s="1"/>
  <c r="VDU29" i="7" s="1"/>
  <c r="VDW29" i="7" s="1"/>
  <c r="VDY29" i="7" s="1"/>
  <c r="VEA29" i="7" s="1"/>
  <c r="VEC29" i="7" s="1"/>
  <c r="VEE29" i="7" s="1"/>
  <c r="VEG29" i="7" s="1"/>
  <c r="VEI29" i="7" s="1"/>
  <c r="VEK29" i="7" s="1"/>
  <c r="VEM29" i="7" s="1"/>
  <c r="VEO29" i="7" s="1"/>
  <c r="VEQ29" i="7" s="1"/>
  <c r="VES29" i="7" s="1"/>
  <c r="VEU29" i="7" s="1"/>
  <c r="VEW29" i="7" s="1"/>
  <c r="VEY29" i="7" s="1"/>
  <c r="VFA29" i="7" s="1"/>
  <c r="VFC29" i="7" s="1"/>
  <c r="VFE29" i="7" s="1"/>
  <c r="VFG29" i="7" s="1"/>
  <c r="VFI29" i="7" s="1"/>
  <c r="VFK29" i="7" s="1"/>
  <c r="VFM29" i="7" s="1"/>
  <c r="VFO29" i="7" s="1"/>
  <c r="VFQ29" i="7" s="1"/>
  <c r="VFS29" i="7" s="1"/>
  <c r="VFU29" i="7" s="1"/>
  <c r="VFW29" i="7" s="1"/>
  <c r="VFY29" i="7" s="1"/>
  <c r="VGA29" i="7" s="1"/>
  <c r="VGC29" i="7" s="1"/>
  <c r="VGE29" i="7" s="1"/>
  <c r="VGG29" i="7" s="1"/>
  <c r="VGI29" i="7" s="1"/>
  <c r="VGK29" i="7" s="1"/>
  <c r="VGM29" i="7" s="1"/>
  <c r="VGO29" i="7" s="1"/>
  <c r="VGQ29" i="7" s="1"/>
  <c r="VGS29" i="7" s="1"/>
  <c r="VGU29" i="7" s="1"/>
  <c r="VGW29" i="7" s="1"/>
  <c r="VGY29" i="7" s="1"/>
  <c r="VHA29" i="7" s="1"/>
  <c r="VHC29" i="7" s="1"/>
  <c r="VHE29" i="7" s="1"/>
  <c r="VHG29" i="7" s="1"/>
  <c r="VHI29" i="7" s="1"/>
  <c r="VHK29" i="7" s="1"/>
  <c r="VHM29" i="7" s="1"/>
  <c r="VHO29" i="7" s="1"/>
  <c r="VHQ29" i="7" s="1"/>
  <c r="VHS29" i="7" s="1"/>
  <c r="VHU29" i="7" s="1"/>
  <c r="VHW29" i="7" s="1"/>
  <c r="VHY29" i="7" s="1"/>
  <c r="VIA29" i="7" s="1"/>
  <c r="VIC29" i="7" s="1"/>
  <c r="VIE29" i="7" s="1"/>
  <c r="VIG29" i="7" s="1"/>
  <c r="VII29" i="7" s="1"/>
  <c r="VIK29" i="7" s="1"/>
  <c r="VIM29" i="7" s="1"/>
  <c r="VIO29" i="7" s="1"/>
  <c r="VIQ29" i="7" s="1"/>
  <c r="VIS29" i="7" s="1"/>
  <c r="VIU29" i="7" s="1"/>
  <c r="VIW29" i="7" s="1"/>
  <c r="VIY29" i="7" s="1"/>
  <c r="VJA29" i="7" s="1"/>
  <c r="VJC29" i="7" s="1"/>
  <c r="VJE29" i="7" s="1"/>
  <c r="VJG29" i="7" s="1"/>
  <c r="VJI29" i="7" s="1"/>
  <c r="VJK29" i="7" s="1"/>
  <c r="VJM29" i="7" s="1"/>
  <c r="VJO29" i="7" s="1"/>
  <c r="VJQ29" i="7" s="1"/>
  <c r="VJS29" i="7" s="1"/>
  <c r="VJU29" i="7" s="1"/>
  <c r="VJW29" i="7" s="1"/>
  <c r="VJY29" i="7" s="1"/>
  <c r="VKA29" i="7" s="1"/>
  <c r="VKC29" i="7" s="1"/>
  <c r="VKE29" i="7" s="1"/>
  <c r="VKG29" i="7" s="1"/>
  <c r="VKI29" i="7" s="1"/>
  <c r="VKK29" i="7" s="1"/>
  <c r="VKM29" i="7" s="1"/>
  <c r="VKO29" i="7" s="1"/>
  <c r="VKQ29" i="7" s="1"/>
  <c r="VKS29" i="7" s="1"/>
  <c r="VKU29" i="7" s="1"/>
  <c r="VKW29" i="7" s="1"/>
  <c r="VKY29" i="7" s="1"/>
  <c r="VLA29" i="7" s="1"/>
  <c r="VLC29" i="7" s="1"/>
  <c r="VLE29" i="7" s="1"/>
  <c r="VLG29" i="7" s="1"/>
  <c r="VLI29" i="7" s="1"/>
  <c r="VLK29" i="7" s="1"/>
  <c r="VLM29" i="7" s="1"/>
  <c r="VLO29" i="7" s="1"/>
  <c r="VLQ29" i="7" s="1"/>
  <c r="VLS29" i="7" s="1"/>
  <c r="VLU29" i="7" s="1"/>
  <c r="VLW29" i="7" s="1"/>
  <c r="VLY29" i="7" s="1"/>
  <c r="VMA29" i="7" s="1"/>
  <c r="VMC29" i="7" s="1"/>
  <c r="VME29" i="7" s="1"/>
  <c r="VMG29" i="7" s="1"/>
  <c r="VMI29" i="7" s="1"/>
  <c r="VMK29" i="7" s="1"/>
  <c r="VMM29" i="7" s="1"/>
  <c r="VMO29" i="7" s="1"/>
  <c r="VMQ29" i="7" s="1"/>
  <c r="VMS29" i="7" s="1"/>
  <c r="VMU29" i="7" s="1"/>
  <c r="VMW29" i="7" s="1"/>
  <c r="VMY29" i="7" s="1"/>
  <c r="VNA29" i="7" s="1"/>
  <c r="VNC29" i="7" s="1"/>
  <c r="VNE29" i="7" s="1"/>
  <c r="VNG29" i="7" s="1"/>
  <c r="VNI29" i="7" s="1"/>
  <c r="VNK29" i="7" s="1"/>
  <c r="VNM29" i="7" s="1"/>
  <c r="VNO29" i="7" s="1"/>
  <c r="VNQ29" i="7" s="1"/>
  <c r="VNS29" i="7" s="1"/>
  <c r="VNU29" i="7" s="1"/>
  <c r="VNW29" i="7" s="1"/>
  <c r="VNY29" i="7" s="1"/>
  <c r="VOA29" i="7" s="1"/>
  <c r="VOC29" i="7" s="1"/>
  <c r="VOE29" i="7" s="1"/>
  <c r="VOG29" i="7" s="1"/>
  <c r="VOI29" i="7" s="1"/>
  <c r="VOK29" i="7" s="1"/>
  <c r="VOM29" i="7" s="1"/>
  <c r="VOO29" i="7" s="1"/>
  <c r="VOQ29" i="7" s="1"/>
  <c r="VOS29" i="7" s="1"/>
  <c r="VOU29" i="7" s="1"/>
  <c r="VOW29" i="7" s="1"/>
  <c r="VOY29" i="7" s="1"/>
  <c r="VPA29" i="7" s="1"/>
  <c r="VPC29" i="7" s="1"/>
  <c r="VPE29" i="7" s="1"/>
  <c r="VPG29" i="7" s="1"/>
  <c r="VPI29" i="7" s="1"/>
  <c r="VPK29" i="7" s="1"/>
  <c r="VPM29" i="7" s="1"/>
  <c r="VPO29" i="7" s="1"/>
  <c r="VPQ29" i="7" s="1"/>
  <c r="VPS29" i="7" s="1"/>
  <c r="VPU29" i="7" s="1"/>
  <c r="VPW29" i="7" s="1"/>
  <c r="VPY29" i="7" s="1"/>
  <c r="VQA29" i="7" s="1"/>
  <c r="VQC29" i="7" s="1"/>
  <c r="VQE29" i="7" s="1"/>
  <c r="VQG29" i="7" s="1"/>
  <c r="VQI29" i="7" s="1"/>
  <c r="VQK29" i="7" s="1"/>
  <c r="VQM29" i="7" s="1"/>
  <c r="VQO29" i="7" s="1"/>
  <c r="VQQ29" i="7" s="1"/>
  <c r="VQS29" i="7" s="1"/>
  <c r="VQU29" i="7" s="1"/>
  <c r="VQW29" i="7" s="1"/>
  <c r="VQY29" i="7" s="1"/>
  <c r="VRA29" i="7" s="1"/>
  <c r="VRC29" i="7" s="1"/>
  <c r="VRE29" i="7" s="1"/>
  <c r="VRG29" i="7" s="1"/>
  <c r="VRI29" i="7" s="1"/>
  <c r="VRK29" i="7" s="1"/>
  <c r="VRM29" i="7" s="1"/>
  <c r="VRO29" i="7" s="1"/>
  <c r="VRQ29" i="7" s="1"/>
  <c r="VRS29" i="7" s="1"/>
  <c r="VRU29" i="7" s="1"/>
  <c r="VRW29" i="7" s="1"/>
  <c r="VRY29" i="7" s="1"/>
  <c r="VSA29" i="7" s="1"/>
  <c r="VSC29" i="7" s="1"/>
  <c r="VSE29" i="7" s="1"/>
  <c r="VSG29" i="7" s="1"/>
  <c r="VSI29" i="7" s="1"/>
  <c r="VSK29" i="7" s="1"/>
  <c r="VSM29" i="7" s="1"/>
  <c r="VSO29" i="7" s="1"/>
  <c r="VSQ29" i="7" s="1"/>
  <c r="VSS29" i="7" s="1"/>
  <c r="VSU29" i="7" s="1"/>
  <c r="VSW29" i="7" s="1"/>
  <c r="VSY29" i="7" s="1"/>
  <c r="VTA29" i="7" s="1"/>
  <c r="VTC29" i="7" s="1"/>
  <c r="VTE29" i="7" s="1"/>
  <c r="VTG29" i="7" s="1"/>
  <c r="VTI29" i="7" s="1"/>
  <c r="VTK29" i="7" s="1"/>
  <c r="VTM29" i="7" s="1"/>
  <c r="VTO29" i="7" s="1"/>
  <c r="VTQ29" i="7" s="1"/>
  <c r="VTS29" i="7" s="1"/>
  <c r="VTU29" i="7" s="1"/>
  <c r="VTW29" i="7" s="1"/>
  <c r="VTY29" i="7" s="1"/>
  <c r="VUA29" i="7" s="1"/>
  <c r="VUC29" i="7" s="1"/>
  <c r="VUE29" i="7" s="1"/>
  <c r="VUG29" i="7" s="1"/>
  <c r="VUI29" i="7" s="1"/>
  <c r="VUK29" i="7" s="1"/>
  <c r="VUM29" i="7" s="1"/>
  <c r="VUO29" i="7" s="1"/>
  <c r="VUQ29" i="7" s="1"/>
  <c r="VUS29" i="7" s="1"/>
  <c r="VUU29" i="7" s="1"/>
  <c r="VUW29" i="7" s="1"/>
  <c r="VUY29" i="7" s="1"/>
  <c r="VVA29" i="7" s="1"/>
  <c r="VVC29" i="7" s="1"/>
  <c r="VVE29" i="7" s="1"/>
  <c r="VVG29" i="7" s="1"/>
  <c r="VVI29" i="7" s="1"/>
  <c r="VVK29" i="7" s="1"/>
  <c r="VVM29" i="7" s="1"/>
  <c r="VVO29" i="7" s="1"/>
  <c r="VVQ29" i="7" s="1"/>
  <c r="VVS29" i="7" s="1"/>
  <c r="VVU29" i="7" s="1"/>
  <c r="VVW29" i="7" s="1"/>
  <c r="VVY29" i="7" s="1"/>
  <c r="VWA29" i="7" s="1"/>
  <c r="VWC29" i="7" s="1"/>
  <c r="VWE29" i="7" s="1"/>
  <c r="VWG29" i="7" s="1"/>
  <c r="VWI29" i="7" s="1"/>
  <c r="VWK29" i="7" s="1"/>
  <c r="VWM29" i="7" s="1"/>
  <c r="VWO29" i="7" s="1"/>
  <c r="VWQ29" i="7" s="1"/>
  <c r="VWS29" i="7" s="1"/>
  <c r="VWU29" i="7" s="1"/>
  <c r="VWW29" i="7" s="1"/>
  <c r="VWY29" i="7" s="1"/>
  <c r="VXA29" i="7" s="1"/>
  <c r="VXC29" i="7" s="1"/>
  <c r="VXE29" i="7" s="1"/>
  <c r="VXG29" i="7" s="1"/>
  <c r="VXI29" i="7" s="1"/>
  <c r="VXK29" i="7" s="1"/>
  <c r="VXM29" i="7" s="1"/>
  <c r="VXO29" i="7" s="1"/>
  <c r="VXQ29" i="7" s="1"/>
  <c r="VXS29" i="7" s="1"/>
  <c r="VXU29" i="7" s="1"/>
  <c r="VXW29" i="7" s="1"/>
  <c r="VXY29" i="7" s="1"/>
  <c r="VYA29" i="7" s="1"/>
  <c r="VYC29" i="7" s="1"/>
  <c r="VYE29" i="7" s="1"/>
  <c r="VYG29" i="7" s="1"/>
  <c r="VYI29" i="7" s="1"/>
  <c r="VYK29" i="7" s="1"/>
  <c r="VYM29" i="7" s="1"/>
  <c r="VYO29" i="7" s="1"/>
  <c r="VYQ29" i="7" s="1"/>
  <c r="VYS29" i="7" s="1"/>
  <c r="VYU29" i="7" s="1"/>
  <c r="VYW29" i="7" s="1"/>
  <c r="VYY29" i="7" s="1"/>
  <c r="VZA29" i="7" s="1"/>
  <c r="VZC29" i="7" s="1"/>
  <c r="VZE29" i="7" s="1"/>
  <c r="VZG29" i="7" s="1"/>
  <c r="VZI29" i="7" s="1"/>
  <c r="VZK29" i="7" s="1"/>
  <c r="VZM29" i="7" s="1"/>
  <c r="VZO29" i="7" s="1"/>
  <c r="VZQ29" i="7" s="1"/>
  <c r="VZS29" i="7" s="1"/>
  <c r="VZU29" i="7" s="1"/>
  <c r="VZW29" i="7" s="1"/>
  <c r="VZY29" i="7" s="1"/>
  <c r="WAA29" i="7" s="1"/>
  <c r="WAC29" i="7" s="1"/>
  <c r="WAE29" i="7" s="1"/>
  <c r="WAG29" i="7" s="1"/>
  <c r="WAI29" i="7" s="1"/>
  <c r="WAK29" i="7" s="1"/>
  <c r="WAM29" i="7" s="1"/>
  <c r="WAO29" i="7" s="1"/>
  <c r="WAQ29" i="7" s="1"/>
  <c r="WAS29" i="7" s="1"/>
  <c r="WAU29" i="7" s="1"/>
  <c r="WAW29" i="7" s="1"/>
  <c r="WAY29" i="7" s="1"/>
  <c r="WBA29" i="7" s="1"/>
  <c r="WBC29" i="7" s="1"/>
  <c r="WBE29" i="7" s="1"/>
  <c r="WBG29" i="7" s="1"/>
  <c r="WBI29" i="7" s="1"/>
  <c r="WBK29" i="7" s="1"/>
  <c r="WBM29" i="7" s="1"/>
  <c r="WBO29" i="7" s="1"/>
  <c r="WBQ29" i="7" s="1"/>
  <c r="WBS29" i="7" s="1"/>
  <c r="WBU29" i="7" s="1"/>
  <c r="WBW29" i="7" s="1"/>
  <c r="WBY29" i="7" s="1"/>
  <c r="WCA29" i="7" s="1"/>
  <c r="WCC29" i="7" s="1"/>
  <c r="WCE29" i="7" s="1"/>
  <c r="WCG29" i="7" s="1"/>
  <c r="WCI29" i="7" s="1"/>
  <c r="WCK29" i="7" s="1"/>
  <c r="WCM29" i="7" s="1"/>
  <c r="WCO29" i="7" s="1"/>
  <c r="WCQ29" i="7" s="1"/>
  <c r="WCS29" i="7" s="1"/>
  <c r="WCU29" i="7" s="1"/>
  <c r="WCW29" i="7" s="1"/>
  <c r="WCY29" i="7" s="1"/>
  <c r="WDA29" i="7" s="1"/>
  <c r="WDC29" i="7" s="1"/>
  <c r="WDE29" i="7" s="1"/>
  <c r="WDG29" i="7" s="1"/>
  <c r="WDI29" i="7" s="1"/>
  <c r="WDK29" i="7" s="1"/>
  <c r="WDM29" i="7" s="1"/>
  <c r="WDO29" i="7" s="1"/>
  <c r="WDQ29" i="7" s="1"/>
  <c r="WDS29" i="7" s="1"/>
  <c r="WDU29" i="7" s="1"/>
  <c r="WDW29" i="7" s="1"/>
  <c r="WDY29" i="7" s="1"/>
  <c r="WEA29" i="7" s="1"/>
  <c r="WEC29" i="7" s="1"/>
  <c r="WEE29" i="7" s="1"/>
  <c r="WEG29" i="7" s="1"/>
  <c r="WEI29" i="7" s="1"/>
  <c r="WEK29" i="7" s="1"/>
  <c r="WEM29" i="7" s="1"/>
  <c r="WEO29" i="7" s="1"/>
  <c r="WEQ29" i="7" s="1"/>
  <c r="WES29" i="7" s="1"/>
  <c r="WEU29" i="7" s="1"/>
  <c r="WEW29" i="7" s="1"/>
  <c r="WEY29" i="7" s="1"/>
  <c r="WFA29" i="7" s="1"/>
  <c r="WFC29" i="7" s="1"/>
  <c r="WFE29" i="7" s="1"/>
  <c r="WFG29" i="7" s="1"/>
  <c r="WFI29" i="7" s="1"/>
  <c r="WFK29" i="7" s="1"/>
  <c r="WFM29" i="7" s="1"/>
  <c r="WFO29" i="7" s="1"/>
  <c r="WFQ29" i="7" s="1"/>
  <c r="WFS29" i="7" s="1"/>
  <c r="WFU29" i="7" s="1"/>
  <c r="WFW29" i="7" s="1"/>
  <c r="WFY29" i="7" s="1"/>
  <c r="WGA29" i="7" s="1"/>
  <c r="WGC29" i="7" s="1"/>
  <c r="WGE29" i="7" s="1"/>
  <c r="WGG29" i="7" s="1"/>
  <c r="WGI29" i="7" s="1"/>
  <c r="WGK29" i="7" s="1"/>
  <c r="WGM29" i="7" s="1"/>
  <c r="WGO29" i="7" s="1"/>
  <c r="WGQ29" i="7" s="1"/>
  <c r="WGS29" i="7" s="1"/>
  <c r="WGU29" i="7" s="1"/>
  <c r="WGW29" i="7" s="1"/>
  <c r="WGY29" i="7" s="1"/>
  <c r="WHA29" i="7" s="1"/>
  <c r="WHC29" i="7" s="1"/>
  <c r="WHE29" i="7" s="1"/>
  <c r="WHG29" i="7" s="1"/>
  <c r="WHI29" i="7" s="1"/>
  <c r="WHK29" i="7" s="1"/>
  <c r="WHM29" i="7" s="1"/>
  <c r="WHO29" i="7" s="1"/>
  <c r="WHQ29" i="7" s="1"/>
  <c r="WHS29" i="7" s="1"/>
  <c r="WHU29" i="7" s="1"/>
  <c r="WHW29" i="7" s="1"/>
  <c r="WHY29" i="7" s="1"/>
  <c r="WIA29" i="7" s="1"/>
  <c r="WIC29" i="7" s="1"/>
  <c r="WIE29" i="7" s="1"/>
  <c r="WIG29" i="7" s="1"/>
  <c r="WII29" i="7" s="1"/>
  <c r="WIK29" i="7" s="1"/>
  <c r="WIM29" i="7" s="1"/>
  <c r="WIO29" i="7" s="1"/>
  <c r="WIQ29" i="7" s="1"/>
  <c r="WIS29" i="7" s="1"/>
  <c r="WIU29" i="7" s="1"/>
  <c r="WIW29" i="7" s="1"/>
  <c r="WIY29" i="7" s="1"/>
  <c r="WJA29" i="7" s="1"/>
  <c r="WJC29" i="7" s="1"/>
  <c r="WJE29" i="7" s="1"/>
  <c r="WJG29" i="7" s="1"/>
  <c r="WJI29" i="7" s="1"/>
  <c r="WJK29" i="7" s="1"/>
  <c r="WJM29" i="7" s="1"/>
  <c r="WJO29" i="7" s="1"/>
  <c r="WJQ29" i="7" s="1"/>
  <c r="WJS29" i="7" s="1"/>
  <c r="WJU29" i="7" s="1"/>
  <c r="WJW29" i="7" s="1"/>
  <c r="WJY29" i="7" s="1"/>
  <c r="WKA29" i="7" s="1"/>
  <c r="WKC29" i="7" s="1"/>
  <c r="WKE29" i="7" s="1"/>
  <c r="WKG29" i="7" s="1"/>
  <c r="WKI29" i="7" s="1"/>
  <c r="WKK29" i="7" s="1"/>
  <c r="WKM29" i="7" s="1"/>
  <c r="WKO29" i="7" s="1"/>
  <c r="WKQ29" i="7" s="1"/>
  <c r="WKS29" i="7" s="1"/>
  <c r="WKU29" i="7" s="1"/>
  <c r="WKW29" i="7" s="1"/>
  <c r="WKY29" i="7" s="1"/>
  <c r="WLA29" i="7" s="1"/>
  <c r="WLC29" i="7" s="1"/>
  <c r="WLE29" i="7" s="1"/>
  <c r="WLG29" i="7" s="1"/>
  <c r="WLI29" i="7" s="1"/>
  <c r="WLK29" i="7" s="1"/>
  <c r="WLM29" i="7" s="1"/>
  <c r="WLO29" i="7" s="1"/>
  <c r="WLQ29" i="7" s="1"/>
  <c r="WLS29" i="7" s="1"/>
  <c r="WLU29" i="7" s="1"/>
  <c r="WLW29" i="7" s="1"/>
  <c r="WLY29" i="7" s="1"/>
  <c r="WMA29" i="7" s="1"/>
  <c r="WMC29" i="7" s="1"/>
  <c r="WME29" i="7" s="1"/>
  <c r="WMG29" i="7" s="1"/>
  <c r="WMI29" i="7" s="1"/>
  <c r="WMK29" i="7" s="1"/>
  <c r="WMM29" i="7" s="1"/>
  <c r="WMO29" i="7" s="1"/>
  <c r="WMQ29" i="7" s="1"/>
  <c r="WMS29" i="7" s="1"/>
  <c r="WMU29" i="7" s="1"/>
  <c r="WMW29" i="7" s="1"/>
  <c r="WMY29" i="7" s="1"/>
  <c r="WNA29" i="7" s="1"/>
  <c r="WNC29" i="7" s="1"/>
  <c r="WNE29" i="7" s="1"/>
  <c r="WNG29" i="7" s="1"/>
  <c r="WNI29" i="7" s="1"/>
  <c r="WNK29" i="7" s="1"/>
  <c r="WNM29" i="7" s="1"/>
  <c r="WNO29" i="7" s="1"/>
  <c r="WNQ29" i="7" s="1"/>
  <c r="WNS29" i="7" s="1"/>
  <c r="WNU29" i="7" s="1"/>
  <c r="WNW29" i="7" s="1"/>
  <c r="WNY29" i="7" s="1"/>
  <c r="WOA29" i="7" s="1"/>
  <c r="WOC29" i="7" s="1"/>
  <c r="WOE29" i="7" s="1"/>
  <c r="WOG29" i="7" s="1"/>
  <c r="WOI29" i="7" s="1"/>
  <c r="WOK29" i="7" s="1"/>
  <c r="WOM29" i="7" s="1"/>
  <c r="WOO29" i="7" s="1"/>
  <c r="WOQ29" i="7" s="1"/>
  <c r="WOS29" i="7" s="1"/>
  <c r="WOU29" i="7" s="1"/>
  <c r="WOW29" i="7" s="1"/>
  <c r="WOY29" i="7" s="1"/>
  <c r="WPA29" i="7" s="1"/>
  <c r="WPC29" i="7" s="1"/>
  <c r="WPE29" i="7" s="1"/>
  <c r="WPG29" i="7" s="1"/>
  <c r="WPI29" i="7" s="1"/>
  <c r="WPK29" i="7" s="1"/>
  <c r="WPM29" i="7" s="1"/>
  <c r="WPO29" i="7" s="1"/>
  <c r="WPQ29" i="7" s="1"/>
  <c r="WPS29" i="7" s="1"/>
  <c r="WPU29" i="7" s="1"/>
  <c r="WPW29" i="7" s="1"/>
  <c r="WPY29" i="7" s="1"/>
  <c r="WQA29" i="7" s="1"/>
  <c r="WQC29" i="7" s="1"/>
  <c r="WQE29" i="7" s="1"/>
  <c r="WQG29" i="7" s="1"/>
  <c r="WQI29" i="7" s="1"/>
  <c r="WQK29" i="7" s="1"/>
  <c r="WQM29" i="7" s="1"/>
  <c r="WQO29" i="7" s="1"/>
  <c r="WQQ29" i="7" s="1"/>
  <c r="WQS29" i="7" s="1"/>
  <c r="WQU29" i="7" s="1"/>
  <c r="WQW29" i="7" s="1"/>
  <c r="WQY29" i="7" s="1"/>
  <c r="WRA29" i="7" s="1"/>
  <c r="WRC29" i="7" s="1"/>
  <c r="WRE29" i="7" s="1"/>
  <c r="WRG29" i="7" s="1"/>
  <c r="WRI29" i="7" s="1"/>
  <c r="WRK29" i="7" s="1"/>
  <c r="WRM29" i="7" s="1"/>
  <c r="WRO29" i="7" s="1"/>
  <c r="WRQ29" i="7" s="1"/>
  <c r="WRS29" i="7" s="1"/>
  <c r="WRU29" i="7" s="1"/>
  <c r="WRW29" i="7" s="1"/>
  <c r="WRY29" i="7" s="1"/>
  <c r="WSA29" i="7" s="1"/>
  <c r="WSC29" i="7" s="1"/>
  <c r="WSE29" i="7" s="1"/>
  <c r="WSG29" i="7" s="1"/>
  <c r="WSI29" i="7" s="1"/>
  <c r="WSK29" i="7" s="1"/>
  <c r="WSM29" i="7" s="1"/>
  <c r="WSO29" i="7" s="1"/>
  <c r="WSQ29" i="7" s="1"/>
  <c r="WSS29" i="7" s="1"/>
  <c r="WSU29" i="7" s="1"/>
  <c r="WSW29" i="7" s="1"/>
  <c r="WSY29" i="7" s="1"/>
  <c r="WTA29" i="7" s="1"/>
  <c r="WTC29" i="7" s="1"/>
  <c r="WTE29" i="7" s="1"/>
  <c r="WTG29" i="7" s="1"/>
  <c r="WTI29" i="7" s="1"/>
  <c r="WTK29" i="7" s="1"/>
  <c r="WTM29" i="7" s="1"/>
  <c r="WTO29" i="7" s="1"/>
  <c r="WTQ29" i="7" s="1"/>
  <c r="WTS29" i="7" s="1"/>
  <c r="WTU29" i="7" s="1"/>
  <c r="WTW29" i="7" s="1"/>
  <c r="WTY29" i="7" s="1"/>
  <c r="WUA29" i="7" s="1"/>
  <c r="WUC29" i="7" s="1"/>
  <c r="WUE29" i="7" s="1"/>
  <c r="WUG29" i="7" s="1"/>
  <c r="WUI29" i="7" s="1"/>
  <c r="WUK29" i="7" s="1"/>
  <c r="WUM29" i="7" s="1"/>
  <c r="WUO29" i="7" s="1"/>
  <c r="WUQ29" i="7" s="1"/>
  <c r="WUS29" i="7" s="1"/>
  <c r="WUU29" i="7" s="1"/>
  <c r="WUW29" i="7" s="1"/>
  <c r="WUY29" i="7" s="1"/>
  <c r="WVA29" i="7" s="1"/>
  <c r="WVC29" i="7" s="1"/>
  <c r="WVE29" i="7" s="1"/>
  <c r="WVG29" i="7" s="1"/>
  <c r="WVI29" i="7" s="1"/>
  <c r="WVK29" i="7" s="1"/>
  <c r="WVM29" i="7" s="1"/>
  <c r="WVO29" i="7" s="1"/>
  <c r="WVQ29" i="7" s="1"/>
  <c r="WVS29" i="7" s="1"/>
  <c r="WVU29" i="7" s="1"/>
  <c r="WVW29" i="7" s="1"/>
  <c r="WVY29" i="7" s="1"/>
  <c r="WWA29" i="7" s="1"/>
  <c r="WWC29" i="7" s="1"/>
  <c r="WWE29" i="7" s="1"/>
  <c r="WWG29" i="7" s="1"/>
  <c r="WWI29" i="7" s="1"/>
  <c r="WWK29" i="7" s="1"/>
  <c r="WWM29" i="7" s="1"/>
  <c r="WWO29" i="7" s="1"/>
  <c r="WWQ29" i="7" s="1"/>
  <c r="WWS29" i="7" s="1"/>
  <c r="WWU29" i="7" s="1"/>
  <c r="WWW29" i="7" s="1"/>
  <c r="WWY29" i="7" s="1"/>
  <c r="WXA29" i="7" s="1"/>
  <c r="WXC29" i="7" s="1"/>
  <c r="WXE29" i="7" s="1"/>
  <c r="WXG29" i="7" s="1"/>
  <c r="WXI29" i="7" s="1"/>
  <c r="WXK29" i="7" s="1"/>
  <c r="WXM29" i="7" s="1"/>
  <c r="WXO29" i="7" s="1"/>
  <c r="WXQ29" i="7" s="1"/>
  <c r="WXS29" i="7" s="1"/>
  <c r="WXU29" i="7" s="1"/>
  <c r="WXW29" i="7" s="1"/>
  <c r="WXY29" i="7" s="1"/>
  <c r="WYA29" i="7" s="1"/>
  <c r="WYC29" i="7" s="1"/>
  <c r="WYE29" i="7" s="1"/>
  <c r="WYG29" i="7" s="1"/>
  <c r="WYI29" i="7" s="1"/>
  <c r="WYK29" i="7" s="1"/>
  <c r="WYM29" i="7" s="1"/>
  <c r="WYO29" i="7" s="1"/>
  <c r="WYQ29" i="7" s="1"/>
  <c r="WYS29" i="7" s="1"/>
  <c r="WYU29" i="7" s="1"/>
  <c r="WYW29" i="7" s="1"/>
  <c r="WYY29" i="7" s="1"/>
  <c r="WZA29" i="7" s="1"/>
  <c r="WZC29" i="7" s="1"/>
  <c r="WZE29" i="7" s="1"/>
  <c r="WZG29" i="7" s="1"/>
  <c r="WZI29" i="7" s="1"/>
  <c r="WZK29" i="7" s="1"/>
  <c r="WZM29" i="7" s="1"/>
  <c r="WZO29" i="7" s="1"/>
  <c r="WZQ29" i="7" s="1"/>
  <c r="WZS29" i="7" s="1"/>
  <c r="WZU29" i="7" s="1"/>
  <c r="WZW29" i="7" s="1"/>
  <c r="WZY29" i="7" s="1"/>
  <c r="XAA29" i="7" s="1"/>
  <c r="XAC29" i="7" s="1"/>
  <c r="XAE29" i="7" s="1"/>
  <c r="XAG29" i="7" s="1"/>
  <c r="XAI29" i="7" s="1"/>
  <c r="XAK29" i="7" s="1"/>
  <c r="XAM29" i="7" s="1"/>
  <c r="XAO29" i="7" s="1"/>
  <c r="XAQ29" i="7" s="1"/>
  <c r="XAS29" i="7" s="1"/>
  <c r="XAU29" i="7" s="1"/>
  <c r="XAW29" i="7" s="1"/>
  <c r="XAY29" i="7" s="1"/>
  <c r="XBA29" i="7" s="1"/>
  <c r="XBC29" i="7" s="1"/>
  <c r="XBE29" i="7" s="1"/>
  <c r="XBG29" i="7" s="1"/>
  <c r="XBI29" i="7" s="1"/>
  <c r="XBK29" i="7" s="1"/>
  <c r="XBM29" i="7" s="1"/>
  <c r="XBO29" i="7" s="1"/>
  <c r="XBQ29" i="7" s="1"/>
  <c r="XBS29" i="7" s="1"/>
  <c r="XBU29" i="7" s="1"/>
  <c r="XBW29" i="7" s="1"/>
  <c r="XBY29" i="7" s="1"/>
  <c r="XCA29" i="7" s="1"/>
  <c r="XCC29" i="7" s="1"/>
  <c r="XCE29" i="7" s="1"/>
  <c r="XCG29" i="7" s="1"/>
  <c r="XCI29" i="7" s="1"/>
  <c r="XCK29" i="7" s="1"/>
  <c r="XCM29" i="7" s="1"/>
  <c r="XCO29" i="7" s="1"/>
  <c r="XCQ29" i="7" s="1"/>
  <c r="XCS29" i="7" s="1"/>
  <c r="XCU29" i="7" s="1"/>
  <c r="XCW29" i="7" s="1"/>
  <c r="XCY29" i="7" s="1"/>
  <c r="XDA29" i="7" s="1"/>
  <c r="XDC29" i="7" s="1"/>
  <c r="XDE29" i="7" s="1"/>
  <c r="XDG29" i="7" s="1"/>
  <c r="XDI29" i="7" s="1"/>
  <c r="XDK29" i="7" s="1"/>
  <c r="XDM29" i="7" s="1"/>
  <c r="XDO29" i="7" s="1"/>
  <c r="XDQ29" i="7" s="1"/>
  <c r="XDS29" i="7" s="1"/>
  <c r="XDU29" i="7" s="1"/>
  <c r="XDW29" i="7" s="1"/>
  <c r="XDY29" i="7" s="1"/>
  <c r="XEA29" i="7" s="1"/>
  <c r="XEC29" i="7" s="1"/>
  <c r="XEE29" i="7" s="1"/>
  <c r="XEG29" i="7" s="1"/>
  <c r="XEI29" i="7" s="1"/>
  <c r="XEK29" i="7" s="1"/>
  <c r="XEM29" i="7" s="1"/>
  <c r="XEO29" i="7" s="1"/>
  <c r="XEQ29" i="7" s="1"/>
  <c r="XES29" i="7" s="1"/>
  <c r="XEU29" i="7" s="1"/>
  <c r="XEW29" i="7" s="1"/>
  <c r="XEY29" i="7" s="1"/>
  <c r="XFA29" i="7" s="1"/>
  <c r="XFC29" i="7" s="1"/>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31"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D64" i="15"/>
  <c r="AD67" i="15"/>
  <c r="W700" i="3"/>
  <c r="BG226" i="3"/>
  <c r="BG227" i="3"/>
  <c r="BG228" i="3"/>
  <c r="BG229" i="3"/>
  <c r="BG230" i="3"/>
  <c r="BG232" i="3"/>
  <c r="BG233" i="3"/>
  <c r="BG234" i="3"/>
  <c r="BG236" i="3"/>
  <c r="BG237" i="3"/>
  <c r="BG238" i="3"/>
  <c r="BG239" i="3"/>
  <c r="BG240" i="3"/>
  <c r="BG241" i="3"/>
  <c r="M232" i="3"/>
  <c r="AG450" i="3"/>
  <c r="O797" i="3"/>
  <c r="O777" i="3"/>
  <c r="AP100"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E26" i="13" s="1"/>
  <c r="C26" i="4"/>
  <c r="G90" i="21"/>
  <c r="G94" i="21" s="1"/>
  <c r="G77" i="21"/>
  <c r="M20" i="21"/>
  <c r="M21" i="21"/>
  <c r="S21" i="21" s="1"/>
  <c r="M22" i="21"/>
  <c r="S22" i="21" s="1"/>
  <c r="M23" i="21"/>
  <c r="S23" i="21" s="1"/>
  <c r="M24" i="21"/>
  <c r="T24" i="21" s="1"/>
  <c r="M25" i="21"/>
  <c r="S25" i="21" s="1"/>
  <c r="M26" i="2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D91" i="11" s="1"/>
  <c r="B92" i="11"/>
  <c r="B93" i="11"/>
  <c r="B94" i="11"/>
  <c r="B95" i="11"/>
  <c r="B96" i="11"/>
  <c r="D96" i="11" s="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D34" i="11" s="1"/>
  <c r="B35" i="11"/>
  <c r="B36" i="11"/>
  <c r="B37" i="11"/>
  <c r="B38" i="11"/>
  <c r="C24" i="11"/>
  <c r="C25" i="11"/>
  <c r="C26" i="1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F69" i="13" s="1"/>
  <c r="B66" i="13"/>
  <c r="B67" i="13"/>
  <c r="B68" i="13"/>
  <c r="B69" i="13"/>
  <c r="C69" i="13" s="1"/>
  <c r="A53" i="13"/>
  <c r="H36" i="13"/>
  <c r="E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M53" i="7" s="1"/>
  <c r="O53" i="7" s="1"/>
  <c r="Q53" i="7" s="1"/>
  <c r="S53" i="7" s="1"/>
  <c r="U53" i="7" s="1"/>
  <c r="W53" i="7" s="1"/>
  <c r="Y53" i="7" s="1"/>
  <c r="AA53" i="7" s="1"/>
  <c r="AC53" i="7" s="1"/>
  <c r="AE53" i="7" s="1"/>
  <c r="AG53" i="7" s="1"/>
  <c r="A61" i="15"/>
  <c r="BA479" i="3"/>
  <c r="BA470" i="3"/>
  <c r="G24" i="7"/>
  <c r="I24" i="7"/>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AH725" i="3" s="1"/>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H11" i="13" s="1"/>
  <c r="R10" i="4"/>
  <c r="R91" i="4"/>
  <c r="S91" i="4" s="1"/>
  <c r="R84" i="4"/>
  <c r="S84" i="4" s="1"/>
  <c r="B59" i="4"/>
  <c r="C80" i="11"/>
  <c r="C81" i="11"/>
  <c r="C82" i="11" s="1"/>
  <c r="B80" i="11"/>
  <c r="B81" i="11"/>
  <c r="I96" i="13"/>
  <c r="J96" i="13"/>
  <c r="J81" i="13"/>
  <c r="I81" i="13"/>
  <c r="G81" i="13"/>
  <c r="D81" i="13"/>
  <c r="H80" i="13"/>
  <c r="B80" i="13"/>
  <c r="C80" i="13" s="1"/>
  <c r="R80" i="4"/>
  <c r="S80" i="4" s="1"/>
  <c r="E80" i="13" s="1"/>
  <c r="F80" i="13" s="1"/>
  <c r="R79" i="4"/>
  <c r="S79" i="4" s="1"/>
  <c r="S81" i="4" s="1"/>
  <c r="E81" i="13" s="1"/>
  <c r="D81" i="4"/>
  <c r="E81" i="4"/>
  <c r="F81" i="4"/>
  <c r="G81" i="4"/>
  <c r="H81" i="4"/>
  <c r="I81" i="4"/>
  <c r="J81" i="4"/>
  <c r="K81" i="4"/>
  <c r="L81" i="4"/>
  <c r="M81" i="4"/>
  <c r="N81" i="4"/>
  <c r="O81" i="4"/>
  <c r="P81" i="4"/>
  <c r="Q81" i="4"/>
  <c r="T81" i="4"/>
  <c r="H81" i="13"/>
  <c r="C81" i="4"/>
  <c r="B81" i="4"/>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4" i="13"/>
  <c r="E91" i="13"/>
  <c r="F91" i="13" s="1"/>
  <c r="E87" i="13"/>
  <c r="E84" i="13"/>
  <c r="F84" i="13" s="1"/>
  <c r="E79" i="13"/>
  <c r="F79" i="13" s="1"/>
  <c r="F81" i="13" s="1"/>
  <c r="E52" i="13"/>
  <c r="F52" i="13" s="1"/>
  <c r="E51" i="13"/>
  <c r="F51" i="13" s="1"/>
  <c r="E50" i="13"/>
  <c r="F50" i="13" s="1"/>
  <c r="E47" i="13"/>
  <c r="F47" i="13" s="1"/>
  <c r="E46" i="13"/>
  <c r="F46" i="13" s="1"/>
  <c r="E45" i="13"/>
  <c r="F45" i="13" s="1"/>
  <c r="E41" i="13"/>
  <c r="E37" i="13"/>
  <c r="E27" i="13"/>
  <c r="E25" i="13"/>
  <c r="E23" i="13"/>
  <c r="E22" i="13"/>
  <c r="E21" i="13"/>
  <c r="E20" i="13"/>
  <c r="E19" i="13"/>
  <c r="E18" i="13"/>
  <c r="E17" i="13"/>
  <c r="E15" i="13"/>
  <c r="E14" i="13"/>
  <c r="E13" i="13"/>
  <c r="E10" i="13"/>
  <c r="B99" i="13"/>
  <c r="C99" i="13" s="1"/>
  <c r="C104" i="13" s="1"/>
  <c r="B95" i="13"/>
  <c r="C95" i="13" s="1"/>
  <c r="B94" i="13"/>
  <c r="C94" i="13" s="1"/>
  <c r="B93" i="13"/>
  <c r="C93" i="13" s="1"/>
  <c r="B92" i="13"/>
  <c r="C92" i="13" s="1"/>
  <c r="B91" i="13"/>
  <c r="C91" i="13" s="1"/>
  <c r="B90" i="13"/>
  <c r="C90" i="13" s="1"/>
  <c r="B89" i="13"/>
  <c r="C89" i="13" s="1"/>
  <c r="B88" i="13"/>
  <c r="C88" i="13" s="1"/>
  <c r="B87" i="13"/>
  <c r="B86" i="13"/>
  <c r="C86" i="13" s="1"/>
  <c r="B85" i="13"/>
  <c r="C85" i="13" s="1"/>
  <c r="B84" i="13"/>
  <c r="C84" i="13" s="1"/>
  <c r="B83" i="13"/>
  <c r="C83" i="13" s="1"/>
  <c r="C96" i="13" s="1"/>
  <c r="B79" i="13"/>
  <c r="C79" i="13" s="1"/>
  <c r="C81" i="13" s="1"/>
  <c r="B76" i="13"/>
  <c r="B75" i="13"/>
  <c r="C75" i="13" s="1"/>
  <c r="C77" i="13" s="1"/>
  <c r="B74" i="13"/>
  <c r="B73" i="13"/>
  <c r="B72" i="13"/>
  <c r="B65" i="13"/>
  <c r="C65" i="13" s="1"/>
  <c r="B61" i="13"/>
  <c r="C61" i="13" s="1"/>
  <c r="B60" i="13"/>
  <c r="B59" i="13"/>
  <c r="B58" i="13"/>
  <c r="C58" i="13" s="1"/>
  <c r="C62" i="13" s="1"/>
  <c r="B57" i="13"/>
  <c r="B56" i="13"/>
  <c r="B53" i="13"/>
  <c r="C53" i="13" s="1"/>
  <c r="B52" i="13"/>
  <c r="C52" i="13" s="1"/>
  <c r="B51" i="13"/>
  <c r="C51" i="13" s="1"/>
  <c r="B50" i="13"/>
  <c r="C50" i="13" s="1"/>
  <c r="B49" i="13"/>
  <c r="C49" i="13" s="1"/>
  <c r="B48" i="13"/>
  <c r="C48" i="13" s="1"/>
  <c r="B47" i="13"/>
  <c r="C47" i="13" s="1"/>
  <c r="B46" i="13"/>
  <c r="C46" i="13" s="1"/>
  <c r="B45" i="13"/>
  <c r="C45" i="13" s="1"/>
  <c r="B43" i="13"/>
  <c r="C43" i="13" s="1"/>
  <c r="F43" i="13" s="1"/>
  <c r="C42" i="4"/>
  <c r="B42" i="13"/>
  <c r="B41" i="13"/>
  <c r="B40" i="13"/>
  <c r="C40" i="13" s="1"/>
  <c r="C42" i="13" s="1"/>
  <c r="B37" i="13"/>
  <c r="B35" i="13"/>
  <c r="C35" i="13" s="1"/>
  <c r="B34" i="13"/>
  <c r="C34" i="13" s="1"/>
  <c r="B33" i="13"/>
  <c r="C33" i="13" s="1"/>
  <c r="B32" i="13"/>
  <c r="C32" i="13" s="1"/>
  <c r="B31" i="13"/>
  <c r="C31" i="13" s="1"/>
  <c r="B30" i="13"/>
  <c r="C30" i="13" s="1"/>
  <c r="B29" i="13"/>
  <c r="C29" i="13" s="1"/>
  <c r="B27" i="13"/>
  <c r="B25" i="13"/>
  <c r="B23" i="13"/>
  <c r="B22" i="13"/>
  <c r="B21" i="13"/>
  <c r="B20" i="13"/>
  <c r="B19" i="13"/>
  <c r="B18" i="13"/>
  <c r="B17" i="13"/>
  <c r="B5" i="13"/>
  <c r="B6" i="13"/>
  <c r="B7" i="13"/>
  <c r="C8" i="4"/>
  <c r="B8" i="13"/>
  <c r="B9" i="13"/>
  <c r="B10" i="13"/>
  <c r="B13" i="13"/>
  <c r="B14" i="13"/>
  <c r="B15" i="13"/>
  <c r="B4" i="13"/>
  <c r="J104" i="13"/>
  <c r="I104" i="13"/>
  <c r="G104" i="13"/>
  <c r="D104" i="13"/>
  <c r="G96" i="13"/>
  <c r="D96" i="13"/>
  <c r="D77" i="13"/>
  <c r="J70" i="13"/>
  <c r="I70" i="13"/>
  <c r="G70" i="13"/>
  <c r="D70" i="13"/>
  <c r="D62" i="13"/>
  <c r="J54" i="13"/>
  <c r="I54" i="13"/>
  <c r="G54" i="13"/>
  <c r="D54" i="13"/>
  <c r="J42" i="13"/>
  <c r="I42" i="13"/>
  <c r="G42" i="13"/>
  <c r="F26" i="13"/>
  <c r="D42" i="13"/>
  <c r="J38" i="13"/>
  <c r="I38" i="13"/>
  <c r="G38" i="13"/>
  <c r="D38" i="13"/>
  <c r="C38" i="13"/>
  <c r="J26" i="13"/>
  <c r="I26" i="13"/>
  <c r="I11" i="13"/>
  <c r="G26" i="13"/>
  <c r="D26" i="13"/>
  <c r="C26" i="13"/>
  <c r="J11" i="13"/>
  <c r="D11" i="13"/>
  <c r="C11" i="13"/>
  <c r="C8" i="13"/>
  <c r="D8" i="13"/>
  <c r="T104" i="4"/>
  <c r="H104" i="13"/>
  <c r="R103" i="4"/>
  <c r="R102" i="4"/>
  <c r="R101" i="4"/>
  <c r="R99" i="4"/>
  <c r="S99" i="4" s="1"/>
  <c r="E99" i="13" s="1"/>
  <c r="F99" i="13" s="1"/>
  <c r="F104" i="13" s="1"/>
  <c r="R95" i="4"/>
  <c r="S95" i="4" s="1"/>
  <c r="E95" i="13" s="1"/>
  <c r="F95" i="13" s="1"/>
  <c r="R94" i="4"/>
  <c r="R93" i="4"/>
  <c r="S93" i="4" s="1"/>
  <c r="E93" i="13" s="1"/>
  <c r="F93" i="13" s="1"/>
  <c r="R92" i="4"/>
  <c r="S92" i="4" s="1"/>
  <c r="E92" i="13" s="1"/>
  <c r="F92" i="13" s="1"/>
  <c r="R90" i="4"/>
  <c r="S90" i="4" s="1"/>
  <c r="E90" i="13" s="1"/>
  <c r="F90" i="13" s="1"/>
  <c r="R89" i="4"/>
  <c r="S89" i="4" s="1"/>
  <c r="E89" i="13" s="1"/>
  <c r="F89" i="13" s="1"/>
  <c r="R88" i="4"/>
  <c r="R87" i="4"/>
  <c r="R86" i="4"/>
  <c r="S86" i="4" s="1"/>
  <c r="E86" i="13" s="1"/>
  <c r="F86" i="13" s="1"/>
  <c r="R85" i="4"/>
  <c r="S85" i="4" s="1"/>
  <c r="E85" i="13" s="1"/>
  <c r="F85" i="13" s="1"/>
  <c r="R83" i="4"/>
  <c r="R76" i="4"/>
  <c r="R75" i="4"/>
  <c r="R72" i="4"/>
  <c r="R73" i="4"/>
  <c r="R74" i="4"/>
  <c r="R69" i="4"/>
  <c r="R65" i="4"/>
  <c r="S65" i="4" s="1"/>
  <c r="E65" i="13" s="1"/>
  <c r="F65" i="13" s="1"/>
  <c r="F70" i="13" s="1"/>
  <c r="R61" i="4"/>
  <c r="R60" i="4"/>
  <c r="R59" i="4"/>
  <c r="R58" i="4"/>
  <c r="R57" i="4"/>
  <c r="R56" i="4"/>
  <c r="R53" i="4"/>
  <c r="S53" i="4" s="1"/>
  <c r="E53" i="13" s="1"/>
  <c r="F53" i="13" s="1"/>
  <c r="R52" i="4"/>
  <c r="R51" i="4"/>
  <c r="R50" i="4"/>
  <c r="R49" i="4"/>
  <c r="S49" i="4" s="1"/>
  <c r="E49" i="13" s="1"/>
  <c r="F49" i="13" s="1"/>
  <c r="R48" i="4"/>
  <c r="S48" i="4" s="1"/>
  <c r="E48" i="13" s="1"/>
  <c r="F48" i="13" s="1"/>
  <c r="R47" i="4"/>
  <c r="R46" i="4"/>
  <c r="R45" i="4"/>
  <c r="R43" i="4"/>
  <c r="S43" i="4" s="1"/>
  <c r="E43" i="13" s="1"/>
  <c r="R41" i="4"/>
  <c r="R40" i="4"/>
  <c r="S40" i="4" s="1"/>
  <c r="E40" i="13" s="1"/>
  <c r="F40" i="13" s="1"/>
  <c r="F42" i="13" s="1"/>
  <c r="R37" i="4"/>
  <c r="R35" i="4"/>
  <c r="S35" i="4" s="1"/>
  <c r="E35" i="13" s="1"/>
  <c r="F35" i="13" s="1"/>
  <c r="R34" i="4"/>
  <c r="S34" i="4" s="1"/>
  <c r="E34" i="13" s="1"/>
  <c r="F34" i="13" s="1"/>
  <c r="R33" i="4"/>
  <c r="S33" i="4" s="1"/>
  <c r="E33" i="13" s="1"/>
  <c r="F33" i="13" s="1"/>
  <c r="R32" i="4"/>
  <c r="S32" i="4" s="1"/>
  <c r="E32" i="13" s="1"/>
  <c r="F32" i="13" s="1"/>
  <c r="R31" i="4"/>
  <c r="S31" i="4" s="1"/>
  <c r="E31" i="13" s="1"/>
  <c r="F31" i="13" s="1"/>
  <c r="R30" i="4"/>
  <c r="S30" i="4" s="1"/>
  <c r="E30" i="13" s="1"/>
  <c r="F30" i="13" s="1"/>
  <c r="R29" i="4"/>
  <c r="S29" i="4" s="1"/>
  <c r="E29" i="13" s="1"/>
  <c r="F29" i="13" s="1"/>
  <c r="R27" i="4"/>
  <c r="R25" i="4"/>
  <c r="R23" i="4"/>
  <c r="R22" i="4"/>
  <c r="R21" i="4"/>
  <c r="R20" i="4"/>
  <c r="R19" i="4"/>
  <c r="R18" i="4"/>
  <c r="R17" i="4"/>
  <c r="R15" i="4"/>
  <c r="R14" i="4"/>
  <c r="R13" i="4"/>
  <c r="R9" i="4"/>
  <c r="R7" i="4"/>
  <c r="R6" i="4"/>
  <c r="R5" i="4"/>
  <c r="R4" i="4"/>
  <c r="B5" i="11"/>
  <c r="C5" i="11"/>
  <c r="D5" i="11" s="1"/>
  <c r="B6" i="11"/>
  <c r="C6" i="11"/>
  <c r="B7" i="11"/>
  <c r="C7" i="11"/>
  <c r="C8" i="11"/>
  <c r="B8" i="11"/>
  <c r="D8" i="11" s="1"/>
  <c r="B10" i="11"/>
  <c r="B11" i="11"/>
  <c r="B12" i="11" s="1"/>
  <c r="C10" i="11"/>
  <c r="D10" i="11" s="1"/>
  <c r="C11" i="11"/>
  <c r="B14" i="11"/>
  <c r="C14" i="11"/>
  <c r="B15" i="11"/>
  <c r="C15" i="11"/>
  <c r="B16" i="11"/>
  <c r="C16" i="11"/>
  <c r="D16" i="11" s="1"/>
  <c r="B18" i="11"/>
  <c r="C18" i="11"/>
  <c r="B19" i="11"/>
  <c r="C19" i="11"/>
  <c r="B20" i="11"/>
  <c r="C20" i="11"/>
  <c r="D20" i="11" s="1"/>
  <c r="B21" i="11"/>
  <c r="C21" i="11"/>
  <c r="D21" i="11" s="1"/>
  <c r="B22" i="11"/>
  <c r="C22" i="11"/>
  <c r="B23" i="11"/>
  <c r="C23" i="11"/>
  <c r="B24" i="11"/>
  <c r="B28" i="11"/>
  <c r="C28" i="11"/>
  <c r="B30" i="11"/>
  <c r="C30" i="11"/>
  <c r="D30" i="11" s="1"/>
  <c r="B41" i="11"/>
  <c r="C41" i="11"/>
  <c r="C42" i="11"/>
  <c r="B42" i="11"/>
  <c r="B44" i="11"/>
  <c r="C44" i="11"/>
  <c r="D44" i="11" s="1"/>
  <c r="B46" i="11"/>
  <c r="C46" i="11"/>
  <c r="B47" i="11"/>
  <c r="C47" i="11"/>
  <c r="B48" i="11"/>
  <c r="B49" i="11"/>
  <c r="B50" i="11"/>
  <c r="B51" i="11"/>
  <c r="B52" i="11"/>
  <c r="B53" i="11"/>
  <c r="C48" i="11"/>
  <c r="C49" i="11"/>
  <c r="D49" i="11" s="1"/>
  <c r="C50" i="11"/>
  <c r="C51" i="11"/>
  <c r="D51" i="11" s="1"/>
  <c r="C52" i="11"/>
  <c r="D52" i="11" s="1"/>
  <c r="C53" i="11"/>
  <c r="B57" i="11"/>
  <c r="C57" i="11"/>
  <c r="B58" i="11"/>
  <c r="C58" i="11"/>
  <c r="D58" i="11" s="1"/>
  <c r="B59" i="11"/>
  <c r="C59" i="11"/>
  <c r="D59" i="11" s="1"/>
  <c r="B60" i="11"/>
  <c r="C60" i="11"/>
  <c r="B61" i="11"/>
  <c r="C61" i="11"/>
  <c r="B62" i="11"/>
  <c r="C62" i="11"/>
  <c r="D62" i="11" s="1"/>
  <c r="B66" i="11"/>
  <c r="C66" i="11"/>
  <c r="C71" i="11" s="1"/>
  <c r="B73" i="11"/>
  <c r="C73" i="11"/>
  <c r="B74" i="11"/>
  <c r="C74" i="11"/>
  <c r="B75" i="11"/>
  <c r="C75" i="11"/>
  <c r="D75" i="11" s="1"/>
  <c r="B76" i="11"/>
  <c r="C76" i="11"/>
  <c r="D76" i="11" s="1"/>
  <c r="B77" i="11"/>
  <c r="C77" i="11"/>
  <c r="B84" i="11"/>
  <c r="C84" i="11"/>
  <c r="B100" i="11"/>
  <c r="C100" i="11"/>
  <c r="D100" i="11" s="1"/>
  <c r="A4" i="8"/>
  <c r="D4" i="8"/>
  <c r="I4" i="8" s="1"/>
  <c r="J4" i="8" s="1"/>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c r="T38" i="4"/>
  <c r="H38" i="13" s="1"/>
  <c r="T42" i="4"/>
  <c r="H42" i="13"/>
  <c r="T54" i="4"/>
  <c r="H54" i="13" s="1"/>
  <c r="T70" i="4"/>
  <c r="H70" i="13"/>
  <c r="T96" i="4"/>
  <c r="H96" i="13" s="1"/>
  <c r="C11" i="4"/>
  <c r="C38" i="4"/>
  <c r="B38" i="13" s="1"/>
  <c r="C54" i="4"/>
  <c r="C62" i="4"/>
  <c r="B62" i="13" s="1"/>
  <c r="C77" i="4"/>
  <c r="B77" i="13" s="1"/>
  <c r="C96" i="4"/>
  <c r="B96" i="13" s="1"/>
  <c r="D8" i="4"/>
  <c r="D11" i="4"/>
  <c r="D26" i="4"/>
  <c r="D38" i="4"/>
  <c r="D42" i="4"/>
  <c r="D54" i="4"/>
  <c r="D62" i="4"/>
  <c r="D77" i="4"/>
  <c r="D96" i="4"/>
  <c r="D104" i="4"/>
  <c r="S42" i="4"/>
  <c r="E42" i="13" s="1"/>
  <c r="S96" i="4"/>
  <c r="E96" i="13" s="1"/>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F63" i="4" s="1"/>
  <c r="N11" i="4"/>
  <c r="N12" i="4" s="1"/>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63" i="4" s="1"/>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AH718" i="3" s="1"/>
  <c r="X719" i="3"/>
  <c r="AH719" i="3" s="1"/>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81" i="13"/>
  <c r="D54" i="11"/>
  <c r="D53" i="11"/>
  <c r="D93" i="11"/>
  <c r="D70" i="11"/>
  <c r="G12" i="4"/>
  <c r="B11" i="4"/>
  <c r="R70" i="4"/>
  <c r="B8" i="4"/>
  <c r="N187" i="27" s="1"/>
  <c r="D61" i="11"/>
  <c r="D57" i="11"/>
  <c r="B43" i="11"/>
  <c r="K12" i="4"/>
  <c r="C43" i="11"/>
  <c r="D43" i="11" s="1"/>
  <c r="D7" i="11"/>
  <c r="J12" i="4"/>
  <c r="D22" i="11"/>
  <c r="O12" i="4"/>
  <c r="D25" i="11"/>
  <c r="B11" i="13"/>
  <c r="D12" i="4"/>
  <c r="D23" i="11"/>
  <c r="D31" i="11"/>
  <c r="D32" i="11"/>
  <c r="D15" i="11"/>
  <c r="D14" i="11"/>
  <c r="F12" i="4"/>
  <c r="M12" i="4"/>
  <c r="R8" i="4"/>
  <c r="D74" i="11"/>
  <c r="D38" i="11"/>
  <c r="R42" i="4"/>
  <c r="C63" i="11"/>
  <c r="B63" i="11"/>
  <c r="D24" i="11"/>
  <c r="D101" i="11"/>
  <c r="D90" i="11"/>
  <c r="R62" i="4"/>
  <c r="B71" i="11"/>
  <c r="D88" i="11"/>
  <c r="AD199" i="20"/>
  <c r="B42" i="4"/>
  <c r="D77" i="11"/>
  <c r="D47" i="11"/>
  <c r="J63" i="4"/>
  <c r="J97" i="4" s="1"/>
  <c r="D41" i="11"/>
  <c r="D104" i="11"/>
  <c r="E12" i="4"/>
  <c r="C12" i="4"/>
  <c r="B12" i="13"/>
  <c r="D63" i="11" l="1"/>
  <c r="AH722" i="3"/>
  <c r="AH721" i="3"/>
  <c r="O97" i="4"/>
  <c r="O105" i="4" s="1"/>
  <c r="P63" i="4"/>
  <c r="P97" i="4" s="1"/>
  <c r="P105" i="4" s="1"/>
  <c r="M63" i="4"/>
  <c r="M97" i="4" s="1"/>
  <c r="M105" i="4" s="1"/>
  <c r="F97" i="4"/>
  <c r="F105" i="4" s="1"/>
  <c r="Q63" i="4"/>
  <c r="Q97" i="4" s="1"/>
  <c r="Q105" i="4" s="1"/>
  <c r="L12" i="4"/>
  <c r="K63" i="4"/>
  <c r="K97" i="4" s="1"/>
  <c r="K105" i="4" s="1"/>
  <c r="I63" i="4"/>
  <c r="I97" i="4" s="1"/>
  <c r="I105" i="4" s="1"/>
  <c r="H63" i="4"/>
  <c r="H97" i="4" s="1"/>
  <c r="H105" i="4" s="1"/>
  <c r="D63" i="4"/>
  <c r="D97" i="4" s="1"/>
  <c r="D105" i="4" s="1"/>
  <c r="D84" i="11"/>
  <c r="B78" i="11"/>
  <c r="D60" i="11"/>
  <c r="D50" i="11"/>
  <c r="D48" i="11"/>
  <c r="D42" i="11"/>
  <c r="D28" i="11"/>
  <c r="B9" i="11"/>
  <c r="D63" i="13"/>
  <c r="D97" i="13" s="1"/>
  <c r="D105" i="13" s="1"/>
  <c r="J63" i="13"/>
  <c r="J97" i="13" s="1"/>
  <c r="J105" i="13" s="1"/>
  <c r="J107" i="13" s="1"/>
  <c r="I63" i="13"/>
  <c r="I97" i="13" s="1"/>
  <c r="I105" i="13" s="1"/>
  <c r="I107" i="13" s="1"/>
  <c r="G63" i="13"/>
  <c r="G97" i="13" s="1"/>
  <c r="G105" i="13" s="1"/>
  <c r="G107" i="13" s="1"/>
  <c r="C54" i="13"/>
  <c r="C63" i="13" s="1"/>
  <c r="F54" i="13"/>
  <c r="R11" i="4"/>
  <c r="C70" i="13"/>
  <c r="B70" i="4"/>
  <c r="D36" i="11"/>
  <c r="D33" i="11"/>
  <c r="D94" i="11"/>
  <c r="D92" i="11"/>
  <c r="D87" i="11"/>
  <c r="D86" i="11"/>
  <c r="B105" i="11"/>
  <c r="D103" i="11"/>
  <c r="D102" i="11"/>
  <c r="B26" i="4"/>
  <c r="F96" i="13"/>
  <c r="B62" i="4"/>
  <c r="C105" i="11"/>
  <c r="T63" i="4"/>
  <c r="C78" i="11"/>
  <c r="D66" i="11"/>
  <c r="D12" i="13"/>
  <c r="D73" i="11"/>
  <c r="C12" i="13"/>
  <c r="L63" i="4"/>
  <c r="L97" i="4" s="1"/>
  <c r="L105" i="4" s="1"/>
  <c r="AH720" i="3"/>
  <c r="S104" i="4"/>
  <c r="E104" i="13" s="1"/>
  <c r="D11" i="11"/>
  <c r="C9" i="11"/>
  <c r="D9" i="11" s="1"/>
  <c r="S54" i="4"/>
  <c r="E54" i="13" s="1"/>
  <c r="I12" i="4"/>
  <c r="D35" i="11"/>
  <c r="R104" i="4"/>
  <c r="H12" i="4"/>
  <c r="AH724" i="3"/>
  <c r="B54" i="4"/>
  <c r="D80" i="11"/>
  <c r="G58" i="7"/>
  <c r="D89" i="11"/>
  <c r="D85" i="11"/>
  <c r="N63" i="4"/>
  <c r="N97" i="4" s="1"/>
  <c r="N105" i="4" s="1"/>
  <c r="R77" i="4"/>
  <c r="B26" i="13"/>
  <c r="F38" i="13"/>
  <c r="F63" i="13" s="1"/>
  <c r="F97" i="13" s="1"/>
  <c r="F105" i="13" s="1"/>
  <c r="F107" i="13" s="1"/>
  <c r="T11" i="15" s="1"/>
  <c r="T23" i="15" s="1"/>
  <c r="T26" i="15" s="1"/>
  <c r="D95" i="11"/>
  <c r="AB48" i="15"/>
  <c r="Q12" i="4"/>
  <c r="B104" i="4"/>
  <c r="B77" i="4"/>
  <c r="AH723" i="3"/>
  <c r="I54" i="7"/>
  <c r="R12" i="4"/>
  <c r="C97" i="13"/>
  <c r="C105" i="13" s="1"/>
  <c r="S70" i="4"/>
  <c r="E70" i="13" s="1"/>
  <c r="J105" i="4"/>
  <c r="G63" i="4"/>
  <c r="G97" i="4" s="1"/>
  <c r="G105" i="4" s="1"/>
  <c r="S38" i="4"/>
  <c r="D81" i="11"/>
  <c r="D78" i="11"/>
  <c r="C55" i="11"/>
  <c r="B39" i="11"/>
  <c r="R38" i="4"/>
  <c r="B38" i="4"/>
  <c r="D105" i="11"/>
  <c r="B96" i="4"/>
  <c r="R96" i="4"/>
  <c r="N186" i="27"/>
  <c r="N193" i="27" s="1"/>
  <c r="C97" i="11"/>
  <c r="B97" i="11"/>
  <c r="R81" i="4"/>
  <c r="B82" i="11"/>
  <c r="D82" i="11" s="1"/>
  <c r="D71" i="11"/>
  <c r="R54" i="4"/>
  <c r="B55" i="11"/>
  <c r="B54" i="13"/>
  <c r="D46" i="11"/>
  <c r="E63" i="4"/>
  <c r="E97" i="4" s="1"/>
  <c r="E105" i="4" s="1"/>
  <c r="D19" i="11"/>
  <c r="D18" i="11"/>
  <c r="C39" i="11"/>
  <c r="R26" i="4"/>
  <c r="C27" i="11"/>
  <c r="C12" i="11"/>
  <c r="D12" i="11" s="1"/>
  <c r="C13" i="11"/>
  <c r="D6" i="11"/>
  <c r="B13" i="11"/>
  <c r="B12" i="4"/>
  <c r="G67" i="21"/>
  <c r="C63" i="4"/>
  <c r="B63" i="13" s="1"/>
  <c r="R44" i="21"/>
  <c r="AY1002" i="3"/>
  <c r="I1047" i="3" s="1"/>
  <c r="C798" i="3"/>
  <c r="G40" i="7"/>
  <c r="G43" i="7" s="1"/>
  <c r="AE28"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C28" i="7"/>
  <c r="AO641" i="3"/>
  <c r="AG28" i="7"/>
  <c r="Y28" i="7"/>
  <c r="U28" i="7"/>
  <c r="S28" i="7"/>
  <c r="Q28" i="7"/>
  <c r="W28" i="7"/>
  <c r="I28" i="7"/>
  <c r="O28" i="7"/>
  <c r="AA28" i="7"/>
  <c r="G28" i="7"/>
  <c r="M28" i="7"/>
  <c r="K28" i="7"/>
  <c r="AG40" i="7"/>
  <c r="AG43" i="7" s="1"/>
  <c r="O30" i="21"/>
  <c r="S40" i="7"/>
  <c r="S43" i="7" s="1"/>
  <c r="AK172" i="20"/>
  <c r="AP355" i="20"/>
  <c r="AQ355" i="20" s="1"/>
  <c r="T805" i="20"/>
  <c r="AO17" i="20"/>
  <c r="AO36" i="20" s="1"/>
  <c r="AK56" i="20" s="1"/>
  <c r="T797" i="20"/>
  <c r="AF797"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Q28" i="21" a="1"/>
  <c r="Q28" i="21" s="1"/>
  <c r="O28" i="21"/>
  <c r="AG445" i="3"/>
  <c r="AD27" i="15" s="1"/>
  <c r="P30" i="21" a="1"/>
  <c r="P30" i="21" s="1"/>
  <c r="DR632" i="3"/>
  <c r="S24" i="21"/>
  <c r="B27" i="11"/>
  <c r="D26" i="11"/>
  <c r="D27" i="11" s="1"/>
  <c r="S30" i="21"/>
  <c r="O40" i="21"/>
  <c r="T7" i="15"/>
  <c r="E43" i="7"/>
  <c r="Q44" i="21" a="1"/>
  <c r="Q44" i="21" s="1"/>
  <c r="Q40" i="7"/>
  <c r="Q43" i="7" s="1"/>
  <c r="U40" i="7"/>
  <c r="U43" i="7" s="1"/>
  <c r="O36" i="21"/>
  <c r="AA40" i="7"/>
  <c r="AA43" i="7" s="1"/>
  <c r="Y40" i="7"/>
  <c r="Y43" i="7" s="1"/>
  <c r="M40" i="7"/>
  <c r="M43" i="7" s="1"/>
  <c r="P36" i="21" a="1"/>
  <c r="P36" i="21" s="1"/>
  <c r="S28" i="21"/>
  <c r="AE40" i="7"/>
  <c r="AE43" i="7" s="1"/>
  <c r="W40" i="7"/>
  <c r="W43" i="7" s="1"/>
  <c r="P40" i="21" a="1"/>
  <c r="P40" i="21" s="1"/>
  <c r="O40" i="7"/>
  <c r="O43" i="7" s="1"/>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C64" i="11" l="1"/>
  <c r="T97" i="4"/>
  <c r="H63" i="13"/>
  <c r="S63" i="4"/>
  <c r="S97" i="4" s="1"/>
  <c r="E97" i="13" s="1"/>
  <c r="AS349" i="20"/>
  <c r="D13" i="11"/>
  <c r="B63" i="4"/>
  <c r="AJ610" i="20"/>
  <c r="G62" i="21"/>
  <c r="K54" i="7"/>
  <c r="I58" i="7"/>
  <c r="AY1004" i="3"/>
  <c r="E38" i="13"/>
  <c r="R63" i="4"/>
  <c r="R97" i="4" s="1"/>
  <c r="R105" i="4" s="1"/>
  <c r="D55" i="11"/>
  <c r="E63" i="13"/>
  <c r="B64" i="11"/>
  <c r="D64" i="11" s="1"/>
  <c r="D39" i="11"/>
  <c r="D97" i="11"/>
  <c r="C97" i="4"/>
  <c r="C105" i="4" s="1"/>
  <c r="AC455" i="3" s="1"/>
  <c r="DX635" i="3"/>
  <c r="BH702" i="3"/>
  <c r="BI702" i="3" s="1"/>
  <c r="BH701" i="3"/>
  <c r="BI701" i="3" s="1"/>
  <c r="BU669" i="3"/>
  <c r="BU677" i="3"/>
  <c r="BV677" i="3" s="1"/>
  <c r="BU685" i="3"/>
  <c r="BU693" i="3"/>
  <c r="BV693" i="3" s="1"/>
  <c r="BU702" i="3"/>
  <c r="BV702" i="3" s="1"/>
  <c r="BU670" i="3"/>
  <c r="BV670" i="3" s="1"/>
  <c r="BU678" i="3"/>
  <c r="BV678" i="3" s="1"/>
  <c r="BU686" i="3"/>
  <c r="BV686" i="3" s="1"/>
  <c r="BU694" i="3"/>
  <c r="BU668" i="3"/>
  <c r="BU671" i="3"/>
  <c r="BU679" i="3"/>
  <c r="BU687" i="3"/>
  <c r="BV687" i="3" s="1"/>
  <c r="BU695" i="3"/>
  <c r="BV695" i="3" s="1"/>
  <c r="BU681" i="3"/>
  <c r="BV681" i="3" s="1"/>
  <c r="BU689" i="3"/>
  <c r="BV689" i="3" s="1"/>
  <c r="BU698" i="3"/>
  <c r="BV698" i="3" s="1"/>
  <c r="BU684" i="3"/>
  <c r="BU700" i="3"/>
  <c r="BV700" i="3" s="1"/>
  <c r="BU672" i="3"/>
  <c r="BU680" i="3"/>
  <c r="BU688" i="3"/>
  <c r="BV688" i="3" s="1"/>
  <c r="BU696" i="3"/>
  <c r="BV696" i="3" s="1"/>
  <c r="BU673" i="3"/>
  <c r="BV673" i="3" s="1"/>
  <c r="BU697" i="3"/>
  <c r="BV697" i="3" s="1"/>
  <c r="BU674" i="3"/>
  <c r="BV674" i="3" s="1"/>
  <c r="BU682" i="3"/>
  <c r="BV682" i="3" s="1"/>
  <c r="BU690" i="3"/>
  <c r="BU676" i="3"/>
  <c r="BU692" i="3"/>
  <c r="BV692" i="3" s="1"/>
  <c r="BU675" i="3"/>
  <c r="BV675" i="3" s="1"/>
  <c r="BU683" i="3"/>
  <c r="BU691" i="3"/>
  <c r="BV691" i="3" s="1"/>
  <c r="BU699" i="3"/>
  <c r="BH674" i="3"/>
  <c r="BH675" i="3"/>
  <c r="BI675" i="3" s="1"/>
  <c r="BH683" i="3"/>
  <c r="BI683" i="3" s="1"/>
  <c r="BH691" i="3"/>
  <c r="BI691" i="3" s="1"/>
  <c r="BH699" i="3"/>
  <c r="BI699" i="3" s="1"/>
  <c r="BH676" i="3"/>
  <c r="BH684" i="3"/>
  <c r="BH692" i="3"/>
  <c r="BI692" i="3" s="1"/>
  <c r="BH700" i="3"/>
  <c r="BI700" i="3" s="1"/>
  <c r="BH672" i="3"/>
  <c r="BI672" i="3" s="1"/>
  <c r="BH688" i="3"/>
  <c r="BH669" i="3"/>
  <c r="BI669" i="3" s="1"/>
  <c r="BH677" i="3"/>
  <c r="BI677" i="3" s="1"/>
  <c r="BH685" i="3"/>
  <c r="BI685" i="3" s="1"/>
  <c r="BH693" i="3"/>
  <c r="BH671" i="3"/>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H689" i="3"/>
  <c r="BI689" i="3" s="1"/>
  <c r="BH697" i="3"/>
  <c r="BI697" i="3" s="1"/>
  <c r="E22" i="7"/>
  <c r="BI671" i="3"/>
  <c r="AX683" i="20"/>
  <c r="AY684" i="20" s="1"/>
  <c r="BV694" i="3"/>
  <c r="BV699"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C98" i="11"/>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68" i="3"/>
  <c r="BV680" i="3"/>
  <c r="BV684" i="3"/>
  <c r="BV685" i="3"/>
  <c r="BV669" i="3"/>
  <c r="BV676" i="3"/>
  <c r="BV672" i="3"/>
  <c r="BV690" i="3"/>
  <c r="BV68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88" i="3"/>
  <c r="BI681" i="3"/>
  <c r="BI674" i="3"/>
  <c r="EH637" i="3"/>
  <c r="DR657" i="3"/>
  <c r="EM632" i="3"/>
  <c r="EM635" i="3"/>
  <c r="BI676" i="3"/>
  <c r="EM643" i="3"/>
  <c r="E6" i="7"/>
  <c r="K15" i="7"/>
  <c r="I22" i="7"/>
  <c r="I35" i="7" s="1"/>
  <c r="E27" i="21"/>
  <c r="G22" i="21"/>
  <c r="T105" i="4" l="1"/>
  <c r="H97" i="13"/>
  <c r="S105" i="4"/>
  <c r="E105" i="13" s="1"/>
  <c r="M54" i="7"/>
  <c r="K58" i="7"/>
  <c r="O24" i="21"/>
  <c r="P24" i="21" s="1" a="1"/>
  <c r="P24" i="21" s="1"/>
  <c r="R24" i="21" s="1"/>
  <c r="O27" i="21"/>
  <c r="P27" i="21" s="1" a="1"/>
  <c r="P27" i="21" s="1"/>
  <c r="R27" i="21" s="1"/>
  <c r="B98" i="11"/>
  <c r="B106" i="11" s="1"/>
  <c r="B105" i="4"/>
  <c r="AC454" i="3" s="1"/>
  <c r="F457" i="3" s="1"/>
  <c r="B97" i="13"/>
  <c r="B97" i="4"/>
  <c r="B105" i="13"/>
  <c r="AG258" i="20"/>
  <c r="O25" i="21"/>
  <c r="P25" i="21" s="1" a="1"/>
  <c r="P25" i="21" s="1"/>
  <c r="R25" i="21" s="1"/>
  <c r="O26" i="21"/>
  <c r="P26" i="21" s="1" a="1"/>
  <c r="P26" i="21" s="1"/>
  <c r="R26" i="21" s="1"/>
  <c r="T28" i="15"/>
  <c r="CS634" i="3"/>
  <c r="BH703" i="3"/>
  <c r="BV703" i="3"/>
  <c r="AH753" i="3" s="1"/>
  <c r="E35" i="7"/>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C106" i="1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S107" i="4" l="1"/>
  <c r="H105" i="13"/>
  <c r="T107" i="4"/>
  <c r="H107" i="13" s="1"/>
  <c r="M58" i="7"/>
  <c r="O54" i="7"/>
  <c r="AF540" i="20"/>
  <c r="E107" i="13"/>
  <c r="Y11" i="15" s="1"/>
  <c r="Y23" i="15" s="1"/>
  <c r="Y26" i="15" s="1"/>
  <c r="Y28" i="15" s="1"/>
  <c r="D106" i="11"/>
  <c r="D98" i="11"/>
  <c r="AB255" i="20"/>
  <c r="AG257" i="20" s="1"/>
  <c r="AG259" i="20" s="1"/>
  <c r="AK262" i="20" s="1"/>
  <c r="T801" i="20" s="1"/>
  <c r="AF801" i="20" s="1"/>
  <c r="N183" i="27"/>
  <c r="N194" i="27" s="1"/>
  <c r="AB47" i="15"/>
  <c r="AB49" i="15" s="1"/>
  <c r="AB54" i="15" s="1"/>
  <c r="AB55" i="15" s="1"/>
  <c r="G38" i="21"/>
  <c r="G40" i="21" s="1"/>
  <c r="E10" i="21" s="1"/>
  <c r="AP694" i="20"/>
  <c r="AP695" i="20"/>
  <c r="AJ700" i="20" s="1"/>
  <c r="AK783" i="20" s="1"/>
  <c r="T808" i="20" s="1"/>
  <c r="AF808" i="20" s="1"/>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N184" i="27" l="1"/>
  <c r="AD11" i="15"/>
  <c r="AD23" i="15" s="1"/>
  <c r="AD26" i="15" s="1"/>
  <c r="AD28" i="15" s="1"/>
  <c r="AI11" i="15"/>
  <c r="AI23" i="15" s="1"/>
  <c r="AI26" i="15" s="1"/>
  <c r="AI28" i="15" s="1"/>
  <c r="AC456" i="3"/>
  <c r="O58" i="7"/>
  <c r="Q54" i="7"/>
  <c r="B1059" i="3"/>
  <c r="AJ993" i="3"/>
  <c r="AJ1028" i="3"/>
  <c r="AJ1040" i="3"/>
  <c r="AJ1035" i="3"/>
  <c r="I14" i="21" s="1"/>
  <c r="AJ1044" i="3"/>
  <c r="AP541" i="20" s="1"/>
  <c r="AJ1048" i="3"/>
  <c r="AP542" i="20" s="1"/>
  <c r="Y64" i="15"/>
  <c r="Y68" i="15" s="1"/>
  <c r="Y69" i="15" s="1"/>
  <c r="AP539" i="20"/>
  <c r="AP543" i="20" s="1"/>
  <c r="K4" i="7"/>
  <c r="M4" i="7" s="1"/>
  <c r="E45" i="7"/>
  <c r="E48" i="7" s="1"/>
  <c r="G45" i="7"/>
  <c r="G49" i="7"/>
  <c r="K6" i="7"/>
  <c r="I7" i="7"/>
  <c r="I11" i="7" s="1"/>
  <c r="I37" i="7" s="1"/>
  <c r="G24" i="21"/>
  <c r="F27" i="21"/>
  <c r="G27" i="21"/>
  <c r="O22" i="7"/>
  <c r="O35" i="7" s="1"/>
  <c r="Q15" i="7"/>
  <c r="O9" i="7"/>
  <c r="Q8" i="7"/>
  <c r="T29" i="15" l="1"/>
  <c r="S54" i="7"/>
  <c r="Q58" i="7"/>
  <c r="AJ1052" i="3"/>
  <c r="T24" i="15" s="1"/>
  <c r="Y38" i="15" s="1"/>
  <c r="AZ846" i="3"/>
  <c r="AZ843" i="3"/>
  <c r="AZ851" i="3"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AP546" i="20" l="1"/>
  <c r="AP545" i="20" s="1"/>
  <c r="AP548" i="20" s="1"/>
  <c r="AF541" i="20" s="1"/>
  <c r="AF542" i="20" s="1"/>
  <c r="AK548" i="20" s="1"/>
  <c r="T807" i="20" s="1"/>
  <c r="AF807" i="20" s="1"/>
  <c r="U54" i="7"/>
  <c r="S58" i="7"/>
  <c r="K11" i="7"/>
  <c r="K37" i="7" s="1"/>
  <c r="K45" i="7" s="1"/>
  <c r="E66" i="7"/>
  <c r="E67" i="7"/>
  <c r="O5" i="7"/>
  <c r="Q4" i="7"/>
  <c r="AD38" i="15"/>
  <c r="AD40" i="15" s="1"/>
  <c r="Y40" i="15"/>
  <c r="M7" i="7"/>
  <c r="M11" i="7" s="1"/>
  <c r="M37" i="7" s="1"/>
  <c r="O6" i="7"/>
  <c r="G67" i="7"/>
  <c r="G62" i="7"/>
  <c r="G66" i="7"/>
  <c r="I48" i="7"/>
  <c r="I60" i="7"/>
  <c r="I47" i="7"/>
  <c r="G69" i="21"/>
  <c r="G81" i="21"/>
  <c r="G65" i="21"/>
  <c r="S22" i="7"/>
  <c r="S35" i="7" s="1"/>
  <c r="U15" i="7"/>
  <c r="E14" i="21"/>
  <c r="E15" i="21" s="1"/>
  <c r="U8" i="7"/>
  <c r="S9" i="7"/>
  <c r="W54" i="7" l="1"/>
  <c r="U58" i="7"/>
  <c r="K49" i="7"/>
  <c r="Y41" i="15"/>
  <c r="AB56" i="15" s="1"/>
  <c r="M26" i="3" s="1"/>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W58" i="7" l="1"/>
  <c r="Y54" i="7"/>
  <c r="AB57" i="15"/>
  <c r="U4" i="7"/>
  <c r="S5" i="7"/>
  <c r="P204" i="3"/>
  <c r="M48" i="7"/>
  <c r="M47" i="7"/>
  <c r="M60" i="7"/>
  <c r="O45" i="7"/>
  <c r="O49" i="7"/>
  <c r="K66" i="7"/>
  <c r="K67" i="7"/>
  <c r="K62" i="7"/>
  <c r="Q7" i="7"/>
  <c r="Q11" i="7" s="1"/>
  <c r="Q37" i="7" s="1"/>
  <c r="S6" i="7"/>
  <c r="I70" i="7"/>
  <c r="I72" i="7" s="1"/>
  <c r="W22" i="7"/>
  <c r="W35" i="7" s="1"/>
  <c r="Y15" i="7"/>
  <c r="W9" i="7"/>
  <c r="Y8" i="7"/>
  <c r="Y58" i="7" l="1"/>
  <c r="AA54" i="7"/>
  <c r="AB59" i="15"/>
  <c r="AB77" i="15" s="1"/>
  <c r="U5" i="7"/>
  <c r="W4" i="7"/>
  <c r="Q49" i="7"/>
  <c r="Q45" i="7"/>
  <c r="M62" i="7"/>
  <c r="M67" i="7"/>
  <c r="M66" i="7"/>
  <c r="O47" i="7"/>
  <c r="O48" i="7"/>
  <c r="O60" i="7"/>
  <c r="K70" i="7"/>
  <c r="K72" i="7" s="1"/>
  <c r="S7" i="7"/>
  <c r="S11" i="7" s="1"/>
  <c r="S37" i="7" s="1"/>
  <c r="U6" i="7"/>
  <c r="Y22" i="7"/>
  <c r="Y35" i="7" s="1"/>
  <c r="AA15" i="7"/>
  <c r="Y9" i="7"/>
  <c r="AA8" i="7"/>
  <c r="AA58" i="7" l="1"/>
  <c r="AC54" i="7"/>
  <c r="AB78" i="15"/>
  <c r="AB79" i="15" s="1"/>
  <c r="AB81" i="15" s="1"/>
  <c r="J82" i="15" s="1"/>
  <c r="M70" i="7"/>
  <c r="M72" i="7" s="1"/>
  <c r="W5" i="7"/>
  <c r="Y4" i="7"/>
  <c r="U7" i="7"/>
  <c r="U11" i="7" s="1"/>
  <c r="U37" i="7" s="1"/>
  <c r="W6" i="7"/>
  <c r="O67" i="7"/>
  <c r="O66" i="7"/>
  <c r="O62" i="7"/>
  <c r="Q60" i="7"/>
  <c r="Q48" i="7"/>
  <c r="Q47" i="7"/>
  <c r="S49" i="7"/>
  <c r="S45" i="7"/>
  <c r="AC15" i="7"/>
  <c r="AA22" i="7"/>
  <c r="AA35" i="7" s="1"/>
  <c r="AC8" i="7"/>
  <c r="AA9" i="7"/>
  <c r="AE54" i="7" l="1"/>
  <c r="AC58" i="7"/>
  <c r="I10" i="2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G54" i="7" l="1"/>
  <c r="AG58" i="7" s="1"/>
  <c r="AE58" i="7"/>
  <c r="AA5" i="7"/>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AP89" i="20" s="1"/>
  <c r="AK103" i="20" s="1"/>
  <c r="T795" i="20" s="1"/>
  <c r="AF795" i="20" s="1"/>
  <c r="AF810" i="20" s="1"/>
  <c r="E97" i="20"/>
  <c r="E10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Z809" authorId="1" shapeId="0" xr:uid="{00000000-0006-0000-0400-000003000000}">
      <text>
        <r>
          <rPr>
            <sz val="9"/>
            <color rgb="FF000000"/>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rgb="FF000000"/>
            <rFont val="Tahoma"/>
            <family val="2"/>
          </rPr>
          <t>INSERT PERCENTAGE SHARE OF RESIDUAL RECEIPTS CASH FLOW</t>
        </r>
      </text>
    </comment>
    <comment ref="C65" authorId="0" shapeId="0" xr:uid="{00000000-0006-0000-0C00-000002000000}">
      <text>
        <r>
          <rPr>
            <sz val="9"/>
            <color rgb="FF000000"/>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<sst xmlns="http://schemas.openxmlformats.org/spreadsheetml/2006/main" count="5328" uniqueCount="2798">
  <si>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</si>
  <si>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</si>
  <si>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</si>
  <si>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</si>
  <si>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</si>
  <si>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</si>
  <si>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</si>
  <si>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Mail the $1,500 application fee in the form of a check to CTCAC at:  901 P Street, Suite 213A, Sacramento, CA 95814.  For scattered site and resyndication applications, the application fee is $1,700.</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</si>
  <si>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</si>
  <si>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$1,000 application filing fee in the form of a check.  For scattered site and resyndication applications, the application fee is $1,500.</t>
  </si>
  <si>
    <t>Refer to the CTCAC website for more complete filing instructions:</t>
  </si>
  <si>
    <t>https://www.treasurer.ca.gov/CTCAC/2024/4-instructions.asp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</si>
  <si>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</si>
  <si>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</si>
  <si>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</si>
  <si>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</si>
  <si>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</si>
  <si>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</si>
  <si>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</si>
  <si>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</si>
  <si>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</si>
  <si>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</si>
  <si>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</si>
  <si>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</si>
  <si>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</si>
  <si>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</si>
  <si>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</si>
  <si>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</si>
  <si>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</si>
  <si>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</si>
  <si>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</si>
  <si>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</si>
  <si>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</si>
  <si>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</si>
  <si>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</si>
  <si>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</si>
  <si>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</si>
  <si>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</si>
  <si>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</si>
  <si>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</si>
  <si>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</si>
  <si>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</si>
  <si>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</si>
  <si>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</si>
  <si>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</si>
  <si>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</si>
  <si>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</si>
  <si>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</si>
  <si>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</si>
  <si>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</si>
  <si>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</si>
  <si>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</si>
  <si>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</si>
  <si>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</si>
  <si>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</si>
  <si>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</si>
  <si>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</si>
  <si>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</si>
  <si>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</si>
  <si>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</si>
  <si>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</si>
  <si>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</si>
  <si>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</si>
  <si>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</si>
  <si>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</si>
  <si>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</si>
  <si>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</si>
  <si>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</si>
  <si>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</si>
  <si>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</si>
  <si>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</si>
  <si>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</si>
  <si>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</si>
  <si>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</si>
  <si>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</si>
  <si>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</si>
  <si>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</si>
  <si>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</si>
  <si>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</si>
  <si>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</si>
  <si>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</si>
  <si>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</si>
  <si>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</si>
  <si>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</si>
  <si>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</si>
  <si>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</si>
  <si>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</si>
  <si>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</si>
  <si>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</si>
  <si>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</si>
  <si>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</si>
  <si>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</si>
  <si>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</si>
  <si>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</si>
  <si>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</si>
  <si>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</si>
  <si>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</si>
  <si>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</si>
  <si>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</si>
  <si>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</si>
  <si>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</si>
  <si>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</si>
  <si>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</si>
  <si>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</si>
  <si>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</si>
  <si>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</si>
  <si>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</si>
  <si>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</si>
  <si>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</si>
  <si>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</si>
  <si>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</si>
  <si>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</si>
  <si>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</si>
  <si>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</si>
  <si>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</si>
  <si>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</si>
  <si>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</si>
  <si>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</si>
  <si>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</si>
  <si>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</si>
  <si>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</si>
  <si>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</si>
  <si>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</si>
  <si>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</si>
  <si>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</si>
  <si>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</si>
  <si>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</si>
  <si>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</si>
  <si>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</si>
  <si>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</si>
  <si>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</si>
  <si>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</si>
  <si>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</si>
  <si>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</si>
  <si>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</si>
  <si>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</si>
  <si>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</si>
  <si>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</si>
  <si>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</si>
  <si>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</si>
  <si>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</si>
  <si>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</si>
  <si>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</si>
  <si>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</si>
  <si>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</si>
  <si>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</si>
  <si>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</si>
  <si>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</si>
  <si>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</si>
  <si>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</si>
  <si>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</si>
  <si>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</si>
  <si>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</si>
  <si>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</si>
  <si>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</si>
  <si>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</si>
  <si>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</si>
  <si>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</si>
  <si>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</si>
  <si>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</si>
  <si>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</si>
  <si>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</si>
  <si>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</si>
  <si>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</si>
  <si>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</si>
  <si>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</si>
  <si>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</si>
  <si>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</si>
  <si>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</si>
  <si>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</si>
  <si>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</si>
  <si>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</si>
  <si>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</si>
  <si>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</si>
  <si>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</si>
  <si>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</si>
  <si>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</si>
  <si>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</si>
  <si>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</si>
  <si>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</si>
  <si>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</si>
  <si>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</si>
  <si>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</si>
  <si>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</si>
  <si>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</si>
  <si>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</si>
  <si>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</si>
  <si>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</si>
  <si>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</si>
  <si>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</si>
  <si>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</si>
  <si>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</si>
  <si>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</si>
  <si>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</si>
  <si>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</si>
  <si>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</si>
  <si>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</si>
  <si>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</si>
  <si>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</si>
  <si>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</si>
  <si>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</si>
  <si>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</si>
  <si>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</si>
  <si>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</si>
  <si>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</si>
  <si>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</si>
  <si>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</si>
  <si>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</si>
  <si>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</si>
  <si>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</si>
  <si>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</si>
  <si>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</si>
  <si>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</si>
  <si>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</si>
  <si>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</si>
  <si>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</si>
  <si>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</si>
  <si>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</si>
  <si>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</si>
  <si>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</si>
  <si>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</si>
  <si>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</si>
  <si>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</si>
  <si>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</si>
  <si>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</si>
  <si>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</si>
  <si>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</si>
  <si>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</si>
  <si>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</si>
  <si>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</si>
  <si>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</si>
  <si>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</si>
  <si>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</si>
  <si>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</si>
  <si>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</si>
  <si>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</si>
  <si>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</si>
  <si>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</si>
  <si>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</si>
  <si>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</si>
  <si>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</si>
  <si>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</si>
  <si>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</si>
  <si>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</si>
  <si>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</si>
  <si>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</si>
  <si>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</si>
  <si>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</si>
  <si>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</si>
  <si>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</si>
  <si>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</si>
  <si>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</si>
  <si>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</si>
  <si>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</si>
  <si>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</si>
  <si>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</si>
  <si>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</si>
  <si>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</si>
  <si>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</si>
  <si>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</si>
  <si>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</si>
  <si>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</si>
  <si>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</si>
  <si>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</si>
  <si>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</si>
  <si>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</si>
  <si>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</si>
  <si>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</si>
  <si>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</si>
  <si>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</si>
  <si>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</si>
  <si>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</si>
  <si>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</si>
  <si>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</si>
  <si>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</si>
  <si>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</si>
  <si>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</si>
  <si>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</si>
  <si>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</si>
  <si>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</si>
  <si>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</si>
  <si>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</si>
  <si>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</si>
  <si>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</si>
  <si>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</si>
  <si>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</si>
  <si>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</si>
  <si>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</si>
  <si>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</si>
  <si>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</si>
  <si>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</si>
  <si>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</si>
  <si>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2018 APPLICATION CHECKLIST -  4% (TAX-EXEMPT BOND FINANCED PROJECTS)</t>
  </si>
  <si>
    <t>REQUESTING ONLY FEDERAL CREDITS OR WITH STATE FARMWORKER CREDITS</t>
  </si>
  <si>
    <t>(select one)</t>
  </si>
  <si>
    <t>Need to Provide</t>
  </si>
  <si>
    <t>SUBMIT THE APPLICATION WITH ATTACHMENTS TO 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</si>
  <si>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</si>
  <si>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</si>
  <si>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</si>
  <si>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</si>
  <si>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</si>
  <si>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</si>
  <si>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</si>
  <si>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</si>
  <si>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</si>
  <si>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</si>
  <si>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</si>
  <si>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</si>
  <si>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</si>
  <si>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</si>
  <si>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</si>
  <si>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</si>
  <si>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</si>
  <si>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</si>
  <si>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</si>
  <si>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</si>
  <si>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</si>
  <si>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</si>
  <si>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</si>
  <si>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</si>
  <si>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</si>
  <si>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</si>
  <si>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</si>
  <si>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</si>
  <si>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</si>
  <si>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</si>
  <si>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</si>
  <si>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</si>
  <si>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</si>
  <si>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</si>
  <si>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</si>
  <si>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</si>
  <si>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TAB 3 Set-Aside Designation</t>
  </si>
  <si>
    <t>LEAVE BLANK / NOT APPLICABLE</t>
  </si>
  <si>
    <t>TAB 4 Housing Type</t>
  </si>
  <si>
    <t>Housing Type -Additional Threshold Requirements
(Part II - Application - Section 2 - F)</t>
  </si>
  <si>
    <t>Reg. § 10325(g)</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</si>
  <si>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</si>
  <si>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 xml:space="preserve">The Large Family, Senior and Special Needs housing type requirements listed under Section 10325(g) are not applicable to non-competitive 4% projects.  </t>
  </si>
  <si>
    <t>Mixed Housing Type
An applicant proposing a project to include senior housing in combination with non-senior housing shall provide a third party legal opinion stating that the project complies with fair housing law. Reg. § 10325(h)(35).</t>
  </si>
  <si>
    <t xml:space="preserve">TAB 5 Applicant / Development Team </t>
  </si>
  <si>
    <t>APPLICANT/DEVELOPMENT TEAM (Part II - Application - Section 3)</t>
  </si>
  <si>
    <t>Reg. § 10326(g)(5)</t>
  </si>
  <si>
    <t>Sponsor Characteristics</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</si>
  <si>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</si>
  <si>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</si>
  <si>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</si>
  <si>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</si>
  <si>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r>
      <t xml:space="preserve">        </t>
    </r>
    <r>
      <rPr>
        <b/>
        <sz val="10"/>
        <rFont val="Arial"/>
        <family val="2"/>
      </rPr>
      <t>ATTACHMENT 21: General Partner (G.P.) Experience</t>
    </r>
  </si>
  <si>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</si>
  <si>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</si>
  <si>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</si>
  <si>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</si>
  <si>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</si>
  <si>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</si>
  <si>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</si>
  <si>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r>
      <t xml:space="preserve">       </t>
    </r>
    <r>
      <rPr>
        <b/>
        <sz val="10"/>
        <rFont val="Arial"/>
        <family val="2"/>
      </rPr>
      <t>ATTACHMENT 22: Management Company Experience</t>
    </r>
  </si>
  <si>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</si>
  <si>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</si>
  <si>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</si>
  <si>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</si>
  <si>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</si>
  <si>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</si>
  <si>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</si>
  <si>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</si>
  <si>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</si>
  <si>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</si>
  <si>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</si>
  <si>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</si>
  <si>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</si>
  <si>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</si>
  <si>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</si>
  <si>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</si>
  <si>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</si>
  <si>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</si>
  <si>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</si>
  <si>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RESYNDICATION PROJECTS</t>
  </si>
  <si>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</si>
  <si>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</si>
  <si>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</si>
  <si>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</si>
  <si>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</si>
  <si>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</si>
  <si>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</si>
  <si>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</si>
  <si>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</si>
  <si>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</si>
  <si>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http://www.treasurer.ca.gov/ctcac/compliance/covenant/questionnaire.pdf  </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</si>
  <si>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</si>
  <si>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</si>
  <si>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</si>
  <si>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</si>
  <si>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</si>
  <si>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</si>
  <si>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</si>
  <si>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</si>
  <si>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</si>
  <si>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</si>
  <si>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</si>
  <si>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</si>
  <si>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</si>
  <si>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</si>
  <si>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</si>
  <si>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</si>
  <si>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Minimum Construction Standards (Part II - Application - Section 5 - D)</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</si>
  <si>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</si>
  <si>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</si>
  <si>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</si>
  <si>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</si>
  <si>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</si>
  <si>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</si>
  <si>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waiver has been granted under 10325(f)(7), provide TCAC waiver approval and the supporting documentation included in the original waiver request. Approval must be in advance of application deadline.</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</si>
  <si>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</si>
  <si>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</si>
  <si>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</si>
  <si>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</si>
  <si>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</si>
  <si>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</si>
  <si>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</si>
  <si>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</si>
  <si>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</si>
  <si>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</si>
  <si>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</si>
  <si>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</si>
  <si>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</si>
  <si>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Provide evidence of eligibility and include:</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</si>
  <si>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</si>
  <si>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</si>
  <si>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</si>
  <si>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</si>
  <si>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</si>
  <si>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</si>
  <si>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</si>
  <si>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</si>
  <si>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</si>
  <si>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</si>
  <si>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</si>
  <si>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</si>
  <si>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Market analyst’s resume</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</si>
  <si>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</si>
  <si>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TAB 14 Required Approvals</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</si>
  <si>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</si>
  <si>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</si>
  <si>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</si>
  <si>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TAB 15 Enforceable Financing Commitments</t>
  </si>
  <si>
    <t>Tax-Exempt Bond Financing Additional Information  
(Part III - Project Financing - Section 1 - B)</t>
  </si>
  <si>
    <t>Reg. §§ 10317(g)(3) and (4), and 10326(e)</t>
  </si>
  <si>
    <t>Provide determination letter or letter requesting TCAC to determine the tax credits.</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</si>
  <si>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</si>
  <si>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</si>
  <si>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</si>
  <si>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</si>
  <si>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</si>
  <si>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</si>
  <si>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</si>
  <si>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</si>
  <si>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</si>
  <si>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 xml:space="preserve">TAB 17 Evidence of Subsidies </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</si>
  <si>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</si>
  <si>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</si>
  <si>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</si>
  <si>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OPTIONAL DOCUMENTATION:  SUBSIDY LAYERING REVIEW</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</si>
  <si>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</si>
  <si>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</si>
  <si>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</si>
  <si>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</si>
  <si>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</si>
  <si>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</si>
  <si>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</si>
  <si>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</si>
  <si>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</si>
  <si>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</si>
  <si>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Architect's certification of threshold basis limit increases/exceptions</t>
  </si>
  <si>
    <t>ATTACHMENT 18(B): Architect Threshold Basis Limit Certification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</si>
  <si>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</si>
  <si>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</si>
  <si>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the prevailing wage basis limit increase, certify whether the project is subject to state prevailing wage law. If subject to state prevailing wage law, further certify that contractors and subcontractors will comply with § 1725.5 of the Labor Code.</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</si>
  <si>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</si>
  <si>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</si>
  <si>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</si>
  <si>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</si>
  <si>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</si>
  <si>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</si>
  <si>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</si>
  <si>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</si>
  <si>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</si>
  <si>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</si>
  <si>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</si>
  <si>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</si>
  <si>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</si>
  <si>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</si>
  <si>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</si>
  <si>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</si>
  <si>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</si>
  <si>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</si>
  <si>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</si>
  <si>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 28: Applicant Farmworker Eligibility Certification</t>
  </si>
  <si>
    <t>TAB 21</t>
  </si>
  <si>
    <t>LEAVE BLANK / NOT APPLICABLE - TABS 21 through 28 ARE NOT NEEDED FOR SUBMISSION</t>
  </si>
  <si>
    <t>TAB 22</t>
  </si>
  <si>
    <t>TAB 23</t>
  </si>
  <si>
    <t>TAB 24</t>
  </si>
  <si>
    <t>TAB 25</t>
  </si>
  <si>
    <t>TAB 26</t>
  </si>
  <si>
    <t>TAB 27</t>
  </si>
  <si>
    <t>TAB 28</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</si>
  <si>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</si>
  <si>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</si>
  <si>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</si>
  <si>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</si>
  <si>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</si>
  <si>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</si>
  <si>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</si>
  <si>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</si>
  <si>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</si>
  <si>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</si>
  <si>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2024 CDLAC-CTCAC JOINT APPLICATION CHECKLIST</t>
  </si>
  <si>
    <t>TAX-EXEMPT BOND FINANCED PROJECTS WITH LOW-INCOME HOUSING TAX CREDITS</t>
  </si>
  <si>
    <t>Please do not rely solely on this checklist when completing your application.  
Please verify that all requirements in the regulations have been met.</t>
  </si>
  <si>
    <t>CDLAC Joint Checklist</t>
  </si>
  <si>
    <t>Attachment Name</t>
  </si>
  <si>
    <t>Provided</t>
  </si>
  <si>
    <t>Include a summary explanation of the site control and value(s); especially for applications with multiple or non-contiguous parcels, scattered sites, lot line adjustments, phased projects, or other complex land transactions. Provide:</t>
  </si>
  <si>
    <t>Attachment 1-D</t>
  </si>
  <si>
    <t>Attachments - Exhibit A: Site Control tabs</t>
  </si>
  <si>
    <t>A current title report (within 90 days of application) including a legal description. Include reports for all parcels listed on:</t>
  </si>
  <si>
    <t>Attachment 1-A</t>
  </si>
  <si>
    <t>Attachments - Exhibit A: Parcels tab</t>
  </si>
  <si>
    <t>Not Applicable</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</si>
  <si>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</si>
  <si>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Attachment 1-B1</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</si>
  <si>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</si>
  <si>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</si>
  <si>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Attachment 8-D1</t>
  </si>
  <si>
    <t>Provide details on:</t>
  </si>
  <si>
    <t>Attachment 1-B3</t>
  </si>
  <si>
    <t>Attachment 1-B2</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</si>
  <si>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</si>
  <si>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Attachment 2-A1</t>
  </si>
  <si>
    <t xml:space="preserve">Provide a brief description of the bond sale structure, followed by commitment(s) on letterhead for credit enhancement or private placement bond purchase.   </t>
  </si>
  <si>
    <t>Attachment 2-A2</t>
  </si>
  <si>
    <t>Submit proof of all firm commitment(s) from credit enhancement provider(s) and private placement bond purchaser(s).  For FHA financed projects not seeking a CDLAC Forward Commitment, a HUD Acknowledgement Letter must be included.</t>
  </si>
  <si>
    <t>Attachment 2-C1</t>
  </si>
  <si>
    <t xml:space="preserve">Provide information on the disposition of current outstanding liens:  lender/loan, amount, disposition, corresponding exception number from title.  </t>
  </si>
  <si>
    <t>Attachment 2-A3*</t>
  </si>
  <si>
    <t>Attachments - Exhibit A: Site Control tabs, Current Outstanding Liens section</t>
  </si>
  <si>
    <t xml:space="preserve">A waiver request of the Bond Sale Structure restrictions associated with a prior Bond Default or bankruptcy.  </t>
  </si>
  <si>
    <t>Attachment 2-A4</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</si>
  <si>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</si>
  <si>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Attachment 2-B1</t>
  </si>
  <si>
    <t>CTCAC developer fee limitations and deferral / equity contribution requirements: 
confirm project complies with the CTCAC limits per Reg. Section 10327(c)(2)(B).</t>
  </si>
  <si>
    <t>Attachment 2-E</t>
  </si>
  <si>
    <t>Attachment 2-G1</t>
  </si>
  <si>
    <t>Attachment 2-G2</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</si>
  <si>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</si>
  <si>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</si>
  <si>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Attachment 2-F1</t>
  </si>
  <si>
    <t>For projects with commercial income
Include a 15 year pro forma of all commercial revenue and expense projections using CTCAC underwriting standards in Reg. §§ 10322(h)(23), 10325(f)(5), and 10327(g)(7).</t>
  </si>
  <si>
    <t>Attachment 2-F2</t>
  </si>
  <si>
    <t>TAB 3 CTCAC Set-Aside Designation</t>
  </si>
  <si>
    <t>SEE TAB 36 FOR CDLAC POOLS AND SET-ASIDES</t>
  </si>
  <si>
    <t>Housing Type -Additional Threshold Requirements
(Part II - Application - Section 2 - E)</t>
  </si>
  <si>
    <t>Reg. § 10322(h).and 10325(g)</t>
  </si>
  <si>
    <t xml:space="preserve">Large Family Projects </t>
  </si>
  <si>
    <t>Attachment 4-A1*</t>
  </si>
  <si>
    <t xml:space="preserve">Provide evidence of eligibility and complete: </t>
  </si>
  <si>
    <t xml:space="preserve">     </t>
  </si>
  <si>
    <t>Attachments - Exhibit A: Housing Type tab, Large Family section</t>
  </si>
  <si>
    <t xml:space="preserve">Senior Projects </t>
  </si>
  <si>
    <t>Attachment 4-B1*</t>
  </si>
  <si>
    <t xml:space="preserve">   </t>
  </si>
  <si>
    <t>Attachments - Exhibit A: Housing Type tab, Senior section</t>
  </si>
  <si>
    <t xml:space="preserve">Special Needs Projects </t>
  </si>
  <si>
    <t>Attachment 4-C1*</t>
  </si>
  <si>
    <t>Attachments - Exhibit A: Housing Type tab, Special Needs section</t>
  </si>
  <si>
    <t xml:space="preserve">At-Risk Projects 
</t>
  </si>
  <si>
    <t>Attachment 4-D1*</t>
  </si>
  <si>
    <t>Attachments - Exhibit A: Housing Type tab, At-Risk section</t>
  </si>
  <si>
    <t xml:space="preserve">SRO Projects </t>
  </si>
  <si>
    <t>Attachment 4-E1*</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</si>
  <si>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</si>
  <si>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</si>
  <si>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Attachment 5-B1, 5-B2, etc.</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</si>
  <si>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</si>
  <si>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</si>
  <si>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Attachment 5-A1, 5-A2, etc.</t>
  </si>
  <si>
    <t xml:space="preserve">For CTCAC, if not receiving CDLAC points for experience, provide evidence that a general partner meets the minimum scoring standards of Section 10325(c)(1)(A) and include a signed: </t>
  </si>
  <si>
    <t>Attachment 21*</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</si>
  <si>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</si>
  <si>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</si>
  <si>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21</t>
  </si>
  <si>
    <t>Legal Status of CTCAC Applicant</t>
  </si>
  <si>
    <t>Attachment 5-C*</t>
  </si>
  <si>
    <t>Attachments - Exhibit B: LSQ tab</t>
  </si>
  <si>
    <t>Attachment 22*</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</si>
  <si>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</si>
  <si>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</si>
  <si>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</si>
  <si>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22</t>
  </si>
  <si>
    <t>Attachment 7-A1, 7-A2, etc.</t>
  </si>
  <si>
    <t>Attachment 8-D</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</si>
  <si>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</si>
  <si>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</si>
  <si>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Attachment 8-C</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</si>
  <si>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</si>
  <si>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 8-B*</t>
  </si>
  <si>
    <t>Attachments - Exhibit A: Rehab tab</t>
  </si>
  <si>
    <t>Attachment 8-E1, 8-E2, etc.</t>
  </si>
  <si>
    <t>All resyndication projects must complete the ownership transfer questionnaire on</t>
  </si>
  <si>
    <t>use the above naming convention for each subsequent item required in this section and as per the questionnaire</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</si>
  <si>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</si>
  <si>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</si>
  <si>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</si>
  <si>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</si>
  <si>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</si>
  <si>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</si>
  <si>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</si>
  <si>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</si>
  <si>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</si>
  <si>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</si>
  <si>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</si>
  <si>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</si>
  <si>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</si>
  <si>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</si>
  <si>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</si>
  <si>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Submit a Qualified Capital Needs Assessment (Qualified CNA). If a third-party lender is providing financing, the Qualified CNA must be commissioned by said third-party lender.</t>
  </si>
  <si>
    <t>Attachment 9-C</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</si>
  <si>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</si>
  <si>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Attachment 9-A</t>
  </si>
  <si>
    <t>Attachment 9-B</t>
  </si>
  <si>
    <t>Attachment 12-F</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</si>
  <si>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</si>
  <si>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</si>
  <si>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</si>
  <si>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Attachment 10-A*</t>
  </si>
  <si>
    <t xml:space="preserve">Complete: </t>
  </si>
  <si>
    <t>Attachment 10-A</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</si>
  <si>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</si>
  <si>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</si>
  <si>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</si>
  <si>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Attachment 12-A1, 12-A2, etc.</t>
  </si>
  <si>
    <t>Attachment 12-B1, 12-B2, etc.</t>
  </si>
  <si>
    <t>Attachment 12-D</t>
  </si>
  <si>
    <t>Attachment 12-C</t>
  </si>
  <si>
    <t>Attachment 12-A1*</t>
  </si>
  <si>
    <t>Refer to:</t>
  </si>
  <si>
    <t>Attachments - Exhibit A: Const. &amp; Design tab</t>
  </si>
  <si>
    <t>Attachment 12-E1</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</si>
  <si>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</si>
  <si>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Attachment 12-E2</t>
  </si>
  <si>
    <t>Attachment 13-C</t>
  </si>
  <si>
    <t xml:space="preserve">● A Market Study in compliance with CTCAC market study guidelines, OR
● If an acquisition/rehabilitation project meeting all of the criteria in Reg. § 10322(h)(10), may provide a streamlined written statement 
</t>
  </si>
  <si>
    <r>
      <t xml:space="preserve">Attachment 13-A1 </t>
    </r>
    <r>
      <rPr>
        <sz val="10"/>
        <rFont val="Arial"/>
        <family val="2"/>
      </rPr>
      <t>or</t>
    </r>
  </si>
  <si>
    <t>Attachment 13-A2</t>
  </si>
  <si>
    <t>The market study has been reviewed by the applicant and meets CTCAC market study guidelines.</t>
  </si>
  <si>
    <t>Attachment 13-A3</t>
  </si>
  <si>
    <t xml:space="preserve">Evidence of local approvals and zoning 
Provide evidence of eligibility per regulation guidelines and include signed:
</t>
  </si>
  <si>
    <t>Attachment 14*</t>
  </si>
  <si>
    <t>Attachments - Exhibit B: Zoning tab</t>
  </si>
  <si>
    <t>Attachment 2-C</t>
  </si>
  <si>
    <t>Attachment 15</t>
  </si>
  <si>
    <t>Joint Application</t>
  </si>
  <si>
    <t/>
  </si>
  <si>
    <t>Terms of syndication agreement. Use CTCAC template. 
Provide evidence of eligibility and include signed:</t>
  </si>
  <si>
    <t>Attachment 16-A*</t>
  </si>
  <si>
    <t>Attachments - Exhibit B: Syndication tab</t>
  </si>
  <si>
    <t>If requesting federal and state tax credits, include separate tax credit factors/credit pricing for federal and state credits in the agreement. 
Reg. § 10322(h)(19)</t>
  </si>
  <si>
    <t>Attachment 16-A</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</si>
  <si>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</si>
  <si>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Attachment 16-B</t>
  </si>
  <si>
    <t xml:space="preserve">Certification of Subsidies. 
The applicant must certify as to the full extent of all Federal, State, and local subsidies which apply (or for which the taxpayer expects to apply) with respect to the proposed project. 
</t>
  </si>
  <si>
    <t>Attachment 17-A1, 17-A2, etc.</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</si>
  <si>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</si>
  <si>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</si>
  <si>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</si>
  <si>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Attachment 18-A*</t>
  </si>
  <si>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</si>
  <si>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</si>
  <si>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</si>
  <si>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Attachment 18-A</t>
  </si>
  <si>
    <t>Attachment 18-B*</t>
  </si>
  <si>
    <t>Attachments - Exhibit B: Architect tab</t>
  </si>
  <si>
    <t>Attachment 18-C</t>
  </si>
  <si>
    <t>If project is subject to state prevailing wage law, include certification that contractors and subcontractors will comply with § 1725.5 of the Labor Code.</t>
  </si>
  <si>
    <t>Attachment 10-C</t>
  </si>
  <si>
    <t>Attachment 18-D</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</si>
  <si>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</si>
  <si>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Attachment 36-B</t>
  </si>
  <si>
    <t>http://www.treasurer.ca.gov/CTCAC/opportunity.asp</t>
  </si>
  <si>
    <t>Attachment 19-A</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</si>
  <si>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</si>
  <si>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</si>
  <si>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Attachment 19-B</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</si>
  <si>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</si>
  <si>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</si>
  <si>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</si>
  <si>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</si>
  <si>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</si>
  <si>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</si>
  <si>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Attachment 20-A, 20-B, etc.</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</si>
  <si>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</si>
  <si>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</si>
  <si>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</si>
  <si>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</si>
  <si>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</si>
  <si>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</si>
  <si>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</si>
  <si>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</si>
  <si>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</si>
  <si>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</si>
  <si>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</si>
  <si>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</si>
  <si>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</si>
  <si>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</si>
  <si>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</si>
  <si>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</si>
  <si>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</si>
  <si>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</si>
  <si>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</si>
  <si>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</si>
  <si>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</si>
  <si>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</si>
  <si>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</si>
  <si>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</si>
  <si>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</si>
  <si>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</si>
  <si>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</si>
  <si>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</si>
  <si>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Attachment 23-A1, 23-A2, etc.</t>
  </si>
  <si>
    <t xml:space="preserve">SITE  AMENITIES </t>
  </si>
  <si>
    <t>Reg. § 10325(c)(4)(A)</t>
  </si>
  <si>
    <t>Labeled color photographs, name, address, telephone number, contact person and website (if applicable) for each requested amenity.</t>
  </si>
  <si>
    <t>Attachment 23-B</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</si>
  <si>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</si>
  <si>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</si>
  <si>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Attachment 23-C</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</si>
  <si>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</si>
  <si>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</si>
  <si>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</si>
  <si>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</si>
  <si>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</si>
  <si>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Attachment 23-D</t>
  </si>
  <si>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</si>
  <si>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</si>
  <si>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</si>
  <si>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</si>
  <si>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</si>
  <si>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</si>
  <si>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</si>
  <si>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</si>
  <si>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</si>
  <si>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</si>
  <si>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</si>
  <si>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</si>
  <si>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 24-A*</t>
  </si>
  <si>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</si>
  <si>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</si>
  <si>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</si>
  <si>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</si>
  <si>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</si>
  <si>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</si>
  <si>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</si>
  <si>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</si>
  <si>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</si>
  <si>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</si>
  <si>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</si>
  <si>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</si>
  <si>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</si>
  <si>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</si>
  <si>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</si>
  <si>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</si>
  <si>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Attachment 26-A, 26-B, etc.</t>
  </si>
  <si>
    <t>Enforceable financing commitments for all construction financing</t>
  </si>
  <si>
    <t>Reg. §10325(c)(7)(A)</t>
  </si>
  <si>
    <t xml:space="preserve">TAB 28 State Credit Application </t>
  </si>
  <si>
    <t>$500 Million ($500M) State Credits - Readiness to Proceed</t>
  </si>
  <si>
    <t>Reg. Sections 10317(j) and 10325(c)(7)</t>
  </si>
  <si>
    <t>Attachment 28*</t>
  </si>
  <si>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</si>
  <si>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</si>
  <si>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</si>
  <si>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</si>
  <si>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</si>
  <si>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Attachment 29-A</t>
  </si>
  <si>
    <t>New Construction Density and Local Incentives</t>
  </si>
  <si>
    <t>Section 5230(c) of the CDLAC Regulations</t>
  </si>
  <si>
    <t>Attachment 29-B1</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</si>
  <si>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</si>
  <si>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Attachment 29-B2</t>
  </si>
  <si>
    <t>TABS 30-35 CDLAC Requirements</t>
  </si>
  <si>
    <t>Adopted Inducement Resolution</t>
  </si>
  <si>
    <t>Attachment 30</t>
  </si>
  <si>
    <t>Section 5033(b)(5) CDLAC Regulations.</t>
  </si>
  <si>
    <t>Commitment(s) or other evidence of direct and indirect public funds, if not provided in Tab 20.</t>
  </si>
  <si>
    <t>Attachment 33-A, 33-B, etc.</t>
  </si>
  <si>
    <t>Section 5230(h) of CDLAC Regulations</t>
  </si>
  <si>
    <t xml:space="preserve">Bond Allocation greater than $75 million
</t>
  </si>
  <si>
    <t>Attachment 35-A</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</si>
  <si>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</si>
  <si>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</si>
  <si>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</si>
  <si>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Attachment 35-B</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</si>
  <si>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</si>
  <si>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</si>
  <si>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TABS 36 CDLAC Housing Pools</t>
  </si>
  <si>
    <t>Provide documentation of Rural status: evidence that the proposed project is located in an eligible rural area.</t>
  </si>
  <si>
    <t>Attachment 36-A1</t>
  </si>
  <si>
    <t>https://www.treasurer.ca.gov/ctcac/rural-status/</t>
  </si>
  <si>
    <t>Provide documentation of Preservation Pool status:  identify which criterion is applicable to the project, and include all necessary supporting documentation.</t>
  </si>
  <si>
    <t>Attachment 36-A2</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</si>
  <si>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</si>
  <si>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Attachment 8-B*, 8-C</t>
  </si>
  <si>
    <t>.</t>
  </si>
  <si>
    <t>Provide documentation of BIPOC Pool status:  a qualifying BIPOC non-profit organization requires having a BIPOC Executive Director/Chief Executive Officer and 51% of the organizations board must be BIPOC.</t>
  </si>
  <si>
    <t>Attachment 36-A3</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</si>
  <si>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</si>
  <si>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</si>
  <si>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Attachment 37</t>
  </si>
  <si>
    <t>*items with an asterisk have established CTCAC or CDLAC templates</t>
  </si>
  <si>
    <t>CALIFORNIA TAX CREDIT ALLOCATION COMMITTEE</t>
  </si>
  <si>
    <t>ATTACHMENT 40 FOR CDLAC-CTCAC JOINT APPLICATION</t>
  </si>
  <si>
    <t>2024 4% FEDERAL LOW-INCOME HOUSING TAX CREDITS WITH TAX-EXEMPT BONDS</t>
  </si>
  <si>
    <t>INCLUDING STATE CREDITS</t>
  </si>
  <si>
    <t>August 6, 2024 Version</t>
  </si>
  <si>
    <t>II. APPLICATION - SECTION 1: CTCAC APPLICANT STATEMENT AND CERTIFICATION</t>
  </si>
  <si>
    <t>CTCAC APPLICANT:</t>
  </si>
  <si>
    <t>The Grant at Mssion Trails LP</t>
  </si>
  <si>
    <t>PROJECT NAME:</t>
  </si>
  <si>
    <t xml:space="preserve">The Grant at Mission Trails </t>
  </si>
  <si>
    <t>PLEASE INCLUDE APPLICATION FEE WITH APPLICATION SUBMISSION</t>
  </si>
  <si>
    <t xml:space="preserve">Check Only </t>
  </si>
  <si>
    <t>The undersigned CTCAC Applicant hereby makes application to the California Tax Credit Allocation Committee (“CTCAC”) for a reservation of Federal and State Low-Income Housing Tax Credits (“Credits”) in the amount(s) of:</t>
  </si>
  <si>
    <t>annual Federal Credits</t>
  </si>
  <si>
    <t>total State Credits</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</si>
  <si>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</si>
  <si>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</si>
  <si>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Yes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</si>
  <si>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</si>
  <si>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</si>
  <si>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</si>
  <si>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</si>
  <si>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</si>
  <si>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</si>
  <si>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</si>
  <si>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</si>
  <si>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</si>
  <si>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</si>
  <si>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</si>
  <si>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</si>
  <si>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</si>
  <si>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</si>
  <si>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</si>
  <si>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</si>
  <si>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</si>
  <si>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</si>
  <si>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</si>
  <si>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</si>
  <si>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</si>
  <si>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</si>
  <si>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 2024 at</t>
  </si>
  <si>
    <t>, California.</t>
  </si>
  <si>
    <t xml:space="preserve">By: </t>
  </si>
  <si>
    <t>(Original Signature)</t>
  </si>
  <si>
    <t>Robert Laing</t>
  </si>
  <si>
    <t>(Typed or printed name)</t>
  </si>
  <si>
    <t>Authorized Signatory</t>
  </si>
  <si>
    <t>(Title)</t>
  </si>
  <si>
    <t>Local Jurisdiction:</t>
  </si>
  <si>
    <t>San Diego Housing Commission</t>
  </si>
  <si>
    <t>City Manager:</t>
  </si>
  <si>
    <t>Ms. Colin Miller</t>
  </si>
  <si>
    <t>Title:</t>
  </si>
  <si>
    <t>City Manager</t>
  </si>
  <si>
    <t xml:space="preserve">Mailing Address: </t>
  </si>
  <si>
    <t>1122 Broadway, Suite 300</t>
  </si>
  <si>
    <t xml:space="preserve">City: </t>
  </si>
  <si>
    <t>San Diego</t>
  </si>
  <si>
    <t>ALAMEDA</t>
  </si>
  <si>
    <t>Alameda</t>
  </si>
  <si>
    <t xml:space="preserve">Zip Code: </t>
  </si>
  <si>
    <t>ALPINE</t>
  </si>
  <si>
    <t>Alpine</t>
  </si>
  <si>
    <t>Phone Number:</t>
  </si>
  <si>
    <t>(619)578-7569</t>
  </si>
  <si>
    <t>Ext.</t>
  </si>
  <si>
    <t>AMADOR</t>
  </si>
  <si>
    <t>Amador</t>
  </si>
  <si>
    <t xml:space="preserve">FAX Number: </t>
  </si>
  <si>
    <t>(619) 578-7356</t>
  </si>
  <si>
    <t>BUTTE</t>
  </si>
  <si>
    <t>Butte</t>
  </si>
  <si>
    <t xml:space="preserve">E-mail: </t>
  </si>
  <si>
    <t>colinm@sdhc.org</t>
  </si>
  <si>
    <t>No</t>
  </si>
  <si>
    <t>CALAVERAS</t>
  </si>
  <si>
    <t>Calaveras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</si>
  <si>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</si>
  <si>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</si>
  <si>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</si>
  <si>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</si>
  <si>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</si>
  <si>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</si>
  <si>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</si>
  <si>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</si>
  <si>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</si>
  <si>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</si>
  <si>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</si>
  <si>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</si>
  <si>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</si>
  <si>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</si>
  <si>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</si>
  <si>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</si>
  <si>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</si>
  <si>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</si>
  <si>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</si>
  <si>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</si>
  <si>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</si>
  <si>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</si>
  <si>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</si>
  <si>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</si>
  <si>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</si>
  <si>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</si>
  <si>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</si>
  <si>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</si>
  <si>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</si>
  <si>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</si>
  <si>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</si>
  <si>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</si>
  <si>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</si>
  <si>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</si>
  <si>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</si>
  <si>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</si>
  <si>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</si>
  <si>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</si>
  <si>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</si>
  <si>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</si>
  <si>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</si>
  <si>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</si>
  <si>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</si>
  <si>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</si>
  <si>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</si>
  <si>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</si>
  <si>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</si>
  <si>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</si>
  <si>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</si>
  <si>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</si>
  <si>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</si>
  <si>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</si>
  <si>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</si>
  <si>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</si>
  <si>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</si>
  <si>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</si>
  <si>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</si>
  <si>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</si>
  <si>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</si>
  <si>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</si>
  <si>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</si>
  <si>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</si>
  <si>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</si>
  <si>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</si>
  <si>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</si>
  <si>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</si>
  <si>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</si>
  <si>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</si>
  <si>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</si>
  <si>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</si>
  <si>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</si>
  <si>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</si>
  <si>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</si>
  <si>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5945 Mission Gorge Road</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</si>
  <si>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</si>
  <si>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</si>
  <si>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</si>
  <si>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</si>
  <si>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</si>
  <si>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</si>
  <si>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</si>
  <si>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</si>
  <si>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</si>
  <si>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</si>
  <si>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</si>
  <si>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</si>
  <si>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</si>
  <si>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</si>
  <si>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</si>
  <si>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</si>
  <si>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</si>
  <si>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</si>
  <si>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</si>
  <si>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</si>
  <si>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461-190-04-00</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</si>
  <si>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</si>
  <si>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</si>
  <si>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</si>
  <si>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</si>
  <si>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</si>
  <si>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</si>
  <si>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</si>
  <si>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</si>
  <si>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</si>
  <si>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</si>
  <si>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</si>
  <si>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</si>
  <si>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</si>
  <si>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</si>
  <si>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</si>
  <si>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</si>
  <si>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</si>
  <si>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</si>
  <si>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</si>
  <si>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</si>
  <si>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</si>
  <si>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</si>
  <si>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</si>
  <si>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</si>
  <si>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</si>
  <si>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</si>
  <si>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</si>
  <si>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</si>
  <si>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City of Los Angeles</t>
  </si>
  <si>
    <t>SANTA BARBARA</t>
  </si>
  <si>
    <t>Santa Barbara</t>
  </si>
  <si>
    <t>Project is Rural as defined by CTCAC Regulations Section 10302:</t>
  </si>
  <si>
    <t>Balance of Los Angeles County</t>
  </si>
  <si>
    <t>SANTA CLARA</t>
  </si>
  <si>
    <t>Santa Clara</t>
  </si>
  <si>
    <t>*Accurate information is essential; the following website is provided for reference:</t>
  </si>
  <si>
    <t>Central Valley Region: Fresno, Kern, Kings, Madera, Merced, San Joaquin, Stanislaus, and Tulare Counties</t>
  </si>
  <si>
    <t>SANTA CRUZ</t>
  </si>
  <si>
    <t>Santa Cruz</t>
  </si>
  <si>
    <t>https://www.govtrack.us/congress/members/map</t>
  </si>
  <si>
    <t>http://findyourrep.legislature.ca.gov/</t>
  </si>
  <si>
    <t>San Diego County</t>
  </si>
  <si>
    <t>SHASTA</t>
  </si>
  <si>
    <t>Shasta</t>
  </si>
  <si>
    <t>Inland Empire Region: San Bernardino, Riverside, and Imperial Counties</t>
  </si>
  <si>
    <t>SIERRA</t>
  </si>
  <si>
    <t>Sierra</t>
  </si>
  <si>
    <t>C.</t>
  </si>
  <si>
    <t>Credit Amount Requested</t>
  </si>
  <si>
    <t>East Bay Region: Alameda and Contra Costa Counties</t>
  </si>
  <si>
    <t>SISKIYOU</t>
  </si>
  <si>
    <t>Siskiyou</t>
  </si>
  <si>
    <t>Federal</t>
  </si>
  <si>
    <t>Orange County</t>
  </si>
  <si>
    <t>SOLANO</t>
  </si>
  <si>
    <t>Solano</t>
  </si>
  <si>
    <t>State</t>
  </si>
  <si>
    <t>Type:</t>
  </si>
  <si>
    <t>$500M</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</si>
  <si>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</si>
  <si>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</si>
  <si>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</si>
  <si>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</si>
  <si>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</si>
  <si>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</si>
  <si>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</si>
  <si>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</si>
  <si>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</si>
  <si>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</si>
  <si>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</si>
  <si>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 Average Income</t>
  </si>
  <si>
    <t>Northern Region: Butte, Marin, Napa, Shasta, Solano, and Sonoma Counties</t>
  </si>
  <si>
    <t>TEHAMA</t>
  </si>
  <si>
    <t>Tehama</t>
  </si>
  <si>
    <t>San Francisco County</t>
  </si>
  <si>
    <t>TRINITY</t>
  </si>
  <si>
    <t>Trinity</t>
  </si>
  <si>
    <t>E.</t>
  </si>
  <si>
    <t>Housing Type Selection</t>
  </si>
  <si>
    <t>TULARE</t>
  </si>
  <si>
    <t>Tulare</t>
  </si>
  <si>
    <t>TUOLUMNE</t>
  </si>
  <si>
    <t>Tuolumne</t>
  </si>
  <si>
    <t>If Special Needs housing, enter number of Special Needs units:</t>
  </si>
  <si>
    <t>(select)</t>
  </si>
  <si>
    <t>VENTURA</t>
  </si>
  <si>
    <t>Ventura</t>
  </si>
  <si>
    <t>If less than 75% special needs units, specify the standards the non-special needs units will meet:</t>
  </si>
  <si>
    <t>Corporation</t>
  </si>
  <si>
    <t>YOLO</t>
  </si>
  <si>
    <t>Yolo</t>
  </si>
  <si>
    <t>General Partnership</t>
  </si>
  <si>
    <t>$500M (Farmworker Housing)</t>
  </si>
  <si>
    <t>YUBA</t>
  </si>
  <si>
    <t>Yuba</t>
  </si>
  <si>
    <t>If Senior, identify the minimum age requirement:</t>
  </si>
  <si>
    <t>Individual</t>
  </si>
  <si>
    <t>State Farmworker Credit</t>
  </si>
  <si>
    <t>If At-Risk, identify when the longest term existing restriction(s) will expire:</t>
  </si>
  <si>
    <t>Joint Venture</t>
  </si>
  <si>
    <t>15% set-aside</t>
  </si>
  <si>
    <t>Limited Partnership</t>
  </si>
  <si>
    <t>15% set-aside with qualifying low value rehab</t>
  </si>
  <si>
    <t>F.</t>
  </si>
  <si>
    <r>
      <t xml:space="preserve">Geographic Area </t>
    </r>
    <r>
      <rPr>
        <sz val="8"/>
        <rFont val="Arial"/>
        <family val="2"/>
      </rPr>
      <t>(Reg. Section 10315(i))</t>
    </r>
  </si>
  <si>
    <t>Local Government</t>
  </si>
  <si>
    <t>Please select the project's geographic area:</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</si>
  <si>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</si>
  <si>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</si>
  <si>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</si>
  <si>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</si>
  <si>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</si>
  <si>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</si>
  <si>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</si>
  <si>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</si>
  <si>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</si>
  <si>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</si>
  <si>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</si>
  <si>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</si>
  <si>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122 East 42nd ST Suite 1903</t>
  </si>
  <si>
    <t>New York</t>
  </si>
  <si>
    <t>State:</t>
  </si>
  <si>
    <t>NY</t>
  </si>
  <si>
    <t>Contact Person:</t>
  </si>
  <si>
    <t>Paul Salib</t>
  </si>
  <si>
    <t>Phone:</t>
  </si>
  <si>
    <t>212-776-1619</t>
  </si>
  <si>
    <t>Ext.:</t>
  </si>
  <si>
    <t>Fax:</t>
  </si>
  <si>
    <t>both nonprofits</t>
  </si>
  <si>
    <t xml:space="preserve">Email: </t>
  </si>
  <si>
    <t>psalib@crpaffordable.com</t>
  </si>
  <si>
    <t>Legal Status of Applicant:</t>
  </si>
  <si>
    <t>Parent Company:</t>
  </si>
  <si>
    <t>If Other, Specify:</t>
  </si>
  <si>
    <t>both for-profit</t>
  </si>
  <si>
    <t>General Partner(s) Information (post-closing GPs):</t>
  </si>
  <si>
    <t>D(1)</t>
  </si>
  <si>
    <t>General Partner Name:</t>
  </si>
  <si>
    <t xml:space="preserve">PSCDC The Grant LLC </t>
  </si>
  <si>
    <t>Managing GP</t>
  </si>
  <si>
    <t>OWNERSHIP</t>
  </si>
  <si>
    <t>Nonprofit</t>
  </si>
  <si>
    <t>CA</t>
  </si>
  <si>
    <t>INTEREST (%):</t>
  </si>
  <si>
    <t>currently exists</t>
  </si>
  <si>
    <t>to be formed</t>
  </si>
  <si>
    <t>For Profit</t>
  </si>
  <si>
    <t>Nonprofit/For Profit:</t>
  </si>
  <si>
    <t>Pacific Southwest Community Development Corporation</t>
  </si>
  <si>
    <t>D(2)</t>
  </si>
  <si>
    <t>General Partner Name:*</t>
  </si>
  <si>
    <t>The Grant at Mission Trails AGP LLC</t>
  </si>
  <si>
    <t>Administrative GP</t>
  </si>
  <si>
    <t>4429 Morena Boulevard, Suite A</t>
  </si>
  <si>
    <t xml:space="preserve">Paul Salib </t>
  </si>
  <si>
    <t>212-776-1914</t>
  </si>
  <si>
    <t>psalib@crpaffrodable.com</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</si>
  <si>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</si>
  <si>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</si>
  <si>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</si>
  <si>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</si>
  <si>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</si>
  <si>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</si>
  <si>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</si>
  <si>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</si>
  <si>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</si>
  <si>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CRP Affordable Housing and Community Development LLC</t>
  </si>
  <si>
    <t>122 East 42 nd ST, STE 1903</t>
  </si>
  <si>
    <t>Seth Sterneck</t>
  </si>
  <si>
    <t>ssterneck@crpaffordable.com</t>
  </si>
  <si>
    <t>Participatory Role:</t>
  </si>
  <si>
    <t>Developer</t>
  </si>
  <si>
    <t>(e.g., General Partner, Consultant, etc.)</t>
  </si>
  <si>
    <t>II. APPLICATION - SECTION 4: DEVELOPMENT TEAM INFORMATION</t>
  </si>
  <si>
    <t>Indicate and List All Development Team Members</t>
  </si>
  <si>
    <t>Developer:</t>
  </si>
  <si>
    <t>CRP Affordable Housing &amp; Community Development LLC</t>
  </si>
  <si>
    <t>Architect:</t>
  </si>
  <si>
    <t xml:space="preserve">BSB Design </t>
  </si>
  <si>
    <t>Address:</t>
  </si>
  <si>
    <t>970 West 190th Street, Suite 250</t>
  </si>
  <si>
    <t>City, State, Zip</t>
  </si>
  <si>
    <t>New York, NY, 10168</t>
  </si>
  <si>
    <t>City, State, Zip:</t>
  </si>
  <si>
    <t>Torrence, CA 90502</t>
  </si>
  <si>
    <t>Michael Tancredi</t>
  </si>
  <si>
    <t>Email:</t>
  </si>
  <si>
    <t>mtancredi@bsbdesign.com</t>
  </si>
  <si>
    <t>Attorney:</t>
  </si>
  <si>
    <t>Hobson Bernadino+ Davis LLP</t>
  </si>
  <si>
    <t>General Contractor:</t>
  </si>
  <si>
    <t>Ironcore Construction LLC</t>
  </si>
  <si>
    <t>6060 Center Drive, Floor 10</t>
  </si>
  <si>
    <t>Los Angeles, CA 90045</t>
  </si>
  <si>
    <t>San Diego, CA, 92104</t>
  </si>
  <si>
    <t>Jason Hobson</t>
  </si>
  <si>
    <t>Elliot Jones</t>
  </si>
  <si>
    <t>213-235-9191</t>
  </si>
  <si>
    <t>jhobson@hbdlegal.com</t>
  </si>
  <si>
    <t>ejones@ironcorecc.com</t>
  </si>
  <si>
    <t>Tax Professional:</t>
  </si>
  <si>
    <t>Novogradac &amp; Company LLP</t>
  </si>
  <si>
    <t>Energy Consultant:</t>
  </si>
  <si>
    <t>Partner Energy</t>
  </si>
  <si>
    <t>1300 114th Avenue SE, Suite 240</t>
  </si>
  <si>
    <t>680 Knox St., Suite 150</t>
  </si>
  <si>
    <t>Bellevue, WA 98004</t>
  </si>
  <si>
    <t>Torrance, CA 90502</t>
  </si>
  <si>
    <t>Thomas Stagg</t>
  </si>
  <si>
    <t>Kelsey Shaw</t>
  </si>
  <si>
    <t>310-356-2199</t>
  </si>
  <si>
    <t>760-355-675</t>
  </si>
  <si>
    <t>thomas.stagg@novoco.com</t>
  </si>
  <si>
    <t>kshaw@ptrenergy.com</t>
  </si>
  <si>
    <t>CPA:</t>
  </si>
  <si>
    <t>Investor:</t>
  </si>
  <si>
    <t>RBC  Capital Markets</t>
  </si>
  <si>
    <t>9788 Wexford Circle Granite Bay</t>
  </si>
  <si>
    <t xml:space="preserve"> CA 95746</t>
  </si>
  <si>
    <t>Stacie Altmann</t>
  </si>
  <si>
    <t>425-453-5783</t>
  </si>
  <si>
    <t>916-790-0246</t>
  </si>
  <si>
    <t>stacie.altmann@rbccm.com</t>
  </si>
  <si>
    <t>Consultant:</t>
  </si>
  <si>
    <t>Market Analyst:</t>
  </si>
  <si>
    <t>6700 Antioch Rd #450</t>
  </si>
  <si>
    <t>Merriam, KS 66204</t>
  </si>
  <si>
    <t>Rachel Denton</t>
  </si>
  <si>
    <t>Rachel.denton@novoco.com</t>
  </si>
  <si>
    <t>Appraiser:</t>
  </si>
  <si>
    <t>CNA Consultant:</t>
  </si>
  <si>
    <t xml:space="preserve">Rachel Denton </t>
  </si>
  <si>
    <t>Bond Issuer:</t>
  </si>
  <si>
    <t>California Housing Finance Agency</t>
  </si>
  <si>
    <t>Prop. Mgmt. Co.:</t>
  </si>
  <si>
    <t>Hyder &amp; Company</t>
  </si>
  <si>
    <t>500 Capitola Mall Suite 400</t>
  </si>
  <si>
    <t>1649, Capalina Road, Suite 500</t>
  </si>
  <si>
    <t>Sacramento, CA 95814</t>
  </si>
  <si>
    <t>San Marcos, CA 92069</t>
  </si>
  <si>
    <t>Kevin Brown</t>
  </si>
  <si>
    <t>Kyle Beach</t>
  </si>
  <si>
    <t>(916) 616-8899</t>
  </si>
  <si>
    <t>KBrown@CalHFA.ca.gov</t>
  </si>
  <si>
    <t>kbeach@hyderco.com</t>
  </si>
  <si>
    <t>2nd Prop. Mgmt. Co.:</t>
  </si>
  <si>
    <t>II. APPLICATION - SECTION 5: PROJECT INFORMATION</t>
  </si>
  <si>
    <t>Type of Credit Requested</t>
  </si>
  <si>
    <t>New Construction</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</si>
  <si>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</si>
  <si>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</si>
  <si>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</si>
  <si>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</si>
  <si>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</si>
  <si>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</si>
  <si>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</si>
  <si>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</si>
  <si>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</si>
  <si>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</si>
  <si>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</si>
  <si>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</si>
  <si>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</si>
  <si>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</si>
  <si>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</si>
  <si>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</si>
  <si>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</si>
  <si>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</si>
  <si>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</si>
  <si>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</si>
  <si>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</si>
  <si>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</si>
  <si>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</si>
  <si>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</si>
  <si>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</si>
  <si>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</si>
  <si>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</si>
  <si>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</si>
  <si>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</si>
  <si>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</si>
  <si>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</si>
  <si>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5945 Mission Gorge LLC</t>
  </si>
  <si>
    <t>Signatory of Seller:</t>
  </si>
  <si>
    <t>Seller Principal:</t>
  </si>
  <si>
    <t>CEO</t>
  </si>
  <si>
    <t>Seller Address:</t>
  </si>
  <si>
    <t>4429 Morena Blvd, STE A, San Diego CA 92117</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</si>
  <si>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</si>
  <si>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</si>
  <si>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</si>
  <si>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</si>
  <si>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</si>
  <si>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</si>
  <si>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</si>
  <si>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</si>
  <si>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</si>
  <si>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</si>
  <si>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</si>
  <si>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</si>
  <si>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</si>
  <si>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</si>
  <si>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</si>
  <si>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</si>
  <si>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</si>
  <si>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</si>
  <si>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</si>
  <si>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</si>
  <si>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</si>
  <si>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</si>
  <si>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</si>
  <si>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</si>
  <si>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Other (Specify below)</t>
  </si>
  <si>
    <t>Two or More Story With an Elevator:</t>
  </si>
  <si>
    <t xml:space="preserve"> if yes, enter number of stories:</t>
  </si>
  <si>
    <t>Two or More Story Without an Elevator:</t>
  </si>
  <si>
    <t>One or More Levels of Subterranean Parking:</t>
  </si>
  <si>
    <t>Type I and Type III Mid-rise Building</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</si>
  <si>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</si>
  <si>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</si>
  <si>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</si>
  <si>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</si>
  <si>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</si>
  <si>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</si>
  <si>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</si>
  <si>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</si>
  <si>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</si>
  <si>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</si>
  <si>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</si>
  <si>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</si>
  <si>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</si>
  <si>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</si>
  <si>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</si>
  <si>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</si>
  <si>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</si>
  <si>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</si>
  <si>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</si>
  <si>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</si>
  <si>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</si>
  <si>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</si>
  <si>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</si>
  <si>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</si>
  <si>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</si>
  <si>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</si>
  <si>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</si>
  <si>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</si>
  <si>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</si>
  <si>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</si>
  <si>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</si>
  <si>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</si>
  <si>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</si>
  <si>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</si>
  <si>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</si>
  <si>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</si>
  <si>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</si>
  <si>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</si>
  <si>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</si>
  <si>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</si>
  <si>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</si>
  <si>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</si>
  <si>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</si>
  <si>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</si>
  <si>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</si>
  <si>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</si>
  <si>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</si>
  <si>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</si>
  <si>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</si>
  <si>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</si>
  <si>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</si>
  <si>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</si>
  <si>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</si>
  <si>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</si>
  <si>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Commercial Community (Vacant)</t>
  </si>
  <si>
    <t>2024 100% RENTS</t>
  </si>
  <si>
    <t>2024 FAIR MARKET RENTS</t>
  </si>
  <si>
    <t>Current Zoning and Maximum Density</t>
  </si>
  <si>
    <t>CC-3-9 (Commercial Community)/44-109 DU/ACRE</t>
  </si>
  <si>
    <t>California Tax Credit Allocation Committee</t>
  </si>
  <si>
    <t>Housing and Urban Development</t>
  </si>
  <si>
    <t>Proposed Zoning and Maximum Density</t>
  </si>
  <si>
    <t>100% AFFORDABLE DU ALLOWED PER CA DENSITY BONUS</t>
  </si>
  <si>
    <t>Occupancy restrictions that run with the land due to CUP’s or density bonuses?</t>
  </si>
  <si>
    <t>(if yes, explain here)</t>
  </si>
  <si>
    <t>County</t>
  </si>
  <si>
    <t>SRO/Studio</t>
  </si>
  <si>
    <t>1 Bedroom</t>
  </si>
  <si>
    <t>2 Bedrooms</t>
  </si>
  <si>
    <t>3 Bedrooms</t>
  </si>
  <si>
    <t>4 Bedrooms</t>
  </si>
  <si>
    <t>5 Bedrooms</t>
  </si>
  <si>
    <t>Subject to Inclusionary Zoning?</t>
  </si>
  <si>
    <t>Building Height Requirements</t>
  </si>
  <si>
    <t>82'-7" (To top of parapet)</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</si>
  <si>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</si>
  <si>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</si>
  <si>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</si>
  <si>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</si>
  <si>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</si>
  <si>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</si>
  <si>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</si>
  <si>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</si>
  <si>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</si>
  <si>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</si>
  <si>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</si>
  <si>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</si>
  <si>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</si>
  <si>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</si>
  <si>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</si>
  <si>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</si>
  <si>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</si>
  <si>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</si>
  <si>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</si>
  <si>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</si>
  <si>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</si>
  <si>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</si>
  <si>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</si>
  <si>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</si>
  <si>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</si>
  <si>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</si>
  <si>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</si>
  <si>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</si>
  <si>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</si>
  <si>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</si>
  <si>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</si>
  <si>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</si>
  <si>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</si>
  <si>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</si>
  <si>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</si>
  <si>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</si>
  <si>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 xml:space="preserve">Tax Credits and Bond Financing </t>
  </si>
  <si>
    <t>Equity, Other Investor</t>
  </si>
  <si>
    <t>Grant</t>
  </si>
  <si>
    <t>Closing or Award</t>
  </si>
  <si>
    <t>Loan, Conventional</t>
  </si>
  <si>
    <t xml:space="preserve">Type and Source: </t>
  </si>
  <si>
    <t>County of San Diego ARPA Funds</t>
  </si>
  <si>
    <t>Loan, Equity Bridge</t>
  </si>
  <si>
    <t>Loan, Residual Receipts</t>
  </si>
  <si>
    <t>Loan, Seller Note</t>
  </si>
  <si>
    <t>San Diego Housing Commission PSH Capital Funds and Vouchers</t>
  </si>
  <si>
    <t>Loan, General Partner</t>
  </si>
  <si>
    <t>Loan, Taxable</t>
  </si>
  <si>
    <t>Loan, Tax-Exempt</t>
  </si>
  <si>
    <t>City of San Diego - Bridge to Home Funds</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</si>
  <si>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</si>
  <si>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</si>
  <si>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</si>
  <si>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</si>
  <si>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</si>
  <si>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</si>
  <si>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</si>
  <si>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</si>
  <si>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</si>
  <si>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</si>
  <si>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</si>
  <si>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</si>
  <si>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</si>
  <si>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</si>
  <si>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</si>
  <si>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</si>
  <si>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</si>
  <si>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</si>
  <si>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</si>
  <si>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</si>
  <si>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</si>
  <si>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</si>
  <si>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</si>
  <si>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</si>
  <si>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</si>
  <si>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CITI Construction Loan (Tax- Exempt)</t>
  </si>
  <si>
    <t>Variable</t>
  </si>
  <si>
    <t>CITI Construction Loan (Taxable)</t>
  </si>
  <si>
    <t>Federal LIHTC Equity</t>
  </si>
  <si>
    <t>State LIHTC Equity</t>
  </si>
  <si>
    <t xml:space="preserve">San Diego Housing Commission </t>
  </si>
  <si>
    <t>Fixed</t>
  </si>
  <si>
    <t>6)</t>
  </si>
  <si>
    <t>City of San Diego CDBG</t>
  </si>
  <si>
    <t>7)</t>
  </si>
  <si>
    <t>County of San Diego ARPA</t>
  </si>
  <si>
    <t>8)</t>
  </si>
  <si>
    <t>Deferred Costs</t>
  </si>
  <si>
    <t>9)</t>
  </si>
  <si>
    <t>10)</t>
  </si>
  <si>
    <t>11)</t>
  </si>
  <si>
    <t>12)</t>
  </si>
  <si>
    <t>Total Funds For Construction:</t>
  </si>
  <si>
    <t>Lender/Source:</t>
  </si>
  <si>
    <t>300 South Grand Avenue</t>
  </si>
  <si>
    <t>Los Angeles, CA 90071</t>
  </si>
  <si>
    <t>Contact Name:</t>
  </si>
  <si>
    <t>Hao Li</t>
  </si>
  <si>
    <t>Type of Financing:</t>
  </si>
  <si>
    <t>Tax Exempt Bonds/Private</t>
  </si>
  <si>
    <t>Taxable Loan/Private</t>
  </si>
  <si>
    <t>Variable Rate Index (if applicable):</t>
  </si>
  <si>
    <t>Is the Lender/Source Committed?</t>
  </si>
  <si>
    <t>3989 RUFFIN ROAD</t>
  </si>
  <si>
    <t>San Diego CA 92101</t>
  </si>
  <si>
    <t>San Diego CA 92123</t>
  </si>
  <si>
    <t>Maurcell Gresham</t>
  </si>
  <si>
    <t>David Estrella</t>
  </si>
  <si>
    <t>619-231-9400</t>
  </si>
  <si>
    <t>858-694-4801</t>
  </si>
  <si>
    <t xml:space="preserve">Soft Financing </t>
  </si>
  <si>
    <t>122 East 42nd St, STE 1903</t>
  </si>
  <si>
    <t>New York NY 10168</t>
  </si>
  <si>
    <t>low income</t>
  </si>
  <si>
    <t>lowest income</t>
  </si>
  <si>
    <t>average rent</t>
  </si>
  <si>
    <t>50-36</t>
  </si>
  <si>
    <t>&lt;=35</t>
  </si>
  <si>
    <t>SRO/STUDIO</t>
  </si>
  <si>
    <t>4+ Bedrooms</t>
  </si>
  <si>
    <t>Private</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</si>
  <si>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</si>
  <si>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</si>
  <si>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</si>
  <si>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</si>
  <si>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</si>
  <si>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</si>
  <si>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 xml:space="preserve">Citibank Permanent Loan </t>
  </si>
  <si>
    <t>Required</t>
  </si>
  <si>
    <t>Deferred Developer Fee</t>
  </si>
  <si>
    <t>TOTAL LI Units</t>
  </si>
  <si>
    <t>TOTAL LI Bedrooms</t>
  </si>
  <si>
    <t>Deferred</t>
  </si>
  <si>
    <t>Residual</t>
  </si>
  <si>
    <t>manager(s)</t>
  </si>
  <si>
    <t>Total Permanent Financing:</t>
  </si>
  <si>
    <t>Total Tax Credit Equity:</t>
  </si>
  <si>
    <t>Total Sources of Project Funds:</t>
  </si>
  <si>
    <t>TOTAL Manager Units</t>
  </si>
  <si>
    <t>TOTAL Manager Bedrooms</t>
  </si>
  <si>
    <t>122 East 42nd St STE A</t>
  </si>
  <si>
    <t>market rate</t>
  </si>
  <si>
    <t>market rate AMIs</t>
  </si>
  <si>
    <t>TOTAL Market Units</t>
  </si>
  <si>
    <t>TOTAL Market Units at or below 100% AMI</t>
  </si>
  <si>
    <t>TOTAL Market BRs</t>
  </si>
  <si>
    <t>total sum for threshold basis limit</t>
  </si>
  <si>
    <t>TOTAL LI &amp; Market BRs</t>
  </si>
  <si>
    <t>Project 100% Rents:</t>
  </si>
  <si>
    <r>
      <t xml:space="preserve">AVERAGE AFFORDABILITY BY AMI </t>
    </r>
    <r>
      <rPr>
        <b/>
        <u/>
        <sz val="10"/>
        <rFont val="Arial"/>
        <family val="2"/>
      </rPr>
      <t>TARGETING</t>
    </r>
  </si>
  <si>
    <r>
      <t xml:space="preserve">AVERAGE AFFORDABILITY BY AMI </t>
    </r>
    <r>
      <rPr>
        <b/>
        <u/>
        <sz val="10"/>
        <rFont val="Arial"/>
        <family val="2"/>
      </rPr>
      <t>ACTUAL RENTS</t>
    </r>
  </si>
  <si>
    <t>UNITS</t>
  </si>
  <si>
    <t>UNIT % OF TOTAL</t>
  </si>
  <si>
    <t>PRO RATA TARGET %</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</si>
  <si>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</si>
  <si>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</si>
  <si>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</si>
  <si>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</si>
  <si>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</si>
  <si>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</si>
  <si>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</si>
  <si>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</si>
  <si>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</si>
  <si>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</si>
  <si>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TOTAL</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</si>
  <si>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</si>
  <si>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</si>
  <si>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</si>
  <si>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</si>
  <si>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</si>
  <si>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</si>
  <si>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</si>
  <si>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</si>
  <si>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</si>
  <si>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</si>
  <si>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</si>
  <si>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</si>
  <si>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</si>
  <si>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</si>
  <si>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</si>
  <si>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</si>
  <si>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</si>
  <si>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</si>
  <si>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</si>
  <si>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</si>
  <si>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</si>
  <si>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</si>
  <si>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</si>
  <si>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</si>
  <si>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</si>
  <si>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Project with desk or security staff in lieu of on-site manager unit(s)</t>
  </si>
  <si>
    <t>See CTCAC Regulation Section 10325(f)(7)(J) for complete requirements.</t>
  </si>
  <si>
    <t xml:space="preserve">Application type: </t>
  </si>
  <si>
    <t>4%</t>
  </si>
  <si>
    <t xml:space="preserve">Please select your county: </t>
  </si>
  <si>
    <t>9%</t>
  </si>
  <si>
    <t>4% 2024 TBLs</t>
  </si>
  <si>
    <t>9% 2024 TBLs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</si>
  <si>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</si>
  <si>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</si>
  <si>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</si>
  <si>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</si>
  <si>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</si>
  <si>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</si>
  <si>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</si>
  <si>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</si>
  <si>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</si>
  <si>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</si>
  <si>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</si>
  <si>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App Fee, Late Fee etc.</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</si>
  <si>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</si>
  <si>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</si>
  <si>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</si>
  <si>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</si>
  <si>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</si>
  <si>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</si>
  <si>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</si>
  <si>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</si>
  <si>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</si>
  <si>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</si>
  <si>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</si>
  <si>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</si>
  <si>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</si>
  <si>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</si>
  <si>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</si>
  <si>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</si>
  <si>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Electrical</t>
  </si>
  <si>
    <t>*PROJECTS PROPOSING UNITS WITH INDIVIDUAL WATER METERS MUST INCLUDE A WATER</t>
  </si>
  <si>
    <t>ALLOWANCE.</t>
  </si>
  <si>
    <t>Name of PHA or California Energy Commission Providing Utility Allowances:</t>
  </si>
  <si>
    <t>See Regulation Section 10322(h)(21) for type of projects that are allowed to use CUAC.</t>
  </si>
  <si>
    <t>Annual Residential Operating Expenses</t>
  </si>
  <si>
    <t xml:space="preserve"> Administrative</t>
  </si>
  <si>
    <t>Advertising:</t>
  </si>
  <si>
    <t>Legal:</t>
  </si>
  <si>
    <t>Accounting/Audit:</t>
  </si>
  <si>
    <t>Security:</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</si>
  <si>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</si>
  <si>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</si>
  <si>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</si>
  <si>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</si>
  <si>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</si>
  <si>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</si>
  <si>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</si>
  <si>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</si>
  <si>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</si>
  <si>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</si>
  <si>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</si>
  <si>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</si>
  <si>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</si>
  <si>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(WorkersComp, Benefits, 401k)</t>
  </si>
  <si>
    <t>Total Payroll / Payroll Taxes:</t>
  </si>
  <si>
    <t>Total Insurance:</t>
  </si>
  <si>
    <t>Painting:</t>
  </si>
  <si>
    <t>Repairs:</t>
  </si>
  <si>
    <t>Trash Removal:</t>
  </si>
  <si>
    <t>Exterminating:</t>
  </si>
  <si>
    <t>Grounds:</t>
  </si>
  <si>
    <t>Elevator:</t>
  </si>
  <si>
    <t>Total Maintenance:</t>
  </si>
  <si>
    <t>Other Operating</t>
  </si>
  <si>
    <t>(Security)</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</si>
  <si>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</si>
  <si>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</si>
  <si>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</si>
  <si>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</si>
  <si>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</si>
  <si>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</si>
  <si>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</si>
  <si>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</si>
  <si>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</si>
  <si>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</si>
  <si>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</si>
  <si>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</si>
  <si>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</si>
  <si>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(Issuer and Monitoring fee):</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</si>
  <si>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</si>
  <si>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</si>
  <si>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</si>
  <si>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</si>
  <si>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</si>
  <si>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</si>
  <si>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</si>
  <si>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</si>
  <si>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</si>
  <si>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</si>
  <si>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</si>
  <si>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</si>
  <si>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</si>
  <si>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</si>
  <si>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</si>
  <si>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</si>
  <si>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</si>
  <si>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</si>
  <si>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</si>
  <si>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</si>
  <si>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</si>
  <si>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</si>
  <si>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</si>
  <si>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</si>
  <si>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</si>
  <si>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</si>
  <si>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</si>
  <si>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</si>
  <si>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</si>
  <si>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</si>
  <si>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</si>
  <si>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</si>
  <si>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</si>
  <si>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</si>
  <si>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</si>
  <si>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</si>
  <si>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</si>
  <si>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</si>
  <si>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</si>
  <si>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</si>
  <si>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</si>
  <si>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</si>
  <si>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</si>
  <si>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</si>
  <si>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 xml:space="preserve">Federal LIHTC Equity </t>
  </si>
  <si>
    <t xml:space="preserve">State LIHTC Equity </t>
  </si>
  <si>
    <t>Local:</t>
  </si>
  <si>
    <t>Indicate By Percent Of Units Affected, Any Rental Subsidy Expected To Be Available To The Project.</t>
  </si>
  <si>
    <t>Approval Date:</t>
  </si>
  <si>
    <t>Source:</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</si>
  <si>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</si>
  <si>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</si>
  <si>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</si>
  <si>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</si>
  <si>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</si>
  <si>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</si>
  <si>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</si>
  <si>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</si>
  <si>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</si>
  <si>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</si>
  <si>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</si>
  <si>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</si>
  <si>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</si>
  <si>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</si>
  <si>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</si>
  <si>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</si>
  <si>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</si>
  <si>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</si>
  <si>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</si>
  <si>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</si>
  <si>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</si>
  <si>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</si>
  <si>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</si>
  <si>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</si>
  <si>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</si>
  <si>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</si>
  <si>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</si>
  <si>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</si>
  <si>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</si>
  <si>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</si>
  <si>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</si>
  <si>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</si>
  <si>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</si>
  <si>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</si>
  <si>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</si>
  <si>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</si>
  <si>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</si>
  <si>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</si>
  <si>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</si>
  <si>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</si>
  <si>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</si>
  <si>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</si>
  <si>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</si>
  <si>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</si>
  <si>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</si>
  <si>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</si>
  <si>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</si>
  <si>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</si>
  <si>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</si>
  <si>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</si>
  <si>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</si>
  <si>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</si>
  <si>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</si>
  <si>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</si>
  <si>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</si>
  <si>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</si>
  <si>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</si>
  <si>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</si>
  <si>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</si>
  <si>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</si>
  <si>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</si>
  <si>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</si>
  <si>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</si>
  <si>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</si>
  <si>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</si>
  <si>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(l)</t>
  </si>
  <si>
    <t>Plus (+) 1% basis adjustment - 50% AMI to 36% AMI Units</t>
  </si>
  <si>
    <t>For each 1% of project's Low-Income and Market Rate Units restricted between 36% and 50% of AMI.</t>
  </si>
  <si>
    <t>Rental Units:</t>
  </si>
  <si>
    <t>Total Rental Units @ 50% to 36% of AMI:</t>
  </si>
  <si>
    <t>(m)</t>
  </si>
  <si>
    <t>Plus (+) 2% basis adjustment  - At or below 35% AMI Units</t>
  </si>
  <si>
    <t>For each 1% of project's Low-Income and Market Rate Units restricted at or below 35% of AMI.</t>
  </si>
  <si>
    <t>Total Rental Units @ 35% of AMI or Below:</t>
  </si>
  <si>
    <t>TOTAL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</si>
  <si>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</si>
  <si>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</si>
  <si>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</si>
  <si>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</si>
  <si>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</si>
  <si>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</si>
  <si>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Rehabilitated project buildings shall have an 80% decrease in estimated annual energy use (or improvement in energy efficiency) in the HERS II post rehabilitation.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</si>
  <si>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</si>
  <si>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</si>
  <si>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</si>
  <si>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</si>
  <si>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</si>
  <si>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</si>
  <si>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</si>
  <si>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</si>
  <si>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</si>
  <si>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</si>
  <si>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</si>
  <si>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</si>
  <si>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</si>
  <si>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</si>
  <si>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</si>
  <si>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</si>
  <si>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Demolition</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</si>
  <si>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</si>
  <si>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</si>
  <si>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</si>
  <si>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</si>
  <si>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</si>
  <si>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</si>
  <si>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</si>
  <si>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</si>
  <si>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</si>
  <si>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</si>
  <si>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</si>
  <si>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</si>
  <si>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</si>
  <si>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</si>
  <si>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</si>
  <si>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</si>
  <si>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</si>
  <si>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</si>
  <si>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</si>
  <si>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</si>
  <si>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</si>
  <si>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</si>
  <si>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</si>
  <si>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Other: Bond Premium</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</si>
  <si>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</si>
  <si>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</si>
  <si>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</si>
  <si>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</si>
  <si>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</si>
  <si>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</si>
  <si>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</si>
  <si>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</si>
  <si>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</si>
  <si>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</si>
  <si>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</si>
  <si>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</si>
  <si>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</si>
  <si>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</si>
  <si>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</si>
  <si>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Other: Employment Reporting</t>
  </si>
  <si>
    <t>Total Construction Interest &amp; Fees</t>
  </si>
  <si>
    <t>Loan Origination Fee</t>
  </si>
  <si>
    <t>Other: Legal</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</si>
  <si>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</si>
  <si>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</si>
  <si>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</si>
  <si>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</si>
  <si>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</si>
  <si>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</si>
  <si>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</si>
  <si>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(LenderLegal +Investor Legal + Bond Issuance Legal + MGP Legal + SDHC Legal Fee)</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</si>
  <si>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</si>
  <si>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</si>
  <si>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</si>
  <si>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</si>
  <si>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</si>
  <si>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</si>
  <si>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</si>
  <si>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</si>
  <si>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</si>
  <si>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</si>
  <si>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</si>
  <si>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</si>
  <si>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</si>
  <si>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</si>
  <si>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</si>
  <si>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</si>
  <si>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</si>
  <si>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</si>
  <si>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</si>
  <si>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</si>
  <si>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</si>
  <si>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</si>
  <si>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Other: (Prevailing Wage Monitoring)</t>
  </si>
  <si>
    <t>Other: (Relocation Costs)</t>
  </si>
  <si>
    <t>Other: CDLAC Fee, Miscellaneous Third-Party Costs, Predevelopment Loan Interest)</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</si>
  <si>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</si>
  <si>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</si>
  <si>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</si>
  <si>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</si>
  <si>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</si>
  <si>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</si>
  <si>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</si>
  <si>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</si>
  <si>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</si>
  <si>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</si>
  <si>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</si>
  <si>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</si>
  <si>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</si>
  <si>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</si>
  <si>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</si>
  <si>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</si>
  <si>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</si>
  <si>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</si>
  <si>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</si>
  <si>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</si>
  <si>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</si>
  <si>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</si>
  <si>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</si>
  <si>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</si>
  <si>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</si>
  <si>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</si>
  <si>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</si>
  <si>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</si>
  <si>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</si>
  <si>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</si>
  <si>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</si>
  <si>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</si>
  <si>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</si>
  <si>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</si>
  <si>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</si>
  <si>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</si>
  <si>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</si>
  <si>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</si>
  <si>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</si>
  <si>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</si>
  <si>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</si>
  <si>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</si>
  <si>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</si>
  <si>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</si>
  <si>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</si>
  <si>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</si>
  <si>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</si>
  <si>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</si>
  <si>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</si>
  <si>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</si>
  <si>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</si>
  <si>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</si>
  <si>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</si>
  <si>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</si>
  <si>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</si>
  <si>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</si>
  <si>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</si>
  <si>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</si>
  <si>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</si>
  <si>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</si>
  <si>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</si>
  <si>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</si>
  <si>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</si>
  <si>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</si>
  <si>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</si>
  <si>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</si>
  <si>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</si>
  <si>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</si>
  <si>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</si>
  <si>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</si>
  <si>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</si>
  <si>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</si>
  <si>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</si>
  <si>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</si>
  <si>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</si>
  <si>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</si>
  <si>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</si>
  <si>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</si>
  <si>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</si>
  <si>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</si>
  <si>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</si>
  <si>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</si>
  <si>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</si>
  <si>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</si>
  <si>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</si>
  <si>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</si>
  <si>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</si>
  <si>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</si>
  <si>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</si>
  <si>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</si>
  <si>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</si>
  <si>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</si>
  <si>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</si>
  <si>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</si>
  <si>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</si>
  <si>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</si>
  <si>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</si>
  <si>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</si>
  <si>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</si>
  <si>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</si>
  <si>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</si>
  <si>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</si>
  <si>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</si>
  <si>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</si>
  <si>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</si>
  <si>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</si>
  <si>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</si>
  <si>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</si>
  <si>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</si>
  <si>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</si>
  <si>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</si>
  <si>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</si>
  <si>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</si>
  <si>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</si>
  <si>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</si>
  <si>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</si>
  <si>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</si>
  <si>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</si>
  <si>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</si>
  <si>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</si>
  <si>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</si>
  <si>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</si>
  <si>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</si>
  <si>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</si>
  <si>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</si>
  <si>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</si>
  <si>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</si>
  <si>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</si>
  <si>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</si>
  <si>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</si>
  <si>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PSCDC The Grant LLC</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</si>
  <si>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</si>
  <si>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</si>
  <si>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</si>
  <si>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sole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</si>
  <si>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</si>
  <si>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</si>
  <si>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</si>
  <si>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</si>
  <si>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</si>
  <si>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</si>
  <si>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</si>
  <si>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</si>
  <si>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</si>
  <si>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</si>
  <si>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</si>
  <si>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</si>
  <si>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</si>
  <si>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</si>
  <si>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4 or more Special Needs projects managed more than 3 years, including 1 California LIHTC project</t>
  </si>
  <si>
    <t>Management Company Name:</t>
  </si>
  <si>
    <t>2-3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</si>
  <si>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</si>
  <si>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</si>
  <si>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</si>
  <si>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</si>
  <si>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</si>
  <si>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</si>
  <si>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</si>
  <si>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</si>
  <si>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</si>
  <si>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</si>
  <si>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</si>
  <si>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</si>
  <si>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</si>
  <si>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</si>
  <si>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</si>
  <si>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</si>
  <si>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</si>
  <si>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</si>
  <si>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</si>
  <si>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</si>
  <si>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</si>
  <si>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</si>
  <si>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</si>
  <si>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</si>
  <si>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</si>
  <si>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</si>
  <si>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</si>
  <si>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</si>
  <si>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</si>
  <si>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</si>
  <si>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</si>
  <si>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</si>
  <si>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</si>
  <si>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</si>
  <si>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</si>
  <si>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</si>
  <si>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1 bedroom</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</si>
  <si>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</si>
  <si>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</si>
  <si>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</si>
  <si>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</si>
  <si>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</si>
  <si>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</si>
  <si>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</si>
  <si>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</si>
  <si>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</si>
  <si>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</si>
  <si>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</si>
  <si>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</si>
  <si>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</si>
  <si>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</si>
  <si>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</si>
  <si>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</si>
  <si>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</si>
  <si>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</si>
  <si>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</si>
  <si>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</si>
  <si>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</si>
  <si>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</si>
  <si>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</si>
  <si>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</si>
  <si>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</si>
  <si>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</si>
  <si>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</si>
  <si>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</si>
  <si>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</si>
  <si>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</si>
  <si>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</si>
  <si>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</si>
  <si>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</si>
  <si>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</si>
  <si>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</si>
  <si>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</si>
  <si>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</si>
  <si>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</si>
  <si>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</si>
  <si>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</si>
  <si>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</si>
  <si>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</si>
  <si>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</si>
  <si>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</si>
  <si>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</si>
  <si>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</si>
  <si>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</si>
  <si>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</si>
  <si>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</si>
  <si>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</si>
  <si>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</si>
  <si>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</si>
  <si>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</si>
  <si>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</si>
  <si>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</si>
  <si>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</si>
  <si>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</si>
  <si>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</si>
  <si>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</si>
  <si>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</si>
  <si>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</si>
  <si>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</si>
  <si>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</si>
  <si>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</si>
  <si>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</si>
  <si>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</si>
  <si>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</si>
  <si>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</si>
  <si>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</si>
  <si>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</si>
  <si>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</si>
  <si>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</si>
  <si>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</si>
  <si>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</si>
  <si>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</si>
  <si>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</si>
  <si>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</si>
  <si>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</si>
  <si>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</si>
  <si>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</si>
  <si>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</si>
  <si>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</si>
  <si>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</si>
  <si>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</si>
  <si>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</si>
  <si>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</si>
  <si>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</si>
  <si>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</si>
  <si>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</si>
  <si>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</si>
  <si>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</si>
  <si>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</si>
  <si>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</si>
  <si>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</si>
  <si>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</si>
  <si>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</si>
  <si>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</si>
  <si>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</si>
  <si>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</si>
  <si>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</si>
  <si>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</si>
  <si>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</si>
  <si>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</si>
  <si>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</si>
  <si>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</si>
  <si>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</si>
  <si>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</si>
  <si>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</si>
  <si>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</si>
  <si>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</si>
  <si>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</si>
  <si>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</si>
  <si>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</si>
  <si>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</si>
  <si>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</si>
  <si>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</si>
  <si>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</si>
  <si>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</si>
  <si>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</si>
  <si>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</si>
  <si>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</si>
  <si>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</si>
  <si>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</si>
  <si>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</si>
  <si>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</si>
  <si>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</si>
  <si>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</si>
  <si>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</si>
  <si>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</si>
  <si>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</si>
  <si>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</si>
  <si>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</si>
  <si>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</si>
  <si>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</si>
  <si>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</si>
  <si>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</si>
  <si>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</si>
  <si>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</si>
  <si>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</si>
  <si>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</si>
  <si>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</si>
  <si>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</si>
  <si>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</si>
  <si>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</si>
  <si>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</si>
  <si>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</si>
  <si>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</si>
  <si>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</si>
  <si>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</si>
  <si>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</si>
  <si>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</si>
  <si>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</si>
  <si>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</si>
  <si>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</si>
  <si>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</si>
  <si>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</si>
  <si>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</si>
  <si>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</si>
  <si>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</si>
  <si>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</si>
  <si>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</si>
  <si>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</si>
  <si>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</si>
  <si>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</si>
  <si>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</si>
  <si>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</si>
  <si>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</si>
  <si>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</si>
  <si>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</si>
  <si>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</si>
  <si>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</si>
  <si>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</si>
  <si>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</si>
  <si>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</si>
  <si>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</si>
  <si>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</si>
  <si>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</si>
  <si>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</si>
  <si>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</si>
  <si>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</si>
  <si>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</si>
  <si>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</si>
  <si>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</si>
  <si>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</si>
  <si>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</si>
  <si>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</si>
  <si>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</si>
  <si>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</si>
  <si>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</si>
  <si>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</si>
  <si>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</si>
  <si>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</si>
  <si>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</si>
  <si>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</si>
  <si>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</si>
  <si>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</si>
  <si>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</si>
  <si>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</si>
  <si>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</si>
  <si>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</si>
  <si>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</si>
  <si>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</si>
  <si>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</si>
  <si>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</si>
  <si>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</si>
  <si>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</si>
  <si>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Rural</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</si>
  <si>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</si>
  <si>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</si>
  <si>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</si>
  <si>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</si>
  <si>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</si>
  <si>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</si>
  <si>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</si>
  <si>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</si>
  <si>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</si>
  <si>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</si>
  <si>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</si>
  <si>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</si>
  <si>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</si>
  <si>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</si>
  <si>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</si>
  <si>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</si>
  <si>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</si>
  <si>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</si>
  <si>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</si>
  <si>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</si>
  <si>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</si>
  <si>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</si>
  <si>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</si>
  <si>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</si>
  <si>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</si>
  <si>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</si>
  <si>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</si>
  <si>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</si>
  <si>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</si>
  <si>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</si>
  <si>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</si>
  <si>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</si>
  <si>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</si>
  <si>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</si>
  <si>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</si>
  <si>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</si>
  <si>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</si>
  <si>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</si>
  <si>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</si>
  <si>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</si>
  <si>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</si>
  <si>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</si>
  <si>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</si>
  <si>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</si>
  <si>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</si>
  <si>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</si>
  <si>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</si>
  <si>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</si>
  <si>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</si>
  <si>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</si>
  <si>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</si>
  <si>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</si>
  <si>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</si>
  <si>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</si>
  <si>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</si>
  <si>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</si>
  <si>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</si>
  <si>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</si>
  <si>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</si>
  <si>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</si>
  <si>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</si>
  <si>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</si>
  <si>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</si>
  <si>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</si>
  <si>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</si>
  <si>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</si>
  <si>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</si>
  <si>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</si>
  <si>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</si>
  <si>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</si>
  <si>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</si>
  <si>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</si>
  <si>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</si>
  <si>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</si>
  <si>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</si>
  <si>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</si>
  <si>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</si>
  <si>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</si>
  <si>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</si>
  <si>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</si>
  <si>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</si>
  <si>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</si>
  <si>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</si>
  <si>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</si>
  <si>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</si>
  <si>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</si>
  <si>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</si>
  <si>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</si>
  <si>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</si>
  <si>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</si>
  <si>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</si>
  <si>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</si>
  <si>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</si>
  <si>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</si>
  <si>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</si>
  <si>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</si>
  <si>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</si>
  <si>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</si>
  <si>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</si>
  <si>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</si>
  <si>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</si>
  <si>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</si>
  <si>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</si>
  <si>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</si>
  <si>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</si>
  <si>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</si>
  <si>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</si>
  <si>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</si>
  <si>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</si>
  <si>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</si>
  <si>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</si>
  <si>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</si>
  <si>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</si>
  <si>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</si>
  <si>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</si>
  <si>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</si>
  <si>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</si>
  <si>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</si>
  <si>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</si>
  <si>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</si>
  <si>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</si>
  <si>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</si>
  <si>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</si>
  <si>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</si>
  <si>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</si>
  <si>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</si>
  <si>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</si>
  <si>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</si>
  <si>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</si>
  <si>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Special Needs Population Benefit</t>
  </si>
  <si>
    <t>Total Allocations</t>
  </si>
  <si>
    <t>D. Extremely Low Income Benefit</t>
  </si>
  <si>
    <t>Adjustments</t>
  </si>
  <si>
    <t>E. Sustainability Benefit</t>
  </si>
  <si>
    <t>F. Opportunity Benefit</t>
  </si>
  <si>
    <t>Construction Type</t>
  </si>
  <si>
    <t>G. Comp. Comm. Revitalization Benefit</t>
  </si>
  <si>
    <t>SWBD * .25</t>
  </si>
  <si>
    <t>Public Benefit</t>
  </si>
  <si>
    <t>Cost-Adjusted Allocation</t>
  </si>
  <si>
    <t>Bedrooms</t>
  </si>
  <si>
    <t>Quantity</t>
  </si>
  <si>
    <t>iAMI</t>
  </si>
  <si>
    <t>AMI</t>
  </si>
  <si>
    <t>Restricted Rent</t>
  </si>
  <si>
    <t>Fair Market Rent</t>
  </si>
  <si>
    <t>Delta</t>
  </si>
  <si>
    <t>Population</t>
  </si>
  <si>
    <t>Bedroom Count</t>
  </si>
  <si>
    <t>Adjustment Factor</t>
  </si>
  <si>
    <t>Actual LI Unit Count</t>
  </si>
  <si>
    <t>Adjusted  Unit Count</t>
  </si>
  <si>
    <t>Adjusted Units</t>
  </si>
  <si>
    <t>Total</t>
  </si>
  <si>
    <t>Benefit Multiplier</t>
  </si>
  <si>
    <t>×</t>
  </si>
  <si>
    <t>Unit Production Benefit</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</si>
  <si>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</si>
  <si>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</si>
  <si>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</si>
  <si>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</si>
  <si>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</si>
  <si>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</si>
  <si>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</si>
  <si>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</si>
  <si>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</si>
  <si>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</si>
  <si>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</si>
  <si>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Transit Site Amenity Points</t>
  </si>
  <si>
    <t>Library</t>
  </si>
  <si>
    <t>Bedroom-Adjusted Low-Income Units</t>
  </si>
  <si>
    <t>Grocery Store</t>
  </si>
  <si>
    <t>Transit Benefit</t>
  </si>
  <si>
    <t>Public School</t>
  </si>
  <si>
    <t>Walkable Amenity Count</t>
  </si>
  <si>
    <t>Pop. Spec. Facility</t>
  </si>
  <si>
    <t>Medical Clinic</t>
  </si>
  <si>
    <t>Walkability Benefit</t>
  </si>
  <si>
    <t>Project has:</t>
  </si>
  <si>
    <t>an award of HCD TOD funding</t>
  </si>
  <si>
    <t>an award of HCD AHSC funding</t>
  </si>
  <si>
    <t>a transit stop within ¼ mile with service every 30 min</t>
  </si>
  <si>
    <t>a transit stop within ½ mile with service every 15 min</t>
  </si>
  <si>
    <t>Eligible:</t>
  </si>
  <si>
    <t>Mass Transit Benefit</t>
  </si>
  <si>
    <t>Sustainability Benefit</t>
  </si>
  <si>
    <t>Project meets the CDLAC new construction definition</t>
  </si>
  <si>
    <t>Project is Large Family housing type</t>
  </si>
  <si>
    <t>Project is Permanent Supportive Housing</t>
  </si>
  <si>
    <t>Opportunity Area Designation</t>
  </si>
  <si>
    <t>Opportunity Benefit</t>
  </si>
  <si>
    <t>G. Comprehensive Community Revitalization Benefit</t>
  </si>
  <si>
    <t>Project is a component of the Area's Community Revitalization Plan</t>
  </si>
  <si>
    <t>Comprehensive Community Revitalization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</si>
  <si>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</si>
  <si>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</si>
  <si>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</si>
  <si>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</si>
  <si>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</si>
  <si>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</si>
  <si>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</si>
  <si>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</si>
  <si>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</si>
  <si>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</si>
  <si>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</si>
  <si>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</si>
  <si>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</si>
  <si>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</si>
  <si>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</si>
  <si>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</si>
  <si>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</si>
  <si>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</si>
  <si>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</si>
  <si>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</si>
  <si>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</si>
  <si>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</si>
  <si>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</si>
  <si>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</si>
  <si>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</si>
  <si>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</si>
  <si>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</si>
  <si>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</si>
  <si>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</si>
  <si>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</si>
  <si>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</si>
  <si>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</si>
  <si>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</si>
  <si>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</si>
  <si>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</si>
  <si>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</si>
  <si>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</si>
  <si>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</si>
  <si>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</si>
  <si>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</si>
  <si>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</si>
  <si>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</si>
  <si>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</si>
  <si>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</si>
  <si>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</si>
  <si>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</si>
  <si>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</si>
  <si>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</si>
  <si>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</si>
  <si>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</si>
  <si>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</si>
  <si>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</si>
  <si>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</si>
  <si>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</si>
  <si>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</si>
  <si>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</si>
  <si>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</si>
  <si>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</si>
  <si>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</si>
  <si>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</si>
  <si>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Pacific Sothwest  Community Developemnt Corporation</t>
  </si>
  <si>
    <t>Renewable every year</t>
  </si>
  <si>
    <t>Townspeople</t>
  </si>
  <si>
    <t>0.5 FTE</t>
  </si>
  <si>
    <t>Description of Service (If necessary, use separate sheet)</t>
  </si>
  <si>
    <t>Adult education and Skill building classes.(60 hours of instruction per year)</t>
  </si>
  <si>
    <t>After-School Program for Children (10 hours of service per week)</t>
  </si>
  <si>
    <t>Case Management, Move-in Assistance, Voluntary Moving-On Strategies, Safety and Security, Case Confrencing, Food security and Financial/Benefits Assistance</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</si>
  <si>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</si>
  <si>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</si>
  <si>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</si>
  <si>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</si>
  <si>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</si>
  <si>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</si>
  <si>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</si>
  <si>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</si>
  <si>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</si>
  <si>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 xml:space="preserve">CRP Affordable Housing and Community Development CA LLC </t>
  </si>
  <si>
    <t>Taxes:</t>
  </si>
  <si>
    <t xml:space="preserve">Buyer: </t>
  </si>
  <si>
    <t xml:space="preserve">5945 Mission Gorge LLC </t>
  </si>
  <si>
    <t>N/A - provide explanation</t>
  </si>
  <si>
    <t>Insurance:</t>
  </si>
  <si>
    <t>If related parties (or N/A), please provide detailed explanation:</t>
  </si>
  <si>
    <t>Other:  &lt;Enter information&gt;</t>
  </si>
  <si>
    <t>The Project Site is at 5945 Mission Gorge Road, San Diego CA 92120. The Site is located
within census tract 96.04 and consists of a parcel with APN: 461-190-04-00.
• As per the Grant Deed recorded on October 31, 2022, the site was acquired by
CRP Affordable Housing and Community Development CA LLC (CRP CA) from an
unrelated third-party seller.
• As evidenced by the Grant Deed recorded on March 3,2023, ownership was transferred from
CRP Affordable Housing and Community Development CA LLC (CRP CA) to 5945 Mission
Gorge LLC. Both the buyer and seller are related parties.
• 5945 Mission Gorge LLC entered into a Purchase and Sales Agreement on July 5th, 2023,
to transfer ownership to The Grant at Mission Trails LP. This Purchase and Sales
Agreement is valid till December 31st, 2024.
• The Grant at Mission Trails LP is the Limited Partnership entity that will own and operate
the development.
• The Grant Deed documents and the Purchase and Sales Agreement are attached.</t>
  </si>
  <si>
    <t>Land Cost</t>
  </si>
  <si>
    <t>Developer/Sponsor Development Pipeline</t>
  </si>
  <si>
    <t>Name:</t>
  </si>
  <si>
    <t>Share of General Partners' Ownership</t>
  </si>
  <si>
    <t>Share of  Developer Fees</t>
  </si>
  <si>
    <t>Sponsor/Developer Experience (Enter # for Each Phase)</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</si>
  <si>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</si>
  <si>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</si>
  <si>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</si>
  <si>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</si>
  <si>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</si>
  <si>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</si>
  <si>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</si>
  <si>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</si>
  <si>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</si>
  <si>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Co-Developer/Sponsor Development Pipeline</t>
  </si>
  <si>
    <t>Share of Developer Fees</t>
  </si>
  <si>
    <t>Co-Sponsor/Developer Experience (Enter # for Each Phase)</t>
  </si>
  <si>
    <t>Does the Co-Sponsor/Developer alone meet the minimum 7 points requirement pursuant to CDLAC Regulations Section 5230(f)?</t>
  </si>
  <si>
    <t>Development Pipeline For Other General Partner</t>
  </si>
  <si>
    <t>Other General Partner Experience (Enter # in Each Stage)</t>
  </si>
  <si>
    <t>Management Company Information</t>
  </si>
  <si>
    <t>Does the management company meet the minimum 3 points requirement pursuant to CDLAC Regulations Section 5230(f)?</t>
  </si>
  <si>
    <t>If no, provide explanation:</t>
  </si>
  <si>
    <t>Development Pipeline For Management Company</t>
  </si>
  <si>
    <t xml:space="preserve">Does the project include green design features?  If yes, include a brief description below and list any green certifications that are anticipated: </t>
  </si>
  <si>
    <t>Projects in CA</t>
  </si>
  <si>
    <t>Projects in CalHFA Portfolio</t>
  </si>
  <si>
    <t>Sustainable development features include all Energy Star rated appliances; 100% electric, partially powered by solar panels located on the roof. A central hot water system is proposed to provide a more efficient system.
- Windows to the living rooms will be recessed into the building off the unit balcony (where provided) to allow for natural shading andreducing the solar heat gain. All windows will be operable and have removable screens to promote natural ventilation and occupantusability. All windows will also be dual paned with Low-E insulated glass for reduced solar heat gain.
- The roof will also use light colored materials to reduce the solar heat gain.
- The project is also designed to maximize density in a previously underdeveloped lot which will help to minimize city sprawl.
- The project will also include transportation amenities including: a transit and ride share information kiosk/information center as well asan on-site bicycle repair station with ample secured bike storage.
- The location is also 0.1 miles from transit which will promote pedestrian traffic and reduce Green House Gas emissions.</t>
  </si>
  <si>
    <t># of Affordable Projects</t>
  </si>
  <si>
    <t># of Market Rate Projects</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</si>
  <si>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</si>
  <si>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</si>
  <si>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</si>
  <si>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</si>
  <si>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</si>
  <si>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The GC agreement has not been finalized. Ironcore Construction Management Services LLC has been engaged to provide construction services including, but not limited to;
 value engineering, bid/budget services, and constructability review of plans and designs. The proposed construction budget is based on the third-party construction services 
company’s preliminary bid  estimates pursuant to the current plans and designs.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</si>
  <si>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</si>
  <si>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</si>
  <si>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</si>
  <si>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</si>
  <si>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</si>
  <si>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</si>
  <si>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</si>
  <si>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</si>
  <si>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</si>
  <si>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</si>
  <si>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</si>
  <si>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</si>
  <si>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</si>
  <si>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</si>
  <si>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</si>
  <si>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</si>
  <si>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</si>
  <si>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</si>
  <si>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&lt;insert information&gt;</t>
  </si>
  <si>
    <t xml:space="preserve">Phase I Report </t>
  </si>
  <si>
    <t xml:space="preserve">High Cost Explanation:  Describe Factors Contributing to high total development cost per unit.  If neccessary, use separate sheet. </t>
  </si>
  <si>
    <t>Total Developer Fee</t>
  </si>
  <si>
    <t xml:space="preserve"> Maximum Developer Fee (Cash Portion) Allowed (CTCAC limit)</t>
  </si>
  <si>
    <t>Estimated Costs</t>
  </si>
  <si>
    <t>Maximum Per Project</t>
  </si>
  <si>
    <t>Total Development Cost:</t>
  </si>
  <si>
    <t>20k per unit over 100</t>
  </si>
  <si>
    <t>Total Development Cost Per Unit:</t>
  </si>
  <si>
    <t>Max up Front Fee Amount</t>
  </si>
  <si>
    <t>Wage Requirements (Estimate):</t>
  </si>
  <si>
    <t>Cash portion does not exceed maximum?</t>
  </si>
  <si>
    <t>Permit / Impact Fees:</t>
  </si>
  <si>
    <t>Land Costs:</t>
  </si>
  <si>
    <t>Carrying Costs:</t>
  </si>
  <si>
    <t>GP Contribution:</t>
  </si>
  <si>
    <t>Cash Portion of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</si>
  <si>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</si>
  <si>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</si>
  <si>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</si>
  <si>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</si>
  <si>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</si>
  <si>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</si>
  <si>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</si>
  <si>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</si>
  <si>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</si>
  <si>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GP Partnership Management Fee</t>
  </si>
  <si>
    <t>Total Partnership Fee</t>
  </si>
  <si>
    <t>Maximum $35,000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</si>
  <si>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</si>
  <si>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</si>
  <si>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</si>
  <si>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</si>
  <si>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</si>
  <si>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</si>
  <si>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</si>
  <si>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</si>
  <si>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</si>
  <si>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</si>
  <si>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</si>
  <si>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</si>
  <si>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</si>
  <si>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</si>
  <si>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</si>
  <si>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</si>
  <si>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</si>
  <si>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</si>
  <si>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</si>
  <si>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</si>
  <si>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</si>
  <si>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</si>
  <si>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</si>
  <si>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</si>
  <si>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</si>
  <si>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</si>
  <si>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</si>
  <si>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</si>
  <si>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</si>
  <si>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</si>
  <si>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</si>
  <si>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</si>
  <si>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</si>
  <si>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</si>
  <si>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</si>
  <si>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</si>
  <si>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</si>
  <si>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</si>
  <si>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</si>
  <si>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</si>
  <si>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</si>
  <si>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</si>
  <si>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</si>
  <si>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</si>
  <si>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</si>
  <si>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</si>
  <si>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</si>
  <si>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</si>
  <si>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</si>
  <si>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</si>
  <si>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</si>
  <si>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</si>
  <si>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</si>
  <si>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</si>
  <si>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</si>
  <si>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</si>
  <si>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</si>
  <si>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</si>
  <si>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</si>
  <si>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</si>
  <si>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</si>
  <si>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</si>
  <si>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</si>
  <si>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</si>
  <si>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</si>
  <si>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</si>
  <si>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</si>
  <si>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</si>
  <si>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</si>
  <si>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</si>
  <si>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</si>
  <si>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</si>
  <si>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Rental Subsidy Contract by Unit</t>
  </si>
  <si>
    <t>Bedroom Type</t>
  </si>
  <si>
    <t>Number of Units</t>
  </si>
  <si>
    <t>Voucher Type</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</si>
  <si>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</si>
  <si>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</si>
  <si>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</si>
  <si>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</si>
  <si>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</si>
  <si>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</si>
  <si>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</si>
  <si>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</si>
  <si>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</si>
  <si>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</si>
  <si>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</si>
  <si>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</si>
  <si>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</si>
  <si>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</si>
  <si>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</si>
  <si>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</si>
  <si>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</si>
  <si>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</si>
  <si>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</si>
  <si>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</si>
  <si>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</si>
  <si>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</si>
  <si>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</si>
  <si>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</si>
  <si>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</si>
  <si>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</si>
  <si>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</si>
  <si>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</si>
  <si>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</si>
  <si>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</si>
  <si>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</si>
  <si>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</si>
  <si>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</si>
  <si>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</si>
  <si>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</si>
  <si>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</si>
  <si>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</si>
  <si>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</si>
  <si>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</si>
  <si>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</si>
  <si>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</si>
  <si>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</si>
  <si>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</si>
  <si>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</si>
  <si>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</si>
  <si>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</si>
  <si>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</si>
  <si>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</si>
  <si>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</si>
  <si>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</si>
  <si>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LP Asset Management Fee</t>
  </si>
  <si>
    <t>Incentive Management Fee</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</si>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</sst>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6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sz val="9"/>
      <color rgb="FF000000"/>
      <name val="Tahoma"/>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17170">
    <xf numFmtId="0" fontId="0" fillId="0" borderId="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6" borderId="0" applyNumberFormat="0" applyBorder="0" applyAlignment="0" applyProtection="0"/>
    <xf numFmtId="0" fontId="73" fillId="16" borderId="0" applyNumberFormat="0" applyBorder="0" applyAlignment="0" applyProtection="0"/>
    <xf numFmtId="0" fontId="73" fillId="16" borderId="0" applyNumberFormat="0" applyBorder="0" applyAlignment="0" applyProtection="0"/>
    <xf numFmtId="0" fontId="73" fillId="16" borderId="0" applyNumberFormat="0" applyBorder="0" applyAlignment="0" applyProtection="0"/>
    <xf numFmtId="0" fontId="73" fillId="16" borderId="0" applyNumberFormat="0" applyBorder="0" applyAlignment="0" applyProtection="0"/>
    <xf numFmtId="0" fontId="73" fillId="16" borderId="0" applyNumberFormat="0" applyBorder="0" applyAlignment="0" applyProtection="0"/>
    <xf numFmtId="0" fontId="73" fillId="16" borderId="0" applyNumberFormat="0" applyBorder="0" applyAlignment="0" applyProtection="0"/>
    <xf numFmtId="0" fontId="73" fillId="16"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0" fontId="73" fillId="18" borderId="0" applyNumberFormat="0" applyBorder="0" applyAlignment="0" applyProtection="0"/>
    <xf numFmtId="0" fontId="73" fillId="18" borderId="0" applyNumberFormat="0" applyBorder="0" applyAlignment="0" applyProtection="0"/>
    <xf numFmtId="0" fontId="73" fillId="18" borderId="0" applyNumberFormat="0" applyBorder="0" applyAlignment="0" applyProtection="0"/>
    <xf numFmtId="0" fontId="73" fillId="18" borderId="0" applyNumberFormat="0" applyBorder="0" applyAlignment="0" applyProtection="0"/>
    <xf numFmtId="0" fontId="73" fillId="18" borderId="0" applyNumberFormat="0" applyBorder="0" applyAlignment="0" applyProtection="0"/>
    <xf numFmtId="0" fontId="73" fillId="18" borderId="0" applyNumberFormat="0" applyBorder="0" applyAlignment="0" applyProtection="0"/>
    <xf numFmtId="0" fontId="73" fillId="18" borderId="0" applyNumberFormat="0" applyBorder="0" applyAlignment="0" applyProtection="0"/>
    <xf numFmtId="0" fontId="73" fillId="18" borderId="0" applyNumberFormat="0" applyBorder="0" applyAlignment="0" applyProtection="0"/>
    <xf numFmtId="0" fontId="73" fillId="19" borderId="0" applyNumberFormat="0" applyBorder="0" applyAlignment="0" applyProtection="0"/>
    <xf numFmtId="0" fontId="73" fillId="19" borderId="0" applyNumberFormat="0" applyBorder="0" applyAlignment="0" applyProtection="0"/>
    <xf numFmtId="0" fontId="73" fillId="19" borderId="0" applyNumberFormat="0" applyBorder="0" applyAlignment="0" applyProtection="0"/>
    <xf numFmtId="0" fontId="73" fillId="19" borderId="0" applyNumberFormat="0" applyBorder="0" applyAlignment="0" applyProtection="0"/>
    <xf numFmtId="0" fontId="73" fillId="19" borderId="0" applyNumberFormat="0" applyBorder="0" applyAlignment="0" applyProtection="0"/>
    <xf numFmtId="0" fontId="73" fillId="19" borderId="0" applyNumberFormat="0" applyBorder="0" applyAlignment="0" applyProtection="0"/>
    <xf numFmtId="0" fontId="73" fillId="19" borderId="0" applyNumberFormat="0" applyBorder="0" applyAlignment="0" applyProtection="0"/>
    <xf numFmtId="0" fontId="73" fillId="19"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4"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7"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4" fillId="29" borderId="0" applyNumberFormat="0" applyBorder="0" applyAlignment="0" applyProtection="0"/>
    <xf numFmtId="0" fontId="74" fillId="29"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2" borderId="0" applyNumberFormat="0" applyBorder="0" applyAlignment="0" applyProtection="0"/>
    <xf numFmtId="0" fontId="74" fillId="32" borderId="0" applyNumberFormat="0" applyBorder="0" applyAlignment="0" applyProtection="0"/>
    <xf numFmtId="0" fontId="74" fillId="33" borderId="0" applyNumberFormat="0" applyBorder="0" applyAlignment="0" applyProtection="0"/>
    <xf numFmtId="0" fontId="74" fillId="34" borderId="0" applyNumberFormat="0" applyBorder="0" applyAlignment="0" applyProtection="0"/>
    <xf numFmtId="0" fontId="75" fillId="35" borderId="0" applyNumberFormat="0" applyBorder="0" applyAlignment="0" applyProtection="0"/>
    <xf numFmtId="0" fontId="75" fillId="35" borderId="0" applyNumberFormat="0" applyBorder="0" applyAlignment="0" applyProtection="0"/>
    <xf numFmtId="0" fontId="76" fillId="36" borderId="18" applyNumberFormat="0" applyAlignment="0" applyProtection="0"/>
    <xf numFmtId="0" fontId="76" fillId="36" borderId="18" applyNumberFormat="0" applyAlignment="0" applyProtection="0"/>
    <xf numFmtId="0" fontId="77" fillId="37" borderId="19" applyNumberFormat="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65"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50" fillId="0" borderId="0" applyFont="0" applyFill="0" applyBorder="0" applyAlignment="0" applyProtection="0"/>
    <xf numFmtId="43" fontId="23" fillId="0" borderId="0" applyFont="0" applyFill="0" applyBorder="0" applyAlignment="0" applyProtection="0"/>
    <xf numFmtId="43" fontId="50" fillId="0" borderId="0" applyFont="0" applyFill="0" applyBorder="0" applyAlignment="0" applyProtection="0"/>
    <xf numFmtId="44" fontId="66"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50" fillId="0" borderId="0" applyFont="0" applyFill="0" applyBorder="0" applyAlignment="0" applyProtection="0"/>
    <xf numFmtId="44" fontId="66" fillId="0" borderId="0" applyFont="0" applyFill="0" applyBorder="0" applyAlignment="0" applyProtection="0"/>
    <xf numFmtId="44" fontId="23" fillId="0" borderId="0" applyFont="0" applyFill="0" applyBorder="0" applyAlignment="0" applyProtection="0"/>
    <xf numFmtId="44" fontId="68" fillId="0" borderId="0" applyFont="0" applyFill="0" applyBorder="0" applyAlignment="0" applyProtection="0"/>
    <xf numFmtId="44" fontId="23" fillId="0" borderId="0" applyFont="0" applyFill="0" applyBorder="0" applyAlignment="0" applyProtection="0"/>
    <xf numFmtId="44" fontId="50" fillId="0" borderId="0" applyFont="0" applyFill="0" applyBorder="0" applyAlignment="0" applyProtection="0">
      <alignment vertical="top"/>
    </xf>
    <xf numFmtId="44" fontId="50" fillId="0" borderId="0" applyFont="0" applyFill="0" applyBorder="0" applyAlignment="0" applyProtection="0">
      <alignment vertical="top"/>
    </xf>
    <xf numFmtId="44" fontId="23" fillId="0" borderId="0" applyFont="0" applyFill="0" applyBorder="0" applyAlignment="0" applyProtection="0"/>
    <xf numFmtId="44" fontId="50" fillId="0" borderId="0" applyFont="0" applyFill="0" applyBorder="0" applyAlignment="0" applyProtection="0">
      <alignment vertical="top"/>
    </xf>
    <xf numFmtId="44" fontId="50" fillId="0" borderId="0" applyFont="0" applyFill="0" applyBorder="0" applyAlignment="0" applyProtection="0"/>
    <xf numFmtId="44" fontId="65"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0" fillId="0" borderId="0" applyFont="0" applyFill="0" applyBorder="0" applyAlignment="0" applyProtection="0"/>
    <xf numFmtId="44" fontId="5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50"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xf numFmtId="44" fontId="23" fillId="0" borderId="0" applyFont="0" applyFill="0" applyBorder="0" applyAlignment="0" applyProtection="0"/>
    <xf numFmtId="44" fontId="65"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2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65"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2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23" fillId="0" borderId="0" applyFont="0" applyFill="0" applyBorder="0" applyAlignment="0" applyProtection="0"/>
    <xf numFmtId="44" fontId="50" fillId="0" borderId="0" applyFont="0" applyFill="0" applyBorder="0" applyAlignment="0" applyProtection="0"/>
    <xf numFmtId="44" fontId="23" fillId="0" borderId="0" applyFont="0" applyFill="0" applyBorder="0" applyAlignment="0" applyProtection="0"/>
    <xf numFmtId="44" fontId="6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64" fillId="0" borderId="0" applyFont="0" applyFill="0" applyBorder="0" applyAlignment="0" applyProtection="0"/>
    <xf numFmtId="44" fontId="23" fillId="0" borderId="0" applyFont="0" applyFill="0" applyBorder="0" applyAlignment="0" applyProtection="0"/>
    <xf numFmtId="0" fontId="78" fillId="0" borderId="0" applyNumberFormat="0" applyFill="0" applyBorder="0" applyAlignment="0" applyProtection="0"/>
    <xf numFmtId="0" fontId="79" fillId="38" borderId="0" applyNumberFormat="0" applyBorder="0" applyAlignment="0" applyProtection="0"/>
    <xf numFmtId="0" fontId="80" fillId="0" borderId="20" applyNumberFormat="0" applyFill="0" applyAlignment="0" applyProtection="0"/>
    <xf numFmtId="0" fontId="80" fillId="0" borderId="20"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70" fillId="0" borderId="0" applyNumberFormat="0" applyFill="0" applyBorder="0" applyAlignment="0" applyProtection="0">
      <alignment vertical="top"/>
      <protection locked="0"/>
    </xf>
    <xf numFmtId="0" fontId="83" fillId="39" borderId="18" applyNumberFormat="0" applyAlignment="0" applyProtection="0"/>
    <xf numFmtId="0" fontId="16" fillId="0" borderId="0" applyNumberFormat="0" applyBorder="0"/>
    <xf numFmtId="0" fontId="17" fillId="0" borderId="0" applyBorder="0" applyAlignment="0"/>
    <xf numFmtId="0" fontId="18" fillId="0" borderId="0" applyFill="0" applyBorder="0" applyAlignment="0"/>
    <xf numFmtId="0" fontId="84" fillId="0" borderId="23" applyNumberFormat="0" applyFill="0" applyAlignment="0" applyProtection="0"/>
    <xf numFmtId="0" fontId="85" fillId="40" borderId="0" applyNumberFormat="0" applyBorder="0" applyAlignment="0" applyProtection="0"/>
    <xf numFmtId="0" fontId="86" fillId="0" borderId="0"/>
    <xf numFmtId="0" fontId="50" fillId="0" borderId="0"/>
    <xf numFmtId="0" fontId="86" fillId="0" borderId="0"/>
    <xf numFmtId="0" fontId="50" fillId="0" borderId="0"/>
    <xf numFmtId="0" fontId="50" fillId="0" borderId="0"/>
    <xf numFmtId="0" fontId="2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87" fillId="0" borderId="0"/>
    <xf numFmtId="0" fontId="50" fillId="0" borderId="0"/>
    <xf numFmtId="169" fontId="51" fillId="0" borderId="0"/>
    <xf numFmtId="0" fontId="73" fillId="0" borderId="0"/>
    <xf numFmtId="0" fontId="23" fillId="0" borderId="0"/>
    <xf numFmtId="0" fontId="23" fillId="0" borderId="0"/>
    <xf numFmtId="0" fontId="56" fillId="0" borderId="0"/>
    <xf numFmtId="0" fontId="50" fillId="0" borderId="0"/>
    <xf numFmtId="0" fontId="56" fillId="0" borderId="0"/>
    <xf numFmtId="0" fontId="50" fillId="0" borderId="0"/>
    <xf numFmtId="0" fontId="61" fillId="0" borderId="0"/>
    <xf numFmtId="0" fontId="50" fillId="0" borderId="0"/>
    <xf numFmtId="0" fontId="73" fillId="0" borderId="0"/>
    <xf numFmtId="0" fontId="50" fillId="0" borderId="0">
      <alignment vertical="top"/>
    </xf>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61" fillId="0" borderId="0"/>
    <xf numFmtId="0" fontId="73" fillId="0" borderId="0"/>
    <xf numFmtId="0" fontId="73" fillId="0" borderId="0"/>
    <xf numFmtId="0" fontId="73" fillId="0" borderId="0"/>
    <xf numFmtId="0" fontId="73" fillId="0" borderId="0"/>
    <xf numFmtId="0" fontId="50" fillId="0" borderId="0">
      <alignment vertical="top"/>
    </xf>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50" fillId="0" borderId="0"/>
    <xf numFmtId="0" fontId="73" fillId="0" borderId="0"/>
    <xf numFmtId="0" fontId="73" fillId="0" borderId="0"/>
    <xf numFmtId="0" fontId="73" fillId="0" borderId="0"/>
    <xf numFmtId="0" fontId="73" fillId="0" borderId="0"/>
    <xf numFmtId="0" fontId="61" fillId="0" borderId="0"/>
    <xf numFmtId="0" fontId="50" fillId="0" borderId="0">
      <alignment vertical="top"/>
    </xf>
    <xf numFmtId="0" fontId="73" fillId="0" borderId="0"/>
    <xf numFmtId="0" fontId="73" fillId="0" borderId="0"/>
    <xf numFmtId="0" fontId="73" fillId="0" borderId="0"/>
    <xf numFmtId="0" fontId="73" fillId="0" borderId="0"/>
    <xf numFmtId="0" fontId="61" fillId="0" borderId="0"/>
    <xf numFmtId="0" fontId="23" fillId="0" borderId="0"/>
    <xf numFmtId="0" fontId="73" fillId="0" borderId="0"/>
    <xf numFmtId="0" fontId="23" fillId="0" borderId="0"/>
    <xf numFmtId="0" fontId="73" fillId="0" borderId="0"/>
    <xf numFmtId="0" fontId="73" fillId="0" borderId="0"/>
    <xf numFmtId="0" fontId="73" fillId="0" borderId="0"/>
    <xf numFmtId="0" fontId="73" fillId="0" borderId="0"/>
    <xf numFmtId="0" fontId="56" fillId="0" borderId="0"/>
    <xf numFmtId="0" fontId="50" fillId="0" borderId="0">
      <alignment vertical="top"/>
    </xf>
    <xf numFmtId="0" fontId="56" fillId="0" borderId="0"/>
    <xf numFmtId="0" fontId="50" fillId="0" borderId="0">
      <alignment vertical="top"/>
    </xf>
    <xf numFmtId="0" fontId="50" fillId="0" borderId="0">
      <alignment vertical="top"/>
    </xf>
    <xf numFmtId="0" fontId="73" fillId="0" borderId="0"/>
    <xf numFmtId="0" fontId="56" fillId="0" borderId="0"/>
    <xf numFmtId="0" fontId="73" fillId="0" borderId="0"/>
    <xf numFmtId="0" fontId="50" fillId="0" borderId="0">
      <alignment vertical="top"/>
    </xf>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56"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23" fillId="0" borderId="0"/>
    <xf numFmtId="0" fontId="50" fillId="0" borderId="0">
      <alignment vertical="top"/>
    </xf>
    <xf numFmtId="0" fontId="73" fillId="0" borderId="0"/>
    <xf numFmtId="0" fontId="73" fillId="0" borderId="0"/>
    <xf numFmtId="0" fontId="73" fillId="0" borderId="0"/>
    <xf numFmtId="0" fontId="73" fillId="0" borderId="0"/>
    <xf numFmtId="0" fontId="2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56"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2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50" fillId="0" borderId="0"/>
    <xf numFmtId="0" fontId="50" fillId="0" borderId="0">
      <alignment vertical="top"/>
    </xf>
    <xf numFmtId="0" fontId="50" fillId="0" borderId="0">
      <alignment vertical="top"/>
    </xf>
    <xf numFmtId="0" fontId="50" fillId="0" borderId="0"/>
    <xf numFmtId="0" fontId="50" fillId="0" borderId="0">
      <alignment vertical="top"/>
    </xf>
    <xf numFmtId="0" fontId="50" fillId="0" borderId="0"/>
    <xf numFmtId="0" fontId="50"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2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23" fillId="0" borderId="0"/>
    <xf numFmtId="0" fontId="73" fillId="0" borderId="0"/>
    <xf numFmtId="0" fontId="73" fillId="0" borderId="0"/>
    <xf numFmtId="0" fontId="73" fillId="0" borderId="0"/>
    <xf numFmtId="0" fontId="14" fillId="0" borderId="0" applyProtection="0">
      <protection locked="0"/>
    </xf>
    <xf numFmtId="0" fontId="23" fillId="0" borderId="0" applyProtection="0">
      <protection locked="0"/>
    </xf>
    <xf numFmtId="0" fontId="23" fillId="0" borderId="0" applyProtection="0">
      <protection locked="0"/>
    </xf>
    <xf numFmtId="0" fontId="51" fillId="0" borderId="0"/>
    <xf numFmtId="0" fontId="14" fillId="0" borderId="0"/>
    <xf numFmtId="0" fontId="65"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65"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88" fillId="36" borderId="25" applyNumberFormat="0" applyAlignment="0" applyProtection="0"/>
    <xf numFmtId="0" fontId="88" fillId="36" borderId="25" applyNumberFormat="0" applyAlignment="0" applyProtection="0"/>
    <xf numFmtId="0" fontId="19" fillId="0" borderId="0" applyNumberFormat="0" applyFill="0" applyBorder="0">
      <alignment horizontal="left"/>
    </xf>
    <xf numFmtId="0" fontId="89" fillId="0" borderId="0" applyNumberFormat="0" applyFill="0" applyBorder="0" applyAlignment="0" applyProtection="0"/>
    <xf numFmtId="0" fontId="90" fillId="0" borderId="26" applyNumberFormat="0" applyFill="0" applyAlignment="0" applyProtection="0"/>
    <xf numFmtId="0" fontId="90" fillId="0" borderId="26" applyNumberFormat="0" applyFill="0" applyAlignment="0" applyProtection="0"/>
    <xf numFmtId="0" fontId="91" fillId="0" borderId="0" applyNumberFormat="0" applyFill="0" applyBorder="0" applyAlignment="0" applyProtection="0"/>
    <xf numFmtId="0" fontId="14" fillId="0" borderId="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9" fontId="14" fillId="0" borderId="0" applyFont="0" applyFill="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6"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4"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4" fontId="98"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0" fontId="65" fillId="41" borderId="24" applyNumberFormat="0" applyFont="0" applyAlignment="0" applyProtection="0"/>
    <xf numFmtId="0" fontId="65" fillId="41" borderId="24" applyNumberFormat="0" applyFont="0" applyAlignment="0" applyProtection="0"/>
    <xf numFmtId="0" fontId="65" fillId="41" borderId="24" applyNumberFormat="0" applyFont="0" applyAlignment="0" applyProtection="0"/>
    <xf numFmtId="0" fontId="65" fillId="41" borderId="24" applyNumberFormat="0" applyFont="0" applyAlignment="0" applyProtection="0"/>
    <xf numFmtId="0" fontId="65" fillId="41" borderId="24" applyNumberFormat="0" applyFont="0" applyAlignment="0" applyProtection="0"/>
    <xf numFmtId="0" fontId="65" fillId="41" borderId="24" applyNumberFormat="0" applyFont="0" applyAlignment="0" applyProtection="0"/>
    <xf numFmtId="0" fontId="65" fillId="41" borderId="24" applyNumberFormat="0" applyFont="0" applyAlignment="0" applyProtection="0"/>
    <xf numFmtId="0" fontId="65" fillId="41" borderId="24" applyNumberFormat="0" applyFont="0" applyAlignment="0" applyProtection="0"/>
    <xf numFmtId="0" fontId="65" fillId="41" borderId="24" applyNumberFormat="0" applyFont="0" applyAlignment="0" applyProtection="0"/>
    <xf numFmtId="0" fontId="65" fillId="41" borderId="24" applyNumberFormat="0" applyFont="0" applyAlignment="0" applyProtection="0"/>
    <xf numFmtId="0" fontId="65" fillId="41" borderId="24" applyNumberFormat="0" applyFont="0" applyAlignment="0" applyProtection="0"/>
    <xf numFmtId="0" fontId="65" fillId="41" borderId="24" applyNumberFormat="0" applyFont="0" applyAlignment="0" applyProtection="0"/>
    <xf numFmtId="0" fontId="65" fillId="41" borderId="24" applyNumberFormat="0" applyFont="0" applyAlignment="0" applyProtection="0"/>
    <xf numFmtId="0" fontId="65" fillId="41" borderId="24" applyNumberFormat="0" applyFont="0" applyAlignment="0" applyProtection="0"/>
    <xf numFmtId="0" fontId="65" fillId="41" borderId="24" applyNumberFormat="0" applyFont="0" applyAlignment="0" applyProtection="0"/>
    <xf numFmtId="0" fontId="65" fillId="41" borderId="24" applyNumberFormat="0" applyFont="0" applyAlignment="0" applyProtection="0"/>
    <xf numFmtId="0" fontId="99" fillId="0" borderId="0" applyNumberForma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9" fillId="0" borderId="0" applyNumberFormat="0" applyFill="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44" fontId="14" fillId="0" borderId="0" applyFont="0" applyFill="0" applyBorder="0" applyAlignment="0" applyProtection="0"/>
    <xf numFmtId="9" fontId="108" fillId="0" borderId="0" applyFont="0" applyFill="0" applyBorder="0" applyAlignment="0" applyProtection="0"/>
    <xf numFmtId="0" fontId="108" fillId="0" borderId="0"/>
    <xf numFmtId="0" fontId="8" fillId="0" borderId="0"/>
    <xf numFmtId="0" fontId="14" fillId="0" borderId="0"/>
    <xf numFmtId="43" fontId="8" fillId="0" borderId="0" applyFont="0" applyFill="0" applyBorder="0" applyAlignment="0" applyProtection="0"/>
    <xf numFmtId="9" fontId="8"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14" fillId="0" borderId="0" applyBorder="0"/>
    <xf numFmtId="43" fontId="146" fillId="0" borderId="0" applyFont="0" applyFill="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44" fontId="15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4"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05">
    <xf numFmtId="0" fontId="0" fillId="0" borderId="0" xfId="0"/>
    <xf numFmtId="0" fontId="0" fillId="0" borderId="0" xfId="0" applyAlignment="1">
      <alignment horizontal="center"/>
    </xf>
    <xf numFmtId="0" fontId="21" fillId="0" borderId="0" xfId="0" applyFont="1"/>
    <xf numFmtId="0" fontId="14" fillId="0" borderId="0" xfId="0" applyFont="1"/>
    <xf numFmtId="0" fontId="23" fillId="0" borderId="0" xfId="0" applyFont="1"/>
    <xf numFmtId="0" fontId="0" fillId="0" borderId="4" xfId="0" applyBorder="1"/>
    <xf numFmtId="0" fontId="23" fillId="0" borderId="0" xfId="0" applyFont="1" applyAlignment="1">
      <alignment horizontal="center"/>
    </xf>
    <xf numFmtId="0" fontId="14"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1" fillId="0" borderId="4" xfId="0" applyFont="1" applyBorder="1"/>
    <xf numFmtId="164" fontId="0" fillId="0" borderId="0" xfId="0" applyNumberFormat="1" applyAlignment="1">
      <alignment horizontal="right"/>
    </xf>
    <xf numFmtId="0" fontId="21" fillId="0" borderId="0" xfId="0" applyFont="1" applyAlignment="1">
      <alignment horizontal="center"/>
    </xf>
    <xf numFmtId="0" fontId="14" fillId="0" borderId="0" xfId="543"/>
    <xf numFmtId="0" fontId="29" fillId="0" borderId="0" xfId="0" applyFont="1"/>
    <xf numFmtId="0" fontId="22" fillId="0" borderId="0" xfId="0" applyFont="1" applyAlignment="1">
      <alignment vertical="top"/>
    </xf>
    <xf numFmtId="0" fontId="22" fillId="0" borderId="0" xfId="0" applyFont="1" applyAlignment="1">
      <alignment vertical="top" wrapText="1"/>
    </xf>
    <xf numFmtId="0" fontId="22" fillId="0" borderId="0" xfId="0" applyFont="1" applyAlignment="1">
      <alignment horizontal="left" vertical="top"/>
    </xf>
    <xf numFmtId="0" fontId="22" fillId="0" borderId="0" xfId="0" applyFont="1" applyAlignment="1">
      <alignment horizontal="left"/>
    </xf>
    <xf numFmtId="0" fontId="22" fillId="0" borderId="0" xfId="0" applyFont="1"/>
    <xf numFmtId="1" fontId="22" fillId="0" borderId="0" xfId="0" applyNumberFormat="1" applyFont="1" applyAlignment="1">
      <alignment horizontal="left"/>
    </xf>
    <xf numFmtId="0" fontId="24" fillId="0" borderId="0" xfId="0" applyFont="1"/>
    <xf numFmtId="1" fontId="22" fillId="0" borderId="0" xfId="0" applyNumberFormat="1" applyFont="1" applyAlignment="1">
      <alignment horizontal="right"/>
    </xf>
    <xf numFmtId="0" fontId="0" fillId="0" borderId="0" xfId="0" applyAlignment="1">
      <alignment horizontal="right"/>
    </xf>
    <xf numFmtId="0" fontId="26" fillId="0" borderId="0" xfId="0" applyFont="1"/>
    <xf numFmtId="172" fontId="14" fillId="0" borderId="0" xfId="543" applyNumberFormat="1"/>
    <xf numFmtId="9" fontId="14" fillId="0" borderId="0" xfId="543" applyNumberFormat="1" applyAlignment="1">
      <alignment horizontal="left"/>
    </xf>
    <xf numFmtId="168" fontId="14" fillId="0" borderId="0" xfId="543" applyNumberFormat="1"/>
    <xf numFmtId="0" fontId="25" fillId="0" borderId="0" xfId="0" applyFont="1"/>
    <xf numFmtId="0" fontId="27" fillId="0" borderId="0" xfId="0" applyFont="1"/>
    <xf numFmtId="0" fontId="21"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1" fillId="0" borderId="1" xfId="0" applyFont="1" applyBorder="1" applyAlignment="1">
      <alignment horizontal="center" wrapText="1"/>
    </xf>
    <xf numFmtId="0" fontId="21"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1" fillId="0" borderId="4" xfId="0" applyFont="1" applyBorder="1" applyAlignment="1">
      <alignment horizontal="center"/>
    </xf>
    <xf numFmtId="0" fontId="30" fillId="0" borderId="3" xfId="0" applyFont="1" applyBorder="1" applyAlignment="1">
      <alignment horizontal="left"/>
    </xf>
    <xf numFmtId="0" fontId="30" fillId="0" borderId="9" xfId="0" applyFont="1" applyBorder="1" applyAlignment="1">
      <alignment horizontal="left"/>
    </xf>
    <xf numFmtId="0" fontId="21" fillId="0" borderId="4" xfId="0" applyFont="1" applyBorder="1" applyAlignment="1">
      <alignment horizontal="right"/>
    </xf>
    <xf numFmtId="0" fontId="21" fillId="0" borderId="5" xfId="0" applyFont="1" applyBorder="1" applyAlignment="1">
      <alignment horizontal="right"/>
    </xf>
    <xf numFmtId="0" fontId="30" fillId="0" borderId="0" xfId="0" applyFont="1" applyAlignment="1">
      <alignment horizontal="left"/>
    </xf>
    <xf numFmtId="0" fontId="21" fillId="0" borderId="0" xfId="0" applyFont="1" applyAlignment="1">
      <alignment horizontal="right"/>
    </xf>
    <xf numFmtId="0" fontId="21"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1" fillId="0" borderId="9" xfId="0" applyFont="1" applyBorder="1"/>
    <xf numFmtId="164" fontId="0" fillId="0" borderId="0" xfId="0" applyNumberFormat="1" applyAlignment="1">
      <alignment horizontal="center"/>
    </xf>
    <xf numFmtId="0" fontId="0" fillId="0" borderId="12" xfId="0" applyBorder="1"/>
    <xf numFmtId="49" fontId="14" fillId="0" borderId="0" xfId="543" applyNumberFormat="1"/>
    <xf numFmtId="0" fontId="14" fillId="0" borderId="8" xfId="543" applyBorder="1"/>
    <xf numFmtId="0" fontId="14" fillId="0" borderId="9" xfId="543" applyBorder="1"/>
    <xf numFmtId="0" fontId="14" fillId="0" borderId="10" xfId="543" applyBorder="1"/>
    <xf numFmtId="0" fontId="14" fillId="0" borderId="1" xfId="543" applyBorder="1"/>
    <xf numFmtId="0" fontId="14" fillId="0" borderId="12" xfId="543" applyBorder="1"/>
    <xf numFmtId="0" fontId="14" fillId="0" borderId="2" xfId="543" applyBorder="1"/>
    <xf numFmtId="0" fontId="14" fillId="0" borderId="7" xfId="543" applyBorder="1"/>
    <xf numFmtId="0" fontId="14" fillId="0" borderId="0" xfId="543" applyAlignment="1">
      <alignment horizontal="center"/>
    </xf>
    <xf numFmtId="0" fontId="22" fillId="0" borderId="6" xfId="543" applyFont="1" applyBorder="1" applyAlignment="1">
      <alignment vertical="top" wrapText="1"/>
    </xf>
    <xf numFmtId="0" fontId="0" fillId="2" borderId="2" xfId="0" applyFill="1" applyBorder="1"/>
    <xf numFmtId="0" fontId="0" fillId="2" borderId="7" xfId="0" applyFill="1" applyBorder="1"/>
    <xf numFmtId="0" fontId="21" fillId="0" borderId="6" xfId="0" applyFont="1" applyBorder="1" applyAlignment="1">
      <alignment horizontal="right"/>
    </xf>
    <xf numFmtId="0" fontId="20" fillId="0" borderId="0" xfId="0" applyFont="1" applyAlignment="1">
      <alignment horizontal="center" vertical="center"/>
    </xf>
    <xf numFmtId="0" fontId="21" fillId="0" borderId="0" xfId="0" applyFont="1" applyAlignment="1">
      <alignment vertical="top"/>
    </xf>
    <xf numFmtId="166" fontId="0" fillId="0" borderId="0" xfId="0" applyNumberFormat="1" applyAlignment="1">
      <alignment horizontal="right"/>
    </xf>
    <xf numFmtId="0" fontId="39" fillId="0" borderId="0" xfId="0" applyFont="1"/>
    <xf numFmtId="0" fontId="31" fillId="0" borderId="0" xfId="0" applyFont="1"/>
    <xf numFmtId="0" fontId="15" fillId="0" borderId="0" xfId="244" applyBorder="1" applyProtection="1"/>
    <xf numFmtId="0" fontId="15" fillId="0" borderId="0" xfId="244" applyFill="1" applyBorder="1" applyAlignment="1">
      <alignment horizontal="center" vertical="center"/>
    </xf>
    <xf numFmtId="0" fontId="14" fillId="0" borderId="3" xfId="543" applyBorder="1"/>
    <xf numFmtId="0" fontId="28" fillId="0" borderId="6" xfId="0" applyFont="1" applyBorder="1" applyAlignment="1">
      <alignment vertical="top" wrapText="1"/>
    </xf>
    <xf numFmtId="0" fontId="28" fillId="0" borderId="5" xfId="0" applyFont="1" applyBorder="1" applyAlignment="1">
      <alignment vertical="top" wrapText="1"/>
    </xf>
    <xf numFmtId="0" fontId="28" fillId="0" borderId="4" xfId="0" applyFont="1" applyBorder="1" applyAlignment="1">
      <alignment vertical="top" wrapText="1"/>
    </xf>
    <xf numFmtId="0" fontId="28" fillId="2" borderId="6" xfId="0" applyFont="1" applyFill="1" applyBorder="1" applyAlignment="1">
      <alignment vertical="top" wrapText="1"/>
    </xf>
    <xf numFmtId="0" fontId="0" fillId="0" borderId="8" xfId="0" applyBorder="1"/>
    <xf numFmtId="0" fontId="21" fillId="0" borderId="2" xfId="0" applyFont="1" applyBorder="1"/>
    <xf numFmtId="0" fontId="14" fillId="0" borderId="0" xfId="0" applyFont="1" applyAlignment="1">
      <alignment horizontal="left"/>
    </xf>
    <xf numFmtId="0" fontId="14" fillId="0" borderId="0" xfId="0" applyFont="1" applyAlignment="1">
      <alignment vertical="top"/>
    </xf>
    <xf numFmtId="0" fontId="38" fillId="0" borderId="0" xfId="0" applyFont="1"/>
    <xf numFmtId="0" fontId="14" fillId="0" borderId="3" xfId="0" applyFont="1" applyBorder="1"/>
    <xf numFmtId="0" fontId="14"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8" fillId="3" borderId="4" xfId="0" applyFont="1" applyFill="1" applyBorder="1" applyAlignment="1">
      <alignment vertical="top" wrapText="1"/>
    </xf>
    <xf numFmtId="0" fontId="28" fillId="3" borderId="5" xfId="0" applyFont="1" applyFill="1" applyBorder="1" applyAlignment="1">
      <alignment vertical="top" wrapText="1"/>
    </xf>
    <xf numFmtId="0" fontId="40" fillId="0" borderId="0" xfId="0" applyFont="1"/>
    <xf numFmtId="0" fontId="21" fillId="0" borderId="2" xfId="0" applyFont="1" applyBorder="1" applyAlignment="1">
      <alignment horizontal="center"/>
    </xf>
    <xf numFmtId="0" fontId="21" fillId="0" borderId="0" xfId="0" applyFont="1" applyAlignment="1">
      <alignment horizontal="center" vertical="center" wrapText="1"/>
    </xf>
    <xf numFmtId="0" fontId="21" fillId="0" borderId="7" xfId="543" applyFont="1" applyBorder="1" applyAlignment="1">
      <alignment horizontal="right"/>
    </xf>
    <xf numFmtId="0" fontId="22" fillId="0" borderId="9" xfId="543" applyFont="1" applyBorder="1"/>
    <xf numFmtId="0" fontId="22" fillId="0" borderId="6" xfId="543" applyFont="1" applyBorder="1" applyAlignment="1">
      <alignment horizontal="right"/>
    </xf>
    <xf numFmtId="0" fontId="21" fillId="0" borderId="0" xfId="0" applyFont="1" applyAlignment="1">
      <alignment horizontal="center" vertical="center"/>
    </xf>
    <xf numFmtId="0" fontId="45" fillId="0" borderId="3" xfId="0" applyFont="1" applyBorder="1" applyAlignment="1">
      <alignment horizontal="left" vertical="top"/>
    </xf>
    <xf numFmtId="0" fontId="45" fillId="0" borderId="13" xfId="0" applyFont="1" applyBorder="1" applyAlignment="1">
      <alignment horizontal="center" wrapText="1"/>
    </xf>
    <xf numFmtId="0" fontId="45" fillId="0" borderId="13" xfId="0" applyFont="1" applyBorder="1" applyAlignment="1">
      <alignment horizontal="center" vertical="top" wrapText="1"/>
    </xf>
    <xf numFmtId="0" fontId="45" fillId="2" borderId="13" xfId="0" applyFont="1" applyFill="1" applyBorder="1" applyAlignment="1">
      <alignment horizontal="center" wrapText="1"/>
    </xf>
    <xf numFmtId="0" fontId="46" fillId="2" borderId="11" xfId="0" applyFont="1" applyFill="1" applyBorder="1" applyAlignment="1">
      <alignment horizontal="left" vertical="top" wrapText="1"/>
    </xf>
    <xf numFmtId="0" fontId="47" fillId="0" borderId="11" xfId="0" applyFont="1" applyBorder="1" applyAlignment="1">
      <alignment vertical="top" wrapText="1"/>
    </xf>
    <xf numFmtId="0" fontId="45" fillId="0" borderId="11" xfId="0" applyFont="1" applyBorder="1" applyAlignment="1">
      <alignment horizontal="right" vertical="top" wrapText="1"/>
    </xf>
    <xf numFmtId="168" fontId="45" fillId="0" borderId="11" xfId="0" applyNumberFormat="1" applyFont="1" applyBorder="1" applyAlignment="1">
      <alignment vertical="top" wrapText="1"/>
    </xf>
    <xf numFmtId="0" fontId="45" fillId="2" borderId="11" xfId="0" applyFont="1" applyFill="1" applyBorder="1" applyAlignment="1">
      <alignment vertical="top" wrapText="1"/>
    </xf>
    <xf numFmtId="0" fontId="45" fillId="0" borderId="11" xfId="0" applyFont="1" applyBorder="1" applyAlignment="1">
      <alignment vertical="top" wrapText="1"/>
    </xf>
    <xf numFmtId="0" fontId="17" fillId="0" borderId="11" xfId="0" applyFont="1" applyBorder="1" applyAlignment="1">
      <alignment horizontal="right" vertical="top" wrapText="1"/>
    </xf>
    <xf numFmtId="0" fontId="45" fillId="0" borderId="0" xfId="0" applyFont="1" applyAlignment="1">
      <alignment horizontal="left" vertical="top"/>
    </xf>
    <xf numFmtId="0" fontId="47" fillId="0" borderId="0" xfId="0" applyFont="1" applyAlignment="1">
      <alignment vertical="top" wrapText="1"/>
    </xf>
    <xf numFmtId="0" fontId="45" fillId="0" borderId="0" xfId="0" applyFont="1" applyAlignment="1">
      <alignment horizontal="right" vertical="top"/>
    </xf>
    <xf numFmtId="0" fontId="47" fillId="2" borderId="0" xfId="0" applyFont="1" applyFill="1" applyAlignment="1">
      <alignment vertical="top" wrapText="1"/>
    </xf>
    <xf numFmtId="0" fontId="45" fillId="0" borderId="0" xfId="0" applyFont="1" applyAlignment="1">
      <alignment vertical="top"/>
    </xf>
    <xf numFmtId="0" fontId="14" fillId="0" borderId="0" xfId="244" applyFont="1" applyFill="1" applyBorder="1" applyAlignment="1" applyProtection="1">
      <alignment horizontal="left"/>
    </xf>
    <xf numFmtId="0" fontId="20" fillId="3" borderId="11" xfId="0" applyFont="1" applyFill="1" applyBorder="1" applyAlignment="1">
      <alignment vertical="top"/>
    </xf>
    <xf numFmtId="0" fontId="0" fillId="7" borderId="0" xfId="0" applyFill="1"/>
    <xf numFmtId="0" fontId="32" fillId="0" borderId="0" xfId="0" applyFont="1" applyAlignment="1">
      <alignment horizontal="center"/>
    </xf>
    <xf numFmtId="0" fontId="32" fillId="0" borderId="0" xfId="0" applyFont="1"/>
    <xf numFmtId="0" fontId="32" fillId="0" borderId="0" xfId="0" applyFont="1" applyAlignment="1">
      <alignment horizontal="left"/>
    </xf>
    <xf numFmtId="49" fontId="21" fillId="0" borderId="0" xfId="0" applyNumberFormat="1" applyFont="1" applyAlignment="1">
      <alignment horizontal="center"/>
    </xf>
    <xf numFmtId="0" fontId="42" fillId="0" borderId="0" xfId="0" applyFont="1" applyAlignment="1">
      <alignment horizontal="center"/>
    </xf>
    <xf numFmtId="0" fontId="21" fillId="0" borderId="0" xfId="0" quotePrefix="1" applyFont="1" applyAlignment="1">
      <alignment horizontal="center"/>
    </xf>
    <xf numFmtId="49" fontId="0" fillId="0" borderId="0" xfId="0" applyNumberFormat="1"/>
    <xf numFmtId="0" fontId="40" fillId="0" borderId="0" xfId="0" applyFont="1" applyAlignment="1">
      <alignment horizontal="left"/>
    </xf>
    <xf numFmtId="49" fontId="21" fillId="0" borderId="0" xfId="0" applyNumberFormat="1" applyFont="1" applyAlignment="1">
      <alignment horizontal="left"/>
    </xf>
    <xf numFmtId="0" fontId="44" fillId="0" borderId="3" xfId="0" applyFont="1" applyBorder="1"/>
    <xf numFmtId="168" fontId="0" fillId="0" borderId="0" xfId="0" applyNumberFormat="1" applyAlignment="1">
      <alignment horizontal="center"/>
    </xf>
    <xf numFmtId="0" fontId="45" fillId="0" borderId="4" xfId="0" applyFont="1" applyBorder="1" applyAlignment="1">
      <alignment horizontal="right"/>
    </xf>
    <xf numFmtId="0" fontId="50" fillId="0" borderId="0" xfId="0" applyFont="1"/>
    <xf numFmtId="168" fontId="14" fillId="0" borderId="0" xfId="0" applyNumberFormat="1" applyFont="1" applyAlignment="1">
      <alignment horizontal="left" vertical="top"/>
    </xf>
    <xf numFmtId="0" fontId="0" fillId="0" borderId="0" xfId="0" applyAlignment="1">
      <alignment vertical="center"/>
    </xf>
    <xf numFmtId="0" fontId="47" fillId="0" borderId="0" xfId="0" applyFont="1" applyAlignment="1">
      <alignment horizontal="right" vertical="top" wrapText="1"/>
    </xf>
    <xf numFmtId="0" fontId="47" fillId="0" borderId="14" xfId="0" applyFont="1" applyBorder="1" applyAlignment="1">
      <alignment vertical="top" wrapText="1"/>
    </xf>
    <xf numFmtId="0" fontId="47" fillId="0" borderId="11" xfId="0" applyFont="1" applyBorder="1" applyAlignment="1" applyProtection="1">
      <alignment vertical="top"/>
      <protection locked="0"/>
    </xf>
    <xf numFmtId="0" fontId="21" fillId="0" borderId="0" xfId="542" applyFont="1" applyProtection="1">
      <protection locked="0"/>
    </xf>
    <xf numFmtId="0" fontId="14" fillId="0" borderId="0" xfId="539" applyProtection="1"/>
    <xf numFmtId="0" fontId="21" fillId="0" borderId="0" xfId="543" applyFont="1"/>
    <xf numFmtId="0" fontId="14" fillId="0" borderId="0" xfId="0" applyFont="1" applyProtection="1">
      <protection locked="0"/>
    </xf>
    <xf numFmtId="0" fontId="53" fillId="0" borderId="0" xfId="0" applyFont="1" applyAlignment="1">
      <alignment horizontal="center"/>
    </xf>
    <xf numFmtId="0" fontId="23" fillId="0" borderId="0" xfId="271"/>
    <xf numFmtId="0" fontId="21" fillId="0" borderId="0" xfId="271" applyFont="1"/>
    <xf numFmtId="0" fontId="23" fillId="0" borderId="0" xfId="271" applyAlignment="1">
      <alignment horizontal="left"/>
    </xf>
    <xf numFmtId="0" fontId="15" fillId="0" borderId="0" xfId="244" applyFill="1" applyBorder="1" applyProtection="1">
      <protection locked="0"/>
    </xf>
    <xf numFmtId="168" fontId="21" fillId="0" borderId="2" xfId="543" applyNumberFormat="1" applyFont="1" applyBorder="1" applyAlignment="1">
      <alignment horizontal="center" vertical="center"/>
    </xf>
    <xf numFmtId="0" fontId="19" fillId="0" borderId="0" xfId="0" applyFont="1"/>
    <xf numFmtId="0" fontId="55" fillId="0" borderId="0" xfId="0" applyFont="1"/>
    <xf numFmtId="0" fontId="53" fillId="0" borderId="0" xfId="0" applyFont="1"/>
    <xf numFmtId="10" fontId="0" fillId="0" borderId="0" xfId="0" applyNumberFormat="1" applyAlignment="1">
      <alignment horizontal="center"/>
    </xf>
    <xf numFmtId="3" fontId="0" fillId="0" borderId="0" xfId="0" applyNumberFormat="1"/>
    <xf numFmtId="168" fontId="21" fillId="0" borderId="0" xfId="0" applyNumberFormat="1" applyFont="1" applyAlignment="1">
      <alignment horizontal="center"/>
    </xf>
    <xf numFmtId="3" fontId="0" fillId="0" borderId="0" xfId="0" applyNumberFormat="1" applyAlignment="1">
      <alignment horizontal="center"/>
    </xf>
    <xf numFmtId="3" fontId="23" fillId="0" borderId="0" xfId="0" applyNumberFormat="1" applyFont="1"/>
    <xf numFmtId="0" fontId="54" fillId="0" borderId="0" xfId="0" applyFont="1"/>
    <xf numFmtId="168" fontId="19" fillId="0" borderId="0" xfId="0" applyNumberFormat="1" applyFont="1"/>
    <xf numFmtId="10" fontId="19" fillId="0" borderId="0" xfId="0" applyNumberFormat="1" applyFont="1" applyAlignment="1">
      <alignment horizontal="center"/>
    </xf>
    <xf numFmtId="3" fontId="57" fillId="0" borderId="0" xfId="0" applyNumberFormat="1" applyFont="1"/>
    <xf numFmtId="3" fontId="19" fillId="0" borderId="0" xfId="0" applyNumberFormat="1" applyFont="1"/>
    <xf numFmtId="168" fontId="54" fillId="0" borderId="0" xfId="0" applyNumberFormat="1" applyFont="1"/>
    <xf numFmtId="168" fontId="54" fillId="0" borderId="0" xfId="0" applyNumberFormat="1" applyFont="1" applyAlignment="1">
      <alignment horizontal="center"/>
    </xf>
    <xf numFmtId="0" fontId="19" fillId="5" borderId="0" xfId="0" applyFont="1" applyFill="1" applyAlignment="1">
      <alignment horizontal="left"/>
    </xf>
    <xf numFmtId="0" fontId="19" fillId="5" borderId="0" xfId="0" applyFont="1" applyFill="1"/>
    <xf numFmtId="10" fontId="19" fillId="0" borderId="0" xfId="0" applyNumberFormat="1" applyFont="1"/>
    <xf numFmtId="172" fontId="19" fillId="0" borderId="0" xfId="0" applyNumberFormat="1" applyFont="1"/>
    <xf numFmtId="172" fontId="19" fillId="0" borderId="0" xfId="0" applyNumberFormat="1" applyFont="1" applyAlignment="1">
      <alignment horizontal="center"/>
    </xf>
    <xf numFmtId="0" fontId="19" fillId="0" borderId="6" xfId="0" applyFont="1" applyBorder="1"/>
    <xf numFmtId="10" fontId="19" fillId="0" borderId="6" xfId="0" applyNumberFormat="1" applyFont="1" applyBorder="1" applyAlignment="1">
      <alignment horizontal="center"/>
    </xf>
    <xf numFmtId="3" fontId="19" fillId="0" borderId="6" xfId="0" applyNumberFormat="1" applyFont="1" applyBorder="1"/>
    <xf numFmtId="3" fontId="23" fillId="0" borderId="0" xfId="0" applyNumberFormat="1" applyFont="1" applyAlignment="1">
      <alignment vertical="top"/>
    </xf>
    <xf numFmtId="10" fontId="21" fillId="0" borderId="0" xfId="0" applyNumberFormat="1" applyFont="1" applyAlignment="1">
      <alignment horizontal="center"/>
    </xf>
    <xf numFmtId="0" fontId="53" fillId="0" borderId="6" xfId="0" applyFont="1" applyBorder="1" applyAlignment="1">
      <alignment horizontal="center"/>
    </xf>
    <xf numFmtId="4" fontId="23" fillId="0" borderId="0" xfId="271" applyNumberFormat="1" applyAlignment="1">
      <alignment horizontal="left"/>
    </xf>
    <xf numFmtId="0" fontId="23" fillId="0" borderId="0" xfId="271" applyAlignment="1">
      <alignment horizontal="center"/>
    </xf>
    <xf numFmtId="0" fontId="23" fillId="0" borderId="4" xfId="271" applyBorder="1"/>
    <xf numFmtId="0" fontId="23" fillId="0" borderId="6" xfId="271" applyBorder="1"/>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4" fontId="42" fillId="0" borderId="0" xfId="0" applyNumberFormat="1" applyFont="1" applyAlignment="1">
      <alignment horizontal="center"/>
    </xf>
    <xf numFmtId="4" fontId="0" fillId="0" borderId="0" xfId="0" applyNumberFormat="1"/>
    <xf numFmtId="0" fontId="28" fillId="3" borderId="4" xfId="271" applyFont="1" applyFill="1" applyBorder="1" applyAlignment="1">
      <alignment vertical="top" wrapText="1"/>
    </xf>
    <xf numFmtId="0" fontId="20" fillId="3" borderId="11" xfId="271" applyFont="1" applyFill="1" applyBorder="1" applyAlignment="1">
      <alignment vertical="top"/>
    </xf>
    <xf numFmtId="0" fontId="21" fillId="0" borderId="9" xfId="271" applyFont="1" applyBorder="1" applyAlignment="1">
      <alignment horizontal="center" wrapText="1"/>
    </xf>
    <xf numFmtId="0" fontId="28" fillId="3" borderId="4" xfId="271" applyFont="1" applyFill="1" applyBorder="1" applyAlignment="1" applyProtection="1">
      <alignment vertical="top" wrapText="1"/>
      <protection locked="0"/>
    </xf>
    <xf numFmtId="0" fontId="28" fillId="3" borderId="5" xfId="271" applyFont="1" applyFill="1" applyBorder="1" applyAlignment="1" applyProtection="1">
      <alignment vertical="top" wrapText="1"/>
      <protection locked="0"/>
    </xf>
    <xf numFmtId="0" fontId="21" fillId="0" borderId="13" xfId="271" applyFont="1" applyBorder="1" applyAlignment="1">
      <alignment horizontal="center" wrapText="1"/>
    </xf>
    <xf numFmtId="0" fontId="40" fillId="2" borderId="11" xfId="271" applyFont="1" applyFill="1" applyBorder="1" applyAlignment="1">
      <alignment horizontal="left" vertical="top" wrapText="1"/>
    </xf>
    <xf numFmtId="0" fontId="23" fillId="0" borderId="11" xfId="271" applyBorder="1" applyAlignment="1" applyProtection="1">
      <alignment vertical="top" wrapText="1"/>
      <protection locked="0"/>
    </xf>
    <xf numFmtId="168" fontId="23" fillId="5" borderId="11" xfId="271" applyNumberFormat="1" applyFill="1" applyBorder="1" applyAlignment="1" applyProtection="1">
      <alignment vertical="top" wrapText="1"/>
      <protection locked="0"/>
    </xf>
    <xf numFmtId="0" fontId="23" fillId="5" borderId="3" xfId="271" applyFill="1" applyBorder="1" applyAlignment="1" applyProtection="1">
      <alignment vertical="top" wrapText="1"/>
      <protection locked="0"/>
    </xf>
    <xf numFmtId="0" fontId="23" fillId="5" borderId="11" xfId="271" applyFill="1" applyBorder="1" applyAlignment="1" applyProtection="1">
      <alignment vertical="top" wrapText="1"/>
      <protection locked="0"/>
    </xf>
    <xf numFmtId="0" fontId="23" fillId="0" borderId="11" xfId="271" applyBorder="1" applyAlignment="1">
      <alignment horizontal="right" vertical="top" wrapText="1"/>
    </xf>
    <xf numFmtId="168" fontId="23" fillId="0" borderId="11" xfId="271" applyNumberFormat="1" applyBorder="1" applyAlignment="1">
      <alignment vertical="top" wrapText="1"/>
    </xf>
    <xf numFmtId="0" fontId="21" fillId="0" borderId="11" xfId="271" applyFont="1" applyBorder="1" applyAlignment="1">
      <alignment horizontal="right" vertical="top" wrapText="1"/>
    </xf>
    <xf numFmtId="0" fontId="23" fillId="5" borderId="11" xfId="271" applyFill="1" applyBorder="1" applyAlignment="1" applyProtection="1">
      <alignment horizontal="right" vertical="top" wrapText="1"/>
      <protection locked="0"/>
    </xf>
    <xf numFmtId="168" fontId="21" fillId="0" borderId="11" xfId="271" applyNumberFormat="1" applyFont="1" applyBorder="1" applyAlignment="1">
      <alignment vertical="top" wrapText="1"/>
    </xf>
    <xf numFmtId="0" fontId="31" fillId="0" borderId="11" xfId="271" applyFont="1" applyBorder="1" applyAlignment="1">
      <alignment horizontal="right" vertical="top" wrapText="1"/>
    </xf>
    <xf numFmtId="0" fontId="28" fillId="0" borderId="0" xfId="271" applyFont="1" applyAlignment="1" applyProtection="1">
      <alignment horizontal="right" vertical="top" wrapText="1"/>
      <protection locked="0"/>
    </xf>
    <xf numFmtId="0" fontId="28" fillId="0" borderId="0" xfId="271" applyFont="1" applyAlignment="1" applyProtection="1">
      <alignment vertical="top" wrapText="1"/>
      <protection locked="0"/>
    </xf>
    <xf numFmtId="0" fontId="23" fillId="0" borderId="5" xfId="271" applyBorder="1" applyAlignment="1" applyProtection="1">
      <alignment vertical="top" wrapText="1"/>
      <protection locked="0"/>
    </xf>
    <xf numFmtId="0" fontId="21" fillId="0" borderId="3" xfId="271" applyFont="1" applyBorder="1" applyAlignment="1">
      <alignment horizontal="left" vertical="top"/>
    </xf>
    <xf numFmtId="0" fontId="23" fillId="0" borderId="4" xfId="271" applyBorder="1" applyAlignment="1" applyProtection="1">
      <alignment horizontal="left" vertical="top"/>
      <protection locked="0"/>
    </xf>
    <xf numFmtId="0" fontId="23" fillId="0" borderId="4" xfId="271" applyBorder="1" applyAlignment="1" applyProtection="1">
      <alignment vertical="top" wrapText="1"/>
      <protection locked="0"/>
    </xf>
    <xf numFmtId="0" fontId="28" fillId="0" borderId="0" xfId="271" applyFont="1" applyAlignment="1">
      <alignment vertical="top" wrapText="1"/>
    </xf>
    <xf numFmtId="0" fontId="23" fillId="0" borderId="4" xfId="271" applyBorder="1" applyAlignment="1">
      <alignment vertical="top" wrapText="1"/>
    </xf>
    <xf numFmtId="0" fontId="40" fillId="2" borderId="11" xfId="271" applyFont="1" applyFill="1" applyBorder="1" applyAlignment="1" applyProtection="1">
      <alignment horizontal="left" vertical="top" wrapText="1"/>
      <protection locked="0"/>
    </xf>
    <xf numFmtId="0" fontId="44" fillId="0" borderId="11" xfId="0" applyFont="1" applyBorder="1" applyAlignment="1">
      <alignment horizontal="right" vertical="top" wrapText="1"/>
    </xf>
    <xf numFmtId="0" fontId="51" fillId="0" borderId="0" xfId="542"/>
    <xf numFmtId="0" fontId="31" fillId="8" borderId="0" xfId="542" applyFont="1" applyFill="1"/>
    <xf numFmtId="0" fontId="44" fillId="0" borderId="11" xfId="271" applyFont="1" applyBorder="1" applyAlignment="1">
      <alignment horizontal="right" vertical="top"/>
    </xf>
    <xf numFmtId="0" fontId="44" fillId="0" borderId="11" xfId="271" applyFont="1" applyBorder="1" applyAlignment="1">
      <alignment horizontal="right" vertical="top" wrapText="1"/>
    </xf>
    <xf numFmtId="0" fontId="23" fillId="0" borderId="0" xfId="271" applyAlignment="1">
      <alignment horizontal="left" vertical="top"/>
    </xf>
    <xf numFmtId="0" fontId="21" fillId="0" borderId="0" xfId="271" applyFont="1" applyAlignment="1">
      <alignment horizontal="right"/>
    </xf>
    <xf numFmtId="0" fontId="22" fillId="0" borderId="0" xfId="271" applyFont="1" applyAlignment="1">
      <alignment horizontal="center"/>
    </xf>
    <xf numFmtId="1" fontId="23" fillId="0" borderId="15" xfId="271" applyNumberFormat="1" applyBorder="1"/>
    <xf numFmtId="1" fontId="23" fillId="0" borderId="14" xfId="271" applyNumberFormat="1" applyBorder="1"/>
    <xf numFmtId="0" fontId="22" fillId="0" borderId="6" xfId="271" applyFont="1" applyBorder="1" applyAlignment="1">
      <alignment horizontal="left"/>
    </xf>
    <xf numFmtId="0" fontId="22" fillId="0" borderId="6" xfId="271" applyFont="1" applyBorder="1" applyAlignment="1">
      <alignment horizontal="right"/>
    </xf>
    <xf numFmtId="165" fontId="23" fillId="0" borderId="0" xfId="271" applyNumberFormat="1"/>
    <xf numFmtId="170" fontId="23" fillId="0" borderId="14" xfId="271" applyNumberFormat="1" applyBorder="1"/>
    <xf numFmtId="1" fontId="21" fillId="0" borderId="11" xfId="271" applyNumberFormat="1" applyFont="1" applyBorder="1"/>
    <xf numFmtId="165" fontId="21" fillId="0" borderId="11" xfId="271" applyNumberFormat="1" applyFont="1" applyBorder="1"/>
    <xf numFmtId="0" fontId="0" fillId="0" borderId="0" xfId="0" applyProtection="1">
      <protection locked="0"/>
    </xf>
    <xf numFmtId="0" fontId="21" fillId="0" borderId="0" xfId="271" applyFont="1" applyAlignment="1">
      <alignment horizontal="left"/>
    </xf>
    <xf numFmtId="0" fontId="19" fillId="0" borderId="0" xfId="0" applyFont="1" applyProtection="1">
      <protection locked="0"/>
    </xf>
    <xf numFmtId="0" fontId="19" fillId="0" borderId="0" xfId="271" applyFont="1" applyProtection="1">
      <protection locked="0"/>
    </xf>
    <xf numFmtId="168" fontId="19" fillId="0" borderId="0" xfId="271" applyNumberFormat="1" applyFont="1" applyProtection="1">
      <protection locked="0"/>
    </xf>
    <xf numFmtId="49" fontId="23" fillId="0" borderId="0" xfId="271" applyNumberFormat="1"/>
    <xf numFmtId="0" fontId="27" fillId="0" borderId="1" xfId="0" applyFont="1" applyBorder="1"/>
    <xf numFmtId="0" fontId="14" fillId="0" borderId="2" xfId="0" applyFont="1" applyBorder="1" applyAlignment="1">
      <alignment horizontal="left"/>
    </xf>
    <xf numFmtId="0" fontId="14" fillId="0" borderId="2" xfId="0" applyFont="1" applyBorder="1"/>
    <xf numFmtId="0" fontId="27" fillId="0" borderId="8" xfId="0" applyFont="1" applyBorder="1"/>
    <xf numFmtId="0" fontId="27" fillId="0" borderId="9" xfId="0" applyFont="1" applyBorder="1"/>
    <xf numFmtId="0" fontId="21" fillId="0" borderId="0" xfId="0" applyFont="1" applyAlignment="1">
      <alignment horizontal="left" vertical="top"/>
    </xf>
    <xf numFmtId="0" fontId="62" fillId="0" borderId="0" xfId="0" applyFont="1" applyAlignment="1">
      <alignment vertical="center" wrapText="1"/>
    </xf>
    <xf numFmtId="0" fontId="62" fillId="0" borderId="0" xfId="0" applyFont="1" applyAlignment="1">
      <alignment vertical="center"/>
    </xf>
    <xf numFmtId="0" fontId="62" fillId="0" borderId="0" xfId="0" applyFont="1" applyAlignment="1">
      <alignment horizontal="left" vertical="center" indent="1"/>
    </xf>
    <xf numFmtId="0" fontId="23" fillId="0" borderId="0" xfId="271" applyAlignment="1" applyProtection="1">
      <alignment horizontal="left"/>
      <protection locked="0"/>
    </xf>
    <xf numFmtId="0" fontId="63" fillId="0" borderId="0" xfId="0" applyFont="1" applyAlignment="1">
      <alignment horizontal="left" vertical="center"/>
    </xf>
    <xf numFmtId="49" fontId="39" fillId="0" borderId="0" xfId="0" applyNumberFormat="1" applyFont="1" applyAlignment="1">
      <alignment horizontal="center"/>
    </xf>
    <xf numFmtId="0" fontId="42" fillId="0" borderId="0" xfId="271" applyFont="1" applyAlignment="1">
      <alignment horizontal="center"/>
    </xf>
    <xf numFmtId="49" fontId="23" fillId="0" borderId="0" xfId="271" applyNumberFormat="1" applyAlignment="1">
      <alignment horizontal="center"/>
    </xf>
    <xf numFmtId="0" fontId="44" fillId="0" borderId="0" xfId="0" applyFont="1"/>
    <xf numFmtId="5" fontId="67" fillId="0" borderId="11" xfId="541" applyNumberFormat="1" applyFont="1" applyBorder="1" applyAlignment="1" applyProtection="1">
      <alignment horizontal="center"/>
    </xf>
    <xf numFmtId="5" fontId="67" fillId="42" borderId="11" xfId="541" applyNumberFormat="1" applyFont="1" applyFill="1" applyBorder="1" applyAlignment="1" applyProtection="1">
      <alignment horizontal="center"/>
    </xf>
    <xf numFmtId="5" fontId="67" fillId="2" borderId="11" xfId="541" applyNumberFormat="1" applyFont="1" applyFill="1" applyBorder="1" applyAlignment="1" applyProtection="1">
      <alignment horizontal="center"/>
    </xf>
    <xf numFmtId="0" fontId="44" fillId="0" borderId="0" xfId="0" applyFont="1" applyAlignment="1">
      <alignment vertical="top" wrapText="1"/>
    </xf>
    <xf numFmtId="0" fontId="44" fillId="0" borderId="0" xfId="0" applyFont="1" applyAlignment="1">
      <alignment vertical="top"/>
    </xf>
    <xf numFmtId="0" fontId="44" fillId="2" borderId="0" xfId="0" applyFont="1" applyFill="1" applyAlignment="1">
      <alignment vertical="top" wrapText="1"/>
    </xf>
    <xf numFmtId="0" fontId="69" fillId="0" borderId="13" xfId="0" applyFont="1" applyBorder="1" applyAlignment="1">
      <alignment vertical="top" wrapText="1"/>
    </xf>
    <xf numFmtId="0" fontId="28" fillId="0" borderId="0" xfId="0" applyFont="1" applyAlignment="1">
      <alignment vertical="top" wrapText="1"/>
    </xf>
    <xf numFmtId="0" fontId="69" fillId="2" borderId="13" xfId="0" applyFont="1" applyFill="1" applyBorder="1" applyAlignment="1">
      <alignment vertical="top" wrapText="1"/>
    </xf>
    <xf numFmtId="0" fontId="69" fillId="0" borderId="0" xfId="0" applyFont="1" applyAlignment="1">
      <alignment vertical="top" wrapText="1"/>
    </xf>
    <xf numFmtId="0" fontId="69" fillId="2" borderId="0" xfId="0" applyFont="1" applyFill="1" applyAlignment="1">
      <alignment vertical="top" wrapText="1"/>
    </xf>
    <xf numFmtId="0" fontId="44" fillId="0" borderId="0" xfId="0" applyFont="1" applyAlignment="1">
      <alignment horizontal="right" vertical="top" wrapText="1"/>
    </xf>
    <xf numFmtId="168" fontId="44" fillId="5" borderId="6" xfId="0" applyNumberFormat="1" applyFont="1" applyFill="1" applyBorder="1" applyAlignment="1" applyProtection="1">
      <alignment horizontal="right" vertical="top" wrapText="1"/>
      <protection locked="0"/>
    </xf>
    <xf numFmtId="168" fontId="44" fillId="0" borderId="6" xfId="0" applyNumberFormat="1" applyFont="1" applyBorder="1" applyAlignment="1">
      <alignment horizontal="right" vertical="top" wrapText="1"/>
    </xf>
    <xf numFmtId="0" fontId="21" fillId="0" borderId="0" xfId="0" applyFont="1" applyAlignment="1">
      <alignment horizontal="left" vertical="top" wrapText="1"/>
    </xf>
    <xf numFmtId="0" fontId="53" fillId="0" borderId="0" xfId="0" applyFont="1" applyAlignment="1">
      <alignment horizontal="left" vertical="center"/>
    </xf>
    <xf numFmtId="0" fontId="21" fillId="0" borderId="2" xfId="543" applyFont="1" applyBorder="1" applyAlignment="1">
      <alignment horizontal="center"/>
    </xf>
    <xf numFmtId="0" fontId="0" fillId="0" borderId="0" xfId="543" applyFont="1"/>
    <xf numFmtId="0" fontId="15" fillId="0" borderId="0" xfId="244" quotePrefix="1" applyAlignment="1" applyProtection="1">
      <alignment horizontal="left"/>
    </xf>
    <xf numFmtId="168" fontId="44" fillId="0" borderId="11" xfId="0" applyNumberFormat="1" applyFont="1" applyBorder="1" applyAlignment="1">
      <alignment vertical="top" wrapText="1"/>
    </xf>
    <xf numFmtId="168" fontId="44" fillId="4" borderId="11" xfId="0" applyNumberFormat="1" applyFont="1" applyFill="1" applyBorder="1" applyAlignment="1">
      <alignment vertical="top" wrapText="1"/>
    </xf>
    <xf numFmtId="0" fontId="93" fillId="0" borderId="0" xfId="0" applyFont="1" applyAlignment="1">
      <alignment horizontal="left" vertical="top"/>
    </xf>
    <xf numFmtId="0" fontId="94" fillId="0" borderId="0" xfId="0" applyFont="1" applyAlignment="1">
      <alignment horizontal="left" vertical="top"/>
    </xf>
    <xf numFmtId="0" fontId="62" fillId="0" borderId="0" xfId="0" applyFont="1"/>
    <xf numFmtId="0" fontId="21" fillId="8" borderId="11" xfId="542" applyFont="1" applyFill="1" applyBorder="1" applyAlignment="1">
      <alignment horizontal="left"/>
    </xf>
    <xf numFmtId="0" fontId="21" fillId="8" borderId="11" xfId="542" applyFont="1" applyFill="1" applyBorder="1" applyAlignment="1">
      <alignment horizontal="center"/>
    </xf>
    <xf numFmtId="0" fontId="52" fillId="8" borderId="11" xfId="542" applyFont="1" applyFill="1" applyBorder="1" applyAlignment="1">
      <alignment horizontal="left"/>
    </xf>
    <xf numFmtId="0" fontId="52" fillId="0" borderId="11" xfId="542" applyFont="1" applyBorder="1" applyAlignment="1">
      <alignment horizontal="left"/>
    </xf>
    <xf numFmtId="0" fontId="21" fillId="0" borderId="0" xfId="271" applyFont="1" applyAlignment="1" applyProtection="1">
      <alignment horizontal="center" wrapText="1"/>
      <protection locked="0"/>
    </xf>
    <xf numFmtId="0" fontId="23" fillId="0" borderId="0" xfId="271" applyAlignment="1" applyProtection="1">
      <alignment vertical="top" wrapText="1"/>
      <protection locked="0"/>
    </xf>
    <xf numFmtId="0" fontId="21" fillId="0" borderId="0" xfId="271" applyFont="1" applyAlignment="1" applyProtection="1">
      <alignment vertical="top" wrapText="1"/>
      <protection locked="0"/>
    </xf>
    <xf numFmtId="0" fontId="21" fillId="0" borderId="8" xfId="271" applyFont="1" applyBorder="1" applyAlignment="1" applyProtection="1">
      <alignment horizontal="center" wrapText="1"/>
      <protection locked="0"/>
    </xf>
    <xf numFmtId="0" fontId="23" fillId="0" borderId="8" xfId="271" applyBorder="1" applyAlignment="1" applyProtection="1">
      <alignment vertical="top" wrapText="1"/>
      <protection locked="0"/>
    </xf>
    <xf numFmtId="0" fontId="21" fillId="0" borderId="8" xfId="271" applyFont="1" applyBorder="1" applyAlignment="1" applyProtection="1">
      <alignment vertical="top" wrapText="1"/>
      <protection locked="0"/>
    </xf>
    <xf numFmtId="0" fontId="14" fillId="0" borderId="0" xfId="0" applyFont="1" applyAlignment="1">
      <alignment horizontal="center"/>
    </xf>
    <xf numFmtId="0" fontId="28" fillId="0" borderId="8" xfId="569" applyFont="1" applyBorder="1" applyAlignment="1">
      <alignment vertical="top" wrapText="1"/>
    </xf>
    <xf numFmtId="0" fontId="28" fillId="0" borderId="0" xfId="569" applyFont="1" applyAlignment="1">
      <alignment vertical="top" wrapText="1"/>
    </xf>
    <xf numFmtId="0" fontId="46" fillId="2" borderId="11" xfId="569" applyFont="1" applyFill="1" applyBorder="1" applyAlignment="1">
      <alignment horizontal="left" vertical="top" wrapText="1"/>
    </xf>
    <xf numFmtId="6" fontId="44" fillId="4" borderId="11" xfId="569" applyNumberFormat="1" applyFont="1" applyFill="1" applyBorder="1" applyAlignment="1">
      <alignment vertical="top" wrapText="1"/>
    </xf>
    <xf numFmtId="0" fontId="44" fillId="0" borderId="8" xfId="569" applyFont="1" applyBorder="1" applyAlignment="1">
      <alignment vertical="top" wrapText="1"/>
    </xf>
    <xf numFmtId="0" fontId="44" fillId="0" borderId="0" xfId="569" applyFont="1" applyAlignment="1">
      <alignment vertical="top" wrapText="1"/>
    </xf>
    <xf numFmtId="6" fontId="44" fillId="0" borderId="11" xfId="569" applyNumberFormat="1" applyFont="1" applyBorder="1" applyAlignment="1">
      <alignment vertical="top" wrapText="1"/>
    </xf>
    <xf numFmtId="6" fontId="44" fillId="5" borderId="11" xfId="569" applyNumberFormat="1" applyFont="1" applyFill="1" applyBorder="1" applyAlignment="1" applyProtection="1">
      <alignment vertical="top" wrapText="1"/>
      <protection locked="0"/>
    </xf>
    <xf numFmtId="6" fontId="44" fillId="6" borderId="11" xfId="569" applyNumberFormat="1" applyFont="1" applyFill="1" applyBorder="1" applyAlignment="1">
      <alignment horizontal="center" vertical="top" wrapText="1"/>
    </xf>
    <xf numFmtId="0" fontId="44" fillId="0" borderId="11" xfId="569" applyFont="1" applyBorder="1" applyAlignment="1">
      <alignment horizontal="right" vertical="top" wrapText="1"/>
    </xf>
    <xf numFmtId="0" fontId="45" fillId="0" borderId="11" xfId="569" applyFont="1" applyBorder="1" applyAlignment="1">
      <alignment horizontal="right" vertical="top" wrapText="1"/>
    </xf>
    <xf numFmtId="0" fontId="44" fillId="0" borderId="11" xfId="569" applyFont="1" applyBorder="1" applyAlignment="1">
      <alignment horizontal="right" vertical="top"/>
    </xf>
    <xf numFmtId="6" fontId="45" fillId="0" borderId="11" xfId="569" applyNumberFormat="1" applyFont="1" applyBorder="1" applyAlignment="1">
      <alignment vertical="top" wrapText="1"/>
    </xf>
    <xf numFmtId="0" fontId="45" fillId="0" borderId="8" xfId="569" applyFont="1" applyBorder="1" applyAlignment="1">
      <alignment vertical="top" wrapText="1"/>
    </xf>
    <xf numFmtId="0" fontId="45" fillId="0" borderId="0" xfId="569" applyFont="1" applyAlignment="1">
      <alignment vertical="top" wrapText="1"/>
    </xf>
    <xf numFmtId="0" fontId="17" fillId="0" borderId="11" xfId="569" applyFont="1" applyBorder="1" applyAlignment="1">
      <alignment horizontal="right" vertical="top" wrapText="1"/>
    </xf>
    <xf numFmtId="0" fontId="45" fillId="0" borderId="0" xfId="569" applyFont="1" applyAlignment="1">
      <alignment horizontal="left" vertical="top"/>
    </xf>
    <xf numFmtId="6" fontId="44" fillId="0" borderId="0" xfId="569" applyNumberFormat="1" applyFont="1" applyAlignment="1">
      <alignment horizontal="left" vertical="top"/>
    </xf>
    <xf numFmtId="0" fontId="94" fillId="0" borderId="0" xfId="569" applyFont="1" applyAlignment="1">
      <alignment horizontal="left" vertical="top"/>
    </xf>
    <xf numFmtId="6" fontId="44" fillId="0" borderId="0" xfId="569" applyNumberFormat="1" applyFont="1" applyAlignment="1">
      <alignment vertical="top" wrapText="1"/>
    </xf>
    <xf numFmtId="0" fontId="44" fillId="0" borderId="0" xfId="569" applyFont="1" applyAlignment="1">
      <alignment horizontal="left" vertical="top"/>
    </xf>
    <xf numFmtId="0" fontId="44" fillId="0" borderId="12" xfId="569" applyFont="1" applyBorder="1" applyAlignment="1">
      <alignment vertical="top" wrapText="1"/>
    </xf>
    <xf numFmtId="0" fontId="21" fillId="0" borderId="0" xfId="569" applyFont="1" applyAlignment="1">
      <alignment horizontal="left" vertical="top"/>
    </xf>
    <xf numFmtId="0" fontId="97" fillId="0" borderId="0" xfId="569" applyFont="1" applyAlignment="1">
      <alignment horizontal="left" vertical="top"/>
    </xf>
    <xf numFmtId="0" fontId="53" fillId="0" borderId="0" xfId="569" applyFont="1" applyAlignment="1">
      <alignment horizontal="left" vertical="center"/>
    </xf>
    <xf numFmtId="0" fontId="29" fillId="0" borderId="0" xfId="569" applyFont="1" applyAlignment="1">
      <alignment vertical="top" wrapText="1"/>
    </xf>
    <xf numFmtId="0" fontId="29" fillId="0" borderId="12" xfId="569" applyFont="1" applyBorder="1" applyAlignment="1">
      <alignment vertical="top" wrapText="1"/>
    </xf>
    <xf numFmtId="0" fontId="29" fillId="0" borderId="8" xfId="569" applyFont="1" applyBorder="1" applyAlignment="1">
      <alignment vertical="top" wrapText="1"/>
    </xf>
    <xf numFmtId="0" fontId="44" fillId="0" borderId="0" xfId="569" applyFont="1" applyAlignment="1">
      <alignment vertical="top"/>
    </xf>
    <xf numFmtId="168" fontId="44" fillId="0" borderId="0" xfId="569" applyNumberFormat="1" applyFont="1" applyAlignment="1" applyProtection="1">
      <alignment horizontal="right" vertical="top" wrapText="1"/>
      <protection locked="0"/>
    </xf>
    <xf numFmtId="0" fontId="14" fillId="0" borderId="0" xfId="569" applyAlignment="1">
      <alignment vertical="top" wrapText="1"/>
    </xf>
    <xf numFmtId="0" fontId="14" fillId="0" borderId="0" xfId="569" applyAlignment="1">
      <alignment vertical="top"/>
    </xf>
    <xf numFmtId="0" fontId="44" fillId="0" borderId="0" xfId="569" applyFont="1" applyAlignment="1">
      <alignment horizontal="right" vertical="top" wrapText="1"/>
    </xf>
    <xf numFmtId="0" fontId="21" fillId="0" borderId="0" xfId="569" applyFont="1" applyAlignment="1">
      <alignment horizontal="left" vertical="top" wrapText="1"/>
    </xf>
    <xf numFmtId="168" fontId="44" fillId="0" borderId="0" xfId="569" applyNumberFormat="1" applyFont="1" applyAlignment="1">
      <alignment horizontal="right" vertical="top" wrapText="1"/>
    </xf>
    <xf numFmtId="0" fontId="14" fillId="0" borderId="0" xfId="569" applyAlignment="1" applyProtection="1">
      <alignment horizontal="left" vertical="top" wrapText="1"/>
      <protection locked="0"/>
    </xf>
    <xf numFmtId="0" fontId="14" fillId="0" borderId="0" xfId="569" applyAlignment="1">
      <alignment horizontal="right" vertical="top" wrapText="1"/>
    </xf>
    <xf numFmtId="0" fontId="14" fillId="0" borderId="0" xfId="569" applyAlignment="1">
      <alignment horizontal="left" vertical="top"/>
    </xf>
    <xf numFmtId="0" fontId="69" fillId="0" borderId="0" xfId="569" applyFont="1" applyAlignment="1">
      <alignment vertical="top" wrapText="1"/>
    </xf>
    <xf numFmtId="0" fontId="69" fillId="0" borderId="12" xfId="569" applyFont="1" applyBorder="1" applyAlignment="1">
      <alignment vertical="top" wrapText="1"/>
    </xf>
    <xf numFmtId="0" fontId="69" fillId="0" borderId="8" xfId="569" applyFont="1" applyBorder="1" applyAlignment="1">
      <alignment vertical="top" wrapText="1"/>
    </xf>
    <xf numFmtId="0" fontId="28" fillId="0" borderId="0" xfId="569" applyFont="1" applyAlignment="1">
      <alignment horizontal="right" vertical="top" wrapText="1"/>
    </xf>
    <xf numFmtId="0" fontId="69" fillId="0" borderId="0" xfId="569" applyFont="1" applyAlignment="1">
      <alignment horizontal="right" vertical="top" wrapText="1"/>
    </xf>
    <xf numFmtId="0" fontId="45" fillId="0" borderId="3" xfId="569" applyFont="1" applyBorder="1" applyAlignment="1">
      <alignment horizontal="left"/>
    </xf>
    <xf numFmtId="0" fontId="45" fillId="0" borderId="13" xfId="569" applyFont="1" applyBorder="1" applyAlignment="1">
      <alignment horizontal="center" wrapText="1"/>
    </xf>
    <xf numFmtId="0" fontId="45" fillId="0" borderId="8" xfId="569" applyFont="1" applyBorder="1" applyAlignment="1">
      <alignment horizontal="center" wrapText="1"/>
    </xf>
    <xf numFmtId="0" fontId="45" fillId="0" borderId="0" xfId="569" applyFont="1" applyAlignment="1">
      <alignment horizontal="center" wrapText="1"/>
    </xf>
    <xf numFmtId="0" fontId="14" fillId="0" borderId="0" xfId="569"/>
    <xf numFmtId="0" fontId="20" fillId="0" borderId="0" xfId="569" applyFont="1" applyAlignment="1">
      <alignment horizontal="center" vertical="center"/>
    </xf>
    <xf numFmtId="0" fontId="21" fillId="0" borderId="0" xfId="569" applyFont="1"/>
    <xf numFmtId="0" fontId="14" fillId="0" borderId="1" xfId="569" applyBorder="1"/>
    <xf numFmtId="0" fontId="14" fillId="0" borderId="2" xfId="569" applyBorder="1"/>
    <xf numFmtId="0" fontId="14" fillId="0" borderId="8" xfId="569" applyBorder="1"/>
    <xf numFmtId="0" fontId="14" fillId="0" borderId="9" xfId="569" applyBorder="1"/>
    <xf numFmtId="0" fontId="14" fillId="0" borderId="6" xfId="569" applyBorder="1"/>
    <xf numFmtId="0" fontId="22" fillId="0" borderId="0" xfId="569" applyFont="1"/>
    <xf numFmtId="0" fontId="14" fillId="0" borderId="7" xfId="569" applyBorder="1"/>
    <xf numFmtId="0" fontId="14" fillId="0" borderId="12" xfId="569" applyBorder="1"/>
    <xf numFmtId="0" fontId="14" fillId="0" borderId="10" xfId="569" applyBorder="1"/>
    <xf numFmtId="0" fontId="22" fillId="0" borderId="0" xfId="569" applyFont="1" applyAlignment="1">
      <alignment vertical="top" wrapText="1"/>
    </xf>
    <xf numFmtId="0" fontId="14" fillId="0" borderId="0" xfId="569" applyAlignment="1">
      <alignment horizontal="right"/>
    </xf>
    <xf numFmtId="0" fontId="14" fillId="0" borderId="0" xfId="569" applyAlignment="1">
      <alignment wrapText="1"/>
    </xf>
    <xf numFmtId="0" fontId="14" fillId="0" borderId="0" xfId="569" applyAlignment="1">
      <alignment vertical="center"/>
    </xf>
    <xf numFmtId="0" fontId="34" fillId="0" borderId="0" xfId="569" applyFont="1" applyAlignment="1">
      <alignment vertical="center" wrapText="1"/>
    </xf>
    <xf numFmtId="0" fontId="32" fillId="0" borderId="0" xfId="569" applyFont="1" applyAlignment="1">
      <alignment vertical="top" wrapText="1"/>
    </xf>
    <xf numFmtId="0" fontId="21" fillId="0" borderId="0" xfId="569" applyFont="1" applyAlignment="1">
      <alignment vertical="top" wrapText="1"/>
    </xf>
    <xf numFmtId="0" fontId="22" fillId="0" borderId="0" xfId="569" applyFont="1" applyAlignment="1">
      <alignment horizontal="left" vertical="top" wrapText="1"/>
    </xf>
    <xf numFmtId="164" fontId="14" fillId="0" borderId="0" xfId="569" applyNumberFormat="1" applyAlignment="1">
      <alignment horizontal="right"/>
    </xf>
    <xf numFmtId="168" fontId="14" fillId="0" borderId="0" xfId="569" applyNumberFormat="1" applyAlignment="1">
      <alignment horizontal="right"/>
    </xf>
    <xf numFmtId="0" fontId="95" fillId="0" borderId="0" xfId="569" applyFont="1" applyAlignment="1">
      <alignment horizontal="left" vertical="top" wrapText="1"/>
    </xf>
    <xf numFmtId="168" fontId="14" fillId="0" borderId="0" xfId="569" applyNumberFormat="1" applyAlignment="1">
      <alignment wrapText="1"/>
    </xf>
    <xf numFmtId="0" fontId="19" fillId="0" borderId="11" xfId="253" applyFont="1" applyBorder="1" applyAlignment="1">
      <alignment horizontal="center" wrapText="1"/>
    </xf>
    <xf numFmtId="0" fontId="19" fillId="0" borderId="0" xfId="253" applyFont="1" applyAlignment="1">
      <alignment horizontal="center" wrapText="1"/>
    </xf>
    <xf numFmtId="3" fontId="19" fillId="0" borderId="11" xfId="271" applyNumberFormat="1" applyFont="1" applyBorder="1"/>
    <xf numFmtId="3" fontId="19" fillId="0" borderId="0" xfId="271" applyNumberFormat="1" applyFont="1"/>
    <xf numFmtId="0" fontId="54" fillId="0" borderId="0" xfId="271" applyFont="1" applyAlignment="1">
      <alignment horizontal="left"/>
    </xf>
    <xf numFmtId="0" fontId="54" fillId="0" borderId="0" xfId="271" applyFont="1" applyAlignment="1">
      <alignment horizontal="right"/>
    </xf>
    <xf numFmtId="168" fontId="19" fillId="0" borderId="11" xfId="271" applyNumberFormat="1" applyFont="1" applyBorder="1"/>
    <xf numFmtId="168" fontId="19" fillId="0" borderId="0" xfId="271" applyNumberFormat="1" applyFont="1"/>
    <xf numFmtId="0" fontId="19" fillId="0" borderId="0" xfId="271" applyFont="1"/>
    <xf numFmtId="0" fontId="44" fillId="0" borderId="0" xfId="569" applyFont="1" applyAlignment="1">
      <alignment horizontal="left"/>
    </xf>
    <xf numFmtId="0" fontId="14" fillId="0" borderId="3" xfId="569" applyBorder="1"/>
    <xf numFmtId="0" fontId="0" fillId="5" borderId="6" xfId="0" applyFill="1" applyBorder="1" applyProtection="1">
      <protection locked="0"/>
    </xf>
    <xf numFmtId="0" fontId="96" fillId="0" borderId="0" xfId="1834"/>
    <xf numFmtId="0" fontId="0" fillId="0" borderId="0" xfId="0" applyAlignment="1">
      <alignment horizontal="left" vertical="top"/>
    </xf>
    <xf numFmtId="0" fontId="95" fillId="0" borderId="0" xfId="0" applyFont="1" applyAlignment="1">
      <alignment vertical="top" wrapText="1"/>
    </xf>
    <xf numFmtId="0" fontId="44" fillId="0" borderId="0" xfId="271" applyFont="1" applyAlignment="1">
      <alignment vertical="top" wrapText="1"/>
    </xf>
    <xf numFmtId="4" fontId="14" fillId="0" borderId="0" xfId="1192" applyNumberFormat="1" applyAlignment="1">
      <alignment horizontal="left" vertical="top" wrapText="1"/>
    </xf>
    <xf numFmtId="0" fontId="14" fillId="0" borderId="0" xfId="0" applyFont="1" applyAlignment="1">
      <alignment horizontal="left" vertical="top" wrapText="1"/>
    </xf>
    <xf numFmtId="0" fontId="14" fillId="0" borderId="0" xfId="271" applyFont="1" applyAlignment="1">
      <alignment horizontal="left" vertical="top" wrapText="1"/>
    </xf>
    <xf numFmtId="0" fontId="21" fillId="0" borderId="12" xfId="543" applyFont="1" applyBorder="1" applyAlignment="1">
      <alignment horizontal="right"/>
    </xf>
    <xf numFmtId="4" fontId="14" fillId="0" borderId="0" xfId="569" applyNumberFormat="1" applyAlignment="1">
      <alignment horizontal="left"/>
    </xf>
    <xf numFmtId="0" fontId="14" fillId="0" borderId="0" xfId="569" applyAlignment="1">
      <alignment horizontal="left" vertical="top" wrapText="1"/>
    </xf>
    <xf numFmtId="0" fontId="14" fillId="0" borderId="0" xfId="569" applyAlignment="1">
      <alignment horizontal="left"/>
    </xf>
    <xf numFmtId="0" fontId="14" fillId="0" borderId="0" xfId="1192" applyAlignment="1">
      <alignment horizontal="left"/>
    </xf>
    <xf numFmtId="0" fontId="21" fillId="0" borderId="0" xfId="569" applyFont="1" applyAlignment="1">
      <alignment horizontal="left"/>
    </xf>
    <xf numFmtId="0" fontId="38" fillId="0" borderId="0" xfId="1192" applyFont="1"/>
    <xf numFmtId="0" fontId="44" fillId="0" borderId="11" xfId="0" applyFont="1" applyBorder="1" applyAlignment="1">
      <alignment horizontal="right" vertical="center"/>
    </xf>
    <xf numFmtId="0" fontId="14" fillId="0" borderId="0" xfId="1192" applyAlignment="1">
      <alignment horizontal="left" vertical="top" wrapText="1"/>
    </xf>
    <xf numFmtId="0" fontId="38" fillId="0" borderId="0" xfId="0" applyFont="1" applyAlignment="1">
      <alignment vertical="top" wrapText="1"/>
    </xf>
    <xf numFmtId="0" fontId="38" fillId="0" borderId="0" xfId="0" applyFont="1" applyAlignment="1">
      <alignment horizontal="left" vertical="top" wrapText="1"/>
    </xf>
    <xf numFmtId="6" fontId="45" fillId="0" borderId="0" xfId="569" applyNumberFormat="1" applyFont="1" applyAlignment="1">
      <alignment horizontal="right" vertical="top"/>
    </xf>
    <xf numFmtId="0" fontId="14" fillId="0" borderId="0" xfId="0" applyFont="1" applyAlignment="1">
      <alignment vertical="top" wrapText="1"/>
    </xf>
    <xf numFmtId="168" fontId="23" fillId="0" borderId="28" xfId="540" applyNumberFormat="1" applyBorder="1" applyAlignment="1" applyProtection="1">
      <alignment horizontal="center"/>
    </xf>
    <xf numFmtId="168" fontId="23" fillId="0" borderId="29" xfId="540" applyNumberFormat="1" applyBorder="1" applyAlignment="1" applyProtection="1">
      <alignment horizontal="center"/>
    </xf>
    <xf numFmtId="168" fontId="23" fillId="0" borderId="30" xfId="540" applyNumberFormat="1" applyBorder="1" applyAlignment="1" applyProtection="1">
      <alignment horizontal="center"/>
    </xf>
    <xf numFmtId="168" fontId="23" fillId="0" borderId="31" xfId="540" applyNumberFormat="1" applyBorder="1" applyAlignment="1" applyProtection="1">
      <alignment horizontal="center"/>
    </xf>
    <xf numFmtId="168" fontId="23" fillId="0" borderId="32" xfId="540" applyNumberFormat="1" applyBorder="1" applyAlignment="1" applyProtection="1">
      <alignment horizontal="center"/>
    </xf>
    <xf numFmtId="168" fontId="23" fillId="0" borderId="33" xfId="540" applyNumberFormat="1" applyBorder="1" applyAlignment="1" applyProtection="1">
      <alignment horizontal="center"/>
    </xf>
    <xf numFmtId="168" fontId="23" fillId="0" borderId="34" xfId="540" applyNumberFormat="1" applyBorder="1" applyAlignment="1" applyProtection="1">
      <alignment horizontal="center"/>
    </xf>
    <xf numFmtId="168" fontId="23" fillId="0" borderId="35" xfId="540" applyNumberFormat="1" applyBorder="1" applyAlignment="1" applyProtection="1">
      <alignment horizontal="center"/>
    </xf>
    <xf numFmtId="168" fontId="23" fillId="0" borderId="36" xfId="540" applyNumberFormat="1" applyBorder="1" applyAlignment="1" applyProtection="1">
      <alignment horizontal="center"/>
    </xf>
    <xf numFmtId="168" fontId="23" fillId="0" borderId="37" xfId="540" applyNumberFormat="1" applyBorder="1" applyAlignment="1" applyProtection="1">
      <alignment horizontal="center"/>
    </xf>
    <xf numFmtId="168" fontId="23" fillId="0" borderId="38" xfId="540" applyNumberFormat="1" applyBorder="1" applyAlignment="1" applyProtection="1">
      <alignment horizontal="center"/>
    </xf>
    <xf numFmtId="168" fontId="23" fillId="0" borderId="39" xfId="540" applyNumberFormat="1" applyBorder="1" applyAlignment="1" applyProtection="1">
      <alignment horizontal="center"/>
    </xf>
    <xf numFmtId="168" fontId="23" fillId="0" borderId="40" xfId="540" applyNumberFormat="1" applyBorder="1" applyAlignment="1" applyProtection="1">
      <alignment horizontal="center"/>
    </xf>
    <xf numFmtId="168" fontId="23" fillId="0" borderId="0" xfId="540" applyNumberFormat="1" applyAlignment="1" applyProtection="1">
      <alignment horizontal="center"/>
    </xf>
    <xf numFmtId="168" fontId="23" fillId="0" borderId="14" xfId="540" applyNumberFormat="1" applyBorder="1" applyAlignment="1" applyProtection="1">
      <alignment horizontal="center"/>
    </xf>
    <xf numFmtId="168" fontId="23" fillId="0" borderId="41" xfId="540" applyNumberFormat="1" applyBorder="1" applyAlignment="1" applyProtection="1">
      <alignment horizontal="center"/>
    </xf>
    <xf numFmtId="168" fontId="23" fillId="0" borderId="42" xfId="540" applyNumberFormat="1" applyBorder="1" applyAlignment="1" applyProtection="1">
      <alignment horizontal="center"/>
    </xf>
    <xf numFmtId="168" fontId="23" fillId="0" borderId="43" xfId="540" applyNumberFormat="1" applyBorder="1" applyAlignment="1" applyProtection="1">
      <alignment horizontal="center"/>
    </xf>
    <xf numFmtId="168" fontId="23" fillId="0" borderId="44" xfId="540" applyNumberFormat="1" applyBorder="1" applyAlignment="1" applyProtection="1">
      <alignment horizontal="center"/>
    </xf>
    <xf numFmtId="0" fontId="14" fillId="0" borderId="0" xfId="1192"/>
    <xf numFmtId="0" fontId="14" fillId="0" borderId="0" xfId="0" applyFont="1" applyAlignment="1">
      <alignment wrapText="1"/>
    </xf>
    <xf numFmtId="0" fontId="38" fillId="0" borderId="0" xfId="0" applyFont="1" applyAlignment="1">
      <alignment horizontal="left" vertical="top"/>
    </xf>
    <xf numFmtId="0" fontId="38" fillId="0" borderId="0" xfId="0" applyFont="1" applyAlignment="1">
      <alignment vertical="top"/>
    </xf>
    <xf numFmtId="0" fontId="14" fillId="0" borderId="0" xfId="569" applyAlignment="1">
      <alignment horizontal="center"/>
    </xf>
    <xf numFmtId="0" fontId="32" fillId="0" borderId="0" xfId="569" applyFont="1" applyAlignment="1">
      <alignment horizontal="left"/>
    </xf>
    <xf numFmtId="0" fontId="32" fillId="0" borderId="0" xfId="569" applyFont="1" applyAlignment="1">
      <alignment horizontal="center"/>
    </xf>
    <xf numFmtId="49" fontId="21" fillId="0" borderId="0" xfId="569" applyNumberFormat="1" applyFont="1" applyAlignment="1">
      <alignment horizontal="center"/>
    </xf>
    <xf numFmtId="0" fontId="42" fillId="0" borderId="0" xfId="569" applyFont="1" applyAlignment="1">
      <alignment horizontal="center"/>
    </xf>
    <xf numFmtId="0" fontId="14" fillId="5" borderId="6" xfId="569" applyFill="1" applyBorder="1" applyProtection="1">
      <protection locked="0"/>
    </xf>
    <xf numFmtId="0" fontId="15" fillId="0" borderId="0" xfId="244" applyAlignment="1" applyProtection="1">
      <alignment horizontal="center"/>
    </xf>
    <xf numFmtId="49" fontId="14" fillId="0" borderId="0" xfId="569" applyNumberFormat="1" applyAlignment="1">
      <alignment horizontal="center"/>
    </xf>
    <xf numFmtId="0" fontId="14" fillId="0" borderId="0" xfId="569" applyAlignment="1">
      <alignment horizontal="center" vertical="center"/>
    </xf>
    <xf numFmtId="0" fontId="14" fillId="0" borderId="0" xfId="1192" applyAlignment="1">
      <alignment horizontal="center"/>
    </xf>
    <xf numFmtId="0" fontId="21" fillId="0" borderId="0" xfId="569" applyFont="1" applyAlignment="1">
      <alignment horizontal="center"/>
    </xf>
    <xf numFmtId="0" fontId="14" fillId="0" borderId="0" xfId="569" applyAlignment="1">
      <alignment horizontal="left" indent="4"/>
    </xf>
    <xf numFmtId="0" fontId="14" fillId="0" borderId="0" xfId="569" quotePrefix="1" applyAlignment="1">
      <alignment horizontal="left"/>
    </xf>
    <xf numFmtId="0" fontId="32" fillId="0" borderId="0" xfId="569" applyFont="1"/>
    <xf numFmtId="0" fontId="14" fillId="0" borderId="0" xfId="1192" applyAlignment="1" applyProtection="1">
      <alignment horizontal="left"/>
      <protection locked="0"/>
    </xf>
    <xf numFmtId="0" fontId="14" fillId="0" borderId="0" xfId="569" applyAlignment="1" applyProtection="1">
      <alignment horizontal="left"/>
      <protection locked="0"/>
    </xf>
    <xf numFmtId="49" fontId="14" fillId="0" borderId="0" xfId="1192" applyNumberFormat="1" applyAlignment="1">
      <alignment horizontal="center"/>
    </xf>
    <xf numFmtId="0" fontId="42" fillId="0" borderId="0" xfId="1192" applyFont="1" applyAlignment="1">
      <alignment horizontal="center"/>
    </xf>
    <xf numFmtId="0" fontId="21" fillId="0" borderId="0" xfId="1192" applyFont="1" applyAlignment="1">
      <alignment horizontal="left"/>
    </xf>
    <xf numFmtId="4" fontId="14" fillId="0" borderId="0" xfId="1192" applyNumberFormat="1" applyAlignment="1">
      <alignment horizontal="left"/>
    </xf>
    <xf numFmtId="0" fontId="21" fillId="0" borderId="0" xfId="569" quotePrefix="1" applyFont="1" applyAlignment="1">
      <alignment horizontal="center"/>
    </xf>
    <xf numFmtId="49" fontId="14" fillId="0" borderId="0" xfId="569" applyNumberFormat="1"/>
    <xf numFmtId="0" fontId="40" fillId="0" borderId="0" xfId="569" applyFont="1" applyAlignment="1">
      <alignment horizontal="left"/>
    </xf>
    <xf numFmtId="4" fontId="42" fillId="0" borderId="0" xfId="569" applyNumberFormat="1" applyFont="1" applyAlignment="1">
      <alignment horizontal="center"/>
    </xf>
    <xf numFmtId="4" fontId="14" fillId="0" borderId="0" xfId="569" applyNumberFormat="1" applyAlignment="1">
      <alignment horizontal="center"/>
    </xf>
    <xf numFmtId="4" fontId="14" fillId="0" borderId="0" xfId="569" applyNumberFormat="1"/>
    <xf numFmtId="0" fontId="39" fillId="0" borderId="0" xfId="569" applyFont="1" applyAlignment="1">
      <alignment horizontal="left"/>
    </xf>
    <xf numFmtId="0" fontId="15" fillId="0" borderId="0" xfId="244" applyNumberFormat="1" applyFill="1" applyAlignment="1" applyProtection="1">
      <alignment horizontal="left"/>
      <protection locked="0"/>
    </xf>
    <xf numFmtId="0" fontId="44" fillId="0" borderId="11" xfId="0" applyFont="1" applyBorder="1" applyAlignment="1" applyProtection="1">
      <alignment horizontal="right" vertical="top" wrapText="1"/>
      <protection locked="0"/>
    </xf>
    <xf numFmtId="0" fontId="14" fillId="0" borderId="11" xfId="271" applyFont="1" applyBorder="1" applyAlignment="1">
      <alignment horizontal="right" vertical="top" wrapText="1"/>
    </xf>
    <xf numFmtId="0" fontId="22" fillId="0" borderId="0" xfId="569" applyFont="1" applyAlignment="1">
      <alignment horizontal="left"/>
    </xf>
    <xf numFmtId="0" fontId="93" fillId="0" borderId="0" xfId="0" applyFont="1"/>
    <xf numFmtId="0" fontId="104" fillId="0" borderId="0" xfId="0" applyFont="1" applyAlignment="1">
      <alignment horizontal="left" vertical="top"/>
    </xf>
    <xf numFmtId="0" fontId="105" fillId="0" borderId="0" xfId="0" applyFont="1" applyAlignment="1">
      <alignment horizontal="left" vertical="top"/>
    </xf>
    <xf numFmtId="168" fontId="22" fillId="0" borderId="0" xfId="0" applyNumberFormat="1" applyFont="1" applyAlignment="1">
      <alignment horizontal="left" vertical="top" wrapText="1"/>
    </xf>
    <xf numFmtId="168" fontId="44" fillId="5" borderId="11" xfId="0" applyNumberFormat="1" applyFont="1" applyFill="1" applyBorder="1" applyAlignment="1">
      <alignment vertical="top" wrapText="1"/>
    </xf>
    <xf numFmtId="0" fontId="14" fillId="0" borderId="0" xfId="271" applyFont="1" applyAlignment="1">
      <alignment horizontal="left" vertical="top"/>
    </xf>
    <xf numFmtId="0" fontId="44" fillId="0" borderId="0" xfId="569" applyFont="1"/>
    <xf numFmtId="0" fontId="14" fillId="0" borderId="0" xfId="0" applyFont="1" applyAlignment="1">
      <alignment horizontal="left" vertical="top"/>
    </xf>
    <xf numFmtId="4" fontId="14" fillId="0" borderId="0" xfId="1192" applyNumberFormat="1" applyAlignment="1">
      <alignment vertical="top" wrapText="1"/>
    </xf>
    <xf numFmtId="0" fontId="21" fillId="0" borderId="16" xfId="271" applyFont="1" applyBorder="1"/>
    <xf numFmtId="0" fontId="49" fillId="0" borderId="0" xfId="569" applyFont="1"/>
    <xf numFmtId="0" fontId="34" fillId="0" borderId="0" xfId="569" applyFont="1"/>
    <xf numFmtId="0" fontId="14" fillId="0" borderId="0" xfId="1192" applyAlignment="1">
      <alignment vertical="top" wrapText="1"/>
    </xf>
    <xf numFmtId="49" fontId="14" fillId="0" borderId="0" xfId="1192" applyNumberFormat="1" applyAlignment="1">
      <alignment vertical="top" wrapText="1"/>
    </xf>
    <xf numFmtId="0" fontId="46" fillId="0" borderId="9" xfId="543" applyFont="1" applyBorder="1" applyAlignment="1">
      <alignment vertical="top"/>
    </xf>
    <xf numFmtId="0" fontId="14" fillId="0" borderId="0" xfId="0" applyFont="1" applyAlignment="1">
      <alignment vertical="center"/>
    </xf>
    <xf numFmtId="0" fontId="106" fillId="0" borderId="0" xfId="0" applyFont="1"/>
    <xf numFmtId="3" fontId="93" fillId="0" borderId="0" xfId="0" applyNumberFormat="1" applyFont="1"/>
    <xf numFmtId="0" fontId="93" fillId="0" borderId="0" xfId="0" applyFont="1" applyAlignment="1">
      <alignment horizontal="left"/>
    </xf>
    <xf numFmtId="168" fontId="107" fillId="0" borderId="0" xfId="0" applyNumberFormat="1" applyFont="1" applyAlignment="1">
      <alignment horizontal="left" vertical="top"/>
    </xf>
    <xf numFmtId="0" fontId="93" fillId="0" borderId="0" xfId="0" applyFont="1" applyAlignment="1">
      <alignment horizontal="left" vertical="center"/>
    </xf>
    <xf numFmtId="0" fontId="109" fillId="0" borderId="0" xfId="0" applyFont="1"/>
    <xf numFmtId="172" fontId="14" fillId="0" borderId="8" xfId="543" applyNumberFormat="1" applyBorder="1"/>
    <xf numFmtId="0" fontId="14" fillId="0" borderId="8" xfId="4495" applyFont="1" applyBorder="1"/>
    <xf numFmtId="0" fontId="14" fillId="0" borderId="0" xfId="4495" applyFont="1"/>
    <xf numFmtId="0" fontId="20" fillId="0" borderId="0" xfId="4495" applyFont="1" applyAlignment="1">
      <alignment horizontal="center" vertical="center"/>
    </xf>
    <xf numFmtId="0" fontId="21" fillId="0" borderId="0" xfId="4495" applyFont="1" applyAlignment="1">
      <alignment horizontal="left"/>
    </xf>
    <xf numFmtId="0" fontId="21" fillId="0" borderId="0" xfId="4495" applyFont="1"/>
    <xf numFmtId="0" fontId="24" fillId="0" borderId="0" xfId="4495" applyFont="1" applyAlignment="1">
      <alignment horizontal="center" vertical="center"/>
    </xf>
    <xf numFmtId="0" fontId="24" fillId="0" borderId="27" xfId="4495" applyFont="1" applyBorder="1" applyAlignment="1">
      <alignment horizontal="center" vertical="center"/>
    </xf>
    <xf numFmtId="0" fontId="24" fillId="0" borderId="46" xfId="4495" applyFont="1" applyBorder="1" applyAlignment="1">
      <alignment horizontal="center" vertical="center"/>
    </xf>
    <xf numFmtId="0" fontId="21" fillId="0" borderId="0" xfId="4495" applyFont="1" applyAlignment="1">
      <alignment horizontal="right"/>
    </xf>
    <xf numFmtId="0" fontId="32" fillId="0" borderId="0" xfId="4495" applyFont="1" applyAlignment="1">
      <alignment horizontal="left" vertical="center"/>
    </xf>
    <xf numFmtId="0" fontId="14" fillId="0" borderId="0" xfId="1192" quotePrefix="1" applyAlignment="1">
      <alignment horizontal="center"/>
    </xf>
    <xf numFmtId="0" fontId="39" fillId="0" borderId="0" xfId="4495" applyFont="1" applyAlignment="1">
      <alignment horizontal="left" vertical="center"/>
    </xf>
    <xf numFmtId="49" fontId="22" fillId="0" borderId="0" xfId="4495" applyNumberFormat="1" applyFont="1" applyAlignment="1">
      <alignment horizontal="left" vertical="top"/>
    </xf>
    <xf numFmtId="0" fontId="14" fillId="0" borderId="47" xfId="4495" applyFont="1" applyBorder="1" applyAlignment="1">
      <alignment horizontal="left" vertical="center"/>
    </xf>
    <xf numFmtId="0" fontId="24" fillId="0" borderId="48" xfId="4495" applyFont="1" applyBorder="1" applyAlignment="1">
      <alignment horizontal="center" vertical="center"/>
    </xf>
    <xf numFmtId="0" fontId="22" fillId="0" borderId="0" xfId="4495" applyFont="1"/>
    <xf numFmtId="0" fontId="22" fillId="0" borderId="0" xfId="4495" applyFont="1" applyAlignment="1">
      <alignment horizontal="left" vertical="top"/>
    </xf>
    <xf numFmtId="0" fontId="111" fillId="0" borderId="53" xfId="4496" applyFont="1" applyBorder="1" applyAlignment="1">
      <alignment horizontal="left" vertical="top"/>
    </xf>
    <xf numFmtId="0" fontId="110" fillId="0" borderId="0" xfId="4496" applyFont="1" applyAlignment="1">
      <alignment horizontal="left" vertical="top" wrapText="1"/>
    </xf>
    <xf numFmtId="0" fontId="110" fillId="0" borderId="54" xfId="4496" applyFont="1" applyBorder="1" applyAlignment="1">
      <alignment horizontal="left" vertical="top" wrapText="1"/>
    </xf>
    <xf numFmtId="0" fontId="14" fillId="0" borderId="0" xfId="4495" applyFont="1" applyAlignment="1">
      <alignment horizontal="left" vertical="center"/>
    </xf>
    <xf numFmtId="0" fontId="112" fillId="0" borderId="0" xfId="4496" applyFont="1" applyAlignment="1">
      <alignment vertical="center"/>
    </xf>
    <xf numFmtId="0" fontId="110" fillId="0" borderId="0" xfId="4496" applyFont="1"/>
    <xf numFmtId="0" fontId="110" fillId="0" borderId="0" xfId="4496" applyFont="1" applyAlignment="1">
      <alignment vertical="center"/>
    </xf>
    <xf numFmtId="0" fontId="113" fillId="0" borderId="0" xfId="4496" applyFont="1" applyAlignment="1">
      <alignment vertical="center"/>
    </xf>
    <xf numFmtId="0" fontId="14" fillId="0" borderId="0" xfId="4496" applyFont="1" applyAlignment="1">
      <alignment vertical="center"/>
    </xf>
    <xf numFmtId="0" fontId="22" fillId="0" borderId="3" xfId="4495" applyFont="1" applyBorder="1" applyAlignment="1">
      <alignment vertical="top" wrapText="1"/>
    </xf>
    <xf numFmtId="0" fontId="22" fillId="0" borderId="4" xfId="4495" applyFont="1" applyBorder="1" applyAlignment="1">
      <alignment vertical="top" wrapText="1"/>
    </xf>
    <xf numFmtId="164" fontId="108" fillId="0" borderId="4" xfId="4495" applyNumberFormat="1" applyBorder="1" applyAlignment="1">
      <alignment horizontal="right"/>
    </xf>
    <xf numFmtId="0" fontId="22" fillId="0" borderId="4" xfId="4495" applyFont="1" applyBorder="1"/>
    <xf numFmtId="0" fontId="21" fillId="0" borderId="5" xfId="4495" applyFont="1" applyBorder="1" applyAlignment="1">
      <alignment horizontal="right"/>
    </xf>
    <xf numFmtId="0" fontId="14" fillId="0" borderId="16" xfId="4495" applyFont="1" applyBorder="1"/>
    <xf numFmtId="0" fontId="14" fillId="0" borderId="16" xfId="4495" applyFont="1" applyBorder="1" applyAlignment="1">
      <alignment horizontal="left" vertical="top"/>
    </xf>
    <xf numFmtId="0" fontId="22" fillId="0" borderId="16" xfId="4495" applyFont="1" applyBorder="1" applyAlignment="1">
      <alignment horizontal="left" vertical="top" wrapText="1"/>
    </xf>
    <xf numFmtId="0" fontId="22" fillId="0" borderId="45" xfId="4495" applyFont="1" applyBorder="1" applyAlignment="1">
      <alignment horizontal="left" vertical="top" wrapText="1"/>
    </xf>
    <xf numFmtId="0" fontId="108" fillId="0" borderId="0" xfId="4495"/>
    <xf numFmtId="0" fontId="15" fillId="0" borderId="0" xfId="244" applyFill="1" applyBorder="1" applyAlignment="1" applyProtection="1">
      <alignment horizontal="left" vertical="top"/>
    </xf>
    <xf numFmtId="0" fontId="15" fillId="0" borderId="0" xfId="244" applyFill="1" applyBorder="1" applyAlignment="1" applyProtection="1">
      <alignment horizontal="left" vertical="top" wrapText="1"/>
    </xf>
    <xf numFmtId="0" fontId="22" fillId="0" borderId="0" xfId="4495" applyFont="1" applyAlignment="1">
      <alignment horizontal="left" vertical="top" wrapText="1"/>
    </xf>
    <xf numFmtId="0" fontId="22" fillId="0" borderId="0" xfId="4495" applyFont="1" applyAlignment="1">
      <alignment horizontal="right" vertical="top"/>
    </xf>
    <xf numFmtId="0" fontId="14" fillId="0" borderId="0" xfId="4495" applyFont="1" applyAlignment="1">
      <alignment vertical="center" wrapText="1"/>
    </xf>
    <xf numFmtId="0" fontId="110" fillId="0" borderId="53" xfId="4496" applyFont="1" applyBorder="1" applyAlignment="1">
      <alignment vertical="top" wrapText="1"/>
    </xf>
    <xf numFmtId="0" fontId="110" fillId="0" borderId="0" xfId="4496" applyFont="1" applyAlignment="1">
      <alignment vertical="top" wrapText="1"/>
    </xf>
    <xf numFmtId="10" fontId="110" fillId="0" borderId="0" xfId="4496" applyNumberFormat="1" applyFont="1" applyAlignment="1">
      <alignment vertical="top" wrapText="1"/>
    </xf>
    <xf numFmtId="0" fontId="110" fillId="0" borderId="54" xfId="4496" applyFont="1" applyBorder="1" applyAlignment="1">
      <alignment vertical="top" wrapText="1"/>
    </xf>
    <xf numFmtId="0" fontId="110" fillId="0" borderId="0" xfId="4496" applyFont="1" applyAlignment="1">
      <alignment vertical="top"/>
    </xf>
    <xf numFmtId="165" fontId="110" fillId="0" borderId="0" xfId="4496" applyNumberFormat="1" applyFont="1" applyAlignment="1">
      <alignment vertical="top" wrapText="1"/>
    </xf>
    <xf numFmtId="0" fontId="21" fillId="0" borderId="57" xfId="4495" applyFont="1" applyBorder="1"/>
    <xf numFmtId="0" fontId="21" fillId="0" borderId="58" xfId="4495" applyFont="1" applyBorder="1"/>
    <xf numFmtId="0" fontId="21" fillId="0" borderId="58" xfId="4495" applyFont="1" applyBorder="1" applyAlignment="1">
      <alignment horizontal="right"/>
    </xf>
    <xf numFmtId="0" fontId="21" fillId="0" borderId="59" xfId="4495" applyFont="1" applyBorder="1" applyAlignment="1">
      <alignment horizontal="right"/>
    </xf>
    <xf numFmtId="0" fontId="110" fillId="0" borderId="53" xfId="4496" applyFont="1" applyBorder="1" applyAlignment="1">
      <alignment horizontal="left" vertical="top" wrapText="1"/>
    </xf>
    <xf numFmtId="0" fontId="110" fillId="0" borderId="0" xfId="4496" applyFont="1" applyAlignment="1">
      <alignment horizontal="left" vertical="top"/>
    </xf>
    <xf numFmtId="0" fontId="24" fillId="0" borderId="57" xfId="4495" applyFont="1" applyBorder="1" applyAlignment="1">
      <alignment horizontal="center" vertical="center"/>
    </xf>
    <xf numFmtId="0" fontId="24" fillId="0" borderId="58" xfId="4495" applyFont="1" applyBorder="1" applyAlignment="1">
      <alignment horizontal="center" vertical="center"/>
    </xf>
    <xf numFmtId="0" fontId="24" fillId="0" borderId="59" xfId="4495" applyFont="1" applyBorder="1" applyAlignment="1">
      <alignment horizontal="center" vertical="center"/>
    </xf>
    <xf numFmtId="0" fontId="21" fillId="0" borderId="0" xfId="4495" applyFont="1" applyAlignment="1">
      <alignment horizontal="center"/>
    </xf>
    <xf numFmtId="0" fontId="21" fillId="0" borderId="8" xfId="4495" applyFont="1" applyBorder="1"/>
    <xf numFmtId="0" fontId="22" fillId="0" borderId="0" xfId="4495" applyFont="1" applyAlignment="1">
      <alignment horizontal="left"/>
    </xf>
    <xf numFmtId="0" fontId="21" fillId="0" borderId="0" xfId="4495" applyFont="1" applyAlignment="1">
      <alignment horizontal="center" vertical="top"/>
    </xf>
    <xf numFmtId="0" fontId="14" fillId="0" borderId="0" xfId="4495" applyFont="1" applyAlignment="1">
      <alignment horizontal="center"/>
    </xf>
    <xf numFmtId="0" fontId="30" fillId="0" borderId="0" xfId="4495" applyFont="1"/>
    <xf numFmtId="0" fontId="22" fillId="0" borderId="8" xfId="4495" applyFont="1" applyBorder="1"/>
    <xf numFmtId="0" fontId="44" fillId="0" borderId="8" xfId="4495" applyFont="1" applyBorder="1"/>
    <xf numFmtId="1" fontId="14" fillId="0" borderId="0" xfId="1192" applyNumberFormat="1"/>
    <xf numFmtId="0" fontId="14" fillId="0" borderId="3" xfId="4495" applyFont="1" applyBorder="1"/>
    <xf numFmtId="0" fontId="14" fillId="0" borderId="4" xfId="4495" applyFont="1" applyBorder="1"/>
    <xf numFmtId="0" fontId="14" fillId="0" borderId="0" xfId="1192" applyAlignment="1">
      <alignment wrapText="1"/>
    </xf>
    <xf numFmtId="0" fontId="22" fillId="0" borderId="0" xfId="4495" applyFont="1" applyAlignment="1">
      <alignment vertical="top" wrapText="1"/>
    </xf>
    <xf numFmtId="0" fontId="22" fillId="0" borderId="0" xfId="1192" applyFont="1"/>
    <xf numFmtId="0" fontId="14" fillId="0" borderId="0" xfId="4495" applyFont="1" applyAlignment="1">
      <alignment horizontal="left"/>
    </xf>
    <xf numFmtId="0" fontId="22" fillId="0" borderId="3" xfId="4495" applyFont="1" applyBorder="1"/>
    <xf numFmtId="0" fontId="14" fillId="0" borderId="4" xfId="4495" applyFont="1" applyBorder="1" applyAlignment="1">
      <alignment horizontal="right"/>
    </xf>
    <xf numFmtId="1" fontId="14" fillId="0" borderId="0" xfId="4495" applyNumberFormat="1" applyFont="1" applyAlignment="1">
      <alignment horizontal="center"/>
    </xf>
    <xf numFmtId="0" fontId="44" fillId="0" borderId="0" xfId="4495" applyFont="1"/>
    <xf numFmtId="0" fontId="14" fillId="0" borderId="0" xfId="4495" applyFont="1" applyAlignment="1">
      <alignment horizontal="right"/>
    </xf>
    <xf numFmtId="0" fontId="22" fillId="0" borderId="0" xfId="4495" applyFont="1" applyAlignment="1">
      <alignment vertical="top"/>
    </xf>
    <xf numFmtId="0" fontId="22" fillId="0" borderId="27" xfId="4495" applyFont="1" applyBorder="1"/>
    <xf numFmtId="0" fontId="21" fillId="0" borderId="0" xfId="4495" applyFont="1" applyAlignment="1">
      <alignment vertical="top"/>
    </xf>
    <xf numFmtId="0" fontId="32" fillId="0" borderId="0" xfId="4495" applyFont="1" applyAlignment="1">
      <alignment vertical="top" wrapText="1"/>
    </xf>
    <xf numFmtId="0" fontId="21" fillId="0" borderId="0" xfId="4495" applyFont="1" applyAlignment="1">
      <alignment horizontal="left" vertical="top" wrapText="1"/>
    </xf>
    <xf numFmtId="0" fontId="14" fillId="0" borderId="0" xfId="4495" applyFont="1" applyAlignment="1">
      <alignment horizontal="left" vertical="top"/>
    </xf>
    <xf numFmtId="0" fontId="32" fillId="0" borderId="0" xfId="4495" applyFont="1" applyAlignment="1">
      <alignment vertical="top"/>
    </xf>
    <xf numFmtId="0" fontId="14" fillId="0" borderId="10" xfId="4495" applyFont="1" applyBorder="1" applyAlignment="1">
      <alignment horizontal="center"/>
    </xf>
    <xf numFmtId="0" fontId="14" fillId="0" borderId="16" xfId="4495" applyFont="1" applyBorder="1" applyAlignment="1">
      <alignment horizontal="center"/>
    </xf>
    <xf numFmtId="0" fontId="30" fillId="0" borderId="16" xfId="4495" applyFont="1" applyBorder="1"/>
    <xf numFmtId="0" fontId="22" fillId="0" borderId="16" xfId="4495" applyFont="1" applyBorder="1"/>
    <xf numFmtId="0" fontId="14" fillId="0" borderId="0" xfId="4496" applyFont="1" applyAlignment="1">
      <alignment vertical="top" wrapText="1"/>
    </xf>
    <xf numFmtId="0" fontId="21" fillId="0" borderId="0" xfId="1192" applyFont="1" applyAlignment="1">
      <alignment horizontal="right"/>
    </xf>
    <xf numFmtId="0" fontId="14" fillId="0" borderId="0" xfId="4496" applyFont="1"/>
    <xf numFmtId="0" fontId="14" fillId="0" borderId="0" xfId="4496" applyFont="1" applyAlignment="1">
      <alignment horizontal="left"/>
    </xf>
    <xf numFmtId="0" fontId="14" fillId="0" borderId="0" xfId="4496" applyFont="1" applyAlignment="1">
      <alignment horizontal="right"/>
    </xf>
    <xf numFmtId="0" fontId="22" fillId="0" borderId="0" xfId="4496" applyFont="1" applyAlignment="1">
      <alignment vertical="top" wrapText="1"/>
    </xf>
    <xf numFmtId="0" fontId="14" fillId="0" borderId="4" xfId="4496" applyFont="1" applyBorder="1"/>
    <xf numFmtId="0" fontId="21" fillId="0" borderId="4" xfId="4496" applyFont="1" applyBorder="1" applyAlignment="1">
      <alignment horizontal="right"/>
    </xf>
    <xf numFmtId="0" fontId="22" fillId="0" borderId="27" xfId="4495" applyFont="1" applyBorder="1" applyAlignment="1">
      <alignment horizontal="left" vertical="top"/>
    </xf>
    <xf numFmtId="0" fontId="14" fillId="0" borderId="27" xfId="4495" applyFont="1" applyBorder="1" applyAlignment="1">
      <alignment horizontal="left" vertical="top"/>
    </xf>
    <xf numFmtId="0" fontId="21" fillId="0" borderId="27" xfId="4495" applyFont="1" applyBorder="1" applyAlignment="1">
      <alignment horizontal="right"/>
    </xf>
    <xf numFmtId="0" fontId="14" fillId="0" borderId="27" xfId="4495" applyFont="1" applyBorder="1" applyAlignment="1">
      <alignment horizontal="center"/>
    </xf>
    <xf numFmtId="0" fontId="14" fillId="0" borderId="46" xfId="4495" applyFont="1" applyBorder="1" applyAlignment="1">
      <alignment horizontal="center"/>
    </xf>
    <xf numFmtId="164" fontId="22" fillId="0" borderId="0" xfId="4495" applyNumberFormat="1" applyFont="1" applyAlignment="1">
      <alignment horizontal="left" vertical="top" wrapText="1"/>
    </xf>
    <xf numFmtId="0" fontId="25" fillId="0" borderId="0" xfId="4495" applyFont="1"/>
    <xf numFmtId="0" fontId="22" fillId="0" borderId="0" xfId="4495" applyFont="1" applyAlignment="1">
      <alignment horizontal="right"/>
    </xf>
    <xf numFmtId="0" fontId="14" fillId="0" borderId="27" xfId="543" applyBorder="1"/>
    <xf numFmtId="0" fontId="14" fillId="0" borderId="46" xfId="543" applyBorder="1"/>
    <xf numFmtId="0" fontId="21" fillId="0" borderId="0" xfId="4495" applyFont="1" applyAlignment="1">
      <alignment horizontal="left" vertical="top"/>
    </xf>
    <xf numFmtId="1" fontId="108" fillId="0" borderId="0" xfId="4495" applyNumberFormat="1"/>
    <xf numFmtId="0" fontId="14" fillId="0" borderId="0" xfId="4495" applyFont="1" applyAlignment="1">
      <alignment vertical="top" wrapText="1"/>
    </xf>
    <xf numFmtId="0" fontId="14" fillId="0" borderId="0" xfId="4495" applyFont="1" applyAlignment="1">
      <alignment horizontal="left" vertical="top" wrapText="1"/>
    </xf>
    <xf numFmtId="0" fontId="14" fillId="0" borderId="50" xfId="4495" applyFont="1" applyBorder="1" applyAlignment="1">
      <alignment vertical="top"/>
    </xf>
    <xf numFmtId="0" fontId="14" fillId="0" borderId="51" xfId="4495" applyFont="1" applyBorder="1" applyAlignment="1">
      <alignment vertical="top"/>
    </xf>
    <xf numFmtId="0" fontId="14" fillId="0" borderId="52" xfId="4495" applyFont="1" applyBorder="1" applyAlignment="1">
      <alignment vertical="top"/>
    </xf>
    <xf numFmtId="1" fontId="22" fillId="0" borderId="8" xfId="4495" applyNumberFormat="1" applyFont="1" applyBorder="1"/>
    <xf numFmtId="0" fontId="14" fillId="0" borderId="0" xfId="543" applyAlignment="1">
      <alignment vertical="top"/>
    </xf>
    <xf numFmtId="0" fontId="22" fillId="0" borderId="51" xfId="4495" applyFont="1" applyBorder="1" applyAlignment="1">
      <alignment horizontal="left" vertical="top"/>
    </xf>
    <xf numFmtId="0" fontId="22" fillId="0" borderId="52" xfId="4495" applyFont="1" applyBorder="1" applyAlignment="1">
      <alignment horizontal="left" vertical="top"/>
    </xf>
    <xf numFmtId="0" fontId="108" fillId="0" borderId="0" xfId="4495" applyAlignment="1" applyProtection="1">
      <alignment horizontal="center"/>
      <protection locked="0"/>
    </xf>
    <xf numFmtId="0" fontId="14" fillId="0" borderId="53" xfId="4495" applyFont="1" applyBorder="1" applyAlignment="1">
      <alignment vertical="top"/>
    </xf>
    <xf numFmtId="0" fontId="14" fillId="0" borderId="54" xfId="4495" applyFont="1" applyBorder="1" applyAlignment="1">
      <alignment vertical="top" wrapText="1"/>
    </xf>
    <xf numFmtId="0" fontId="50" fillId="0" borderId="53" xfId="4495" applyFont="1" applyBorder="1"/>
    <xf numFmtId="0" fontId="22" fillId="0" borderId="54" xfId="4495" applyFont="1" applyBorder="1" applyAlignment="1">
      <alignment horizontal="left" vertical="top"/>
    </xf>
    <xf numFmtId="0" fontId="14" fillId="0" borderId="53" xfId="4495" applyFont="1" applyBorder="1" applyAlignment="1">
      <alignment vertical="center" wrapText="1"/>
    </xf>
    <xf numFmtId="0" fontId="50" fillId="0" borderId="57" xfId="4495" applyFont="1" applyBorder="1"/>
    <xf numFmtId="0" fontId="22" fillId="0" borderId="58" xfId="4495" applyFont="1" applyBorder="1" applyAlignment="1">
      <alignment horizontal="left" vertical="top"/>
    </xf>
    <xf numFmtId="0" fontId="22" fillId="0" borderId="12" xfId="4495" applyFont="1" applyBorder="1"/>
    <xf numFmtId="0" fontId="14" fillId="0" borderId="57" xfId="4495" applyFont="1" applyBorder="1" applyAlignment="1">
      <alignment vertical="center"/>
    </xf>
    <xf numFmtId="0" fontId="14" fillId="0" borderId="58" xfId="4495" applyFont="1" applyBorder="1" applyAlignment="1">
      <alignment vertical="top"/>
    </xf>
    <xf numFmtId="0" fontId="14" fillId="0" borderId="59" xfId="4495" applyFont="1" applyBorder="1" applyAlignment="1">
      <alignment vertical="top"/>
    </xf>
    <xf numFmtId="0" fontId="14" fillId="0" borderId="0" xfId="4495" applyFont="1" applyAlignment="1">
      <alignment vertical="top"/>
    </xf>
    <xf numFmtId="0" fontId="22" fillId="0" borderId="4" xfId="4495" applyFont="1" applyBorder="1" applyAlignment="1">
      <alignment horizontal="left" vertical="top"/>
    </xf>
    <xf numFmtId="0" fontId="14" fillId="0" borderId="4" xfId="4495" applyFont="1" applyBorder="1" applyAlignment="1">
      <alignment horizontal="left" vertical="top"/>
    </xf>
    <xf numFmtId="0" fontId="14" fillId="0" borderId="2" xfId="4495" applyFont="1" applyBorder="1"/>
    <xf numFmtId="0" fontId="22" fillId="0" borderId="2" xfId="4495" applyFont="1" applyBorder="1"/>
    <xf numFmtId="0" fontId="14" fillId="0" borderId="2" xfId="4495" applyFont="1" applyBorder="1" applyAlignment="1">
      <alignment horizontal="center"/>
    </xf>
    <xf numFmtId="0" fontId="22" fillId="0" borderId="7" xfId="4495" applyFont="1" applyBorder="1"/>
    <xf numFmtId="0" fontId="30" fillId="0" borderId="0" xfId="4495" applyFont="1" applyAlignment="1">
      <alignment horizontal="right"/>
    </xf>
    <xf numFmtId="0" fontId="114" fillId="0" borderId="0" xfId="4495" applyFont="1" applyAlignment="1">
      <alignment horizontal="left" vertical="top" wrapText="1"/>
    </xf>
    <xf numFmtId="0" fontId="30" fillId="0" borderId="0" xfId="4495" applyFont="1" applyAlignment="1">
      <alignment horizontal="left" vertical="top"/>
    </xf>
    <xf numFmtId="0" fontId="22" fillId="0" borderId="0" xfId="4495" quotePrefix="1" applyFont="1" applyAlignment="1">
      <alignment horizontal="right"/>
    </xf>
    <xf numFmtId="0" fontId="14" fillId="0" borderId="0" xfId="4497"/>
    <xf numFmtId="0" fontId="22" fillId="0" borderId="0" xfId="4495" applyFont="1" applyAlignment="1">
      <alignment horizontal="left" vertical="top" wrapText="1" shrinkToFit="1"/>
    </xf>
    <xf numFmtId="0" fontId="108" fillId="0" borderId="0" xfId="4495" applyAlignment="1">
      <alignment vertical="top" wrapText="1"/>
    </xf>
    <xf numFmtId="0" fontId="22" fillId="0" borderId="4" xfId="4495" applyFont="1" applyBorder="1" applyAlignment="1">
      <alignment horizontal="left" vertical="top" wrapText="1" shrinkToFit="1"/>
    </xf>
    <xf numFmtId="0" fontId="30" fillId="0" borderId="8" xfId="4495" applyFont="1" applyBorder="1"/>
    <xf numFmtId="0" fontId="22" fillId="0" borderId="0" xfId="4495" applyFont="1" applyAlignment="1">
      <alignment horizontal="center"/>
    </xf>
    <xf numFmtId="0" fontId="22" fillId="0" borderId="0" xfId="4495" quotePrefix="1" applyFont="1"/>
    <xf numFmtId="0" fontId="22" fillId="0" borderId="0" xfId="4495" applyFont="1" applyAlignment="1">
      <alignment horizontal="left" vertical="top" shrinkToFit="1"/>
    </xf>
    <xf numFmtId="0" fontId="39" fillId="0" borderId="0" xfId="4495" applyFont="1"/>
    <xf numFmtId="0" fontId="22" fillId="0" borderId="3" xfId="4495" applyFont="1" applyBorder="1" applyAlignment="1">
      <alignment horizontal="center"/>
    </xf>
    <xf numFmtId="0" fontId="108" fillId="0" borderId="8" xfId="4495" applyBorder="1"/>
    <xf numFmtId="0" fontId="21" fillId="0" borderId="8" xfId="4495" applyFont="1" applyBorder="1" applyAlignment="1">
      <alignment vertical="top"/>
    </xf>
    <xf numFmtId="0" fontId="108" fillId="0" borderId="0" xfId="4495" applyAlignment="1">
      <alignment vertical="top"/>
    </xf>
    <xf numFmtId="0" fontId="21" fillId="0" borderId="4" xfId="4495" applyFont="1" applyBorder="1" applyAlignment="1">
      <alignment horizontal="center" vertical="top"/>
    </xf>
    <xf numFmtId="0" fontId="114" fillId="0" borderId="0" xfId="4495" applyFont="1" applyAlignment="1">
      <alignment horizontal="left" vertical="top"/>
    </xf>
    <xf numFmtId="0" fontId="114" fillId="0" borderId="4" xfId="4495" applyFont="1" applyBorder="1" applyAlignment="1">
      <alignment horizontal="left" vertical="top"/>
    </xf>
    <xf numFmtId="168" fontId="14" fillId="0" borderId="0" xfId="4497" applyNumberFormat="1"/>
    <xf numFmtId="1" fontId="22" fillId="0" borderId="0" xfId="4495" applyNumberFormat="1" applyFont="1" applyAlignment="1">
      <alignment horizontal="center" vertical="top"/>
    </xf>
    <xf numFmtId="0" fontId="118" fillId="0" borderId="0" xfId="4495" applyFont="1" applyAlignment="1">
      <alignment vertical="top" wrapText="1"/>
    </xf>
    <xf numFmtId="0" fontId="118" fillId="0" borderId="0" xfId="4495" applyFont="1" applyAlignment="1">
      <alignment horizontal="left" vertical="top" wrapText="1"/>
    </xf>
    <xf numFmtId="0" fontId="22" fillId="0" borderId="6" xfId="4495" applyFont="1" applyBorder="1"/>
    <xf numFmtId="1" fontId="22" fillId="0" borderId="8" xfId="4495" applyNumberFormat="1" applyFont="1" applyBorder="1" applyAlignment="1">
      <alignment horizontal="center" vertical="top"/>
    </xf>
    <xf numFmtId="0" fontId="108" fillId="0" borderId="12" xfId="4495" applyBorder="1"/>
    <xf numFmtId="0" fontId="22" fillId="0" borderId="9" xfId="4495" applyFont="1" applyBorder="1"/>
    <xf numFmtId="0" fontId="108" fillId="0" borderId="10" xfId="4495" applyBorder="1"/>
    <xf numFmtId="0" fontId="30" fillId="0" borderId="3" xfId="4495" applyFont="1" applyBorder="1"/>
    <xf numFmtId="0" fontId="21" fillId="0" borderId="4" xfId="4495" applyFont="1" applyBorder="1"/>
    <xf numFmtId="0" fontId="108" fillId="0" borderId="12" xfId="4495" applyBorder="1" applyAlignment="1">
      <alignment vertical="top"/>
    </xf>
    <xf numFmtId="0" fontId="30" fillId="0" borderId="1" xfId="4495" applyFont="1" applyBorder="1"/>
    <xf numFmtId="0" fontId="118" fillId="0" borderId="2" xfId="4495" applyFont="1" applyBorder="1" applyAlignment="1">
      <alignment horizontal="left" wrapText="1"/>
    </xf>
    <xf numFmtId="0" fontId="118" fillId="0" borderId="2" xfId="4495" applyFont="1" applyBorder="1" applyAlignment="1">
      <alignment horizontal="left"/>
    </xf>
    <xf numFmtId="0" fontId="118" fillId="0" borderId="7" xfId="4495" applyFont="1" applyBorder="1" applyAlignment="1">
      <alignment horizontal="left" wrapText="1"/>
    </xf>
    <xf numFmtId="0" fontId="118" fillId="0" borderId="0" xfId="4495" applyFont="1" applyAlignment="1">
      <alignment horizontal="left" wrapText="1"/>
    </xf>
    <xf numFmtId="0" fontId="30" fillId="0" borderId="9" xfId="4495" applyFont="1" applyBorder="1"/>
    <xf numFmtId="0" fontId="22" fillId="0" borderId="10" xfId="4495" applyFont="1" applyBorder="1"/>
    <xf numFmtId="0" fontId="118" fillId="0" borderId="0" xfId="4495" applyFont="1" applyAlignment="1">
      <alignment wrapText="1"/>
    </xf>
    <xf numFmtId="0" fontId="30" fillId="0" borderId="9" xfId="4495" applyFont="1" applyBorder="1" applyAlignment="1">
      <alignment horizontal="center"/>
    </xf>
    <xf numFmtId="0" fontId="21" fillId="0" borderId="10" xfId="4495" applyFont="1" applyBorder="1"/>
    <xf numFmtId="0" fontId="32" fillId="0" borderId="0" xfId="4495" applyFont="1"/>
    <xf numFmtId="0" fontId="22" fillId="0" borderId="50" xfId="4495" applyFont="1" applyBorder="1"/>
    <xf numFmtId="0" fontId="22" fillId="0" borderId="51" xfId="4495" applyFont="1" applyBorder="1"/>
    <xf numFmtId="1" fontId="22" fillId="0" borderId="51" xfId="4495" quotePrefix="1" applyNumberFormat="1" applyFont="1" applyBorder="1" applyAlignment="1">
      <alignment horizontal="center" vertical="top"/>
    </xf>
    <xf numFmtId="0" fontId="21" fillId="0" borderId="51" xfId="4495" applyFont="1" applyBorder="1"/>
    <xf numFmtId="0" fontId="21" fillId="0" borderId="52" xfId="4495" applyFont="1" applyBorder="1" applyAlignment="1">
      <alignment horizontal="center"/>
    </xf>
    <xf numFmtId="0" fontId="14" fillId="0" borderId="53" xfId="4495" applyFont="1" applyBorder="1"/>
    <xf numFmtId="1" fontId="22" fillId="0" borderId="0" xfId="4495" quotePrefix="1" applyNumberFormat="1" applyFont="1" applyAlignment="1">
      <alignment horizontal="center" vertical="top"/>
    </xf>
    <xf numFmtId="0" fontId="21" fillId="0" borderId="54" xfId="4495" applyFont="1" applyBorder="1" applyAlignment="1">
      <alignment horizontal="center"/>
    </xf>
    <xf numFmtId="0" fontId="30" fillId="0" borderId="0" xfId="4495" applyFont="1" applyAlignment="1">
      <alignment vertical="top"/>
    </xf>
    <xf numFmtId="0" fontId="22" fillId="0" borderId="61" xfId="4495" applyFont="1" applyBorder="1"/>
    <xf numFmtId="0" fontId="108" fillId="0" borderId="58" xfId="4495" applyBorder="1" applyAlignment="1">
      <alignment horizontal="center"/>
    </xf>
    <xf numFmtId="1" fontId="22" fillId="0" borderId="58" xfId="4495" quotePrefix="1" applyNumberFormat="1" applyFont="1" applyBorder="1" applyAlignment="1">
      <alignment horizontal="center" vertical="top"/>
    </xf>
    <xf numFmtId="0" fontId="30" fillId="0" borderId="58" xfId="4495" applyFont="1" applyBorder="1" applyAlignment="1">
      <alignment vertical="top"/>
    </xf>
    <xf numFmtId="0" fontId="22" fillId="0" borderId="58" xfId="4495" applyFont="1" applyBorder="1" applyAlignment="1">
      <alignment vertical="top" wrapText="1"/>
    </xf>
    <xf numFmtId="0" fontId="22" fillId="0" borderId="58" xfId="4495" applyFont="1" applyBorder="1"/>
    <xf numFmtId="0" fontId="21" fillId="0" borderId="58" xfId="4495" applyFont="1" applyBorder="1" applyAlignment="1">
      <alignment horizontal="center"/>
    </xf>
    <xf numFmtId="0" fontId="108" fillId="0" borderId="61" xfId="4495" applyBorder="1"/>
    <xf numFmtId="0" fontId="108" fillId="0" borderId="0" xfId="4495" applyAlignment="1">
      <alignment horizontal="center"/>
    </xf>
    <xf numFmtId="0" fontId="14" fillId="0" borderId="53" xfId="543" applyBorder="1"/>
    <xf numFmtId="0" fontId="22" fillId="0" borderId="54" xfId="4495" applyFont="1" applyBorder="1"/>
    <xf numFmtId="0" fontId="14" fillId="0" borderId="58" xfId="543" applyBorder="1"/>
    <xf numFmtId="1" fontId="22" fillId="0" borderId="58" xfId="4495" applyNumberFormat="1" applyFont="1" applyBorder="1" applyAlignment="1">
      <alignment horizontal="center" vertical="top"/>
    </xf>
    <xf numFmtId="0" fontId="30" fillId="0" borderId="58" xfId="4495" applyFont="1" applyBorder="1" applyAlignment="1">
      <alignment vertical="center"/>
    </xf>
    <xf numFmtId="0" fontId="108" fillId="0" borderId="58" xfId="4495" applyBorder="1" applyAlignment="1">
      <alignment vertical="top" wrapText="1"/>
    </xf>
    <xf numFmtId="0" fontId="14" fillId="0" borderId="58" xfId="4495" applyFont="1" applyBorder="1"/>
    <xf numFmtId="0" fontId="30" fillId="0" borderId="0" xfId="4495" applyFont="1" applyAlignment="1">
      <alignment vertical="center"/>
    </xf>
    <xf numFmtId="0" fontId="22" fillId="0" borderId="53" xfId="4495" applyFont="1" applyBorder="1"/>
    <xf numFmtId="0" fontId="14" fillId="0" borderId="57" xfId="543" applyBorder="1"/>
    <xf numFmtId="0" fontId="22" fillId="0" borderId="58" xfId="4495" applyFont="1" applyBorder="1" applyAlignment="1">
      <alignment vertical="top"/>
    </xf>
    <xf numFmtId="0" fontId="22" fillId="0" borderId="59" xfId="4495" applyFont="1" applyBorder="1"/>
    <xf numFmtId="0" fontId="22" fillId="0" borderId="57" xfId="4495" applyFont="1" applyBorder="1"/>
    <xf numFmtId="0" fontId="14" fillId="0" borderId="51" xfId="4495" applyFont="1" applyBorder="1"/>
    <xf numFmtId="0" fontId="22" fillId="0" borderId="52" xfId="4495" applyFont="1" applyBorder="1"/>
    <xf numFmtId="0" fontId="14" fillId="0" borderId="50" xfId="543" applyBorder="1"/>
    <xf numFmtId="0" fontId="14" fillId="0" borderId="51" xfId="543" applyBorder="1"/>
    <xf numFmtId="0" fontId="14" fillId="0" borderId="52" xfId="543" applyBorder="1"/>
    <xf numFmtId="0" fontId="22" fillId="0" borderId="0" xfId="4495" applyFont="1" applyAlignment="1">
      <alignment wrapText="1"/>
    </xf>
    <xf numFmtId="0" fontId="21" fillId="0" borderId="54" xfId="4495" applyFont="1" applyBorder="1" applyAlignment="1">
      <alignment horizontal="center" vertical="top"/>
    </xf>
    <xf numFmtId="0" fontId="108" fillId="0" borderId="53" xfId="4495" applyBorder="1" applyAlignment="1">
      <alignment horizontal="center"/>
    </xf>
    <xf numFmtId="2" fontId="22" fillId="0" borderId="0" xfId="4495" applyNumberFormat="1" applyFont="1" applyAlignment="1">
      <alignment horizontal="right"/>
    </xf>
    <xf numFmtId="2" fontId="22" fillId="0" borderId="8" xfId="4495" applyNumberFormat="1" applyFont="1" applyBorder="1" applyAlignment="1">
      <alignment horizontal="left"/>
    </xf>
    <xf numFmtId="0" fontId="22" fillId="0" borderId="8" xfId="4495" applyFont="1" applyBorder="1" applyAlignment="1">
      <alignment horizontal="right"/>
    </xf>
    <xf numFmtId="0" fontId="117" fillId="0" borderId="0" xfId="4495" applyFont="1"/>
    <xf numFmtId="0" fontId="108" fillId="0" borderId="57" xfId="4495" applyBorder="1" applyAlignment="1">
      <alignment horizontal="center"/>
    </xf>
    <xf numFmtId="0" fontId="21" fillId="0" borderId="59" xfId="4495" applyFont="1" applyBorder="1" applyAlignment="1">
      <alignment horizontal="center"/>
    </xf>
    <xf numFmtId="9" fontId="22" fillId="0" borderId="0" xfId="4495" applyNumberFormat="1" applyFont="1" applyAlignment="1">
      <alignment horizontal="left"/>
    </xf>
    <xf numFmtId="0" fontId="14" fillId="0" borderId="17" xfId="543" applyBorder="1"/>
    <xf numFmtId="0" fontId="14" fillId="0" borderId="16" xfId="543" applyBorder="1"/>
    <xf numFmtId="0" fontId="14" fillId="0" borderId="51" xfId="4495" quotePrefix="1" applyFont="1" applyBorder="1" applyAlignment="1">
      <alignment horizontal="center" vertical="top"/>
    </xf>
    <xf numFmtId="0" fontId="22" fillId="0" borderId="53" xfId="4495" applyFont="1" applyBorder="1" applyAlignment="1">
      <alignment horizontal="left" vertical="top"/>
    </xf>
    <xf numFmtId="0" fontId="22" fillId="0" borderId="0" xfId="4495" applyFont="1" applyAlignment="1">
      <alignment horizontal="center" vertical="top"/>
    </xf>
    <xf numFmtId="0" fontId="22" fillId="0" borderId="57" xfId="4495" applyFont="1" applyBorder="1" applyAlignment="1">
      <alignment horizontal="left" vertical="top"/>
    </xf>
    <xf numFmtId="0" fontId="22" fillId="0" borderId="58" xfId="4495" applyFont="1" applyBorder="1" applyAlignment="1">
      <alignment horizontal="center" vertical="top"/>
    </xf>
    <xf numFmtId="0" fontId="108" fillId="0" borderId="58" xfId="4495" applyBorder="1"/>
    <xf numFmtId="0" fontId="21" fillId="0" borderId="58" xfId="4495" applyFont="1" applyBorder="1" applyAlignment="1">
      <alignment vertical="top"/>
    </xf>
    <xf numFmtId="0" fontId="21" fillId="0" borderId="58" xfId="4495" applyFont="1" applyBorder="1" applyAlignment="1">
      <alignment horizontal="left" vertical="top"/>
    </xf>
    <xf numFmtId="0" fontId="21" fillId="0" borderId="51" xfId="4495" applyFont="1" applyBorder="1" applyAlignment="1">
      <alignment horizontal="left" vertical="top"/>
    </xf>
    <xf numFmtId="0" fontId="21" fillId="0" borderId="53" xfId="4495" applyFont="1" applyBorder="1" applyAlignment="1">
      <alignment horizontal="left" vertical="top"/>
    </xf>
    <xf numFmtId="0" fontId="44" fillId="0" borderId="0" xfId="4495" applyFont="1" applyAlignment="1">
      <alignment horizontal="left" vertical="top"/>
    </xf>
    <xf numFmtId="0" fontId="22" fillId="0" borderId="0" xfId="4495" quotePrefix="1" applyFont="1" applyAlignment="1">
      <alignment horizontal="center" vertical="top"/>
    </xf>
    <xf numFmtId="0" fontId="45" fillId="0" borderId="0" xfId="4495" applyFont="1" applyAlignment="1">
      <alignment horizontal="center"/>
    </xf>
    <xf numFmtId="0" fontId="45" fillId="0" borderId="0" xfId="4495" applyFont="1" applyAlignment="1">
      <alignment vertical="top"/>
    </xf>
    <xf numFmtId="0" fontId="95" fillId="0" borderId="0" xfId="4495" applyFont="1"/>
    <xf numFmtId="0" fontId="44" fillId="0" borderId="0" xfId="4495" applyFont="1" applyAlignment="1">
      <alignment vertical="top"/>
    </xf>
    <xf numFmtId="0" fontId="30" fillId="0" borderId="53" xfId="4495" applyFont="1" applyBorder="1"/>
    <xf numFmtId="2" fontId="22" fillId="0" borderId="8" xfId="4495" applyNumberFormat="1" applyFont="1" applyBorder="1" applyAlignment="1">
      <alignment horizontal="right"/>
    </xf>
    <xf numFmtId="0" fontId="21" fillId="0" borderId="50" xfId="4495" applyFont="1" applyBorder="1" applyAlignment="1">
      <alignment horizontal="left" vertical="top"/>
    </xf>
    <xf numFmtId="0" fontId="44" fillId="0" borderId="51" xfId="4495" applyFont="1" applyBorder="1" applyAlignment="1">
      <alignment horizontal="left" vertical="top"/>
    </xf>
    <xf numFmtId="0" fontId="108" fillId="0" borderId="53" xfId="4495" applyBorder="1"/>
    <xf numFmtId="0" fontId="95" fillId="0" borderId="0" xfId="4495" applyFont="1" applyAlignment="1">
      <alignment horizontal="left" vertical="top"/>
    </xf>
    <xf numFmtId="1" fontId="21" fillId="0" borderId="58" xfId="4495" applyNumberFormat="1" applyFont="1" applyBorder="1" applyAlignment="1">
      <alignment vertical="top"/>
    </xf>
    <xf numFmtId="172" fontId="21" fillId="0" borderId="8" xfId="543" applyNumberFormat="1" applyFont="1" applyBorder="1"/>
    <xf numFmtId="172" fontId="21" fillId="0" borderId="0" xfId="543" applyNumberFormat="1" applyFont="1"/>
    <xf numFmtId="0" fontId="30" fillId="0" borderId="0" xfId="4495" applyFont="1" applyAlignment="1">
      <alignment wrapText="1"/>
    </xf>
    <xf numFmtId="0" fontId="30" fillId="0" borderId="0" xfId="4495" applyFont="1" applyAlignment="1">
      <alignment horizontal="center"/>
    </xf>
    <xf numFmtId="0" fontId="30" fillId="0" borderId="0" xfId="4495" applyFont="1" applyAlignment="1">
      <alignment vertical="center" wrapText="1"/>
    </xf>
    <xf numFmtId="180" fontId="22" fillId="0" borderId="0" xfId="4495" applyNumberFormat="1" applyFont="1" applyAlignment="1">
      <alignment horizontal="center"/>
    </xf>
    <xf numFmtId="1" fontId="22" fillId="0" borderId="0" xfId="4495" applyNumberFormat="1" applyFont="1" applyAlignment="1">
      <alignment horizontal="center"/>
    </xf>
    <xf numFmtId="0" fontId="21" fillId="0" borderId="51" xfId="4495" applyFont="1" applyBorder="1" applyAlignment="1">
      <alignment horizontal="center"/>
    </xf>
    <xf numFmtId="0" fontId="21" fillId="0" borderId="51" xfId="4495" applyFont="1" applyBorder="1" applyAlignment="1">
      <alignment vertical="top"/>
    </xf>
    <xf numFmtId="0" fontId="21" fillId="0" borderId="53" xfId="4495" applyFont="1" applyBorder="1"/>
    <xf numFmtId="0" fontId="14" fillId="0" borderId="54" xfId="543" applyBorder="1"/>
    <xf numFmtId="49" fontId="22" fillId="0" borderId="0" xfId="4495" applyNumberFormat="1" applyFont="1" applyAlignment="1">
      <alignment horizontal="left" vertical="center" wrapText="1"/>
    </xf>
    <xf numFmtId="0" fontId="14" fillId="0" borderId="57" xfId="4495" applyFont="1" applyBorder="1"/>
    <xf numFmtId="1" fontId="14" fillId="0" borderId="0" xfId="4495" applyNumberFormat="1" applyFont="1" applyAlignment="1">
      <alignment vertical="center"/>
    </xf>
    <xf numFmtId="0" fontId="32" fillId="0" borderId="50" xfId="4495" applyFont="1" applyBorder="1"/>
    <xf numFmtId="0" fontId="22" fillId="0" borderId="51" xfId="4495" applyFont="1" applyBorder="1" applyAlignment="1">
      <alignment horizontal="center" vertical="top"/>
    </xf>
    <xf numFmtId="0" fontId="22" fillId="0" borderId="51" xfId="4495" applyFont="1" applyBorder="1" applyAlignment="1">
      <alignment vertical="top" wrapText="1"/>
    </xf>
    <xf numFmtId="0" fontId="22" fillId="0" borderId="51" xfId="4495" applyFont="1" applyBorder="1" applyAlignment="1">
      <alignment horizontal="left" vertical="top" wrapText="1"/>
    </xf>
    <xf numFmtId="0" fontId="14" fillId="0" borderId="0" xfId="4495" quotePrefix="1" applyFont="1" applyAlignment="1">
      <alignment horizontal="center" vertical="top"/>
    </xf>
    <xf numFmtId="1" fontId="22" fillId="0" borderId="0" xfId="4495" quotePrefix="1" applyNumberFormat="1" applyFont="1" applyAlignment="1">
      <alignment wrapText="1"/>
    </xf>
    <xf numFmtId="0" fontId="22" fillId="0" borderId="6" xfId="4495" applyFont="1" applyBorder="1" applyAlignment="1">
      <alignment horizontal="right"/>
    </xf>
    <xf numFmtId="0" fontId="110" fillId="0" borderId="0" xfId="4496" applyFont="1" applyAlignment="1">
      <alignment wrapText="1"/>
    </xf>
    <xf numFmtId="0" fontId="14" fillId="0" borderId="0" xfId="4496" applyFont="1" applyAlignment="1">
      <alignment wrapText="1"/>
    </xf>
    <xf numFmtId="0" fontId="30" fillId="0" borderId="51" xfId="4495" applyFont="1" applyBorder="1" applyAlignment="1">
      <alignment vertical="top"/>
    </xf>
    <xf numFmtId="0" fontId="14" fillId="0" borderId="51" xfId="4496" applyFont="1" applyBorder="1" applyAlignment="1">
      <alignment wrapText="1"/>
    </xf>
    <xf numFmtId="0" fontId="21" fillId="0" borderId="51" xfId="4495" applyFont="1" applyBorder="1" applyAlignment="1">
      <alignment horizontal="right"/>
    </xf>
    <xf numFmtId="0" fontId="14" fillId="0" borderId="52" xfId="4495" applyFont="1" applyBorder="1" applyAlignment="1">
      <alignment horizontal="center"/>
    </xf>
    <xf numFmtId="0" fontId="14" fillId="0" borderId="53" xfId="4495" applyFont="1" applyBorder="1" applyAlignment="1">
      <alignment horizontal="left" vertical="top"/>
    </xf>
    <xf numFmtId="0" fontId="14" fillId="0" borderId="54" xfId="4495" applyFont="1" applyBorder="1" applyAlignment="1">
      <alignment horizontal="left" vertical="top"/>
    </xf>
    <xf numFmtId="0" fontId="14" fillId="0" borderId="54" xfId="4495" applyFont="1" applyBorder="1" applyAlignment="1">
      <alignment horizontal="center"/>
    </xf>
    <xf numFmtId="0" fontId="14" fillId="0" borderId="59" xfId="4495" applyFont="1" applyBorder="1" applyAlignment="1">
      <alignment horizontal="center"/>
    </xf>
    <xf numFmtId="9" fontId="14" fillId="0" borderId="0" xfId="4496" applyNumberFormat="1" applyFont="1" applyAlignment="1">
      <alignment horizontal="center"/>
    </xf>
    <xf numFmtId="1" fontId="14" fillId="0" borderId="0" xfId="543" applyNumberFormat="1"/>
    <xf numFmtId="0" fontId="22" fillId="0" borderId="1" xfId="4495" applyFont="1" applyBorder="1"/>
    <xf numFmtId="0" fontId="21" fillId="0" borderId="0" xfId="4495" applyFont="1" applyAlignment="1">
      <alignment horizontal="center" wrapText="1"/>
    </xf>
    <xf numFmtId="0" fontId="21" fillId="0" borderId="9" xfId="4495" applyFont="1" applyBorder="1" applyAlignment="1">
      <alignment horizontal="left"/>
    </xf>
    <xf numFmtId="0" fontId="21" fillId="0" borderId="3" xfId="4495" applyFont="1" applyBorder="1" applyAlignment="1">
      <alignment horizontal="left"/>
    </xf>
    <xf numFmtId="0" fontId="21" fillId="0" borderId="4" xfId="4495" applyFont="1" applyBorder="1" applyAlignment="1">
      <alignment horizontal="left"/>
    </xf>
    <xf numFmtId="0" fontId="14" fillId="0" borderId="2" xfId="4495" applyFont="1" applyBorder="1" applyAlignment="1">
      <alignment horizontal="left"/>
    </xf>
    <xf numFmtId="0" fontId="21" fillId="0" borderId="2" xfId="4495" applyFont="1" applyBorder="1" applyAlignment="1">
      <alignment horizontal="left"/>
    </xf>
    <xf numFmtId="0" fontId="21" fillId="0" borderId="5" xfId="4495" applyFont="1" applyBorder="1" applyAlignment="1">
      <alignment horizontal="left"/>
    </xf>
    <xf numFmtId="180" fontId="53" fillId="0" borderId="0" xfId="4495" applyNumberFormat="1" applyFont="1" applyAlignment="1">
      <alignment horizontal="center" vertical="center"/>
    </xf>
    <xf numFmtId="0" fontId="14" fillId="0" borderId="12" xfId="4495" applyFont="1" applyBorder="1" applyAlignment="1">
      <alignment vertical="top"/>
    </xf>
    <xf numFmtId="0" fontId="39" fillId="0" borderId="0" xfId="4495" applyFont="1" applyAlignment="1">
      <alignment vertical="top" wrapText="1"/>
    </xf>
    <xf numFmtId="0" fontId="14" fillId="0" borderId="51" xfId="4495" applyFont="1" applyBorder="1" applyAlignment="1">
      <alignment horizontal="left" vertical="top" wrapText="1"/>
    </xf>
    <xf numFmtId="0" fontId="14" fillId="0" borderId="51" xfId="4495" applyFont="1" applyBorder="1" applyAlignment="1">
      <alignment horizontal="right"/>
    </xf>
    <xf numFmtId="0" fontId="14" fillId="0" borderId="52" xfId="4495" applyFont="1" applyBorder="1" applyAlignment="1">
      <alignment horizontal="right"/>
    </xf>
    <xf numFmtId="0" fontId="14" fillId="0" borderId="54" xfId="4495" applyFont="1" applyBorder="1" applyAlignment="1">
      <alignment horizontal="right"/>
    </xf>
    <xf numFmtId="0" fontId="14" fillId="0" borderId="58" xfId="4495" applyFont="1" applyBorder="1" applyAlignment="1">
      <alignment horizontal="left" vertical="top" wrapText="1"/>
    </xf>
    <xf numFmtId="0" fontId="14" fillId="0" borderId="58" xfId="4495" applyFont="1" applyBorder="1" applyAlignment="1">
      <alignment horizontal="right"/>
    </xf>
    <xf numFmtId="0" fontId="14" fillId="0" borderId="59" xfId="4495" applyFont="1" applyBorder="1" applyAlignment="1">
      <alignment horizontal="right"/>
    </xf>
    <xf numFmtId="0" fontId="39" fillId="0" borderId="0" xfId="4495" applyFont="1" applyAlignment="1">
      <alignment horizontal="left" vertical="top" wrapText="1"/>
    </xf>
    <xf numFmtId="0" fontId="14" fillId="0" borderId="0" xfId="1192" applyAlignment="1">
      <alignment horizontal="left" vertical="top"/>
    </xf>
    <xf numFmtId="0" fontId="32" fillId="0" borderId="0" xfId="1192" applyFont="1" applyAlignment="1">
      <alignment horizontal="left" vertical="top"/>
    </xf>
    <xf numFmtId="0" fontId="14" fillId="0" borderId="0" xfId="1192" applyAlignment="1">
      <alignment vertical="top"/>
    </xf>
    <xf numFmtId="168" fontId="14" fillId="0" borderId="0" xfId="1192" applyNumberFormat="1"/>
    <xf numFmtId="165" fontId="14" fillId="0" borderId="0" xfId="1192" applyNumberFormat="1"/>
    <xf numFmtId="165" fontId="14" fillId="0" borderId="0" xfId="1192" applyNumberFormat="1" applyAlignment="1">
      <alignment horizontal="right"/>
    </xf>
    <xf numFmtId="2" fontId="14" fillId="0" borderId="0" xfId="1192" applyNumberFormat="1"/>
    <xf numFmtId="6" fontId="14" fillId="0" borderId="0" xfId="1192" applyNumberFormat="1"/>
    <xf numFmtId="0" fontId="21" fillId="0" borderId="0" xfId="1192" applyFont="1"/>
    <xf numFmtId="0" fontId="39" fillId="0" borderId="0" xfId="1192" applyFont="1"/>
    <xf numFmtId="168" fontId="14" fillId="0" borderId="0" xfId="4495" applyNumberFormat="1" applyFont="1"/>
    <xf numFmtId="0" fontId="21" fillId="0" borderId="0" xfId="1192" applyFont="1" applyAlignment="1">
      <alignment vertical="center"/>
    </xf>
    <xf numFmtId="0" fontId="106" fillId="0" borderId="0" xfId="1192" applyFont="1" applyAlignment="1">
      <alignment horizontal="left"/>
    </xf>
    <xf numFmtId="0" fontId="103" fillId="0" borderId="0" xfId="1192" applyFont="1" applyAlignment="1">
      <alignment horizontal="left"/>
    </xf>
    <xf numFmtId="0" fontId="103" fillId="0" borderId="0" xfId="1192" applyFont="1" applyAlignment="1">
      <alignment horizontal="center"/>
    </xf>
    <xf numFmtId="168" fontId="14" fillId="0" borderId="0" xfId="1192" applyNumberFormat="1" applyAlignment="1">
      <alignment horizontal="center"/>
    </xf>
    <xf numFmtId="9" fontId="14" fillId="0" borderId="0" xfId="1192" applyNumberFormat="1"/>
    <xf numFmtId="0" fontId="14" fillId="0" borderId="0" xfId="1192" applyAlignment="1">
      <alignment horizontal="right"/>
    </xf>
    <xf numFmtId="0" fontId="14" fillId="0" borderId="53" xfId="4495" applyFont="1" applyBorder="1" applyAlignment="1">
      <alignment horizontal="left"/>
    </xf>
    <xf numFmtId="6" fontId="21" fillId="0" borderId="0" xfId="1192" applyNumberFormat="1" applyFont="1" applyAlignment="1">
      <alignment horizontal="right"/>
    </xf>
    <xf numFmtId="165" fontId="14" fillId="0" borderId="0" xfId="4495" applyNumberFormat="1" applyFont="1"/>
    <xf numFmtId="0" fontId="45" fillId="0" borderId="4" xfId="4495" applyFont="1" applyBorder="1"/>
    <xf numFmtId="1" fontId="21" fillId="0" borderId="13" xfId="271" applyNumberFormat="1" applyFont="1" applyBorder="1"/>
    <xf numFmtId="1" fontId="23" fillId="0" borderId="13" xfId="271" applyNumberFormat="1" applyBorder="1"/>
    <xf numFmtId="0" fontId="14" fillId="0" borderId="11" xfId="0" applyFont="1" applyBorder="1"/>
    <xf numFmtId="9" fontId="14" fillId="0" borderId="0" xfId="4495" applyNumberFormat="1" applyFont="1"/>
    <xf numFmtId="165" fontId="110" fillId="0" borderId="0" xfId="4496" applyNumberFormat="1" applyFont="1" applyAlignment="1">
      <alignment horizontal="center" vertical="top" wrapText="1"/>
    </xf>
    <xf numFmtId="168" fontId="110" fillId="0" borderId="0" xfId="4496" applyNumberFormat="1" applyFont="1" applyAlignment="1">
      <alignment vertical="top" wrapText="1"/>
    </xf>
    <xf numFmtId="165" fontId="110" fillId="0" borderId="64" xfId="4496" applyNumberFormat="1" applyFont="1" applyBorder="1" applyAlignment="1">
      <alignment horizontal="center" vertical="top" wrapText="1"/>
    </xf>
    <xf numFmtId="165" fontId="110" fillId="0" borderId="53" xfId="4496" applyNumberFormat="1" applyFont="1" applyBorder="1" applyAlignment="1">
      <alignment horizontal="left" vertical="top"/>
    </xf>
    <xf numFmtId="165" fontId="110" fillId="0" borderId="53" xfId="4496" applyNumberFormat="1" applyFont="1" applyBorder="1" applyAlignment="1">
      <alignment horizontal="center" vertical="top" wrapText="1"/>
    </xf>
    <xf numFmtId="168" fontId="110" fillId="0" borderId="0" xfId="4496" applyNumberFormat="1" applyFont="1" applyAlignment="1">
      <alignment vertical="top"/>
    </xf>
    <xf numFmtId="1" fontId="110" fillId="0" borderId="0" xfId="4496" applyNumberFormat="1" applyFont="1" applyAlignment="1">
      <alignment vertical="top" wrapText="1"/>
    </xf>
    <xf numFmtId="164" fontId="22" fillId="0" borderId="0" xfId="4495" applyNumberFormat="1" applyFont="1"/>
    <xf numFmtId="0" fontId="21" fillId="0" borderId="8" xfId="0" applyFont="1" applyBorder="1" applyAlignment="1">
      <alignment horizontal="center" vertical="center" wrapText="1"/>
    </xf>
    <xf numFmtId="0" fontId="21"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29" fillId="0" borderId="50" xfId="1192" applyFont="1" applyBorder="1" applyAlignment="1">
      <alignment horizontal="left"/>
    </xf>
    <xf numFmtId="0" fontId="130" fillId="0" borderId="51" xfId="4495" applyFont="1" applyBorder="1" applyAlignment="1">
      <alignment vertical="top"/>
    </xf>
    <xf numFmtId="0" fontId="129" fillId="0" borderId="51" xfId="4495" applyFont="1" applyBorder="1" applyAlignment="1">
      <alignment vertical="top" wrapText="1"/>
    </xf>
    <xf numFmtId="0" fontId="130" fillId="0" borderId="51" xfId="4495" applyFont="1" applyBorder="1"/>
    <xf numFmtId="0" fontId="130" fillId="0" borderId="53" xfId="1192" applyFont="1" applyBorder="1" applyAlignment="1">
      <alignment horizontal="left"/>
    </xf>
    <xf numFmtId="0" fontId="130" fillId="0" borderId="0" xfId="4495" applyFont="1" applyAlignment="1">
      <alignment vertical="top"/>
    </xf>
    <xf numFmtId="0" fontId="129" fillId="0" borderId="0" xfId="4495" applyFont="1" applyAlignment="1">
      <alignment vertical="top" wrapText="1"/>
    </xf>
    <xf numFmtId="0" fontId="130" fillId="0" borderId="0" xfId="4495" applyFont="1"/>
    <xf numFmtId="0" fontId="129" fillId="0" borderId="53" xfId="1192" applyFont="1" applyBorder="1" applyAlignment="1">
      <alignment horizontal="left"/>
    </xf>
    <xf numFmtId="0" fontId="129" fillId="0" borderId="57" xfId="1192" applyFont="1" applyBorder="1" applyAlignment="1">
      <alignment horizontal="left"/>
    </xf>
    <xf numFmtId="0" fontId="130" fillId="0" borderId="58" xfId="4495" applyFont="1" applyBorder="1" applyAlignment="1">
      <alignment vertical="top"/>
    </xf>
    <xf numFmtId="0" fontId="129" fillId="0" borderId="58" xfId="4495" applyFont="1" applyBorder="1" applyAlignment="1">
      <alignment vertical="top" wrapText="1"/>
    </xf>
    <xf numFmtId="0" fontId="130" fillId="0" borderId="58" xfId="4495" applyFont="1" applyBorder="1"/>
    <xf numFmtId="0" fontId="21" fillId="0" borderId="7" xfId="0" applyFont="1" applyBorder="1" applyAlignment="1">
      <alignment horizontal="right"/>
    </xf>
    <xf numFmtId="0" fontId="0" fillId="0" borderId="0" xfId="0" applyAlignment="1" applyProtection="1">
      <alignment horizontal="left" vertical="top" wrapText="1"/>
      <protection locked="0"/>
    </xf>
    <xf numFmtId="2" fontId="14" fillId="0" borderId="0" xfId="0" applyNumberFormat="1" applyFont="1"/>
    <xf numFmtId="0" fontId="14" fillId="0" borderId="9" xfId="0" applyFont="1" applyBorder="1" applyAlignment="1">
      <alignment horizontal="left"/>
    </xf>
    <xf numFmtId="0" fontId="14" fillId="0" borderId="6" xfId="0" applyFont="1" applyBorder="1"/>
    <xf numFmtId="0" fontId="14" fillId="0" borderId="9" xfId="0" applyFont="1" applyBorder="1"/>
    <xf numFmtId="0" fontId="41" fillId="0" borderId="0" xfId="0" applyFont="1" applyAlignment="1">
      <alignment horizontal="center"/>
    </xf>
    <xf numFmtId="0" fontId="20" fillId="0" borderId="0" xfId="0" applyFont="1" applyAlignment="1">
      <alignment horizontal="center" vertical="center" wrapText="1"/>
    </xf>
    <xf numFmtId="0" fontId="29" fillId="0" borderId="0" xfId="0" applyFont="1" applyAlignment="1">
      <alignment horizontal="center"/>
    </xf>
    <xf numFmtId="0" fontId="22" fillId="0" borderId="0" xfId="0" applyFont="1" applyAlignment="1">
      <alignment horizontal="center"/>
    </xf>
    <xf numFmtId="0" fontId="21" fillId="0" borderId="3" xfId="0" applyFont="1" applyBorder="1"/>
    <xf numFmtId="0" fontId="21" fillId="0" borderId="4" xfId="271" applyFont="1" applyBorder="1"/>
    <xf numFmtId="0" fontId="21" fillId="0" borderId="3" xfId="271" applyFont="1" applyBorder="1"/>
    <xf numFmtId="0" fontId="21" fillId="0" borderId="5" xfId="271" applyFont="1" applyBorder="1"/>
    <xf numFmtId="0" fontId="14" fillId="0" borderId="58" xfId="4495" applyFont="1" applyBorder="1" applyAlignment="1">
      <alignment vertical="center" wrapText="1"/>
    </xf>
    <xf numFmtId="0" fontId="14" fillId="0" borderId="59" xfId="4495" applyFont="1" applyBorder="1" applyAlignment="1">
      <alignment vertical="center" wrapText="1"/>
    </xf>
    <xf numFmtId="0" fontId="14" fillId="0" borderId="0" xfId="4495" applyFont="1" applyAlignment="1">
      <alignment horizontal="left" vertical="center" wrapText="1"/>
    </xf>
    <xf numFmtId="0" fontId="21" fillId="0" borderId="5" xfId="0" applyFont="1" applyBorder="1"/>
    <xf numFmtId="168" fontId="19" fillId="43" borderId="0" xfId="0" applyNumberFormat="1" applyFont="1" applyFill="1"/>
    <xf numFmtId="9" fontId="22" fillId="0" borderId="0" xfId="543" applyNumberFormat="1" applyFont="1" applyAlignment="1">
      <alignment horizontal="center"/>
    </xf>
    <xf numFmtId="171" fontId="14" fillId="0" borderId="0" xfId="543" applyNumberFormat="1"/>
    <xf numFmtId="171" fontId="14" fillId="0" borderId="11" xfId="543" applyNumberFormat="1" applyBorder="1"/>
    <xf numFmtId="1" fontId="14" fillId="0" borderId="11" xfId="543" applyNumberFormat="1" applyBorder="1" applyAlignment="1">
      <alignment horizontal="center"/>
    </xf>
    <xf numFmtId="0" fontId="35" fillId="0" borderId="8" xfId="543" applyFont="1" applyBorder="1" applyAlignment="1">
      <alignment vertical="center" wrapText="1"/>
    </xf>
    <xf numFmtId="0" fontId="35" fillId="0" borderId="0" xfId="543" applyFont="1" applyAlignment="1">
      <alignment vertical="center" wrapText="1"/>
    </xf>
    <xf numFmtId="0" fontId="35" fillId="0" borderId="12" xfId="543" applyFont="1" applyBorder="1" applyAlignment="1">
      <alignment vertical="center" wrapText="1"/>
    </xf>
    <xf numFmtId="0" fontId="35" fillId="0" borderId="9" xfId="543" applyFont="1" applyBorder="1" applyAlignment="1">
      <alignment vertical="center" wrapText="1"/>
    </xf>
    <xf numFmtId="0" fontId="35" fillId="0" borderId="6" xfId="543" applyFont="1" applyBorder="1" applyAlignment="1">
      <alignment vertical="center" wrapText="1"/>
    </xf>
    <xf numFmtId="0" fontId="35" fillId="0" borderId="10" xfId="543" applyFont="1" applyBorder="1" applyAlignment="1">
      <alignment vertical="center" wrapText="1"/>
    </xf>
    <xf numFmtId="0" fontId="36" fillId="0" borderId="8" xfId="543" applyFont="1" applyBorder="1" applyAlignment="1">
      <alignment vertical="center" wrapText="1"/>
    </xf>
    <xf numFmtId="0" fontId="36" fillId="0" borderId="0" xfId="543" applyFont="1" applyAlignment="1">
      <alignment vertical="center" wrapText="1"/>
    </xf>
    <xf numFmtId="0" fontId="36" fillId="0" borderId="12" xfId="543" applyFont="1" applyBorder="1" applyAlignment="1">
      <alignment vertical="center" wrapText="1"/>
    </xf>
    <xf numFmtId="0" fontId="36" fillId="0" borderId="9" xfId="543" applyFont="1" applyBorder="1" applyAlignment="1">
      <alignment vertical="center" wrapText="1"/>
    </xf>
    <xf numFmtId="0" fontId="36" fillId="0" borderId="6" xfId="543" applyFont="1" applyBorder="1" applyAlignment="1">
      <alignment vertical="center" wrapText="1"/>
    </xf>
    <xf numFmtId="0" fontId="36" fillId="0" borderId="10" xfId="543" applyFont="1" applyBorder="1" applyAlignment="1">
      <alignment vertical="center" wrapText="1"/>
    </xf>
    <xf numFmtId="0" fontId="14" fillId="0" borderId="12" xfId="543" quotePrefix="1" applyBorder="1"/>
    <xf numFmtId="0" fontId="44" fillId="0" borderId="2" xfId="569" applyFont="1" applyBorder="1" applyAlignment="1">
      <alignment vertical="top"/>
    </xf>
    <xf numFmtId="0" fontId="24" fillId="0" borderId="0" xfId="4495" applyFont="1"/>
    <xf numFmtId="0" fontId="14" fillId="0" borderId="0" xfId="4495" applyFont="1" applyAlignment="1">
      <alignment vertical="top" wrapText="1" shrinkToFit="1"/>
    </xf>
    <xf numFmtId="0" fontId="144" fillId="0" borderId="0" xfId="4495" applyFont="1"/>
    <xf numFmtId="164" fontId="14" fillId="0" borderId="0" xfId="1192" applyNumberFormat="1" applyAlignment="1">
      <alignment horizontal="right"/>
    </xf>
    <xf numFmtId="164" fontId="14" fillId="0" borderId="0" xfId="4495" applyNumberFormat="1" applyFont="1" applyAlignment="1">
      <alignment horizontal="right"/>
    </xf>
    <xf numFmtId="0" fontId="14" fillId="0" borderId="0" xfId="4495" applyFont="1" applyAlignment="1">
      <alignment horizontal="left" vertical="top" wrapText="1" shrinkToFit="1"/>
    </xf>
    <xf numFmtId="0" fontId="14" fillId="0" borderId="6" xfId="4495" applyFont="1" applyBorder="1" applyAlignment="1">
      <alignment vertical="top" wrapText="1"/>
    </xf>
    <xf numFmtId="0" fontId="144" fillId="0" borderId="4" xfId="4495" applyFont="1" applyBorder="1"/>
    <xf numFmtId="0" fontId="14" fillId="0" borderId="4" xfId="4495" applyFont="1" applyBorder="1" applyAlignment="1">
      <alignment horizontal="left" vertical="top" wrapText="1" shrinkToFit="1"/>
    </xf>
    <xf numFmtId="0" fontId="24" fillId="0" borderId="0" xfId="4495" applyFont="1" applyAlignment="1">
      <alignment horizontal="left" vertical="top"/>
    </xf>
    <xf numFmtId="0" fontId="14" fillId="0" borderId="0" xfId="4495" applyFont="1" applyAlignment="1">
      <alignment vertical="center" wrapText="1" shrinkToFit="1"/>
    </xf>
    <xf numFmtId="0" fontId="14" fillId="0" borderId="0" xfId="4495" applyFont="1" applyAlignment="1">
      <alignment horizontal="left" vertical="top" shrinkToFit="1"/>
    </xf>
    <xf numFmtId="0" fontId="14" fillId="0" borderId="0" xfId="4495" applyFont="1" applyAlignment="1">
      <alignment horizontal="left" vertical="center" shrinkToFit="1"/>
    </xf>
    <xf numFmtId="0" fontId="24" fillId="0" borderId="4" xfId="4495" applyFont="1" applyBorder="1"/>
    <xf numFmtId="0" fontId="14" fillId="0" borderId="4" xfId="4495" applyFont="1" applyBorder="1" applyAlignment="1">
      <alignment horizontal="left" vertical="top" shrinkToFit="1"/>
    </xf>
    <xf numFmtId="0" fontId="14" fillId="0" borderId="0" xfId="4495" applyFont="1" applyAlignment="1">
      <alignment vertical="center"/>
    </xf>
    <xf numFmtId="0" fontId="20" fillId="0" borderId="0" xfId="4495" applyFont="1"/>
    <xf numFmtId="0" fontId="24" fillId="0" borderId="0" xfId="4495" applyFont="1" applyAlignment="1">
      <alignment horizontal="center"/>
    </xf>
    <xf numFmtId="0" fontId="14" fillId="0" borderId="4" xfId="4495" applyFont="1" applyBorder="1" applyAlignment="1">
      <alignment horizontal="left" vertical="top" wrapText="1"/>
    </xf>
    <xf numFmtId="44" fontId="14" fillId="0" borderId="0" xfId="707" applyFont="1" applyFill="1" applyBorder="1" applyAlignment="1" applyProtection="1">
      <alignment horizontal="left" vertical="top" wrapText="1"/>
    </xf>
    <xf numFmtId="44" fontId="14" fillId="0" borderId="4" xfId="707" applyFont="1" applyFill="1" applyBorder="1" applyAlignment="1" applyProtection="1">
      <alignment horizontal="left" vertical="top" wrapText="1"/>
    </xf>
    <xf numFmtId="164" fontId="32" fillId="0" borderId="0" xfId="4495" applyNumberFormat="1" applyFont="1" applyAlignment="1">
      <alignment horizontal="left"/>
    </xf>
    <xf numFmtId="0" fontId="24" fillId="0" borderId="0" xfId="4495" applyFont="1" applyAlignment="1">
      <alignment horizontal="left"/>
    </xf>
    <xf numFmtId="0" fontId="14" fillId="0" borderId="4" xfId="4495" applyFont="1" applyBorder="1" applyAlignment="1">
      <alignment vertical="top" wrapText="1"/>
    </xf>
    <xf numFmtId="0" fontId="24" fillId="0" borderId="4" xfId="4495" applyFont="1" applyBorder="1" applyAlignment="1">
      <alignment horizontal="left" vertical="top"/>
    </xf>
    <xf numFmtId="0" fontId="14" fillId="0" borderId="0" xfId="4495" applyFont="1" applyAlignment="1">
      <alignment horizontal="left" vertical="center" wrapText="1" shrinkToFit="1"/>
    </xf>
    <xf numFmtId="0" fontId="14" fillId="0" borderId="6" xfId="4495" applyFont="1" applyBorder="1" applyAlignment="1">
      <alignment horizontal="left" vertical="top" wrapText="1"/>
    </xf>
    <xf numFmtId="2" fontId="106" fillId="0" borderId="0" xfId="0" applyNumberFormat="1" applyFont="1" applyAlignment="1">
      <alignment horizontal="center"/>
    </xf>
    <xf numFmtId="9" fontId="14" fillId="0" borderId="0" xfId="4494" applyFont="1" applyAlignment="1">
      <alignment horizontal="center"/>
    </xf>
    <xf numFmtId="3" fontId="14" fillId="0" borderId="0" xfId="0" applyNumberFormat="1" applyFont="1"/>
    <xf numFmtId="10" fontId="14" fillId="0" borderId="0" xfId="0" applyNumberFormat="1" applyFont="1" applyAlignment="1">
      <alignment horizontal="center"/>
    </xf>
    <xf numFmtId="168" fontId="14" fillId="0" borderId="0" xfId="0" applyNumberFormat="1" applyFont="1"/>
    <xf numFmtId="172" fontId="14" fillId="0" borderId="11" xfId="0" applyNumberFormat="1" applyFont="1" applyBorder="1" applyAlignment="1">
      <alignment horizontal="center"/>
    </xf>
    <xf numFmtId="168" fontId="14" fillId="5" borderId="0" xfId="0" applyNumberFormat="1" applyFont="1" applyFill="1"/>
    <xf numFmtId="3" fontId="14" fillId="5" borderId="0" xfId="0" applyNumberFormat="1" applyFont="1" applyFill="1"/>
    <xf numFmtId="0" fontId="14" fillId="5" borderId="0" xfId="0" applyFont="1" applyFill="1"/>
    <xf numFmtId="3" fontId="14" fillId="5" borderId="6" xfId="0" applyNumberFormat="1" applyFont="1" applyFill="1" applyBorder="1"/>
    <xf numFmtId="3" fontId="14" fillId="0" borderId="6" xfId="0" applyNumberFormat="1" applyFont="1" applyBorder="1"/>
    <xf numFmtId="168" fontId="14" fillId="0" borderId="0" xfId="0" applyNumberFormat="1" applyFont="1" applyAlignment="1">
      <alignment horizontal="center"/>
    </xf>
    <xf numFmtId="3" fontId="14" fillId="0" borderId="0" xfId="0" applyNumberFormat="1" applyFont="1" applyAlignment="1">
      <alignment horizontal="center"/>
    </xf>
    <xf numFmtId="0" fontId="14" fillId="0" borderId="50" xfId="4495" applyFont="1" applyBorder="1" applyAlignment="1">
      <alignment vertical="center"/>
    </xf>
    <xf numFmtId="0" fontId="14" fillId="0" borderId="51" xfId="4495" applyFont="1" applyBorder="1" applyAlignment="1">
      <alignment vertical="center"/>
    </xf>
    <xf numFmtId="0" fontId="14" fillId="0" borderId="52" xfId="4495" applyFont="1" applyBorder="1" applyAlignment="1">
      <alignment vertical="center"/>
    </xf>
    <xf numFmtId="0" fontId="14" fillId="0" borderId="54" xfId="4495" applyFont="1" applyBorder="1" applyAlignment="1">
      <alignment vertical="center" wrapText="1"/>
    </xf>
    <xf numFmtId="0" fontId="14" fillId="0" borderId="53" xfId="4495" applyFont="1" applyBorder="1" applyAlignment="1">
      <alignment vertical="top" wrapText="1"/>
    </xf>
    <xf numFmtId="0" fontId="14" fillId="0" borderId="58" xfId="0" applyFont="1" applyBorder="1" applyAlignment="1">
      <alignment horizontal="left"/>
    </xf>
    <xf numFmtId="9" fontId="14" fillId="0" borderId="0" xfId="543" applyNumberFormat="1" applyAlignment="1">
      <alignment horizontal="center"/>
    </xf>
    <xf numFmtId="0" fontId="40" fillId="0" borderId="0" xfId="4496" applyFont="1"/>
    <xf numFmtId="168" fontId="44" fillId="5" borderId="11" xfId="0" applyNumberFormat="1" applyFont="1" applyFill="1" applyBorder="1" applyAlignment="1" applyProtection="1">
      <alignment vertical="top" wrapText="1"/>
      <protection locked="0"/>
    </xf>
    <xf numFmtId="0" fontId="14" fillId="0" borderId="0" xfId="0" applyFont="1" applyAlignment="1">
      <alignment horizontal="left" wrapText="1"/>
    </xf>
    <xf numFmtId="4" fontId="32" fillId="0" borderId="0" xfId="0" applyNumberFormat="1" applyFont="1" applyAlignment="1">
      <alignment horizontal="left"/>
    </xf>
    <xf numFmtId="4" fontId="14" fillId="0" borderId="0" xfId="0" applyNumberFormat="1" applyFont="1" applyAlignment="1">
      <alignment horizontal="left" vertical="top" wrapText="1"/>
    </xf>
    <xf numFmtId="0" fontId="21" fillId="0" borderId="4" xfId="0" applyFont="1" applyBorder="1" applyAlignment="1">
      <alignment horizontal="left"/>
    </xf>
    <xf numFmtId="4" fontId="14" fillId="0" borderId="0" xfId="0" applyNumberFormat="1" applyFont="1" applyAlignment="1">
      <alignment horizontal="left"/>
    </xf>
    <xf numFmtId="43" fontId="42" fillId="0" borderId="0" xfId="4504" applyFont="1" applyAlignment="1" applyProtection="1">
      <alignment horizontal="center"/>
    </xf>
    <xf numFmtId="43" fontId="14" fillId="0" borderId="0" xfId="4504" applyFont="1" applyAlignment="1" applyProtection="1">
      <alignment horizontal="center"/>
    </xf>
    <xf numFmtId="43" fontId="14" fillId="0" borderId="0" xfId="4504" applyFont="1" applyProtection="1"/>
    <xf numFmtId="49" fontId="14" fillId="0" borderId="0" xfId="0" applyNumberFormat="1" applyFont="1"/>
    <xf numFmtId="49" fontId="14" fillId="0" borderId="0" xfId="0" applyNumberFormat="1" applyFont="1" applyAlignment="1">
      <alignment horizontal="center"/>
    </xf>
    <xf numFmtId="4" fontId="14" fillId="0" borderId="0" xfId="0" applyNumberFormat="1" applyFont="1" applyAlignment="1">
      <alignment vertical="top" wrapText="1"/>
    </xf>
    <xf numFmtId="0" fontId="14" fillId="0" borderId="0" xfId="0" quotePrefix="1" applyFont="1"/>
    <xf numFmtId="0" fontId="39" fillId="0" borderId="0" xfId="0" applyFont="1" applyAlignment="1">
      <alignment horizontal="left"/>
    </xf>
    <xf numFmtId="0" fontId="14" fillId="0" borderId="4" xfId="0" applyFont="1" applyBorder="1" applyAlignment="1">
      <alignment horizontal="left"/>
    </xf>
    <xf numFmtId="0" fontId="14" fillId="0" borderId="0" xfId="0" quotePrefix="1" applyFont="1" applyAlignment="1">
      <alignment horizontal="left"/>
    </xf>
    <xf numFmtId="0" fontId="14" fillId="0" borderId="0" xfId="0" quotePrefix="1" applyFont="1" applyAlignment="1">
      <alignment horizontal="left" vertical="top"/>
    </xf>
    <xf numFmtId="0" fontId="39" fillId="0" borderId="0" xfId="1192" applyFont="1" applyAlignment="1">
      <alignment horizontal="left"/>
    </xf>
    <xf numFmtId="0" fontId="42" fillId="0" borderId="0" xfId="0" applyFont="1" applyAlignment="1">
      <alignment horizontal="center" vertical="center"/>
    </xf>
    <xf numFmtId="49" fontId="21" fillId="0" borderId="0" xfId="0" applyNumberFormat="1" applyFont="1" applyAlignment="1">
      <alignment horizontal="center" vertical="center"/>
    </xf>
    <xf numFmtId="49" fontId="14" fillId="0" borderId="0" xfId="0" applyNumberFormat="1" applyFont="1" applyAlignment="1">
      <alignment vertical="center"/>
    </xf>
    <xf numFmtId="4" fontId="14" fillId="0" borderId="0" xfId="0" applyNumberFormat="1" applyFont="1" applyAlignment="1">
      <alignment horizontal="center"/>
    </xf>
    <xf numFmtId="4" fontId="14" fillId="0" borderId="0" xfId="0" applyNumberFormat="1" applyFont="1"/>
    <xf numFmtId="10" fontId="14" fillId="0" borderId="0" xfId="4495" applyNumberFormat="1" applyFont="1"/>
    <xf numFmtId="10" fontId="110" fillId="0" borderId="0" xfId="4496" applyNumberFormat="1" applyFont="1" applyAlignment="1">
      <alignment horizontal="center" vertical="top" wrapText="1"/>
    </xf>
    <xf numFmtId="10" fontId="110" fillId="0" borderId="64" xfId="4496" applyNumberFormat="1" applyFont="1" applyBorder="1" applyAlignment="1">
      <alignment horizontal="center" vertical="top" wrapText="1"/>
    </xf>
    <xf numFmtId="10" fontId="110"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4" fillId="0" borderId="0" xfId="1192" quotePrefix="1" applyNumberFormat="1" applyAlignment="1">
      <alignment horizontal="center"/>
    </xf>
    <xf numFmtId="0" fontId="110" fillId="0" borderId="0" xfId="4495" applyFont="1"/>
    <xf numFmtId="10" fontId="110" fillId="0" borderId="0" xfId="4495" applyNumberFormat="1" applyFont="1"/>
    <xf numFmtId="172" fontId="14" fillId="0" borderId="0" xfId="4495" applyNumberFormat="1" applyFont="1"/>
    <xf numFmtId="0" fontId="0" fillId="0" borderId="10" xfId="0" applyBorder="1" applyAlignment="1">
      <alignment horizontal="left"/>
    </xf>
    <xf numFmtId="1" fontId="14" fillId="0" borderId="0" xfId="1192" applyNumberFormat="1" applyAlignment="1">
      <alignment horizontal="center"/>
    </xf>
    <xf numFmtId="0" fontId="108" fillId="0" borderId="63" xfId="4495" applyBorder="1"/>
    <xf numFmtId="0" fontId="44" fillId="0" borderId="0" xfId="271" applyFont="1" applyAlignment="1">
      <alignment vertical="top"/>
    </xf>
    <xf numFmtId="0" fontId="21" fillId="0" borderId="11" xfId="0" applyFont="1" applyBorder="1" applyAlignment="1">
      <alignment horizontal="right" vertical="top" wrapText="1"/>
    </xf>
    <xf numFmtId="0" fontId="23" fillId="0" borderId="11" xfId="271" applyBorder="1" applyAlignment="1" applyProtection="1">
      <alignment horizontal="right" vertical="top" wrapText="1"/>
      <protection locked="0"/>
    </xf>
    <xf numFmtId="0" fontId="14" fillId="0" borderId="54" xfId="4495" applyFont="1" applyBorder="1" applyAlignment="1">
      <alignment vertical="top"/>
    </xf>
    <xf numFmtId="0" fontId="14" fillId="0" borderId="16" xfId="569" applyBorder="1" applyAlignment="1">
      <alignment horizontal="center"/>
    </xf>
    <xf numFmtId="164" fontId="14" fillId="0" borderId="57" xfId="4495" applyNumberFormat="1" applyFont="1" applyBorder="1" applyAlignment="1">
      <alignment vertical="top" wrapText="1"/>
    </xf>
    <xf numFmtId="164" fontId="14" fillId="0" borderId="58" xfId="4495" applyNumberFormat="1" applyFont="1" applyBorder="1" applyAlignment="1">
      <alignment vertical="top" wrapText="1"/>
    </xf>
    <xf numFmtId="164" fontId="14" fillId="0" borderId="59" xfId="4495" applyNumberFormat="1" applyFont="1" applyBorder="1" applyAlignment="1">
      <alignment vertical="top" wrapText="1"/>
    </xf>
    <xf numFmtId="0" fontId="21" fillId="0" borderId="0" xfId="1192" applyFont="1" applyAlignment="1">
      <alignment horizontal="left" vertical="top" wrapText="1"/>
    </xf>
    <xf numFmtId="0" fontId="14" fillId="0" borderId="16" xfId="569" applyBorder="1"/>
    <xf numFmtId="0" fontId="14" fillId="0" borderId="4" xfId="569" applyBorder="1"/>
    <xf numFmtId="0" fontId="21" fillId="0" borderId="4" xfId="569" applyFont="1" applyBorder="1"/>
    <xf numFmtId="49" fontId="14" fillId="0" borderId="4" xfId="569" applyNumberFormat="1" applyBorder="1"/>
    <xf numFmtId="0" fontId="150" fillId="0" borderId="0" xfId="0" applyFont="1"/>
    <xf numFmtId="0" fontId="14" fillId="0" borderId="0" xfId="0" applyFont="1" applyAlignment="1">
      <alignment horizontal="right"/>
    </xf>
    <xf numFmtId="1" fontId="14" fillId="0" borderId="0" xfId="0" applyNumberFormat="1" applyFont="1" applyAlignment="1">
      <alignment horizontal="center"/>
    </xf>
    <xf numFmtId="0" fontId="21" fillId="0" borderId="0" xfId="0" applyFont="1" applyAlignment="1">
      <alignment horizontal="left" vertical="center"/>
    </xf>
    <xf numFmtId="0" fontId="14" fillId="0" borderId="0" xfId="0" applyFont="1" applyAlignment="1">
      <alignment horizontal="left" vertical="center"/>
    </xf>
    <xf numFmtId="0" fontId="21" fillId="0" borderId="0" xfId="569" applyFont="1" applyAlignment="1">
      <alignment vertical="top"/>
    </xf>
    <xf numFmtId="0" fontId="15" fillId="0" borderId="0" xfId="244" applyAlignment="1"/>
    <xf numFmtId="0" fontId="21" fillId="0" borderId="0" xfId="0" applyFont="1" applyAlignment="1">
      <alignment vertical="top" wrapText="1"/>
    </xf>
    <xf numFmtId="49" fontId="21" fillId="0" borderId="0" xfId="0" applyNumberFormat="1" applyFont="1"/>
    <xf numFmtId="49" fontId="21" fillId="0" borderId="0" xfId="0" applyNumberFormat="1" applyFont="1" applyAlignment="1">
      <alignment vertical="top"/>
    </xf>
    <xf numFmtId="175" fontId="14" fillId="0" borderId="0" xfId="543" applyNumberFormat="1" applyAlignment="1">
      <alignment vertical="center"/>
    </xf>
    <xf numFmtId="0" fontId="86" fillId="43" borderId="6" xfId="4496" applyFont="1" applyFill="1" applyBorder="1" applyAlignment="1" applyProtection="1">
      <alignment horizontal="center"/>
      <protection locked="0"/>
    </xf>
    <xf numFmtId="0" fontId="86" fillId="0" borderId="0" xfId="4496" applyFont="1"/>
    <xf numFmtId="0" fontId="86" fillId="0" borderId="0" xfId="4496" applyFont="1" applyAlignment="1">
      <alignment wrapText="1"/>
    </xf>
    <xf numFmtId="0" fontId="125" fillId="0" borderId="0" xfId="4496" applyFont="1"/>
    <xf numFmtId="181" fontId="126" fillId="0" borderId="0" xfId="4498" applyNumberFormat="1" applyFont="1" applyBorder="1" applyProtection="1"/>
    <xf numFmtId="0" fontId="127" fillId="0" borderId="0" xfId="4496" applyFont="1" applyAlignment="1">
      <alignment vertical="center" wrapText="1"/>
    </xf>
    <xf numFmtId="49" fontId="86" fillId="0" borderId="0" xfId="4496" applyNumberFormat="1" applyFont="1" applyAlignment="1">
      <alignment horizontal="center"/>
    </xf>
    <xf numFmtId="182" fontId="86" fillId="0" borderId="6" xfId="4496" applyNumberFormat="1" applyFont="1" applyBorder="1"/>
    <xf numFmtId="0" fontId="86" fillId="0" borderId="0" xfId="4496" applyFont="1" applyAlignment="1">
      <alignment vertical="center"/>
    </xf>
    <xf numFmtId="182" fontId="86" fillId="0" borderId="0" xfId="4496" applyNumberFormat="1" applyFont="1" applyAlignment="1">
      <alignment vertical="center"/>
    </xf>
    <xf numFmtId="175" fontId="86" fillId="0" borderId="0" xfId="4499" applyNumberFormat="1" applyFont="1" applyFill="1" applyBorder="1" applyAlignment="1" applyProtection="1">
      <alignment horizontal="left" vertical="center"/>
    </xf>
    <xf numFmtId="9" fontId="86" fillId="0" borderId="0" xfId="4499" applyFont="1" applyFill="1" applyBorder="1" applyAlignment="1" applyProtection="1">
      <alignment vertical="center"/>
    </xf>
    <xf numFmtId="183" fontId="86" fillId="0" borderId="0" xfId="4496" applyNumberFormat="1" applyFont="1" applyAlignment="1">
      <alignment vertical="center" wrapText="1"/>
    </xf>
    <xf numFmtId="9" fontId="86" fillId="0" borderId="0" xfId="4499" applyFont="1" applyBorder="1" applyAlignment="1" applyProtection="1">
      <alignment vertical="center"/>
    </xf>
    <xf numFmtId="164" fontId="86" fillId="0" borderId="0" xfId="4496" applyNumberFormat="1" applyFont="1" applyAlignment="1">
      <alignment vertical="center" wrapText="1"/>
    </xf>
    <xf numFmtId="0" fontId="86" fillId="0" borderId="0" xfId="4496" applyFont="1" applyAlignment="1">
      <alignment horizontal="center" vertical="center"/>
    </xf>
    <xf numFmtId="182" fontId="86" fillId="0" borderId="11" xfId="8722" applyNumberFormat="1" applyFont="1" applyBorder="1" applyProtection="1"/>
    <xf numFmtId="182" fontId="86" fillId="0" borderId="11" xfId="4496" applyNumberFormat="1" applyFont="1" applyBorder="1"/>
    <xf numFmtId="164" fontId="86" fillId="0" borderId="0" xfId="4496" applyNumberFormat="1" applyFont="1" applyAlignment="1">
      <alignment wrapText="1"/>
    </xf>
    <xf numFmtId="49" fontId="86" fillId="0" borderId="0" xfId="4496" applyNumberFormat="1" applyFont="1" applyAlignment="1">
      <alignment horizontal="left"/>
    </xf>
    <xf numFmtId="0" fontId="128" fillId="0" borderId="0" xfId="4496" applyFont="1"/>
    <xf numFmtId="9" fontId="86" fillId="0" borderId="11" xfId="4494" applyFont="1" applyFill="1" applyBorder="1" applyAlignment="1" applyProtection="1">
      <alignment horizontal="right"/>
    </xf>
    <xf numFmtId="182" fontId="86" fillId="0" borderId="11" xfId="4496" applyNumberFormat="1" applyFont="1" applyBorder="1" applyAlignment="1">
      <alignment horizontal="left"/>
    </xf>
    <xf numFmtId="1" fontId="86" fillId="0" borderId="0" xfId="4496" applyNumberFormat="1" applyFont="1"/>
    <xf numFmtId="2" fontId="86" fillId="0" borderId="0" xfId="4496" applyNumberFormat="1" applyFont="1" applyAlignment="1">
      <alignment horizontal="center"/>
    </xf>
    <xf numFmtId="2" fontId="86" fillId="0" borderId="0" xfId="4496" applyNumberFormat="1" applyFont="1"/>
    <xf numFmtId="0" fontId="125" fillId="45" borderId="3" xfId="4496" applyFont="1" applyFill="1" applyBorder="1" applyAlignment="1">
      <alignment horizontal="left" indent="1"/>
    </xf>
    <xf numFmtId="0" fontId="86" fillId="45" borderId="4" xfId="4496" applyFont="1" applyFill="1" applyBorder="1"/>
    <xf numFmtId="2" fontId="86" fillId="45" borderId="5" xfId="4496" applyNumberFormat="1" applyFont="1" applyFill="1" applyBorder="1"/>
    <xf numFmtId="181" fontId="86" fillId="0" borderId="0" xfId="4496" applyNumberFormat="1" applyFont="1"/>
    <xf numFmtId="165" fontId="126" fillId="0" borderId="0" xfId="4499" applyNumberFormat="1" applyFont="1" applyFill="1" applyBorder="1" applyProtection="1"/>
    <xf numFmtId="9" fontId="86" fillId="0" borderId="0" xfId="4494" applyFont="1" applyFill="1" applyProtection="1"/>
    <xf numFmtId="0" fontId="86" fillId="0" borderId="11" xfId="4496" applyFont="1" applyBorder="1" applyAlignment="1">
      <alignment horizontal="center"/>
    </xf>
    <xf numFmtId="2" fontId="86" fillId="0" borderId="11" xfId="4496" applyNumberFormat="1" applyFont="1" applyBorder="1" applyAlignment="1">
      <alignment horizontal="center"/>
    </xf>
    <xf numFmtId="0" fontId="86" fillId="0" borderId="0" xfId="4496" applyFont="1" applyAlignment="1">
      <alignment vertical="top" wrapText="1"/>
    </xf>
    <xf numFmtId="0" fontId="86" fillId="0" borderId="11" xfId="4496" applyFont="1" applyBorder="1" applyAlignment="1">
      <alignment horizontal="center" vertical="top" wrapText="1"/>
    </xf>
    <xf numFmtId="182" fontId="86" fillId="0" borderId="0" xfId="8722" applyNumberFormat="1" applyFont="1" applyBorder="1" applyProtection="1"/>
    <xf numFmtId="0" fontId="86" fillId="0" borderId="0" xfId="4496" applyFont="1" applyAlignment="1">
      <alignment horizontal="left" indent="1"/>
    </xf>
    <xf numFmtId="182" fontId="86" fillId="0" borderId="0" xfId="4496" applyNumberFormat="1" applyFont="1"/>
    <xf numFmtId="184" fontId="86" fillId="0" borderId="0" xfId="4496" applyNumberFormat="1" applyFont="1"/>
    <xf numFmtId="0" fontId="86" fillId="0" borderId="0" xfId="4496" applyFont="1" applyAlignment="1">
      <alignment horizontal="left"/>
    </xf>
    <xf numFmtId="0" fontId="86" fillId="0" borderId="0" xfId="4496" applyFont="1" applyAlignment="1">
      <alignment horizontal="center"/>
    </xf>
    <xf numFmtId="9" fontId="86" fillId="0" borderId="0" xfId="4494" applyFont="1" applyFill="1" applyBorder="1" applyProtection="1"/>
    <xf numFmtId="3" fontId="19" fillId="0" borderId="11" xfId="271" applyNumberFormat="1" applyFont="1" applyBorder="1" applyAlignment="1">
      <alignment horizontal="center"/>
    </xf>
    <xf numFmtId="3" fontId="19" fillId="43" borderId="11" xfId="271" applyNumberFormat="1" applyFont="1" applyFill="1" applyBorder="1" applyAlignment="1" applyProtection="1">
      <alignment horizontal="center"/>
      <protection locked="0"/>
    </xf>
    <xf numFmtId="3" fontId="19" fillId="43" borderId="11" xfId="271" applyNumberFormat="1" applyFont="1" applyFill="1" applyBorder="1" applyProtection="1">
      <protection locked="0"/>
    </xf>
    <xf numFmtId="0" fontId="86" fillId="0" borderId="0" xfId="4496" applyFont="1" applyAlignment="1">
      <alignment horizontal="right"/>
    </xf>
    <xf numFmtId="0" fontId="86" fillId="0" borderId="15" xfId="4496" applyFont="1" applyBorder="1" applyAlignment="1">
      <alignment horizontal="center" vertical="top" wrapText="1"/>
    </xf>
    <xf numFmtId="2" fontId="86" fillId="0" borderId="15" xfId="4496" applyNumberFormat="1" applyFont="1" applyBorder="1" applyAlignment="1">
      <alignment horizontal="center"/>
    </xf>
    <xf numFmtId="0" fontId="86" fillId="0" borderId="15" xfId="4496" applyFont="1" applyBorder="1" applyAlignment="1">
      <alignment horizontal="center"/>
    </xf>
    <xf numFmtId="0" fontId="125" fillId="0" borderId="71" xfId="4496" applyFont="1" applyBorder="1" applyAlignment="1">
      <alignment horizontal="center" vertical="top" wrapText="1"/>
    </xf>
    <xf numFmtId="0" fontId="125" fillId="0" borderId="71" xfId="4496" applyFont="1" applyBorder="1" applyAlignment="1">
      <alignment horizontal="center"/>
    </xf>
    <xf numFmtId="0" fontId="155" fillId="0" borderId="0" xfId="4496" applyFont="1" applyAlignment="1">
      <alignment horizontal="right" vertical="center"/>
    </xf>
    <xf numFmtId="175" fontId="86" fillId="0" borderId="0" xfId="4499" applyNumberFormat="1" applyFont="1" applyFill="1" applyBorder="1" applyAlignment="1" applyProtection="1">
      <alignment horizontal="right" vertical="center"/>
    </xf>
    <xf numFmtId="5" fontId="86" fillId="0" borderId="6" xfId="4496" applyNumberFormat="1" applyFont="1" applyBorder="1" applyAlignment="1">
      <alignment vertical="center"/>
    </xf>
    <xf numFmtId="0" fontId="86" fillId="0" borderId="66" xfId="4496" applyFont="1" applyBorder="1" applyAlignment="1">
      <alignment vertical="center"/>
    </xf>
    <xf numFmtId="0" fontId="86" fillId="0" borderId="41" xfId="4496" applyFont="1" applyBorder="1" applyAlignment="1">
      <alignment vertical="center"/>
    </xf>
    <xf numFmtId="182" fontId="86" fillId="0" borderId="86" xfId="4496" applyNumberFormat="1" applyFont="1" applyBorder="1" applyAlignment="1">
      <alignment vertical="center"/>
    </xf>
    <xf numFmtId="175" fontId="86" fillId="0" borderId="42" xfId="4499" applyNumberFormat="1" applyFont="1" applyFill="1" applyBorder="1" applyAlignment="1" applyProtection="1">
      <alignment horizontal="left" vertical="center"/>
    </xf>
    <xf numFmtId="0" fontId="86" fillId="0" borderId="42" xfId="4496" applyFont="1" applyBorder="1" applyAlignment="1">
      <alignment vertical="center"/>
    </xf>
    <xf numFmtId="0" fontId="86" fillId="0" borderId="44" xfId="4496" applyFont="1" applyBorder="1" applyAlignment="1">
      <alignment vertical="center"/>
    </xf>
    <xf numFmtId="49" fontId="86" fillId="0" borderId="0" xfId="4496" applyNumberFormat="1" applyFont="1" applyAlignment="1">
      <alignment horizontal="center" vertical="center"/>
    </xf>
    <xf numFmtId="0" fontId="86" fillId="0" borderId="65" xfId="4496" applyFont="1" applyBorder="1" applyAlignment="1">
      <alignment vertical="center"/>
    </xf>
    <xf numFmtId="0" fontId="86" fillId="0" borderId="29" xfId="4496" applyFont="1" applyBorder="1" applyAlignment="1">
      <alignment vertical="center"/>
    </xf>
    <xf numFmtId="0" fontId="86" fillId="0" borderId="29" xfId="4496" applyFont="1" applyBorder="1" applyAlignment="1">
      <alignment horizontal="right" vertical="center"/>
    </xf>
    <xf numFmtId="5" fontId="86" fillId="0" borderId="29" xfId="4496" applyNumberFormat="1" applyFont="1" applyBorder="1" applyAlignment="1">
      <alignment vertical="center"/>
    </xf>
    <xf numFmtId="0" fontId="86" fillId="0" borderId="31" xfId="4496" applyFont="1" applyBorder="1" applyAlignment="1">
      <alignment vertical="center"/>
    </xf>
    <xf numFmtId="175" fontId="125" fillId="0" borderId="42" xfId="4494" applyNumberFormat="1" applyFont="1" applyFill="1" applyBorder="1" applyAlignment="1" applyProtection="1">
      <alignment horizontal="center" vertical="center"/>
    </xf>
    <xf numFmtId="0" fontId="125" fillId="0" borderId="29" xfId="4496" applyFont="1" applyBorder="1" applyAlignment="1">
      <alignment vertical="center"/>
    </xf>
    <xf numFmtId="0" fontId="125" fillId="0" borderId="0" xfId="4496" applyFont="1" applyAlignment="1">
      <alignment vertical="center"/>
    </xf>
    <xf numFmtId="0" fontId="125" fillId="0" borderId="42" xfId="4496" applyFont="1" applyBorder="1" applyAlignment="1">
      <alignment vertical="center"/>
    </xf>
    <xf numFmtId="9" fontId="125" fillId="0" borderId="42" xfId="4499" applyFont="1" applyFill="1" applyBorder="1" applyAlignment="1" applyProtection="1">
      <alignment vertical="center"/>
    </xf>
    <xf numFmtId="182" fontId="86" fillId="0" borderId="15" xfId="4496" applyNumberFormat="1" applyFont="1" applyBorder="1"/>
    <xf numFmtId="182" fontId="125" fillId="0" borderId="71" xfId="8722" applyNumberFormat="1" applyFont="1" applyBorder="1" applyProtection="1"/>
    <xf numFmtId="9" fontId="86" fillId="0" borderId="15" xfId="4494" applyFont="1" applyFill="1" applyBorder="1" applyAlignment="1" applyProtection="1">
      <alignment horizontal="right"/>
    </xf>
    <xf numFmtId="182" fontId="125" fillId="0" borderId="71" xfId="4496" applyNumberFormat="1" applyFont="1" applyBorder="1"/>
    <xf numFmtId="0" fontId="155" fillId="0" borderId="0" xfId="4496" applyFont="1" applyAlignment="1">
      <alignment horizontal="right"/>
    </xf>
    <xf numFmtId="0" fontId="86" fillId="0" borderId="0" xfId="4496" applyFont="1" applyAlignment="1">
      <alignment horizontal="right" vertical="top" wrapText="1" indent="1"/>
    </xf>
    <xf numFmtId="182" fontId="86" fillId="0" borderId="6" xfId="8722" applyNumberFormat="1" applyFont="1" applyBorder="1" applyAlignment="1" applyProtection="1">
      <alignment horizontal="center"/>
    </xf>
    <xf numFmtId="0" fontId="86" fillId="0" borderId="0" xfId="4496" applyFont="1" applyAlignment="1">
      <alignment horizontal="right" indent="1"/>
    </xf>
    <xf numFmtId="0" fontId="86" fillId="0" borderId="0" xfId="4496" applyFont="1" applyAlignment="1">
      <alignment horizontal="right" vertical="top"/>
    </xf>
    <xf numFmtId="0" fontId="125" fillId="0" borderId="0" xfId="4496" applyFont="1" applyAlignment="1">
      <alignment horizontal="right"/>
    </xf>
    <xf numFmtId="182" fontId="125" fillId="0" borderId="0" xfId="8722" applyNumberFormat="1" applyFont="1" applyBorder="1" applyAlignment="1" applyProtection="1">
      <alignment horizontal="center"/>
    </xf>
    <xf numFmtId="10" fontId="86" fillId="0" borderId="0" xfId="4494" applyNumberFormat="1" applyFont="1" applyBorder="1" applyAlignment="1" applyProtection="1">
      <alignment horizontal="center"/>
    </xf>
    <xf numFmtId="184" fontId="86" fillId="0" borderId="6" xfId="4496" applyNumberFormat="1" applyFont="1" applyBorder="1"/>
    <xf numFmtId="0" fontId="125" fillId="0" borderId="0" xfId="4496" applyFont="1" applyAlignment="1">
      <alignment horizontal="right" vertical="top"/>
    </xf>
    <xf numFmtId="182" fontId="125" fillId="0" borderId="0" xfId="4496" applyNumberFormat="1" applyFont="1"/>
    <xf numFmtId="182" fontId="86" fillId="0" borderId="6" xfId="8722" applyNumberFormat="1" applyFont="1" applyBorder="1" applyProtection="1"/>
    <xf numFmtId="184" fontId="86" fillId="0" borderId="0" xfId="4496" applyNumberFormat="1" applyFont="1" applyAlignment="1">
      <alignment horizontal="center"/>
    </xf>
    <xf numFmtId="0" fontId="86" fillId="0" borderId="6" xfId="4496" applyFont="1" applyBorder="1" applyAlignment="1">
      <alignment horizontal="right" vertical="top" wrapText="1" indent="1"/>
    </xf>
    <xf numFmtId="0" fontId="86" fillId="0" borderId="70" xfId="4496" applyFont="1" applyBorder="1" applyAlignment="1">
      <alignment horizontal="right" indent="1"/>
    </xf>
    <xf numFmtId="0" fontId="86" fillId="0" borderId="80" xfId="4496" applyFont="1" applyBorder="1" applyAlignment="1">
      <alignment horizontal="right" indent="1"/>
    </xf>
    <xf numFmtId="0" fontId="86" fillId="0" borderId="80" xfId="4496" quotePrefix="1" applyFont="1" applyBorder="1" applyAlignment="1">
      <alignment horizontal="right" indent="1"/>
    </xf>
    <xf numFmtId="0" fontId="86" fillId="0" borderId="72" xfId="4496" applyFont="1" applyBorder="1" applyAlignment="1">
      <alignment horizontal="right" indent="1"/>
    </xf>
    <xf numFmtId="182" fontId="86" fillId="0" borderId="74" xfId="4496" applyNumberFormat="1" applyFont="1" applyBorder="1"/>
    <xf numFmtId="182" fontId="86" fillId="0" borderId="91" xfId="4496" applyNumberFormat="1" applyFont="1" applyBorder="1"/>
    <xf numFmtId="182" fontId="86" fillId="0" borderId="93" xfId="4496" applyNumberFormat="1" applyFont="1" applyBorder="1"/>
    <xf numFmtId="175" fontId="21" fillId="0" borderId="0" xfId="543" applyNumberFormat="1" applyFont="1" applyAlignment="1">
      <alignment vertical="center"/>
    </xf>
    <xf numFmtId="10" fontId="125" fillId="0" borderId="0" xfId="4494" applyNumberFormat="1" applyFont="1" applyProtection="1"/>
    <xf numFmtId="0" fontId="21" fillId="0" borderId="0" xfId="1192" applyFont="1" applyAlignment="1">
      <alignment horizontal="left" indent="1"/>
    </xf>
    <xf numFmtId="168" fontId="86" fillId="0" borderId="11" xfId="4499" applyNumberFormat="1" applyFont="1" applyFill="1" applyBorder="1" applyAlignment="1" applyProtection="1">
      <alignment horizontal="left" vertical="center" indent="1"/>
    </xf>
    <xf numFmtId="168" fontId="125" fillId="0" borderId="71" xfId="4499" applyNumberFormat="1" applyFont="1" applyFill="1" applyBorder="1" applyAlignment="1" applyProtection="1">
      <alignment horizontal="left" vertical="center" indent="1"/>
    </xf>
    <xf numFmtId="182" fontId="86" fillId="0" borderId="13" xfId="4496" applyNumberFormat="1" applyFont="1" applyBorder="1"/>
    <xf numFmtId="182" fontId="86" fillId="0" borderId="73" xfId="4496" applyNumberFormat="1" applyFont="1" applyBorder="1"/>
    <xf numFmtId="0" fontId="125" fillId="0" borderId="4" xfId="4496" applyFont="1" applyBorder="1" applyAlignment="1">
      <alignment horizontal="left" indent="1"/>
    </xf>
    <xf numFmtId="0" fontId="86" fillId="0" borderId="4" xfId="4496" applyFont="1" applyBorder="1"/>
    <xf numFmtId="0" fontId="32" fillId="0" borderId="0" xfId="4495" applyFont="1" applyAlignment="1">
      <alignment vertical="center"/>
    </xf>
    <xf numFmtId="0" fontId="110" fillId="0" borderId="0" xfId="4496" applyFont="1" applyAlignment="1">
      <alignment vertical="center" wrapText="1"/>
    </xf>
    <xf numFmtId="0" fontId="19" fillId="43" borderId="0" xfId="1192" applyFont="1" applyFill="1"/>
    <xf numFmtId="3" fontId="57" fillId="43" borderId="6" xfId="1192" applyNumberFormat="1" applyFont="1" applyFill="1" applyBorder="1"/>
    <xf numFmtId="0" fontId="157" fillId="0" borderId="0" xfId="0" applyFont="1"/>
    <xf numFmtId="0" fontId="19" fillId="0" borderId="11" xfId="253" applyFont="1" applyBorder="1" applyAlignment="1" applyProtection="1">
      <alignment horizontal="center" wrapText="1"/>
      <protection locked="0"/>
    </xf>
    <xf numFmtId="0" fontId="158" fillId="0" borderId="0" xfId="0" applyFont="1"/>
    <xf numFmtId="0" fontId="159" fillId="0" borderId="0" xfId="0" applyFont="1" applyAlignment="1">
      <alignment horizontal="center"/>
    </xf>
    <xf numFmtId="0" fontId="44" fillId="5" borderId="11" xfId="0" applyFont="1" applyFill="1" applyBorder="1" applyAlignment="1" applyProtection="1">
      <alignment horizontal="right" vertical="top" wrapText="1"/>
      <protection locked="0"/>
    </xf>
    <xf numFmtId="0" fontId="14" fillId="43" borderId="3" xfId="569" applyFill="1" applyBorder="1"/>
    <xf numFmtId="0" fontId="164" fillId="0" borderId="0" xfId="0" applyFont="1" applyAlignment="1">
      <alignment horizontal="right"/>
    </xf>
    <xf numFmtId="1" fontId="22" fillId="0" borderId="0" xfId="4495" applyNumberFormat="1" applyFont="1"/>
    <xf numFmtId="0" fontId="2" fillId="0" borderId="0" xfId="8726"/>
    <xf numFmtId="0" fontId="91" fillId="0" borderId="0" xfId="8726" applyFont="1"/>
    <xf numFmtId="0" fontId="143" fillId="0" borderId="0" xfId="8726" applyFont="1"/>
    <xf numFmtId="0" fontId="2" fillId="48" borderId="44" xfId="8726" applyFill="1" applyBorder="1"/>
    <xf numFmtId="0" fontId="2" fillId="48" borderId="42" xfId="8726" applyFill="1" applyBorder="1"/>
    <xf numFmtId="0" fontId="2" fillId="48" borderId="41" xfId="8726" applyFill="1" applyBorder="1"/>
    <xf numFmtId="0" fontId="2" fillId="44" borderId="44" xfId="8726" applyFill="1" applyBorder="1"/>
    <xf numFmtId="0" fontId="2" fillId="44" borderId="42" xfId="8726" applyFill="1" applyBorder="1"/>
    <xf numFmtId="0" fontId="2" fillId="44" borderId="86" xfId="8726" applyFill="1" applyBorder="1"/>
    <xf numFmtId="0" fontId="2" fillId="48" borderId="0" xfId="8726" applyFill="1"/>
    <xf numFmtId="0" fontId="2" fillId="44" borderId="41" xfId="8726" applyFill="1" applyBorder="1"/>
    <xf numFmtId="0" fontId="2" fillId="44" borderId="0" xfId="8726" applyFill="1"/>
    <xf numFmtId="0" fontId="2" fillId="44" borderId="66" xfId="8726" applyFill="1" applyBorder="1"/>
    <xf numFmtId="0" fontId="2" fillId="44" borderId="0" xfId="8726" applyFill="1" applyAlignment="1">
      <alignment horizontal="left"/>
    </xf>
    <xf numFmtId="0" fontId="2" fillId="48" borderId="86" xfId="8726" applyFill="1" applyBorder="1"/>
    <xf numFmtId="0" fontId="2" fillId="48" borderId="66" xfId="8726" applyFill="1" applyBorder="1"/>
    <xf numFmtId="49" fontId="90" fillId="48" borderId="66" xfId="8726" applyNumberFormat="1" applyFont="1" applyFill="1" applyBorder="1" applyAlignment="1">
      <alignment horizontal="right" vertical="top"/>
    </xf>
    <xf numFmtId="0" fontId="90" fillId="48" borderId="0" xfId="8726" applyFont="1" applyFill="1"/>
    <xf numFmtId="0" fontId="90" fillId="48" borderId="66" xfId="8726" applyFont="1" applyFill="1" applyBorder="1"/>
    <xf numFmtId="0" fontId="90" fillId="48" borderId="41" xfId="8726" applyFont="1" applyFill="1" applyBorder="1" applyAlignment="1">
      <alignment horizontal="center"/>
    </xf>
    <xf numFmtId="0" fontId="91" fillId="48" borderId="0" xfId="8726" applyFont="1" applyFill="1"/>
    <xf numFmtId="0" fontId="2" fillId="48" borderId="69" xfId="8726" applyFill="1" applyBorder="1"/>
    <xf numFmtId="168" fontId="147" fillId="48" borderId="68" xfId="700" applyNumberFormat="1" applyFont="1" applyFill="1" applyBorder="1" applyAlignment="1" applyProtection="1">
      <protection locked="0"/>
    </xf>
    <xf numFmtId="0" fontId="152" fillId="48" borderId="0" xfId="8726" applyFont="1" applyFill="1"/>
    <xf numFmtId="0" fontId="137" fillId="47" borderId="91" xfId="8726" applyFont="1" applyFill="1" applyBorder="1" applyAlignment="1">
      <alignment horizontal="center"/>
    </xf>
    <xf numFmtId="0" fontId="137" fillId="47" borderId="11" xfId="8726" applyFont="1" applyFill="1" applyBorder="1" applyAlignment="1">
      <alignment horizontal="center"/>
    </xf>
    <xf numFmtId="0" fontId="151" fillId="47" borderId="91" xfId="8726" applyFont="1" applyFill="1" applyBorder="1"/>
    <xf numFmtId="0" fontId="151" fillId="47" borderId="11" xfId="8726" applyFont="1" applyFill="1" applyBorder="1"/>
    <xf numFmtId="0" fontId="2" fillId="45" borderId="69" xfId="8726" applyFill="1" applyBorder="1"/>
    <xf numFmtId="0" fontId="2" fillId="45" borderId="68" xfId="8726" applyFill="1" applyBorder="1"/>
    <xf numFmtId="0" fontId="90" fillId="45" borderId="68" xfId="8726" applyFont="1" applyFill="1" applyBorder="1"/>
    <xf numFmtId="0" fontId="90" fillId="45" borderId="67" xfId="8726" applyFont="1" applyFill="1" applyBorder="1"/>
    <xf numFmtId="0" fontId="90" fillId="45" borderId="69" xfId="8726" applyFont="1" applyFill="1" applyBorder="1"/>
    <xf numFmtId="0" fontId="2" fillId="48" borderId="0" xfId="8726" applyFill="1" applyAlignment="1">
      <alignment horizontal="left"/>
    </xf>
    <xf numFmtId="0" fontId="141" fillId="48" borderId="0" xfId="8726" applyFont="1" applyFill="1"/>
    <xf numFmtId="0" fontId="90" fillId="45" borderId="89" xfId="8726" applyFont="1" applyFill="1" applyBorder="1"/>
    <xf numFmtId="0" fontId="90" fillId="45" borderId="76" xfId="8726" applyFont="1" applyFill="1" applyBorder="1"/>
    <xf numFmtId="0" fontId="90" fillId="45" borderId="75" xfId="8726" applyFont="1" applyFill="1" applyBorder="1"/>
    <xf numFmtId="0" fontId="90" fillId="45" borderId="31" xfId="8726" applyFont="1" applyFill="1" applyBorder="1"/>
    <xf numFmtId="0" fontId="90" fillId="45" borderId="29" xfId="8726" applyFont="1" applyFill="1" applyBorder="1"/>
    <xf numFmtId="0" fontId="90" fillId="45" borderId="65" xfId="8726" applyFont="1" applyFill="1" applyBorder="1"/>
    <xf numFmtId="0" fontId="2" fillId="45" borderId="83" xfId="8726" applyFill="1" applyBorder="1"/>
    <xf numFmtId="0" fontId="2" fillId="45" borderId="82" xfId="8726" applyFill="1" applyBorder="1"/>
    <xf numFmtId="0" fontId="2" fillId="45" borderId="81" xfId="8726" applyFill="1" applyBorder="1"/>
    <xf numFmtId="0" fontId="90" fillId="45" borderId="81" xfId="8726" applyFont="1" applyFill="1" applyBorder="1"/>
    <xf numFmtId="0" fontId="2" fillId="45" borderId="31" xfId="8726" applyFill="1" applyBorder="1"/>
    <xf numFmtId="0" fontId="2" fillId="45" borderId="29" xfId="8726" applyFill="1" applyBorder="1"/>
    <xf numFmtId="0" fontId="2" fillId="45" borderId="67" xfId="8726" applyFill="1" applyBorder="1"/>
    <xf numFmtId="0" fontId="74" fillId="0" borderId="0" xfId="8726" applyFont="1"/>
    <xf numFmtId="0" fontId="2" fillId="45" borderId="99" xfId="8726" applyFill="1" applyBorder="1"/>
    <xf numFmtId="0" fontId="2" fillId="45" borderId="65" xfId="8726" applyFill="1" applyBorder="1"/>
    <xf numFmtId="0" fontId="90" fillId="45" borderId="28" xfId="8726" applyFont="1" applyFill="1" applyBorder="1"/>
    <xf numFmtId="0" fontId="2" fillId="52" borderId="101" xfId="8726" applyFill="1" applyBorder="1"/>
    <xf numFmtId="0" fontId="2" fillId="51" borderId="101" xfId="8726" applyFill="1" applyBorder="1"/>
    <xf numFmtId="0" fontId="90" fillId="50" borderId="100" xfId="8726" applyFont="1" applyFill="1" applyBorder="1"/>
    <xf numFmtId="0" fontId="90" fillId="0" borderId="0" xfId="8726" applyFont="1"/>
    <xf numFmtId="0" fontId="90" fillId="48" borderId="41" xfId="8726" applyFont="1" applyFill="1" applyBorder="1"/>
    <xf numFmtId="0" fontId="139" fillId="48" borderId="0" xfId="8726" applyFont="1" applyFill="1"/>
    <xf numFmtId="182" fontId="153" fillId="48" borderId="0" xfId="8727" applyNumberFormat="1" applyFont="1" applyFill="1" applyBorder="1" applyAlignment="1"/>
    <xf numFmtId="0" fontId="21" fillId="0" borderId="4" xfId="569" applyFont="1" applyBorder="1" applyAlignment="1">
      <alignment horizontal="center"/>
    </xf>
    <xf numFmtId="43" fontId="21" fillId="0" borderId="0" xfId="4504" applyFont="1" applyAlignment="1" applyProtection="1">
      <alignment horizontal="center"/>
    </xf>
    <xf numFmtId="0" fontId="21" fillId="0" borderId="0" xfId="569" applyFont="1" applyAlignment="1">
      <alignment horizontal="center" vertical="center"/>
    </xf>
    <xf numFmtId="0" fontId="21" fillId="0" borderId="16" xfId="569" applyFont="1" applyBorder="1" applyAlignment="1">
      <alignment horizontal="center"/>
    </xf>
    <xf numFmtId="49" fontId="21" fillId="0" borderId="4" xfId="569" applyNumberFormat="1" applyFont="1" applyBorder="1" applyAlignment="1">
      <alignment horizontal="center"/>
    </xf>
    <xf numFmtId="4" fontId="21" fillId="0" borderId="0" xfId="569" applyNumberFormat="1" applyFont="1" applyAlignment="1">
      <alignment horizontal="center"/>
    </xf>
    <xf numFmtId="0" fontId="14" fillId="0" borderId="0" xfId="569" applyAlignment="1">
      <alignment horizontal="center" wrapText="1"/>
    </xf>
    <xf numFmtId="0" fontId="86" fillId="0" borderId="6" xfId="4496" applyFont="1" applyBorder="1" applyAlignment="1">
      <alignment horizontal="left" vertical="top"/>
    </xf>
    <xf numFmtId="0" fontId="14" fillId="0" borderId="3" xfId="0" applyFont="1" applyBorder="1" applyAlignment="1">
      <alignment horizontal="center"/>
    </xf>
    <xf numFmtId="0" fontId="14" fillId="0" borderId="4" xfId="0" applyFont="1" applyBorder="1" applyAlignment="1">
      <alignment horizontal="center"/>
    </xf>
    <xf numFmtId="0" fontId="14" fillId="0" borderId="5" xfId="0" applyFont="1" applyBorder="1" applyAlignment="1">
      <alignment horizontal="center"/>
    </xf>
    <xf numFmtId="0" fontId="14" fillId="0" borderId="4" xfId="0" applyFont="1" applyBorder="1"/>
    <xf numFmtId="0" fontId="14" fillId="0" borderId="0" xfId="0" applyFont="1" applyAlignment="1" applyProtection="1">
      <alignment horizontal="left"/>
      <protection locked="0"/>
    </xf>
    <xf numFmtId="0" fontId="14" fillId="0" borderId="0" xfId="0" applyFont="1" applyAlignment="1">
      <alignment horizontal="left" vertical="top" wrapText="1"/>
    </xf>
    <xf numFmtId="0" fontId="14" fillId="0" borderId="0" xfId="1192" applyAlignment="1">
      <alignment horizontal="left" vertical="top" wrapText="1"/>
    </xf>
    <xf numFmtId="0" fontId="21" fillId="0" borderId="0" xfId="0" applyFont="1" applyAlignment="1">
      <alignment horizontal="left" vertical="top" wrapText="1"/>
    </xf>
    <xf numFmtId="0" fontId="38" fillId="0" borderId="0" xfId="0" applyFont="1" applyAlignment="1">
      <alignment horizontal="left" vertical="top" wrapText="1"/>
    </xf>
    <xf numFmtId="0" fontId="14" fillId="0" borderId="0" xfId="0" applyFont="1" applyAlignment="1">
      <alignment horizontal="left" wrapText="1"/>
    </xf>
    <xf numFmtId="0" fontId="15" fillId="0" borderId="0" xfId="244" applyAlignment="1" applyProtection="1">
      <alignment horizontal="left"/>
    </xf>
    <xf numFmtId="0" fontId="101" fillId="0" borderId="0" xfId="0" applyFont="1" applyAlignment="1">
      <alignment horizontal="left" wrapText="1"/>
    </xf>
    <xf numFmtId="0" fontId="23" fillId="0" borderId="0" xfId="0" applyFont="1" applyAlignment="1">
      <alignment horizontal="left" wrapText="1"/>
    </xf>
    <xf numFmtId="0" fontId="20" fillId="3" borderId="0" xfId="0" applyFont="1" applyFill="1" applyAlignment="1">
      <alignment horizontal="center" vertical="center" wrapText="1"/>
    </xf>
    <xf numFmtId="0" fontId="20" fillId="3" borderId="16" xfId="0" applyFont="1" applyFill="1" applyBorder="1" applyAlignment="1">
      <alignment horizontal="center" vertical="center" wrapText="1"/>
    </xf>
    <xf numFmtId="0" fontId="93" fillId="0" borderId="0" xfId="0" applyFont="1" applyAlignment="1">
      <alignment horizontal="left" vertical="top" wrapText="1"/>
    </xf>
    <xf numFmtId="0" fontId="32" fillId="0" borderId="0" xfId="569" applyFont="1" applyAlignment="1">
      <alignment horizontal="left"/>
    </xf>
    <xf numFmtId="4" fontId="14" fillId="0" borderId="0" xfId="569" applyNumberFormat="1" applyAlignment="1">
      <alignment horizontal="left"/>
    </xf>
    <xf numFmtId="0" fontId="14" fillId="0" borderId="0" xfId="569" applyAlignment="1">
      <alignment horizontal="left" vertical="top" wrapText="1"/>
    </xf>
    <xf numFmtId="4" fontId="32" fillId="0" borderId="0" xfId="569" applyNumberFormat="1" applyFont="1" applyAlignment="1">
      <alignment horizontal="left" vertical="top" wrapText="1"/>
    </xf>
    <xf numFmtId="4" fontId="14" fillId="0" borderId="0" xfId="569" applyNumberFormat="1" applyAlignment="1">
      <alignment horizontal="left" vertical="top" wrapText="1"/>
    </xf>
    <xf numFmtId="0" fontId="32" fillId="0" borderId="0" xfId="0" applyFont="1" applyAlignment="1">
      <alignment horizontal="left"/>
    </xf>
    <xf numFmtId="0" fontId="14" fillId="0" borderId="0" xfId="0" applyFont="1" applyAlignment="1">
      <alignment horizontal="left"/>
    </xf>
    <xf numFmtId="0" fontId="21" fillId="0" borderId="4" xfId="569" applyFont="1" applyBorder="1" applyAlignment="1">
      <alignment horizontal="left"/>
    </xf>
    <xf numFmtId="0" fontId="21" fillId="0" borderId="4" xfId="569" applyFont="1" applyBorder="1" applyAlignment="1">
      <alignment horizontal="left" vertical="top"/>
    </xf>
    <xf numFmtId="0" fontId="32" fillId="0" borderId="0" xfId="0" applyFont="1" applyAlignment="1">
      <alignment horizontal="left" wrapText="1"/>
    </xf>
    <xf numFmtId="0" fontId="14" fillId="0" borderId="0" xfId="0" applyFont="1" applyAlignment="1">
      <alignment horizontal="left" vertical="top"/>
    </xf>
    <xf numFmtId="0" fontId="21" fillId="0" borderId="0" xfId="0" applyFont="1" applyAlignment="1">
      <alignment horizontal="left"/>
    </xf>
    <xf numFmtId="0" fontId="15" fillId="0" borderId="0" xfId="244" quotePrefix="1" applyAlignment="1" applyProtection="1">
      <alignment horizontal="left"/>
    </xf>
    <xf numFmtId="0" fontId="21" fillId="0" borderId="4" xfId="0" applyFont="1" applyBorder="1" applyAlignment="1">
      <alignment horizontal="left"/>
    </xf>
    <xf numFmtId="0" fontId="32" fillId="0" borderId="0" xfId="569" applyFont="1" applyAlignment="1">
      <alignment horizontal="left" vertical="top"/>
    </xf>
    <xf numFmtId="0" fontId="14" fillId="0" borderId="0" xfId="569" applyAlignment="1">
      <alignment horizontal="left" vertical="top"/>
    </xf>
    <xf numFmtId="0" fontId="21" fillId="0" borderId="0" xfId="569" applyFont="1" applyAlignment="1">
      <alignment horizontal="left" vertical="top"/>
    </xf>
    <xf numFmtId="0" fontId="32" fillId="0" borderId="0" xfId="0" applyFont="1" applyAlignment="1">
      <alignment horizontal="left" vertical="top" wrapText="1"/>
    </xf>
    <xf numFmtId="4" fontId="14" fillId="0" borderId="0" xfId="0" applyNumberFormat="1" applyFont="1" applyAlignment="1">
      <alignment horizontal="left" vertical="top" wrapText="1"/>
    </xf>
    <xf numFmtId="4" fontId="32" fillId="0" borderId="0" xfId="0" applyNumberFormat="1" applyFont="1" applyAlignment="1">
      <alignment horizontal="left"/>
    </xf>
    <xf numFmtId="4" fontId="15" fillId="0" borderId="0" xfId="244" applyNumberFormat="1" applyFill="1" applyAlignment="1" applyProtection="1">
      <alignment horizontal="left"/>
    </xf>
    <xf numFmtId="0" fontId="14" fillId="0" borderId="0" xfId="271" applyFont="1" applyAlignment="1">
      <alignment horizontal="left" vertical="top" wrapText="1"/>
    </xf>
    <xf numFmtId="4" fontId="14" fillId="0" borderId="0" xfId="1192" applyNumberFormat="1" applyAlignment="1">
      <alignment horizontal="left" vertical="top" wrapText="1"/>
    </xf>
    <xf numFmtId="0" fontId="32" fillId="0" borderId="0" xfId="0" applyFont="1" applyAlignment="1">
      <alignment horizontal="center"/>
    </xf>
    <xf numFmtId="0" fontId="0" fillId="0" borderId="0" xfId="0" applyAlignment="1">
      <alignment horizontal="center"/>
    </xf>
    <xf numFmtId="0" fontId="21" fillId="0" borderId="0" xfId="0" applyFont="1" applyAlignment="1">
      <alignment horizontal="center"/>
    </xf>
    <xf numFmtId="49" fontId="14" fillId="0" borderId="0" xfId="0" applyNumberFormat="1" applyFont="1" applyAlignment="1">
      <alignment horizontal="left" vertical="top" wrapText="1"/>
    </xf>
    <xf numFmtId="49" fontId="14" fillId="0" borderId="0" xfId="1192" applyNumberFormat="1" applyAlignment="1">
      <alignment horizontal="left" vertical="top" wrapText="1"/>
    </xf>
    <xf numFmtId="0" fontId="32" fillId="0" borderId="0" xfId="569" applyFont="1" applyAlignment="1">
      <alignment horizontal="left" vertical="top" wrapText="1"/>
    </xf>
    <xf numFmtId="0" fontId="14" fillId="0" borderId="0" xfId="569" applyAlignment="1">
      <alignment horizontal="left"/>
    </xf>
    <xf numFmtId="0" fontId="15" fillId="0" borderId="0" xfId="244" applyAlignment="1">
      <alignment horizontal="left"/>
    </xf>
    <xf numFmtId="0" fontId="21" fillId="0" borderId="16" xfId="0" applyFont="1" applyBorder="1" applyAlignment="1">
      <alignment horizontal="left"/>
    </xf>
    <xf numFmtId="0" fontId="14" fillId="0" borderId="27" xfId="0" applyFont="1" applyBorder="1" applyAlignment="1">
      <alignment horizontal="left"/>
    </xf>
    <xf numFmtId="0" fontId="14" fillId="0" borderId="0" xfId="1192" applyAlignment="1">
      <alignment horizontal="left"/>
    </xf>
    <xf numFmtId="0" fontId="0" fillId="0" borderId="0" xfId="0" applyAlignment="1">
      <alignment horizontal="left" vertical="top" wrapText="1"/>
    </xf>
    <xf numFmtId="0" fontId="14" fillId="0" borderId="0" xfId="271" applyFont="1" applyAlignment="1" applyProtection="1">
      <alignment horizontal="left" vertical="top" wrapText="1"/>
      <protection locked="0"/>
    </xf>
    <xf numFmtId="0" fontId="32" fillId="0" borderId="0" xfId="1192" applyFont="1" applyAlignment="1">
      <alignment horizontal="left"/>
    </xf>
    <xf numFmtId="0" fontId="21" fillId="0" borderId="0" xfId="271" applyFont="1" applyAlignment="1">
      <alignment horizontal="left" vertical="top" wrapText="1"/>
    </xf>
    <xf numFmtId="0" fontId="102" fillId="0" borderId="0" xfId="569" applyFont="1" applyAlignment="1">
      <alignment horizontal="center"/>
    </xf>
    <xf numFmtId="0" fontId="14" fillId="0" borderId="0" xfId="569" applyAlignment="1">
      <alignment wrapText="1"/>
    </xf>
    <xf numFmtId="0" fontId="21" fillId="0" borderId="0" xfId="569" applyFont="1" applyAlignment="1">
      <alignment wrapText="1"/>
    </xf>
    <xf numFmtId="0" fontId="29" fillId="0" borderId="0" xfId="569" applyFont="1" applyAlignment="1">
      <alignment horizontal="center"/>
    </xf>
    <xf numFmtId="0" fontId="14" fillId="0" borderId="0" xfId="1192" applyAlignment="1">
      <alignment vertical="top" wrapText="1"/>
    </xf>
    <xf numFmtId="0" fontId="32" fillId="0" borderId="0" xfId="569" applyFont="1" applyAlignment="1">
      <alignment horizontal="center"/>
    </xf>
    <xf numFmtId="0" fontId="21" fillId="0" borderId="0" xfId="569" applyFont="1" applyAlignment="1">
      <alignment horizontal="center"/>
    </xf>
    <xf numFmtId="0" fontId="14" fillId="0" borderId="15" xfId="569" applyBorder="1" applyAlignment="1">
      <alignment horizontal="center" vertical="top" wrapText="1"/>
    </xf>
    <xf numFmtId="0" fontId="14" fillId="0" borderId="14" xfId="569" applyBorder="1" applyAlignment="1">
      <alignment horizontal="center" vertical="top" wrapText="1"/>
    </xf>
    <xf numFmtId="0" fontId="14" fillId="0" borderId="13" xfId="569" applyBorder="1" applyAlignment="1">
      <alignment horizontal="center" vertical="top" wrapText="1"/>
    </xf>
    <xf numFmtId="0" fontId="14" fillId="0" borderId="0" xfId="1192" applyAlignment="1" applyProtection="1">
      <alignment horizontal="left" vertical="top" wrapText="1"/>
      <protection locked="0"/>
    </xf>
    <xf numFmtId="0" fontId="14" fillId="0" borderId="27" xfId="569" applyBorder="1" applyAlignment="1">
      <alignment horizontal="left"/>
    </xf>
    <xf numFmtId="0" fontId="15" fillId="0" borderId="0" xfId="244" applyAlignment="1" applyProtection="1">
      <alignment horizontal="left" vertical="top" wrapText="1"/>
    </xf>
    <xf numFmtId="0" fontId="21" fillId="0" borderId="0" xfId="569" applyFont="1" applyAlignment="1">
      <alignment horizontal="left"/>
    </xf>
    <xf numFmtId="0" fontId="21" fillId="0" borderId="4" xfId="0" applyFont="1" applyBorder="1" applyAlignment="1">
      <alignment horizontal="left" vertical="top"/>
    </xf>
    <xf numFmtId="0" fontId="21" fillId="0" borderId="16" xfId="569" applyFont="1" applyBorder="1" applyAlignment="1">
      <alignment horizontal="left"/>
    </xf>
    <xf numFmtId="0" fontId="14" fillId="0" borderId="0" xfId="569" applyAlignment="1">
      <alignment horizontal="left" vertical="center" wrapText="1"/>
    </xf>
    <xf numFmtId="0" fontId="21" fillId="0" borderId="0" xfId="0" applyFont="1" applyAlignment="1">
      <alignment horizontal="left" vertical="top"/>
    </xf>
    <xf numFmtId="0" fontId="15" fillId="0" borderId="0" xfId="244" applyNumberFormat="1" applyFill="1" applyAlignment="1" applyProtection="1">
      <alignment horizontal="left"/>
    </xf>
    <xf numFmtId="0" fontId="32" fillId="0" borderId="0" xfId="569" applyFont="1" applyAlignment="1">
      <alignment horizontal="left" wrapText="1"/>
    </xf>
    <xf numFmtId="0" fontId="32" fillId="0" borderId="0" xfId="569" applyFont="1" applyAlignment="1">
      <alignment horizontal="center" wrapText="1"/>
    </xf>
    <xf numFmtId="0" fontId="14" fillId="0" borderId="0" xfId="0" quotePrefix="1" applyFont="1" applyAlignment="1">
      <alignment horizontal="left" vertical="top"/>
    </xf>
    <xf numFmtId="0" fontId="14" fillId="0" borderId="0" xfId="0" quotePrefix="1" applyFont="1" applyAlignment="1">
      <alignment horizontal="left" vertical="top" wrapText="1"/>
    </xf>
    <xf numFmtId="0" fontId="14" fillId="0" borderId="0" xfId="569" applyAlignment="1">
      <alignment vertical="top" wrapText="1"/>
    </xf>
    <xf numFmtId="4" fontId="32" fillId="0" borderId="0" xfId="0" applyNumberFormat="1" applyFont="1" applyAlignment="1">
      <alignment horizontal="left" vertical="top" wrapText="1"/>
    </xf>
    <xf numFmtId="0" fontId="32" fillId="0" borderId="0" xfId="1192" applyFont="1" applyAlignment="1">
      <alignment horizontal="left" vertical="top" wrapText="1"/>
    </xf>
    <xf numFmtId="0" fontId="21" fillId="0" borderId="0" xfId="1192" applyFont="1" applyAlignment="1">
      <alignment horizontal="left" vertical="top" wrapText="1"/>
    </xf>
    <xf numFmtId="4" fontId="14" fillId="0" borderId="0" xfId="0" applyNumberFormat="1" applyFont="1" applyAlignment="1">
      <alignment horizontal="left"/>
    </xf>
    <xf numFmtId="0" fontId="21" fillId="0" borderId="0" xfId="0" applyFont="1" applyAlignment="1">
      <alignment vertical="top" wrapText="1"/>
    </xf>
    <xf numFmtId="0" fontId="14" fillId="0" borderId="0" xfId="0" applyFont="1" applyAlignment="1">
      <alignment horizontal="left" vertical="center" wrapText="1"/>
    </xf>
    <xf numFmtId="0" fontId="14" fillId="0" borderId="0" xfId="569" applyAlignment="1">
      <alignment horizontal="left" wrapText="1"/>
    </xf>
    <xf numFmtId="0" fontId="14" fillId="0" borderId="0" xfId="0" applyFont="1" applyAlignment="1">
      <alignment vertical="top" wrapText="1"/>
    </xf>
    <xf numFmtId="0" fontId="15" fillId="0" borderId="0" xfId="244" applyFill="1" applyBorder="1" applyAlignment="1">
      <alignment horizontal="left" vertical="top" wrapText="1"/>
    </xf>
    <xf numFmtId="0" fontId="32" fillId="0" borderId="0" xfId="0" applyFont="1" applyAlignment="1">
      <alignment horizontal="left" vertical="top"/>
    </xf>
    <xf numFmtId="0" fontId="0" fillId="5" borderId="6" xfId="0" applyFill="1" applyBorder="1" applyAlignment="1" applyProtection="1">
      <alignment horizontal="left"/>
      <protection locked="0"/>
    </xf>
    <xf numFmtId="0" fontId="0" fillId="0" borderId="11" xfId="0" applyBorder="1" applyAlignment="1">
      <alignment horizontal="center"/>
    </xf>
    <xf numFmtId="0" fontId="0" fillId="5" borderId="6" xfId="0" applyFill="1" applyBorder="1" applyAlignment="1" applyProtection="1">
      <alignment horizontal="center"/>
      <protection locked="0"/>
    </xf>
    <xf numFmtId="0" fontId="14" fillId="0" borderId="3" xfId="0" applyFont="1" applyBorder="1" applyAlignment="1">
      <alignment horizontal="center"/>
    </xf>
    <xf numFmtId="0" fontId="14" fillId="0" borderId="4" xfId="0" applyFont="1" applyBorder="1" applyAlignment="1">
      <alignment horizontal="center"/>
    </xf>
    <xf numFmtId="0" fontId="14" fillId="0" borderId="5" xfId="0" applyFont="1" applyBorder="1" applyAlignment="1">
      <alignment horizontal="center"/>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14" fillId="0" borderId="11" xfId="0" applyFont="1" applyBorder="1" applyAlignment="1">
      <alignment horizontal="center"/>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0" xfId="0" applyFont="1" applyAlignment="1">
      <alignment horizontal="center" vertical="center" wrapText="1"/>
    </xf>
    <xf numFmtId="0" fontId="21" fillId="0" borderId="12"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0" xfId="0" applyFont="1" applyBorder="1" applyAlignment="1">
      <alignment horizontal="center" vertical="center" wrapText="1"/>
    </xf>
    <xf numFmtId="168" fontId="14" fillId="0" borderId="3" xfId="0" applyNumberFormat="1" applyFont="1" applyBorder="1" applyAlignment="1">
      <alignment horizontal="left" vertical="top"/>
    </xf>
    <xf numFmtId="168" fontId="14" fillId="0" borderId="4" xfId="0" applyNumberFormat="1" applyFont="1" applyBorder="1" applyAlignment="1">
      <alignment horizontal="left" vertical="top"/>
    </xf>
    <xf numFmtId="168" fontId="14" fillId="0" borderId="5" xfId="0" applyNumberFormat="1" applyFont="1" applyBorder="1" applyAlignment="1">
      <alignment horizontal="left" vertical="top"/>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68" fontId="14" fillId="43" borderId="3" xfId="0" applyNumberFormat="1" applyFont="1" applyFill="1" applyBorder="1" applyAlignment="1" applyProtection="1">
      <alignment horizontal="center" vertical="center"/>
      <protection locked="0"/>
    </xf>
    <xf numFmtId="168" fontId="14" fillId="43" borderId="4" xfId="0" applyNumberFormat="1" applyFont="1" applyFill="1" applyBorder="1" applyAlignment="1" applyProtection="1">
      <alignment horizontal="center" vertical="center"/>
      <protection locked="0"/>
    </xf>
    <xf numFmtId="168" fontId="14" fillId="43" borderId="5" xfId="0" applyNumberFormat="1" applyFon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21" fillId="0" borderId="6" xfId="0" applyFont="1" applyBorder="1" applyAlignment="1">
      <alignment horizontal="center"/>
    </xf>
    <xf numFmtId="0" fontId="21" fillId="0" borderId="10" xfId="0" applyFont="1" applyBorder="1" applyAlignment="1">
      <alignment horizontal="center"/>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4" fillId="0" borderId="3" xfId="0" applyFont="1" applyBorder="1" applyAlignment="1">
      <alignment horizontal="left"/>
    </xf>
    <xf numFmtId="0" fontId="14" fillId="0" borderId="4" xfId="0" applyFont="1" applyBorder="1" applyAlignment="1">
      <alignment horizontal="left"/>
    </xf>
    <xf numFmtId="0" fontId="14"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14"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0" borderId="12" xfId="0" applyBorder="1" applyAlignment="1">
      <alignment horizontal="center"/>
    </xf>
    <xf numFmtId="0" fontId="14" fillId="0" borderId="1" xfId="0" applyFont="1" applyBorder="1" applyAlignment="1">
      <alignment horizontal="center" vertical="top" wrapText="1"/>
    </xf>
    <xf numFmtId="180" fontId="22" fillId="43" borderId="3" xfId="0" applyNumberFormat="1" applyFont="1" applyFill="1" applyBorder="1" applyAlignment="1" applyProtection="1">
      <alignment horizontal="center" vertical="center"/>
      <protection locked="0"/>
    </xf>
    <xf numFmtId="180" fontId="22" fillId="43" borderId="4" xfId="0" applyNumberFormat="1" applyFont="1" applyFill="1" applyBorder="1" applyAlignment="1" applyProtection="1">
      <alignment horizontal="center" vertical="center"/>
      <protection locked="0"/>
    </xf>
    <xf numFmtId="180" fontId="22" fillId="43" borderId="5" xfId="0" applyNumberFormat="1" applyFont="1" applyFill="1" applyBorder="1" applyAlignment="1" applyProtection="1">
      <alignment horizontal="center" vertical="center"/>
      <protection locked="0"/>
    </xf>
    <xf numFmtId="175" fontId="0" fillId="5" borderId="4" xfId="0" applyNumberFormat="1" applyFill="1" applyBorder="1" applyAlignment="1" applyProtection="1">
      <alignment horizontal="left" vertical="center" wrapText="1"/>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75" fontId="14" fillId="43" borderId="3" xfId="0" applyNumberFormat="1" applyFont="1" applyFill="1" applyBorder="1" applyAlignment="1" applyProtection="1">
      <alignment horizontal="center" vertical="center"/>
      <protection locked="0"/>
    </xf>
    <xf numFmtId="175" fontId="14" fillId="43" borderId="4" xfId="0" applyNumberFormat="1" applyFont="1" applyFill="1" applyBorder="1" applyAlignment="1" applyProtection="1">
      <alignment horizontal="center" vertical="center"/>
      <protection locked="0"/>
    </xf>
    <xf numFmtId="175" fontId="14" fillId="43" borderId="5" xfId="0" applyNumberFormat="1" applyFont="1" applyFill="1" applyBorder="1" applyAlignment="1" applyProtection="1">
      <alignment horizontal="center" vertical="center"/>
      <protection locked="0"/>
    </xf>
    <xf numFmtId="0" fontId="0" fillId="0" borderId="6" xfId="0" applyBorder="1" applyAlignment="1">
      <alignment horizontal="left"/>
    </xf>
    <xf numFmtId="0" fontId="14" fillId="5" borderId="11" xfId="0" applyFont="1" applyFill="1" applyBorder="1" applyAlignment="1" applyProtection="1">
      <alignment vertical="center" wrapText="1"/>
      <protection locked="0"/>
    </xf>
    <xf numFmtId="0" fontId="0" fillId="5" borderId="4" xfId="0"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 fontId="0" fillId="5" borderId="6" xfId="0" applyNumberFormat="1" applyFill="1" applyBorder="1" applyAlignment="1" applyProtection="1">
      <alignment horizontal="center"/>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3" xfId="0" applyBorder="1" applyAlignment="1">
      <alignment horizontal="left"/>
    </xf>
    <xf numFmtId="0" fontId="14" fillId="5" borderId="4" xfId="0" applyFont="1" applyFill="1" applyBorder="1" applyAlignment="1" applyProtection="1">
      <alignment horizontal="left"/>
      <protection locked="0"/>
    </xf>
    <xf numFmtId="0" fontId="0" fillId="0" borderId="6" xfId="0" applyBorder="1" applyAlignment="1" applyProtection="1">
      <alignment horizontal="center"/>
      <protection locked="0"/>
    </xf>
    <xf numFmtId="168" fontId="160" fillId="0" borderId="0" xfId="0" applyNumberFormat="1" applyFont="1" applyAlignment="1">
      <alignment horizontal="center" vertical="center" wrapText="1"/>
    </xf>
    <xf numFmtId="10" fontId="14" fillId="43" borderId="6" xfId="0" applyNumberFormat="1" applyFont="1" applyFill="1" applyBorder="1" applyAlignment="1" applyProtection="1">
      <alignment horizontal="center"/>
      <protection locked="0"/>
    </xf>
    <xf numFmtId="0" fontId="0" fillId="43" borderId="6" xfId="0" applyFill="1" applyBorder="1" applyAlignment="1" applyProtection="1">
      <alignment horizontal="center"/>
      <protection locked="0"/>
    </xf>
    <xf numFmtId="0" fontId="22" fillId="43"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80" fontId="0" fillId="0" borderId="6" xfId="0" applyNumberFormat="1" applyBorder="1" applyAlignment="1">
      <alignment horizontal="center"/>
    </xf>
    <xf numFmtId="0" fontId="14" fillId="5" borderId="6" xfId="0" applyFont="1" applyFill="1" applyBorder="1" applyAlignment="1" applyProtection="1">
      <alignment horizontal="left"/>
      <protection locked="0"/>
    </xf>
    <xf numFmtId="0" fontId="14" fillId="5" borderId="11" xfId="0" applyFont="1" applyFill="1" applyBorder="1" applyAlignment="1" applyProtection="1">
      <alignment horizontal="left" wrapText="1"/>
      <protection locked="0"/>
    </xf>
    <xf numFmtId="0" fontId="14" fillId="5" borderId="4" xfId="0" applyFont="1" applyFill="1" applyBorder="1" applyAlignment="1" applyProtection="1">
      <alignment wrapText="1"/>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4" fillId="0" borderId="3" xfId="543" applyBorder="1" applyAlignment="1">
      <alignment horizontal="center"/>
    </xf>
    <xf numFmtId="0" fontId="14" fillId="0" borderId="4" xfId="543" applyBorder="1" applyAlignment="1">
      <alignment horizontal="center"/>
    </xf>
    <xf numFmtId="0" fontId="14" fillId="0" borderId="5" xfId="543" applyBorder="1" applyAlignment="1">
      <alignment horizontal="center"/>
    </xf>
    <xf numFmtId="0" fontId="14" fillId="43" borderId="4" xfId="0" applyFont="1" applyFill="1" applyBorder="1" applyAlignment="1" applyProtection="1">
      <alignment horizontal="left" wrapText="1"/>
      <protection locked="0"/>
    </xf>
    <xf numFmtId="0" fontId="14" fillId="0" borderId="11" xfId="543" applyBorder="1" applyAlignment="1">
      <alignment horizontal="center"/>
    </xf>
    <xf numFmtId="0" fontId="14" fillId="0" borderId="3" xfId="271" applyFont="1" applyBorder="1" applyAlignment="1">
      <alignment horizontal="left"/>
    </xf>
    <xf numFmtId="0" fontId="14" fillId="0" borderId="4" xfId="271" applyFont="1" applyBorder="1" applyAlignment="1">
      <alignment horizontal="left"/>
    </xf>
    <xf numFmtId="0" fontId="14" fillId="0" borderId="5" xfId="271" applyFont="1" applyBorder="1" applyAlignment="1">
      <alignment horizontal="left"/>
    </xf>
    <xf numFmtId="168" fontId="44" fillId="0" borderId="2" xfId="0" applyNumberFormat="1" applyFont="1" applyBorder="1" applyAlignment="1">
      <alignment horizontal="left" vertical="top" wrapText="1"/>
    </xf>
    <xf numFmtId="168" fontId="44" fillId="0" borderId="0" xfId="0" applyNumberFormat="1" applyFont="1" applyAlignment="1">
      <alignment horizontal="left" vertical="top" wrapText="1"/>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4" fillId="5" borderId="6" xfId="244" applyFont="1" applyFill="1" applyBorder="1" applyAlignment="1" applyProtection="1">
      <alignment horizontal="left"/>
      <protection locked="0"/>
    </xf>
    <xf numFmtId="0" fontId="14" fillId="5" borderId="0" xfId="244" applyFont="1" applyFill="1" applyBorder="1" applyAlignment="1" applyProtection="1">
      <alignment horizontal="left"/>
      <protection locked="0"/>
    </xf>
    <xf numFmtId="166" fontId="14" fillId="5" borderId="6" xfId="0" applyNumberFormat="1" applyFont="1" applyFill="1" applyBorder="1" applyAlignment="1" applyProtection="1">
      <alignment horizontal="left"/>
      <protection locked="0"/>
    </xf>
    <xf numFmtId="166" fontId="14" fillId="5" borderId="6" xfId="271" applyNumberFormat="1" applyFont="1" applyFill="1" applyBorder="1" applyAlignment="1" applyProtection="1">
      <alignment horizontal="left"/>
      <protection locked="0"/>
    </xf>
    <xf numFmtId="166" fontId="23" fillId="5" borderId="6" xfId="271" applyNumberFormat="1" applyFill="1" applyBorder="1" applyAlignment="1" applyProtection="1">
      <alignment horizontal="left"/>
      <protection locked="0"/>
    </xf>
    <xf numFmtId="0" fontId="14" fillId="5" borderId="6" xfId="0" applyFont="1" applyFill="1" applyBorder="1" applyAlignment="1" applyProtection="1">
      <alignment horizontal="left" wrapText="1"/>
      <protection locked="0"/>
    </xf>
    <xf numFmtId="166" fontId="23" fillId="5" borderId="4" xfId="271" applyNumberFormat="1" applyFill="1" applyBorder="1" applyAlignment="1" applyProtection="1">
      <alignment horizontal="left"/>
      <protection locked="0"/>
    </xf>
    <xf numFmtId="0" fontId="0" fillId="0" borderId="0" xfId="0" applyAlignment="1">
      <alignment wrapText="1"/>
    </xf>
    <xf numFmtId="0" fontId="157" fillId="0" borderId="0" xfId="0" applyFont="1" applyAlignment="1" applyProtection="1">
      <alignment horizontal="left" vertical="top" wrapText="1"/>
      <protection locked="0"/>
    </xf>
    <xf numFmtId="166" fontId="14" fillId="5" borderId="4" xfId="0" applyNumberFormat="1" applyFont="1" applyFill="1" applyBorder="1" applyAlignment="1" applyProtection="1">
      <alignment horizontal="left"/>
      <protection locked="0"/>
    </xf>
    <xf numFmtId="0" fontId="14" fillId="0" borderId="6" xfId="0" applyFont="1" applyBorder="1" applyAlignment="1" applyProtection="1">
      <alignment horizontal="center"/>
      <protection locked="0"/>
    </xf>
    <xf numFmtId="0" fontId="14" fillId="0" borderId="6" xfId="0" applyFont="1" applyBorder="1" applyAlignment="1" applyProtection="1">
      <alignment horizontal="left"/>
      <protection locked="0"/>
    </xf>
    <xf numFmtId="0" fontId="15" fillId="0" borderId="0" xfId="244" applyFill="1" applyAlignment="1" applyProtection="1">
      <alignment horizontal="left"/>
      <protection locked="0"/>
    </xf>
    <xf numFmtId="168" fontId="14"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2" fillId="0" borderId="3" xfId="4494" applyFont="1" applyBorder="1" applyAlignment="1" applyProtection="1">
      <alignment horizontal="center"/>
    </xf>
    <xf numFmtId="9" fontId="22"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14" fillId="43" borderId="6" xfId="0" applyFont="1" applyFill="1" applyBorder="1" applyAlignment="1" applyProtection="1">
      <alignment vertical="center"/>
      <protection locked="0"/>
    </xf>
    <xf numFmtId="0" fontId="22" fillId="0" borderId="0" xfId="0" applyFont="1" applyAlignment="1">
      <alignment horizontal="center"/>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4" fillId="0" borderId="0" xfId="0" applyFont="1" applyAlignment="1" applyProtection="1">
      <alignment horizontal="left"/>
      <protection locked="0"/>
    </xf>
    <xf numFmtId="0" fontId="14" fillId="0" borderId="6" xfId="0" applyFont="1" applyBorder="1" applyAlignment="1">
      <alignment horizontal="left"/>
    </xf>
    <xf numFmtId="0" fontId="0" fillId="5" borderId="6" xfId="0" applyFill="1" applyBorder="1" applyAlignment="1" applyProtection="1">
      <alignment horizontal="right"/>
      <protection locked="0"/>
    </xf>
    <xf numFmtId="0" fontId="0" fillId="43" borderId="10" xfId="0" applyFill="1" applyBorder="1" applyAlignment="1" applyProtection="1">
      <alignment horizontal="left"/>
      <protection locked="0"/>
    </xf>
    <xf numFmtId="0" fontId="21" fillId="0" borderId="3" xfId="0" applyFont="1" applyBorder="1" applyAlignment="1">
      <alignment horizontal="center"/>
    </xf>
    <xf numFmtId="0" fontId="21" fillId="0" borderId="4" xfId="0" applyFont="1" applyBorder="1" applyAlignment="1">
      <alignment horizontal="center"/>
    </xf>
    <xf numFmtId="0" fontId="21" fillId="0" borderId="5" xfId="0" applyFont="1" applyBorder="1" applyAlignment="1">
      <alignment horizontal="center"/>
    </xf>
    <xf numFmtId="0" fontId="14" fillId="5" borderId="11" xfId="0" applyFont="1" applyFill="1" applyBorder="1" applyAlignment="1" applyProtection="1">
      <alignment horizontal="left" vertical="center" wrapText="1"/>
      <protection locked="0"/>
    </xf>
    <xf numFmtId="168" fontId="14" fillId="5" borderId="3" xfId="0" applyNumberFormat="1" applyFont="1" applyFill="1" applyBorder="1" applyAlignment="1" applyProtection="1">
      <alignment horizontal="left" vertical="top"/>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2"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14"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0" fontId="0" fillId="5" borderId="4" xfId="0" applyNumberForma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4" fontId="22" fillId="5" borderId="3" xfId="0" applyNumberFormat="1" applyFont="1" applyFill="1" applyBorder="1" applyAlignment="1" applyProtection="1">
      <alignment horizontal="left"/>
      <protection locked="0"/>
    </xf>
    <xf numFmtId="164" fontId="22" fillId="5" borderId="4" xfId="0" applyNumberFormat="1" applyFont="1" applyFill="1" applyBorder="1" applyAlignment="1" applyProtection="1">
      <alignment horizontal="left"/>
      <protection locked="0"/>
    </xf>
    <xf numFmtId="164" fontId="22" fillId="5" borderId="5" xfId="0" applyNumberFormat="1" applyFont="1" applyFill="1" applyBorder="1" applyAlignment="1" applyProtection="1">
      <alignment horizontal="left"/>
      <protection locked="0"/>
    </xf>
    <xf numFmtId="0" fontId="21" fillId="0" borderId="3" xfId="0" applyFont="1" applyBorder="1" applyAlignment="1">
      <alignment horizontal="right"/>
    </xf>
    <xf numFmtId="0" fontId="21" fillId="0" borderId="4" xfId="0" applyFont="1" applyBorder="1" applyAlignment="1">
      <alignment horizontal="right"/>
    </xf>
    <xf numFmtId="0" fontId="21" fillId="0" borderId="5" xfId="0" applyFont="1" applyBorder="1" applyAlignment="1">
      <alignment horizontal="right"/>
    </xf>
    <xf numFmtId="0" fontId="21" fillId="5" borderId="11" xfId="0" applyFont="1" applyFill="1" applyBorder="1" applyAlignment="1" applyProtection="1">
      <alignment horizontal="center"/>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1" fillId="0" borderId="2" xfId="0" applyFont="1" applyBorder="1" applyAlignment="1">
      <alignment horizontal="center" wrapText="1"/>
    </xf>
    <xf numFmtId="0" fontId="21" fillId="0" borderId="7" xfId="0" applyFont="1" applyBorder="1" applyAlignment="1">
      <alignment horizontal="center" wrapText="1"/>
    </xf>
    <xf numFmtId="0" fontId="21" fillId="0" borderId="6" xfId="0" applyFont="1" applyBorder="1" applyAlignment="1">
      <alignment horizontal="center" wrapText="1"/>
    </xf>
    <xf numFmtId="0" fontId="21" fillId="0" borderId="10" xfId="0" applyFont="1" applyBorder="1" applyAlignment="1">
      <alignment horizontal="center" wrapText="1"/>
    </xf>
    <xf numFmtId="0" fontId="21"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11" xfId="0" applyNumberFormat="1" applyFill="1" applyBorder="1" applyAlignment="1" applyProtection="1">
      <alignment horizontal="right"/>
      <protection locked="0"/>
    </xf>
    <xf numFmtId="2" fontId="14" fillId="0" borderId="0" xfId="543" applyNumberFormat="1" applyAlignment="1">
      <alignment horizontal="center"/>
    </xf>
    <xf numFmtId="0" fontId="14" fillId="0" borderId="0" xfId="543"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11" xfId="0" applyNumberFormat="1" applyBorder="1" applyAlignment="1">
      <alignment horizontal="right"/>
    </xf>
    <xf numFmtId="0" fontId="21" fillId="5" borderId="3" xfId="0" applyFont="1" applyFill="1" applyBorder="1" applyAlignment="1" applyProtection="1">
      <alignment horizontal="right"/>
      <protection locked="0"/>
    </xf>
    <xf numFmtId="0" fontId="21" fillId="5" borderId="4" xfId="0" applyFont="1" applyFill="1" applyBorder="1" applyAlignment="1" applyProtection="1">
      <alignment horizontal="right"/>
      <protection locked="0"/>
    </xf>
    <xf numFmtId="0" fontId="21"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171" fontId="14" fillId="0" borderId="0" xfId="543" applyNumberFormat="1" applyAlignment="1">
      <alignment horizontal="center"/>
    </xf>
    <xf numFmtId="171" fontId="14" fillId="0" borderId="0" xfId="543" applyNumberFormat="1" applyAlignment="1">
      <alignment horizontal="right"/>
    </xf>
    <xf numFmtId="168" fontId="14" fillId="5" borderId="3" xfId="0" applyNumberFormat="1" applyFont="1" applyFill="1" applyBorder="1" applyAlignment="1" applyProtection="1">
      <alignment horizontal="right"/>
      <protection locked="0"/>
    </xf>
    <xf numFmtId="168" fontId="14" fillId="5" borderId="4" xfId="0" applyNumberFormat="1" applyFont="1" applyFill="1" applyBorder="1" applyAlignment="1" applyProtection="1">
      <alignment horizontal="right"/>
      <protection locked="0"/>
    </xf>
    <xf numFmtId="168" fontId="14" fillId="5" borderId="5" xfId="0" applyNumberFormat="1" applyFont="1" applyFill="1" applyBorder="1" applyAlignment="1" applyProtection="1">
      <alignment horizontal="right"/>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0" fontId="44" fillId="5" borderId="3" xfId="0" applyFont="1" applyFill="1" applyBorder="1" applyAlignment="1" applyProtection="1">
      <alignment horizontal="right"/>
      <protection locked="0"/>
    </xf>
    <xf numFmtId="0" fontId="44" fillId="5" borderId="4" xfId="0" applyFont="1" applyFill="1" applyBorder="1" applyAlignment="1" applyProtection="1">
      <alignment horizontal="right"/>
      <protection locked="0"/>
    </xf>
    <xf numFmtId="0" fontId="44" fillId="5" borderId="5" xfId="0" applyFont="1" applyFill="1" applyBorder="1" applyAlignment="1" applyProtection="1">
      <alignment horizontal="righ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3" borderId="0" xfId="0" applyFont="1" applyFill="1" applyAlignment="1">
      <alignment horizontal="center" vertical="center"/>
    </xf>
    <xf numFmtId="9" fontId="14"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0" fontId="0" fillId="0" borderId="9" xfId="0" applyBorder="1" applyAlignment="1">
      <alignment horizontal="left"/>
    </xf>
    <xf numFmtId="168" fontId="14" fillId="5" borderId="3" xfId="0" applyNumberFormat="1" applyFont="1" applyFill="1" applyBorder="1" applyAlignment="1" applyProtection="1">
      <alignment horizontal="left"/>
      <protection locked="0"/>
    </xf>
    <xf numFmtId="168" fontId="14" fillId="5" borderId="4" xfId="0" applyNumberFormat="1" applyFont="1" applyFill="1" applyBorder="1" applyAlignment="1" applyProtection="1">
      <alignment horizontal="left"/>
      <protection locked="0"/>
    </xf>
    <xf numFmtId="168" fontId="14" fillId="5" borderId="5" xfId="0" applyNumberFormat="1" applyFont="1" applyFill="1" applyBorder="1" applyAlignment="1" applyProtection="1">
      <alignment horizontal="left"/>
      <protection locked="0"/>
    </xf>
    <xf numFmtId="0" fontId="14" fillId="0" borderId="8" xfId="543" applyBorder="1" applyAlignment="1">
      <alignment horizontal="left" vertical="top" wrapText="1"/>
    </xf>
    <xf numFmtId="0" fontId="14" fillId="0" borderId="0" xfId="543" applyAlignment="1">
      <alignment horizontal="left" vertical="top" wrapText="1"/>
    </xf>
    <xf numFmtId="0" fontId="14" fillId="0" borderId="12" xfId="543" applyBorder="1" applyAlignment="1">
      <alignment horizontal="left" vertical="top" wrapText="1"/>
    </xf>
    <xf numFmtId="0" fontId="14" fillId="0" borderId="9" xfId="543" applyBorder="1" applyAlignment="1">
      <alignment horizontal="left" vertical="top" wrapText="1"/>
    </xf>
    <xf numFmtId="0" fontId="14" fillId="0" borderId="6" xfId="543" applyBorder="1" applyAlignment="1">
      <alignment horizontal="left" vertical="top" wrapText="1"/>
    </xf>
    <xf numFmtId="0" fontId="14" fillId="0" borderId="10" xfId="543" applyBorder="1" applyAlignment="1">
      <alignment horizontal="left" vertical="top" wrapText="1"/>
    </xf>
    <xf numFmtId="0" fontId="21" fillId="0" borderId="1" xfId="0" applyFont="1" applyBorder="1" applyAlignment="1">
      <alignment horizontal="center" wrapText="1"/>
    </xf>
    <xf numFmtId="0" fontId="21" fillId="0" borderId="8" xfId="0" applyFont="1" applyBorder="1" applyAlignment="1">
      <alignment horizontal="center" wrapText="1"/>
    </xf>
    <xf numFmtId="0" fontId="21" fillId="0" borderId="0" xfId="0" applyFont="1" applyAlignment="1">
      <alignment horizontal="center" wrapText="1"/>
    </xf>
    <xf numFmtId="0" fontId="21" fillId="0" borderId="9" xfId="0" applyFont="1" applyBorder="1" applyAlignment="1">
      <alignment horizontal="center" wrapText="1"/>
    </xf>
    <xf numFmtId="168" fontId="14" fillId="5" borderId="9" xfId="0" applyNumberFormat="1" applyFont="1" applyFill="1" applyBorder="1" applyAlignment="1" applyProtection="1">
      <alignment horizontal="right"/>
      <protection locked="0"/>
    </xf>
    <xf numFmtId="175" fontId="14" fillId="43" borderId="3" xfId="0" applyNumberFormat="1" applyFont="1" applyFill="1" applyBorder="1" applyAlignment="1" applyProtection="1">
      <alignment horizontal="center"/>
      <protection locked="0"/>
    </xf>
    <xf numFmtId="175" fontId="14" fillId="43" borderId="4" xfId="0" applyNumberFormat="1" applyFont="1" applyFill="1" applyBorder="1" applyAlignment="1" applyProtection="1">
      <alignment horizontal="center"/>
      <protection locked="0"/>
    </xf>
    <xf numFmtId="175" fontId="14" fillId="43" borderId="5" xfId="0" applyNumberFormat="1" applyFont="1" applyFill="1" applyBorder="1" applyAlignment="1" applyProtection="1">
      <alignment horizontal="center"/>
      <protection locked="0"/>
    </xf>
    <xf numFmtId="0" fontId="21" fillId="0" borderId="9" xfId="0" applyFont="1" applyBorder="1" applyAlignment="1">
      <alignment horizontal="right"/>
    </xf>
    <xf numFmtId="0" fontId="21" fillId="0" borderId="6" xfId="0" applyFont="1" applyBorder="1" applyAlignment="1">
      <alignment horizontal="right"/>
    </xf>
    <xf numFmtId="0" fontId="21" fillId="0" borderId="10" xfId="0" applyFont="1" applyBorder="1" applyAlignment="1">
      <alignment horizontal="right"/>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0" fontId="21" fillId="0" borderId="11" xfId="0" applyFont="1" applyBorder="1" applyAlignment="1">
      <alignment horizontal="center" vertical="center" wrapText="1"/>
    </xf>
    <xf numFmtId="0" fontId="45" fillId="0" borderId="1" xfId="0" applyFont="1" applyBorder="1" applyAlignment="1">
      <alignment horizontal="center" vertical="center" wrapText="1"/>
    </xf>
    <xf numFmtId="0" fontId="45" fillId="0" borderId="2" xfId="0" applyFont="1" applyBorder="1" applyAlignment="1">
      <alignment horizontal="center" vertical="center" wrapText="1"/>
    </xf>
    <xf numFmtId="0" fontId="45" fillId="0" borderId="7" xfId="0" applyFont="1" applyBorder="1" applyAlignment="1">
      <alignment horizontal="center" vertical="center" wrapText="1"/>
    </xf>
    <xf numFmtId="0" fontId="45" fillId="0" borderId="8" xfId="0" applyFont="1" applyBorder="1" applyAlignment="1">
      <alignment horizontal="center" vertical="center" wrapText="1"/>
    </xf>
    <xf numFmtId="0" fontId="45" fillId="0" borderId="0" xfId="0" applyFont="1" applyAlignment="1">
      <alignment horizontal="center" vertical="center" wrapText="1"/>
    </xf>
    <xf numFmtId="0" fontId="45" fillId="0" borderId="12"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6" xfId="0" applyFont="1" applyBorder="1" applyAlignment="1">
      <alignment horizontal="center" vertical="center" wrapText="1"/>
    </xf>
    <xf numFmtId="0" fontId="45"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21" fillId="0" borderId="9" xfId="0" applyFont="1" applyBorder="1" applyAlignment="1">
      <alignment horizontal="center"/>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0" fillId="0" borderId="6" xfId="0" applyBorder="1" applyAlignment="1">
      <alignment horizontal="center"/>
    </xf>
    <xf numFmtId="0" fontId="0" fillId="0" borderId="10" xfId="0" applyBorder="1" applyAlignment="1">
      <alignment horizontal="center"/>
    </xf>
    <xf numFmtId="2" fontId="0" fillId="0" borderId="6" xfId="0" applyNumberFormat="1" applyBorder="1" applyAlignment="1">
      <alignment horizontal="center"/>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165" fontId="21" fillId="0" borderId="3" xfId="271" applyNumberFormat="1" applyFont="1" applyBorder="1" applyAlignment="1">
      <alignment horizontal="center"/>
    </xf>
    <xf numFmtId="165" fontId="21" fillId="0" borderId="4" xfId="271" applyNumberFormat="1" applyFont="1" applyBorder="1" applyAlignment="1">
      <alignment horizontal="center"/>
    </xf>
    <xf numFmtId="165" fontId="21" fillId="0" borderId="5" xfId="271" applyNumberFormat="1" applyFont="1" applyBorder="1" applyAlignment="1">
      <alignment horizontal="center"/>
    </xf>
    <xf numFmtId="49" fontId="14" fillId="5" borderId="3" xfId="543" applyNumberFormat="1" applyFill="1" applyBorder="1" applyAlignment="1">
      <alignment horizontal="center"/>
    </xf>
    <xf numFmtId="49" fontId="14" fillId="5" borderId="5" xfId="543" applyNumberFormat="1" applyFill="1" applyBorder="1" applyAlignment="1">
      <alignment horizontal="center"/>
    </xf>
    <xf numFmtId="0" fontId="14" fillId="43" borderId="11" xfId="0" applyFont="1" applyFill="1" applyBorder="1" applyAlignment="1" applyProtection="1">
      <alignment horizontal="center"/>
      <protection locked="0"/>
    </xf>
    <xf numFmtId="168" fontId="14"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2" fillId="5" borderId="3" xfId="0" applyFont="1" applyFill="1" applyBorder="1" applyAlignment="1" applyProtection="1">
      <alignment horizontal="left"/>
      <protection locked="0"/>
    </xf>
    <xf numFmtId="0" fontId="22" fillId="5" borderId="4" xfId="0" applyFont="1" applyFill="1" applyBorder="1" applyAlignment="1" applyProtection="1">
      <alignment horizontal="left"/>
      <protection locked="0"/>
    </xf>
    <xf numFmtId="0" fontId="22" fillId="5" borderId="5" xfId="0" applyFont="1" applyFill="1" applyBorder="1" applyAlignment="1" applyProtection="1">
      <alignment horizontal="left"/>
      <protection locked="0"/>
    </xf>
    <xf numFmtId="0" fontId="21" fillId="0" borderId="2" xfId="0" applyFont="1" applyBorder="1" applyAlignment="1">
      <alignment horizontal="right"/>
    </xf>
    <xf numFmtId="0" fontId="21" fillId="0" borderId="7" xfId="0" applyFont="1" applyBorder="1" applyAlignment="1">
      <alignment horizontal="right"/>
    </xf>
    <xf numFmtId="0" fontId="14" fillId="5" borderId="3" xfId="0" applyFont="1" applyFill="1" applyBorder="1" applyAlignment="1" applyProtection="1">
      <alignment horizontal="left"/>
      <protection locked="0"/>
    </xf>
    <xf numFmtId="0" fontId="14" fillId="5" borderId="5" xfId="0" applyFont="1" applyFill="1" applyBorder="1" applyAlignment="1" applyProtection="1">
      <alignment horizontal="left"/>
      <protection locked="0"/>
    </xf>
    <xf numFmtId="168" fontId="14" fillId="5" borderId="10" xfId="0" applyNumberFormat="1" applyFont="1" applyFill="1" applyBorder="1" applyAlignment="1" applyProtection="1">
      <alignment horizontal="right"/>
      <protection locked="0"/>
    </xf>
    <xf numFmtId="168" fontId="14" fillId="5" borderId="13" xfId="0" applyNumberFormat="1" applyFont="1" applyFill="1" applyBorder="1" applyAlignment="1" applyProtection="1">
      <alignment horizontal="right"/>
      <protection locked="0"/>
    </xf>
    <xf numFmtId="9" fontId="14" fillId="0" borderId="0" xfId="543" applyNumberFormat="1" applyAlignment="1">
      <alignment horizontal="center" vertical="center"/>
    </xf>
    <xf numFmtId="168" fontId="14" fillId="10" borderId="3" xfId="543" applyNumberFormat="1" applyFill="1" applyBorder="1" applyAlignment="1">
      <alignment horizontal="center"/>
    </xf>
    <xf numFmtId="168" fontId="14" fillId="10" borderId="4" xfId="543" applyNumberFormat="1" applyFill="1" applyBorder="1" applyAlignment="1">
      <alignment horizontal="center"/>
    </xf>
    <xf numFmtId="168" fontId="14" fillId="10" borderId="5" xfId="543" applyNumberFormat="1" applyFill="1" applyBorder="1" applyAlignment="1">
      <alignment horizontal="center"/>
    </xf>
    <xf numFmtId="0" fontId="0" fillId="5" borderId="3" xfId="0" quotePrefix="1" applyFill="1" applyBorder="1" applyAlignment="1" applyProtection="1">
      <alignment horizontal="right"/>
      <protection locked="0"/>
    </xf>
    <xf numFmtId="0" fontId="21" fillId="0" borderId="11" xfId="0" applyFont="1" applyBorder="1" applyAlignment="1">
      <alignment horizontal="center" vertical="center"/>
    </xf>
    <xf numFmtId="0" fontId="21" fillId="0" borderId="8" xfId="543" applyFont="1" applyBorder="1" applyAlignment="1">
      <alignment horizontal="left" vertical="center" wrapText="1"/>
    </xf>
    <xf numFmtId="0" fontId="21" fillId="0" borderId="0" xfId="543" applyFont="1" applyAlignment="1">
      <alignment horizontal="left" vertical="center" wrapText="1"/>
    </xf>
    <xf numFmtId="0" fontId="21" fillId="0" borderId="12" xfId="543" applyFont="1" applyBorder="1" applyAlignment="1">
      <alignment horizontal="left" vertical="center" wrapText="1"/>
    </xf>
    <xf numFmtId="0" fontId="14" fillId="0" borderId="8" xfId="543" applyBorder="1" applyAlignment="1">
      <alignment horizontal="left" vertical="center" wrapText="1"/>
    </xf>
    <xf numFmtId="0" fontId="14" fillId="0" borderId="0" xfId="543" applyAlignment="1">
      <alignment horizontal="left" vertical="center" wrapText="1"/>
    </xf>
    <xf numFmtId="0" fontId="14" fillId="0" borderId="12" xfId="543" applyBorder="1" applyAlignment="1">
      <alignment horizontal="left" vertical="center" wrapText="1"/>
    </xf>
    <xf numFmtId="0" fontId="14" fillId="0" borderId="9" xfId="543" applyBorder="1" applyAlignment="1">
      <alignment horizontal="left" vertical="center" wrapText="1"/>
    </xf>
    <xf numFmtId="0" fontId="14" fillId="0" borderId="6" xfId="543" applyBorder="1" applyAlignment="1">
      <alignment horizontal="left" vertical="center" wrapText="1"/>
    </xf>
    <xf numFmtId="0" fontId="14" fillId="0" borderId="10" xfId="543" applyBorder="1" applyAlignment="1">
      <alignment horizontal="left" vertical="center" wrapText="1"/>
    </xf>
    <xf numFmtId="182" fontId="22" fillId="43" borderId="11" xfId="8722" applyNumberFormat="1" applyFont="1" applyFill="1" applyBorder="1" applyAlignment="1" applyProtection="1">
      <alignment horizontal="center" vertical="center" wrapText="1"/>
      <protection locked="0"/>
    </xf>
    <xf numFmtId="168" fontId="21" fillId="0" borderId="3" xfId="543" applyNumberFormat="1" applyFont="1" applyBorder="1" applyAlignment="1">
      <alignment horizontal="center" vertical="center"/>
    </xf>
    <xf numFmtId="168" fontId="21" fillId="0" borderId="4" xfId="543" applyNumberFormat="1" applyFont="1" applyBorder="1" applyAlignment="1">
      <alignment horizontal="center" vertical="center"/>
    </xf>
    <xf numFmtId="168" fontId="21" fillId="0" borderId="5" xfId="543" applyNumberFormat="1" applyFont="1" applyBorder="1" applyAlignment="1">
      <alignment horizontal="center" vertical="center"/>
    </xf>
    <xf numFmtId="0" fontId="14" fillId="0" borderId="8" xfId="0" applyFont="1" applyBorder="1" applyAlignment="1">
      <alignment horizontal="left" wrapText="1"/>
    </xf>
    <xf numFmtId="0" fontId="14" fillId="0" borderId="12" xfId="0" applyFont="1" applyBorder="1" applyAlignment="1">
      <alignment horizontal="left" wrapText="1"/>
    </xf>
    <xf numFmtId="0" fontId="14" fillId="0" borderId="9" xfId="0" applyFont="1" applyBorder="1" applyAlignment="1">
      <alignment horizontal="left" wrapText="1"/>
    </xf>
    <xf numFmtId="0" fontId="14" fillId="0" borderId="6" xfId="0" applyFont="1" applyBorder="1" applyAlignment="1">
      <alignment horizontal="left" wrapText="1"/>
    </xf>
    <xf numFmtId="0" fontId="14" fillId="0" borderId="10" xfId="0" applyFont="1" applyBorder="1" applyAlignment="1">
      <alignment horizontal="left" wrapText="1"/>
    </xf>
    <xf numFmtId="168" fontId="14" fillId="0" borderId="1" xfId="543" applyNumberFormat="1" applyBorder="1" applyAlignment="1">
      <alignment horizontal="center" vertical="center"/>
    </xf>
    <xf numFmtId="168" fontId="14" fillId="0" borderId="2" xfId="543" applyNumberFormat="1" applyBorder="1" applyAlignment="1">
      <alignment horizontal="center" vertical="center"/>
    </xf>
    <xf numFmtId="168" fontId="14" fillId="0" borderId="7" xfId="543" applyNumberFormat="1" applyBorder="1" applyAlignment="1">
      <alignment horizontal="center" vertical="center"/>
    </xf>
    <xf numFmtId="168" fontId="14" fillId="0" borderId="8" xfId="543" applyNumberFormat="1" applyBorder="1" applyAlignment="1">
      <alignment horizontal="center" vertical="center"/>
    </xf>
    <xf numFmtId="168" fontId="14" fillId="0" borderId="0" xfId="543" applyNumberFormat="1" applyAlignment="1">
      <alignment horizontal="center" vertical="center"/>
    </xf>
    <xf numFmtId="168" fontId="14" fillId="0" borderId="12" xfId="543" applyNumberFormat="1" applyBorder="1" applyAlignment="1">
      <alignment horizontal="center" vertical="center"/>
    </xf>
    <xf numFmtId="168" fontId="14" fillId="0" borderId="9" xfId="543" applyNumberFormat="1" applyBorder="1" applyAlignment="1">
      <alignment horizontal="center" vertical="center"/>
    </xf>
    <xf numFmtId="168" fontId="14" fillId="0" borderId="6" xfId="543" applyNumberFormat="1" applyBorder="1" applyAlignment="1">
      <alignment horizontal="center" vertical="center"/>
    </xf>
    <xf numFmtId="168" fontId="14" fillId="0" borderId="10" xfId="543" applyNumberFormat="1" applyBorder="1" applyAlignment="1">
      <alignment horizontal="center" vertical="center"/>
    </xf>
    <xf numFmtId="0" fontId="14" fillId="2" borderId="3" xfId="543" applyFill="1" applyBorder="1" applyAlignment="1">
      <alignment horizontal="center"/>
    </xf>
    <xf numFmtId="0" fontId="14" fillId="2" borderId="4" xfId="543" applyFill="1" applyBorder="1" applyAlignment="1">
      <alignment horizontal="center"/>
    </xf>
    <xf numFmtId="0" fontId="14" fillId="2" borderId="5" xfId="543" applyFill="1" applyBorder="1" applyAlignment="1">
      <alignment horizontal="center"/>
    </xf>
    <xf numFmtId="0" fontId="21" fillId="0" borderId="1" xfId="543" applyFont="1" applyBorder="1" applyAlignment="1">
      <alignment horizontal="left" vertical="center" wrapText="1"/>
    </xf>
    <xf numFmtId="0" fontId="21" fillId="0" borderId="2" xfId="543" applyFont="1" applyBorder="1" applyAlignment="1">
      <alignment horizontal="left" vertical="center" wrapText="1"/>
    </xf>
    <xf numFmtId="0" fontId="21" fillId="0" borderId="7" xfId="543" applyFont="1" applyBorder="1" applyAlignment="1">
      <alignment horizontal="left" vertical="center" wrapText="1"/>
    </xf>
    <xf numFmtId="0" fontId="21" fillId="0" borderId="3" xfId="543" applyFont="1" applyBorder="1" applyAlignment="1">
      <alignment horizontal="right"/>
    </xf>
    <xf numFmtId="0" fontId="21" fillId="0" borderId="4" xfId="543" applyFont="1" applyBorder="1" applyAlignment="1">
      <alignment horizontal="right"/>
    </xf>
    <xf numFmtId="0" fontId="21" fillId="0" borderId="5" xfId="543" applyFont="1" applyBorder="1" applyAlignment="1">
      <alignment horizontal="right"/>
    </xf>
    <xf numFmtId="0" fontId="14" fillId="5" borderId="3" xfId="543" applyFill="1" applyBorder="1" applyAlignment="1" applyProtection="1">
      <alignment horizontal="left" vertical="top" wrapText="1"/>
      <protection locked="0"/>
    </xf>
    <xf numFmtId="0" fontId="22" fillId="0" borderId="3" xfId="543" applyFont="1" applyBorder="1" applyAlignment="1">
      <alignment horizontal="center"/>
    </xf>
    <xf numFmtId="0" fontId="22" fillId="0" borderId="5" xfId="543" applyFont="1" applyBorder="1" applyAlignment="1">
      <alignment horizontal="center"/>
    </xf>
    <xf numFmtId="1" fontId="22" fillId="0" borderId="3" xfId="543" applyNumberFormat="1" applyFont="1" applyBorder="1" applyAlignment="1">
      <alignment horizontal="center"/>
    </xf>
    <xf numFmtId="1" fontId="22" fillId="0" borderId="5" xfId="543" applyNumberFormat="1" applyFont="1" applyBorder="1" applyAlignment="1">
      <alignment horizontal="center"/>
    </xf>
    <xf numFmtId="0" fontId="21" fillId="0" borderId="1" xfId="543" applyFont="1" applyBorder="1" applyAlignment="1">
      <alignment horizontal="left" vertical="top" wrapText="1"/>
    </xf>
    <xf numFmtId="0" fontId="21" fillId="0" borderId="2" xfId="543" applyFont="1" applyBorder="1" applyAlignment="1">
      <alignment horizontal="left" vertical="top" wrapText="1"/>
    </xf>
    <xf numFmtId="0" fontId="21" fillId="0" borderId="7" xfId="543" applyFont="1" applyBorder="1" applyAlignment="1">
      <alignment horizontal="left" vertical="top" wrapText="1"/>
    </xf>
    <xf numFmtId="0" fontId="21" fillId="0" borderId="8" xfId="543" applyFont="1" applyBorder="1" applyAlignment="1">
      <alignment horizontal="left" vertical="top" wrapText="1"/>
    </xf>
    <xf numFmtId="0" fontId="21" fillId="0" borderId="0" xfId="543" applyFont="1" applyAlignment="1">
      <alignment horizontal="left" vertical="top" wrapText="1"/>
    </xf>
    <xf numFmtId="0" fontId="21" fillId="0" borderId="12" xfId="543" applyFont="1" applyBorder="1" applyAlignment="1">
      <alignment horizontal="left" vertical="top" wrapText="1"/>
    </xf>
    <xf numFmtId="1" fontId="14" fillId="0" borderId="3" xfId="543" applyNumberFormat="1" applyBorder="1" applyAlignment="1">
      <alignment horizontal="center"/>
    </xf>
    <xf numFmtId="1" fontId="14" fillId="0" borderId="4" xfId="543" applyNumberFormat="1" applyBorder="1" applyAlignment="1">
      <alignment horizontal="center"/>
    </xf>
    <xf numFmtId="1" fontId="14" fillId="0" borderId="5" xfId="543" applyNumberFormat="1" applyBorder="1" applyAlignment="1">
      <alignment horizontal="center"/>
    </xf>
    <xf numFmtId="0" fontId="156" fillId="0" borderId="8" xfId="543" applyFont="1" applyBorder="1" applyAlignment="1">
      <alignment horizontal="center" vertical="center" wrapText="1"/>
    </xf>
    <xf numFmtId="0" fontId="156" fillId="0" borderId="0" xfId="543" applyFont="1" applyAlignment="1">
      <alignment horizontal="center" vertical="center" wrapText="1"/>
    </xf>
    <xf numFmtId="0" fontId="156" fillId="0" borderId="12" xfId="543" applyFont="1" applyBorder="1" applyAlignment="1">
      <alignment horizontal="center" vertical="center" wrapText="1"/>
    </xf>
    <xf numFmtId="0" fontId="21" fillId="0" borderId="12" xfId="0" applyFont="1" applyBorder="1" applyAlignment="1">
      <alignment horizontal="center" wrapText="1"/>
    </xf>
    <xf numFmtId="0" fontId="22" fillId="5" borderId="3" xfId="543" applyFont="1"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21" fillId="10" borderId="3" xfId="543" applyFont="1" applyFill="1" applyBorder="1" applyAlignment="1">
      <alignment horizontal="center"/>
    </xf>
    <xf numFmtId="0" fontId="21" fillId="10" borderId="4" xfId="543" applyFont="1" applyFill="1" applyBorder="1" applyAlignment="1">
      <alignment horizontal="center"/>
    </xf>
    <xf numFmtId="0" fontId="21" fillId="10" borderId="5" xfId="543" applyFont="1" applyFill="1" applyBorder="1" applyAlignment="1">
      <alignment horizontal="center"/>
    </xf>
    <xf numFmtId="0" fontId="36" fillId="0" borderId="8" xfId="543" applyFont="1" applyBorder="1" applyAlignment="1">
      <alignment horizontal="center" vertical="center" wrapText="1"/>
    </xf>
    <xf numFmtId="0" fontId="36" fillId="0" borderId="0" xfId="543" applyFont="1" applyAlignment="1">
      <alignment horizontal="center" vertical="center" wrapText="1"/>
    </xf>
    <xf numFmtId="0" fontId="36" fillId="0" borderId="12" xfId="543" applyFont="1" applyBorder="1" applyAlignment="1">
      <alignment horizontal="center" vertical="center" wrapText="1"/>
    </xf>
    <xf numFmtId="0" fontId="21" fillId="0" borderId="1" xfId="0" applyFont="1" applyBorder="1" applyAlignment="1">
      <alignment horizontal="center"/>
    </xf>
    <xf numFmtId="0" fontId="21" fillId="0" borderId="2" xfId="0" applyFont="1" applyBorder="1" applyAlignment="1">
      <alignment horizontal="center"/>
    </xf>
    <xf numFmtId="0" fontId="21" fillId="0" borderId="7" xfId="0" applyFont="1" applyBorder="1" applyAlignment="1">
      <alignment horizontal="center"/>
    </xf>
    <xf numFmtId="14" fontId="0" fillId="5" borderId="4" xfId="0" applyNumberFormat="1" applyFill="1" applyBorder="1" applyAlignment="1" applyProtection="1">
      <alignment horizontal="center"/>
      <protection locked="0"/>
    </xf>
    <xf numFmtId="172" fontId="21" fillId="0" borderId="11" xfId="0" applyNumberFormat="1" applyFont="1" applyBorder="1" applyAlignment="1">
      <alignment horizontal="center" vertical="center" wrapText="1"/>
    </xf>
    <xf numFmtId="0" fontId="14" fillId="0" borderId="0" xfId="0" applyFont="1" applyAlignment="1">
      <alignment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0" xfId="0" applyFont="1" applyAlignment="1">
      <alignment horizontal="center" vertical="center" wrapText="1"/>
    </xf>
    <xf numFmtId="0" fontId="30" fillId="0" borderId="12"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10" xfId="0" applyFont="1" applyBorder="1" applyAlignment="1">
      <alignment horizontal="center" vertical="center" wrapText="1"/>
    </xf>
    <xf numFmtId="0" fontId="41" fillId="0" borderId="0" xfId="0" applyFont="1" applyAlignment="1">
      <alignment horizontal="center"/>
    </xf>
    <xf numFmtId="0" fontId="14" fillId="0" borderId="0" xfId="0" applyFont="1" applyAlignment="1">
      <alignment horizontal="center"/>
    </xf>
    <xf numFmtId="0" fontId="29" fillId="0" borderId="0" xfId="0" applyFont="1" applyAlignment="1">
      <alignment horizontal="center"/>
    </xf>
    <xf numFmtId="0" fontId="14" fillId="0" borderId="0" xfId="0" applyFont="1" applyAlignment="1">
      <alignment horizontal="center" vertical="top"/>
    </xf>
    <xf numFmtId="3" fontId="37" fillId="10" borderId="0" xfId="543" applyNumberFormat="1" applyFont="1" applyFill="1" applyAlignment="1">
      <alignment horizontal="left" vertical="center" wrapText="1"/>
    </xf>
    <xf numFmtId="0" fontId="165" fillId="0" borderId="8" xfId="543" applyFont="1" applyBorder="1" applyAlignment="1">
      <alignment horizontal="center" wrapText="1"/>
    </xf>
    <xf numFmtId="0" fontId="165" fillId="0" borderId="0" xfId="543" applyFont="1" applyAlignment="1">
      <alignment horizontal="center" wrapText="1"/>
    </xf>
    <xf numFmtId="0" fontId="165" fillId="0" borderId="12" xfId="543" applyFont="1" applyBorder="1" applyAlignment="1">
      <alignment horizontal="center" wrapText="1"/>
    </xf>
    <xf numFmtId="0" fontId="165" fillId="0" borderId="9" xfId="543" applyFont="1" applyBorder="1" applyAlignment="1">
      <alignment horizontal="center" wrapText="1"/>
    </xf>
    <xf numFmtId="0" fontId="165" fillId="0" borderId="6" xfId="543" applyFont="1" applyBorder="1" applyAlignment="1">
      <alignment horizontal="center" wrapText="1"/>
    </xf>
    <xf numFmtId="0" fontId="165" fillId="0" borderId="10" xfId="543" applyFont="1" applyBorder="1" applyAlignment="1">
      <alignment horizontal="center" wrapText="1"/>
    </xf>
    <xf numFmtId="0" fontId="165" fillId="0" borderId="8" xfId="543" applyFont="1" applyBorder="1" applyAlignment="1">
      <alignment horizontal="center" vertical="top" wrapText="1"/>
    </xf>
    <xf numFmtId="0" fontId="165" fillId="0" borderId="0" xfId="543" applyFont="1" applyAlignment="1">
      <alignment horizontal="center" vertical="top" wrapText="1"/>
    </xf>
    <xf numFmtId="0" fontId="165" fillId="0" borderId="12" xfId="543" applyFont="1" applyBorder="1" applyAlignment="1">
      <alignment horizontal="center" vertical="top" wrapText="1"/>
    </xf>
    <xf numFmtId="0" fontId="165" fillId="0" borderId="9" xfId="543" applyFont="1" applyBorder="1" applyAlignment="1">
      <alignment horizontal="center" vertical="top" wrapText="1"/>
    </xf>
    <xf numFmtId="0" fontId="165" fillId="0" borderId="6" xfId="543" applyFont="1" applyBorder="1" applyAlignment="1">
      <alignment horizontal="center" vertical="top" wrapText="1"/>
    </xf>
    <xf numFmtId="0" fontId="165" fillId="0" borderId="10" xfId="543" applyFont="1" applyBorder="1" applyAlignment="1">
      <alignment horizontal="center" vertical="top" wrapText="1"/>
    </xf>
    <xf numFmtId="0" fontId="160" fillId="0" borderId="0" xfId="0" applyFont="1" applyAlignment="1">
      <alignment horizontal="center" vertical="center" wrapText="1"/>
    </xf>
    <xf numFmtId="1" fontId="14" fillId="0" borderId="3" xfId="0" applyNumberFormat="1" applyFont="1" applyBorder="1" applyAlignment="1">
      <alignment horizontal="center"/>
    </xf>
    <xf numFmtId="0" fontId="21" fillId="0" borderId="0" xfId="0" applyFont="1" applyAlignment="1">
      <alignment horizontal="center" vertical="center"/>
    </xf>
    <xf numFmtId="0" fontId="45" fillId="0" borderId="0" xfId="0" applyFont="1" applyAlignment="1">
      <alignment vertical="top" wrapText="1"/>
    </xf>
    <xf numFmtId="0" fontId="48" fillId="2" borderId="3" xfId="0" applyFont="1" applyFill="1" applyBorder="1" applyAlignment="1">
      <alignment horizontal="center" vertical="top"/>
    </xf>
    <xf numFmtId="0" fontId="48" fillId="2" borderId="4" xfId="0" applyFont="1" applyFill="1" applyBorder="1" applyAlignment="1">
      <alignment horizontal="center" vertical="top"/>
    </xf>
    <xf numFmtId="0" fontId="48" fillId="2" borderId="5" xfId="0" applyFont="1" applyFill="1" applyBorder="1" applyAlignment="1">
      <alignment horizontal="center" vertical="top"/>
    </xf>
    <xf numFmtId="0" fontId="44" fillId="0" borderId="0" xfId="0" applyFont="1" applyAlignment="1">
      <alignment vertical="top" wrapText="1"/>
    </xf>
    <xf numFmtId="0" fontId="45" fillId="0" borderId="0" xfId="569" applyFont="1" applyAlignment="1">
      <alignment vertical="top" wrapText="1"/>
    </xf>
    <xf numFmtId="0" fontId="14" fillId="0" borderId="0" xfId="569" applyAlignment="1">
      <alignment horizontal="right" vertical="top" wrapText="1"/>
    </xf>
    <xf numFmtId="0" fontId="20" fillId="3" borderId="3" xfId="0" applyFont="1" applyFill="1" applyBorder="1" applyAlignment="1">
      <alignment horizontal="left" vertical="top"/>
    </xf>
    <xf numFmtId="0" fontId="20" fillId="3" borderId="4" xfId="0" applyFont="1" applyFill="1" applyBorder="1" applyAlignment="1">
      <alignment horizontal="left" vertical="top"/>
    </xf>
    <xf numFmtId="0" fontId="20" fillId="3" borderId="5" xfId="0" applyFont="1" applyFill="1" applyBorder="1" applyAlignment="1">
      <alignment horizontal="left" vertical="top"/>
    </xf>
    <xf numFmtId="164" fontId="14" fillId="0" borderId="50" xfId="4495" applyNumberFormat="1" applyFont="1" applyBorder="1" applyAlignment="1">
      <alignment horizontal="left" vertical="top" wrapText="1"/>
    </xf>
    <xf numFmtId="164" fontId="14" fillId="0" borderId="51" xfId="4495" applyNumberFormat="1" applyFont="1" applyBorder="1" applyAlignment="1">
      <alignment horizontal="left" vertical="top" wrapText="1"/>
    </xf>
    <xf numFmtId="164" fontId="14" fillId="0" borderId="52" xfId="4495" applyNumberFormat="1" applyFont="1" applyBorder="1" applyAlignment="1">
      <alignment horizontal="left" vertical="top" wrapText="1"/>
    </xf>
    <xf numFmtId="164" fontId="14" fillId="0" borderId="53" xfId="4495" applyNumberFormat="1" applyFont="1" applyBorder="1" applyAlignment="1">
      <alignment horizontal="left" vertical="top" wrapText="1"/>
    </xf>
    <xf numFmtId="164" fontId="14" fillId="0" borderId="0" xfId="4495" applyNumberFormat="1" applyFont="1" applyAlignment="1">
      <alignment horizontal="left" vertical="top" wrapText="1"/>
    </xf>
    <xf numFmtId="164" fontId="14" fillId="0" borderId="54" xfId="4495" applyNumberFormat="1" applyFont="1" applyBorder="1" applyAlignment="1">
      <alignment horizontal="left" vertical="top" wrapText="1"/>
    </xf>
    <xf numFmtId="164" fontId="14" fillId="0" borderId="57" xfId="4495" applyNumberFormat="1" applyFont="1" applyBorder="1" applyAlignment="1">
      <alignment horizontal="left" vertical="top" wrapText="1"/>
    </xf>
    <xf numFmtId="164" fontId="14" fillId="0" borderId="58" xfId="4495" applyNumberFormat="1" applyFont="1" applyBorder="1" applyAlignment="1">
      <alignment horizontal="left" vertical="top" wrapText="1"/>
    </xf>
    <xf numFmtId="164" fontId="14" fillId="0" borderId="59" xfId="4495" applyNumberFormat="1" applyFont="1" applyBorder="1" applyAlignment="1">
      <alignment horizontal="left" vertical="top" wrapText="1"/>
    </xf>
    <xf numFmtId="0" fontId="14" fillId="45" borderId="11" xfId="4495" applyFont="1" applyFill="1" applyBorder="1" applyAlignment="1">
      <alignment horizontal="center"/>
    </xf>
    <xf numFmtId="4" fontId="22" fillId="0" borderId="3" xfId="4495" applyNumberFormat="1" applyFont="1" applyBorder="1" applyAlignment="1">
      <alignment horizontal="center"/>
    </xf>
    <xf numFmtId="4" fontId="22" fillId="0" borderId="4" xfId="4495" applyNumberFormat="1" applyFont="1" applyBorder="1" applyAlignment="1">
      <alignment horizontal="center"/>
    </xf>
    <xf numFmtId="4" fontId="22" fillId="0" borderId="5" xfId="4495" applyNumberFormat="1" applyFont="1" applyBorder="1" applyAlignment="1">
      <alignment horizontal="center"/>
    </xf>
    <xf numFmtId="165" fontId="110" fillId="0" borderId="3" xfId="4496" applyNumberFormat="1" applyFont="1" applyBorder="1" applyAlignment="1">
      <alignment horizontal="center" vertical="top" wrapText="1"/>
    </xf>
    <xf numFmtId="165" fontId="110" fillId="0" borderId="4" xfId="4496" applyNumberFormat="1" applyFont="1" applyBorder="1" applyAlignment="1">
      <alignment horizontal="center" vertical="top" wrapText="1"/>
    </xf>
    <xf numFmtId="165" fontId="110" fillId="0" borderId="5" xfId="4496" applyNumberFormat="1" applyFont="1" applyBorder="1" applyAlignment="1">
      <alignment horizontal="center" vertical="top" wrapText="1"/>
    </xf>
    <xf numFmtId="3" fontId="14" fillId="43" borderId="6" xfId="1192" applyNumberFormat="1" applyFill="1" applyBorder="1" applyAlignment="1" applyProtection="1">
      <alignment horizontal="right"/>
      <protection locked="0"/>
    </xf>
    <xf numFmtId="168" fontId="14" fillId="0" borderId="0" xfId="1192" applyNumberFormat="1" applyAlignment="1">
      <alignment horizontal="right"/>
    </xf>
    <xf numFmtId="0" fontId="130" fillId="0" borderId="0" xfId="1192" applyFont="1" applyAlignment="1">
      <alignment horizontal="center"/>
    </xf>
    <xf numFmtId="168" fontId="14" fillId="43" borderId="6" xfId="543" applyNumberFormat="1" applyFill="1" applyBorder="1" applyAlignment="1" applyProtection="1">
      <alignment horizontal="center"/>
      <protection locked="0"/>
    </xf>
    <xf numFmtId="168" fontId="14" fillId="5" borderId="4" xfId="1192" applyNumberFormat="1" applyFill="1" applyBorder="1" applyAlignment="1" applyProtection="1">
      <alignment horizontal="center"/>
      <protection locked="0"/>
    </xf>
    <xf numFmtId="4" fontId="22" fillId="0" borderId="0" xfId="4495" applyNumberFormat="1" applyFont="1" applyAlignment="1">
      <alignment horizontal="center"/>
    </xf>
    <xf numFmtId="4" fontId="22" fillId="0" borderId="6" xfId="4495" applyNumberFormat="1" applyFont="1" applyBorder="1" applyAlignment="1">
      <alignment horizontal="center"/>
    </xf>
    <xf numFmtId="1" fontId="14" fillId="5" borderId="2" xfId="1192" applyNumberFormat="1" applyFill="1" applyBorder="1" applyAlignment="1" applyProtection="1">
      <alignment horizontal="center"/>
      <protection locked="0"/>
    </xf>
    <xf numFmtId="168" fontId="14" fillId="0" borderId="6" xfId="1192" applyNumberFormat="1" applyBorder="1" applyAlignment="1">
      <alignment horizontal="right"/>
    </xf>
    <xf numFmtId="168" fontId="14" fillId="0" borderId="4" xfId="1192" applyNumberFormat="1" applyBorder="1" applyAlignment="1">
      <alignment horizontal="right"/>
    </xf>
    <xf numFmtId="0" fontId="14" fillId="0" borderId="53" xfId="4495" applyFont="1" applyBorder="1" applyAlignment="1">
      <alignment horizontal="left" vertical="top" wrapText="1"/>
    </xf>
    <xf numFmtId="0" fontId="14" fillId="0" borderId="0" xfId="4495" applyFont="1" applyAlignment="1">
      <alignment horizontal="left" vertical="top" wrapText="1"/>
    </xf>
    <xf numFmtId="0" fontId="14" fillId="0" borderId="54" xfId="4495" applyFont="1" applyBorder="1" applyAlignment="1">
      <alignment horizontal="left" vertical="top" wrapText="1"/>
    </xf>
    <xf numFmtId="0" fontId="14" fillId="0" borderId="57" xfId="4495" applyFont="1" applyBorder="1" applyAlignment="1">
      <alignment horizontal="left" vertical="top" wrapText="1"/>
    </xf>
    <xf numFmtId="0" fontId="14" fillId="0" borderId="58" xfId="4495" applyFont="1" applyBorder="1" applyAlignment="1">
      <alignment horizontal="left" vertical="top" wrapText="1"/>
    </xf>
    <xf numFmtId="168" fontId="14" fillId="0" borderId="6" xfId="4496" applyNumberFormat="1" applyFont="1" applyBorder="1" applyAlignment="1">
      <alignment horizontal="center"/>
    </xf>
    <xf numFmtId="168" fontId="14" fillId="0" borderId="4" xfId="4496" applyNumberFormat="1" applyFont="1" applyBorder="1" applyAlignment="1">
      <alignment horizontal="center"/>
    </xf>
    <xf numFmtId="9" fontId="14" fillId="0" borderId="4" xfId="4496" applyNumberFormat="1" applyFont="1" applyBorder="1" applyAlignment="1">
      <alignment horizontal="center"/>
    </xf>
    <xf numFmtId="0" fontId="14" fillId="0" borderId="3" xfId="4495" applyFont="1" applyBorder="1" applyAlignment="1">
      <alignment horizontal="center"/>
    </xf>
    <xf numFmtId="0" fontId="14" fillId="0" borderId="4" xfId="4495" applyFont="1" applyBorder="1" applyAlignment="1">
      <alignment horizontal="center"/>
    </xf>
    <xf numFmtId="0" fontId="14" fillId="0" borderId="5" xfId="4495" applyFont="1" applyBorder="1" applyAlignment="1">
      <alignment horizontal="center"/>
    </xf>
    <xf numFmtId="0" fontId="21" fillId="0" borderId="0" xfId="4495" applyFont="1" applyAlignment="1">
      <alignment horizontal="center"/>
    </xf>
    <xf numFmtId="0" fontId="22" fillId="0" borderId="51" xfId="4495" applyFont="1" applyBorder="1" applyAlignment="1">
      <alignment horizontal="left" vertical="top" wrapText="1"/>
    </xf>
    <xf numFmtId="0" fontId="22" fillId="0" borderId="0" xfId="4495" applyFont="1" applyAlignment="1">
      <alignment horizontal="left" vertical="top" wrapText="1"/>
    </xf>
    <xf numFmtId="0" fontId="21" fillId="0" borderId="0" xfId="4495" applyFont="1" applyAlignment="1">
      <alignment horizontal="right"/>
    </xf>
    <xf numFmtId="10" fontId="22" fillId="0" borderId="2" xfId="4495" applyNumberFormat="1" applyFont="1" applyBorder="1" applyAlignment="1">
      <alignment horizontal="center"/>
    </xf>
    <xf numFmtId="0" fontId="22" fillId="0" borderId="0" xfId="4495" applyFont="1" applyAlignment="1">
      <alignment horizontal="center"/>
    </xf>
    <xf numFmtId="9" fontId="22" fillId="5" borderId="6" xfId="4495" applyNumberFormat="1" applyFont="1" applyFill="1" applyBorder="1" applyAlignment="1">
      <alignment horizontal="left"/>
    </xf>
    <xf numFmtId="0" fontId="118" fillId="0" borderId="0" xfId="4495" applyFont="1" applyAlignment="1">
      <alignment horizontal="left" vertical="top" wrapText="1"/>
    </xf>
    <xf numFmtId="0" fontId="30" fillId="42" borderId="2" xfId="4495" applyFont="1" applyFill="1" applyBorder="1" applyAlignment="1">
      <alignment horizontal="center"/>
    </xf>
    <xf numFmtId="0" fontId="30" fillId="42" borderId="6" xfId="4495" applyFont="1" applyFill="1" applyBorder="1" applyAlignment="1">
      <alignment horizontal="center"/>
    </xf>
    <xf numFmtId="0" fontId="21" fillId="0" borderId="11" xfId="4495" applyFont="1" applyBorder="1" applyAlignment="1">
      <alignment horizontal="center"/>
    </xf>
    <xf numFmtId="0" fontId="108" fillId="5" borderId="55" xfId="4495" applyFill="1" applyBorder="1" applyAlignment="1" applyProtection="1">
      <alignment horizontal="center"/>
      <protection locked="0"/>
    </xf>
    <xf numFmtId="0" fontId="108" fillId="5" borderId="6" xfId="4495" applyFill="1" applyBorder="1" applyAlignment="1" applyProtection="1">
      <alignment horizontal="center"/>
      <protection locked="0"/>
    </xf>
    <xf numFmtId="0" fontId="21" fillId="0" borderId="54" xfId="4495" applyFont="1" applyBorder="1" applyAlignment="1">
      <alignment horizontal="center"/>
    </xf>
    <xf numFmtId="0" fontId="14" fillId="5" borderId="6" xfId="4495" applyFont="1" applyFill="1" applyBorder="1" applyAlignment="1" applyProtection="1">
      <alignment horizontal="center" vertical="center" wrapText="1" shrinkToFit="1"/>
      <protection locked="0"/>
    </xf>
    <xf numFmtId="0" fontId="106" fillId="0" borderId="4" xfId="1192" applyFont="1" applyBorder="1" applyAlignment="1">
      <alignment horizontal="left"/>
    </xf>
    <xf numFmtId="0" fontId="130" fillId="0" borderId="6" xfId="1192" applyFont="1" applyBorder="1" applyAlignment="1">
      <alignment horizontal="center"/>
    </xf>
    <xf numFmtId="0" fontId="14" fillId="0" borderId="6" xfId="1192" applyBorder="1" applyAlignment="1">
      <alignment horizontal="left"/>
    </xf>
    <xf numFmtId="9" fontId="14" fillId="5" borderId="4" xfId="1192" applyNumberFormat="1" applyFill="1" applyBorder="1" applyAlignment="1" applyProtection="1">
      <alignment horizontal="left"/>
      <protection locked="0"/>
    </xf>
    <xf numFmtId="0" fontId="14" fillId="0" borderId="6" xfId="1192" applyBorder="1" applyAlignment="1">
      <alignment horizontal="right"/>
    </xf>
    <xf numFmtId="168" fontId="14" fillId="43" borderId="6" xfId="1192" applyNumberFormat="1" applyFill="1" applyBorder="1" applyAlignment="1" applyProtection="1">
      <alignment horizontal="right"/>
      <protection locked="0"/>
    </xf>
    <xf numFmtId="0" fontId="21" fillId="0" borderId="4" xfId="4495" applyFont="1" applyBorder="1" applyAlignment="1">
      <alignment horizontal="left"/>
    </xf>
    <xf numFmtId="0" fontId="21" fillId="0" borderId="5" xfId="4495" applyFont="1" applyBorder="1" applyAlignment="1">
      <alignment horizontal="left"/>
    </xf>
    <xf numFmtId="1" fontId="21" fillId="0" borderId="11" xfId="4495" applyNumberFormat="1" applyFont="1" applyBorder="1" applyAlignment="1">
      <alignment horizontal="center"/>
    </xf>
    <xf numFmtId="0" fontId="21" fillId="0" borderId="3" xfId="4495" applyFont="1" applyBorder="1" applyAlignment="1">
      <alignment horizontal="center" wrapText="1"/>
    </xf>
    <xf numFmtId="0" fontId="21" fillId="0" borderId="4" xfId="4495" applyFont="1" applyBorder="1" applyAlignment="1">
      <alignment horizontal="center" wrapText="1"/>
    </xf>
    <xf numFmtId="0" fontId="21" fillId="0" borderId="5" xfId="4495" applyFont="1" applyBorder="1" applyAlignment="1">
      <alignment horizontal="center" wrapText="1"/>
    </xf>
    <xf numFmtId="0" fontId="14" fillId="0" borderId="4" xfId="4495" applyFont="1" applyBorder="1" applyAlignment="1">
      <alignment horizontal="left"/>
    </xf>
    <xf numFmtId="0" fontId="14" fillId="0" borderId="5" xfId="4495" applyFont="1" applyBorder="1" applyAlignment="1">
      <alignment horizontal="left"/>
    </xf>
    <xf numFmtId="1" fontId="14" fillId="0" borderId="11" xfId="4495" applyNumberFormat="1" applyFont="1" applyBorder="1" applyAlignment="1">
      <alignment horizontal="center"/>
    </xf>
    <xf numFmtId="0" fontId="14" fillId="0" borderId="11" xfId="4495" applyFont="1" applyBorder="1" applyAlignment="1">
      <alignment horizontal="center"/>
    </xf>
    <xf numFmtId="1" fontId="14" fillId="46" borderId="11" xfId="4495" applyNumberFormat="1" applyFont="1" applyFill="1" applyBorder="1" applyAlignment="1">
      <alignment horizontal="center"/>
    </xf>
    <xf numFmtId="0" fontId="21" fillId="0" borderId="3" xfId="4495" applyFont="1" applyBorder="1" applyAlignment="1">
      <alignment horizontal="center"/>
    </xf>
    <xf numFmtId="0" fontId="21" fillId="0" borderId="4" xfId="4495" applyFont="1" applyBorder="1" applyAlignment="1">
      <alignment horizontal="center"/>
    </xf>
    <xf numFmtId="0" fontId="21" fillId="0" borderId="5" xfId="4495" applyFont="1" applyBorder="1" applyAlignment="1">
      <alignment horizontal="center"/>
    </xf>
    <xf numFmtId="0" fontId="21" fillId="0" borderId="3" xfId="4495" applyFont="1" applyBorder="1" applyAlignment="1">
      <alignment horizontal="left"/>
    </xf>
    <xf numFmtId="0" fontId="14" fillId="5" borderId="11" xfId="4495" applyFont="1" applyFill="1" applyBorder="1" applyAlignment="1" applyProtection="1">
      <alignment horizontal="center"/>
      <protection locked="0"/>
    </xf>
    <xf numFmtId="164" fontId="53" fillId="0" borderId="1" xfId="4495" applyNumberFormat="1" applyFont="1" applyBorder="1" applyAlignment="1">
      <alignment horizontal="right" vertical="center"/>
    </xf>
    <xf numFmtId="164" fontId="53" fillId="0" borderId="2" xfId="4495" applyNumberFormat="1" applyFont="1" applyBorder="1" applyAlignment="1">
      <alignment horizontal="right" vertical="center"/>
    </xf>
    <xf numFmtId="164" fontId="53" fillId="0" borderId="7" xfId="4495" applyNumberFormat="1" applyFont="1" applyBorder="1" applyAlignment="1">
      <alignment horizontal="right" vertical="center"/>
    </xf>
    <xf numFmtId="164" fontId="53" fillId="0" borderId="9" xfId="4495" applyNumberFormat="1" applyFont="1" applyBorder="1" applyAlignment="1">
      <alignment horizontal="right" vertical="center"/>
    </xf>
    <xf numFmtId="164" fontId="53" fillId="0" borderId="6" xfId="4495" applyNumberFormat="1" applyFont="1" applyBorder="1" applyAlignment="1">
      <alignment horizontal="right" vertical="center"/>
    </xf>
    <xf numFmtId="164" fontId="53" fillId="0" borderId="10" xfId="4495" applyNumberFormat="1" applyFont="1" applyBorder="1" applyAlignment="1">
      <alignment horizontal="right" vertical="center"/>
    </xf>
    <xf numFmtId="180" fontId="53" fillId="0" borderId="1" xfId="4495" applyNumberFormat="1" applyFont="1" applyBorder="1" applyAlignment="1">
      <alignment horizontal="center" vertical="center"/>
    </xf>
    <xf numFmtId="180" fontId="53" fillId="0" borderId="2" xfId="4495" applyNumberFormat="1" applyFont="1" applyBorder="1" applyAlignment="1">
      <alignment horizontal="center" vertical="center"/>
    </xf>
    <xf numFmtId="180" fontId="53" fillId="0" borderId="7" xfId="4495" applyNumberFormat="1" applyFont="1" applyBorder="1" applyAlignment="1">
      <alignment horizontal="center" vertical="center"/>
    </xf>
    <xf numFmtId="180" fontId="53" fillId="0" borderId="9" xfId="4495" applyNumberFormat="1" applyFont="1" applyBorder="1" applyAlignment="1">
      <alignment horizontal="center" vertical="center"/>
    </xf>
    <xf numFmtId="180" fontId="53" fillId="0" borderId="6" xfId="4495" applyNumberFormat="1" applyFont="1" applyBorder="1" applyAlignment="1">
      <alignment horizontal="center" vertical="center"/>
    </xf>
    <xf numFmtId="180" fontId="53" fillId="0" borderId="10" xfId="4495" applyNumberFormat="1" applyFont="1" applyBorder="1" applyAlignment="1">
      <alignment horizontal="center" vertical="center"/>
    </xf>
    <xf numFmtId="1" fontId="21" fillId="0" borderId="4" xfId="4495" applyNumberFormat="1" applyFont="1" applyBorder="1" applyAlignment="1">
      <alignment horizontal="center" wrapText="1"/>
    </xf>
    <xf numFmtId="0" fontId="14" fillId="0" borderId="50" xfId="4496" applyFont="1" applyBorder="1" applyAlignment="1">
      <alignment horizontal="left" wrapText="1"/>
    </xf>
    <xf numFmtId="0" fontId="14" fillId="0" borderId="51" xfId="4496" applyFont="1" applyBorder="1" applyAlignment="1">
      <alignment horizontal="left" wrapText="1"/>
    </xf>
    <xf numFmtId="0" fontId="14" fillId="0" borderId="52" xfId="4496" applyFont="1" applyBorder="1" applyAlignment="1">
      <alignment horizontal="left" wrapText="1"/>
    </xf>
    <xf numFmtId="0" fontId="14" fillId="0" borderId="53" xfId="4496" applyFont="1" applyBorder="1" applyAlignment="1">
      <alignment horizontal="left" wrapText="1"/>
    </xf>
    <xf numFmtId="0" fontId="14" fillId="0" borderId="0" xfId="4496" applyFont="1" applyAlignment="1">
      <alignment horizontal="left" wrapText="1"/>
    </xf>
    <xf numFmtId="0" fontId="14" fillId="0" borderId="54" xfId="4496" applyFont="1" applyBorder="1" applyAlignment="1">
      <alignment horizontal="left" wrapText="1"/>
    </xf>
    <xf numFmtId="0" fontId="14" fillId="0" borderId="57" xfId="4496" applyFont="1" applyBorder="1" applyAlignment="1">
      <alignment horizontal="left" wrapText="1"/>
    </xf>
    <xf numFmtId="0" fontId="14" fillId="0" borderId="58" xfId="4496" applyFont="1" applyBorder="1" applyAlignment="1">
      <alignment horizontal="left" wrapText="1"/>
    </xf>
    <xf numFmtId="0" fontId="14" fillId="0" borderId="59" xfId="4496" applyFont="1" applyBorder="1" applyAlignment="1">
      <alignment horizontal="left" wrapText="1"/>
    </xf>
    <xf numFmtId="1" fontId="14" fillId="0" borderId="4" xfId="4496" applyNumberFormat="1" applyFont="1" applyBorder="1" applyAlignment="1">
      <alignment horizontal="center"/>
    </xf>
    <xf numFmtId="1" fontId="14" fillId="0" borderId="5" xfId="4496" applyNumberFormat="1" applyFont="1" applyBorder="1" applyAlignment="1">
      <alignment horizontal="center"/>
    </xf>
    <xf numFmtId="49" fontId="20" fillId="3" borderId="2" xfId="4495" applyNumberFormat="1" applyFont="1" applyFill="1" applyBorder="1" applyAlignment="1">
      <alignment horizontal="center" vertical="center" wrapText="1"/>
    </xf>
    <xf numFmtId="49" fontId="20" fillId="3" borderId="2" xfId="4495" applyNumberFormat="1" applyFont="1" applyFill="1" applyBorder="1" applyAlignment="1">
      <alignment horizontal="center" vertical="center"/>
    </xf>
    <xf numFmtId="49" fontId="20" fillId="3" borderId="0" xfId="4495" applyNumberFormat="1" applyFont="1" applyFill="1" applyAlignment="1">
      <alignment horizontal="center" vertical="center"/>
    </xf>
    <xf numFmtId="0" fontId="21" fillId="0" borderId="1" xfId="4495" applyFont="1" applyBorder="1" applyAlignment="1">
      <alignment horizontal="center" wrapText="1"/>
    </xf>
    <xf numFmtId="0" fontId="21" fillId="0" borderId="2" xfId="4495" applyFont="1" applyBorder="1" applyAlignment="1">
      <alignment horizontal="center" wrapText="1"/>
    </xf>
    <xf numFmtId="0" fontId="21" fillId="0" borderId="7" xfId="4495" applyFont="1" applyBorder="1" applyAlignment="1">
      <alignment horizontal="center" wrapText="1"/>
    </xf>
    <xf numFmtId="0" fontId="21" fillId="0" borderId="9" xfId="4495" applyFont="1" applyBorder="1" applyAlignment="1">
      <alignment horizontal="center" wrapText="1"/>
    </xf>
    <xf numFmtId="0" fontId="21" fillId="0" borderId="6" xfId="4495" applyFont="1" applyBorder="1" applyAlignment="1">
      <alignment horizontal="center" wrapText="1"/>
    </xf>
    <xf numFmtId="0" fontId="21" fillId="0" borderId="10" xfId="4495" applyFont="1" applyBorder="1" applyAlignment="1">
      <alignment horizontal="center" wrapText="1"/>
    </xf>
    <xf numFmtId="0" fontId="21" fillId="0" borderId="0" xfId="4495" applyFont="1" applyAlignment="1">
      <alignment horizontal="center" vertical="top"/>
    </xf>
    <xf numFmtId="0" fontId="110" fillId="0" borderId="50" xfId="4496" applyFont="1" applyBorder="1" applyAlignment="1">
      <alignment horizontal="left" wrapText="1"/>
    </xf>
    <xf numFmtId="0" fontId="110" fillId="0" borderId="51" xfId="4496" applyFont="1" applyBorder="1" applyAlignment="1">
      <alignment horizontal="left" wrapText="1"/>
    </xf>
    <xf numFmtId="0" fontId="110" fillId="0" borderId="52" xfId="4496" applyFont="1" applyBorder="1" applyAlignment="1">
      <alignment horizontal="left" wrapText="1"/>
    </xf>
    <xf numFmtId="0" fontId="110" fillId="0" borderId="57" xfId="4496" applyFont="1" applyBorder="1" applyAlignment="1">
      <alignment horizontal="left" wrapText="1"/>
    </xf>
    <xf numFmtId="0" fontId="110" fillId="0" borderId="58" xfId="4496" applyFont="1" applyBorder="1" applyAlignment="1">
      <alignment horizontal="left" wrapText="1"/>
    </xf>
    <xf numFmtId="0" fontId="110" fillId="0" borderId="59" xfId="4496" applyFont="1" applyBorder="1" applyAlignment="1">
      <alignment horizontal="left" wrapText="1"/>
    </xf>
    <xf numFmtId="0" fontId="108" fillId="5" borderId="50" xfId="4495" applyFill="1" applyBorder="1" applyAlignment="1">
      <alignment horizontal="center"/>
    </xf>
    <xf numFmtId="0" fontId="108" fillId="5" borderId="51" xfId="4495" applyFill="1" applyBorder="1" applyAlignment="1">
      <alignment horizontal="center"/>
    </xf>
    <xf numFmtId="0" fontId="108" fillId="0" borderId="53" xfId="4495" applyBorder="1" applyAlignment="1">
      <alignment horizontal="center"/>
    </xf>
    <xf numFmtId="0" fontId="108" fillId="0" borderId="0" xfId="4495" applyAlignment="1">
      <alignment horizontal="center"/>
    </xf>
    <xf numFmtId="0" fontId="22" fillId="5" borderId="0" xfId="4495" applyFont="1" applyFill="1" applyAlignment="1">
      <alignment horizontal="left" vertical="top"/>
    </xf>
    <xf numFmtId="0" fontId="108" fillId="5" borderId="53" xfId="4495" applyFill="1" applyBorder="1" applyAlignment="1">
      <alignment horizontal="center"/>
    </xf>
    <xf numFmtId="0" fontId="108" fillId="5" borderId="0" xfId="4495" applyFill="1" applyAlignment="1">
      <alignment horizontal="center"/>
    </xf>
    <xf numFmtId="0" fontId="22" fillId="0" borderId="58" xfId="4495" applyFont="1" applyBorder="1" applyAlignment="1">
      <alignment horizontal="left" vertical="top" wrapText="1"/>
    </xf>
    <xf numFmtId="0" fontId="22" fillId="5" borderId="58" xfId="4495" applyFont="1" applyFill="1" applyBorder="1" applyAlignment="1">
      <alignment horizontal="left"/>
    </xf>
    <xf numFmtId="0" fontId="44" fillId="0" borderId="51" xfId="4495" applyFont="1" applyBorder="1" applyAlignment="1">
      <alignment horizontal="left" vertical="top" wrapText="1"/>
    </xf>
    <xf numFmtId="0" fontId="44" fillId="0" borderId="0" xfId="4495" applyFont="1" applyAlignment="1">
      <alignment horizontal="left" vertical="top" wrapText="1"/>
    </xf>
    <xf numFmtId="9" fontId="22" fillId="5" borderId="58" xfId="4495" applyNumberFormat="1" applyFont="1" applyFill="1" applyBorder="1" applyAlignment="1">
      <alignment horizontal="left"/>
    </xf>
    <xf numFmtId="0" fontId="108" fillId="5" borderId="55" xfId="4495" applyFill="1" applyBorder="1" applyAlignment="1">
      <alignment horizontal="center"/>
    </xf>
    <xf numFmtId="0" fontId="108" fillId="5" borderId="6" xfId="4495" applyFill="1" applyBorder="1" applyAlignment="1">
      <alignment horizontal="center"/>
    </xf>
    <xf numFmtId="0" fontId="22" fillId="5" borderId="0" xfId="4495" applyFont="1" applyFill="1" applyAlignment="1">
      <alignment horizontal="left" vertical="top" wrapText="1"/>
    </xf>
    <xf numFmtId="0" fontId="22" fillId="5" borderId="58" xfId="4495" applyFont="1" applyFill="1" applyBorder="1" applyAlignment="1">
      <alignment horizontal="left" vertical="top" wrapText="1"/>
    </xf>
    <xf numFmtId="0" fontId="22" fillId="5" borderId="6" xfId="4495" applyFont="1" applyFill="1" applyBorder="1" applyAlignment="1">
      <alignment horizontal="left"/>
    </xf>
    <xf numFmtId="0" fontId="108" fillId="5" borderId="62" xfId="4495" applyFill="1" applyBorder="1" applyAlignment="1">
      <alignment horizontal="center"/>
    </xf>
    <xf numFmtId="0" fontId="108" fillId="5" borderId="63" xfId="4495" applyFill="1" applyBorder="1" applyAlignment="1">
      <alignment horizontal="center"/>
    </xf>
    <xf numFmtId="0" fontId="21" fillId="0" borderId="51" xfId="4495" applyFont="1" applyBorder="1" applyAlignment="1">
      <alignment horizontal="center" vertical="top"/>
    </xf>
    <xf numFmtId="0" fontId="21" fillId="0" borderId="52" xfId="4495" applyFont="1" applyBorder="1" applyAlignment="1">
      <alignment horizontal="center" vertical="top"/>
    </xf>
    <xf numFmtId="0" fontId="44" fillId="0" borderId="51" xfId="4495" applyFont="1" applyBorder="1" applyAlignment="1">
      <alignment horizontal="left" wrapText="1"/>
    </xf>
    <xf numFmtId="0" fontId="44" fillId="0" borderId="0" xfId="4495" applyFont="1" applyAlignment="1">
      <alignment horizontal="left" wrapText="1"/>
    </xf>
    <xf numFmtId="0" fontId="21" fillId="0" borderId="54" xfId="4495" applyFont="1" applyBorder="1" applyAlignment="1">
      <alignment horizontal="center" vertical="top"/>
    </xf>
    <xf numFmtId="0" fontId="118" fillId="0" borderId="0" xfId="4495" applyFont="1" applyAlignment="1">
      <alignment horizontal="left" vertical="center" wrapText="1"/>
    </xf>
    <xf numFmtId="0" fontId="21" fillId="0" borderId="0" xfId="4495" applyFont="1" applyAlignment="1">
      <alignment horizontal="left" vertical="top" wrapText="1"/>
    </xf>
    <xf numFmtId="0" fontId="14" fillId="0" borderId="0" xfId="4495" applyFont="1" applyAlignment="1">
      <alignment horizontal="left" vertical="top" wrapText="1" shrinkToFit="1"/>
    </xf>
    <xf numFmtId="44" fontId="14" fillId="0" borderId="0" xfId="707" applyFont="1" applyFill="1" applyBorder="1" applyAlignment="1" applyProtection="1">
      <alignment horizontal="left" vertical="top" wrapText="1"/>
    </xf>
    <xf numFmtId="0" fontId="14" fillId="0" borderId="0" xfId="4495" applyFont="1" applyAlignment="1">
      <alignment wrapText="1"/>
    </xf>
    <xf numFmtId="0" fontId="14" fillId="5" borderId="6" xfId="4495" applyFont="1" applyFill="1" applyBorder="1" applyAlignment="1" applyProtection="1">
      <alignment horizontal="center"/>
      <protection locked="0"/>
    </xf>
    <xf numFmtId="0" fontId="14" fillId="0" borderId="0" xfId="4495" applyFont="1" applyAlignment="1">
      <alignment horizontal="left" vertical="center" wrapText="1" shrinkToFit="1"/>
    </xf>
    <xf numFmtId="0" fontId="14" fillId="5" borderId="6" xfId="4495" applyFont="1" applyFill="1" applyBorder="1" applyAlignment="1" applyProtection="1">
      <alignment horizontal="left" wrapText="1" shrinkToFit="1"/>
      <protection locked="0"/>
    </xf>
    <xf numFmtId="0" fontId="14" fillId="43" borderId="6" xfId="1192" applyFill="1" applyBorder="1" applyAlignment="1" applyProtection="1">
      <alignment horizontal="left" vertical="top"/>
      <protection locked="0"/>
    </xf>
    <xf numFmtId="0" fontId="163" fillId="0" borderId="0" xfId="0" applyFont="1" applyAlignment="1" applyProtection="1">
      <alignment horizontal="left"/>
      <protection locked="0"/>
    </xf>
    <xf numFmtId="168" fontId="160" fillId="0" borderId="0" xfId="0" applyNumberFormat="1" applyFont="1" applyAlignment="1">
      <alignment horizontal="center" vertical="top" wrapText="1"/>
    </xf>
    <xf numFmtId="168" fontId="160" fillId="0" borderId="12" xfId="0" applyNumberFormat="1" applyFont="1" applyBorder="1" applyAlignment="1">
      <alignment horizontal="center" vertical="top" wrapText="1"/>
    </xf>
    <xf numFmtId="0" fontId="14" fillId="0" borderId="50" xfId="4495" applyFont="1" applyBorder="1" applyAlignment="1">
      <alignment horizontal="left" vertical="center" wrapText="1"/>
    </xf>
    <xf numFmtId="0" fontId="14" fillId="0" borderId="51" xfId="4495" applyFont="1" applyBorder="1" applyAlignment="1">
      <alignment horizontal="left" vertical="center" wrapText="1"/>
    </xf>
    <xf numFmtId="0" fontId="14" fillId="0" borderId="52" xfId="4495" applyFont="1" applyBorder="1" applyAlignment="1">
      <alignment horizontal="left" vertical="center" wrapText="1"/>
    </xf>
    <xf numFmtId="0" fontId="14" fillId="0" borderId="53" xfId="4495" applyFont="1" applyBorder="1" applyAlignment="1">
      <alignment horizontal="left" vertical="center" wrapText="1"/>
    </xf>
    <xf numFmtId="0" fontId="14" fillId="0" borderId="0" xfId="4495" applyFont="1" applyAlignment="1">
      <alignment horizontal="left" vertical="center" wrapText="1"/>
    </xf>
    <xf numFmtId="0" fontId="14" fillId="0" borderId="54" xfId="4495" applyFont="1" applyBorder="1" applyAlignment="1">
      <alignment horizontal="left" vertical="center" wrapText="1"/>
    </xf>
    <xf numFmtId="0" fontId="14" fillId="43" borderId="53" xfId="4495" applyFont="1" applyFill="1" applyBorder="1" applyAlignment="1" applyProtection="1">
      <alignment vertical="top" wrapText="1"/>
      <protection locked="0"/>
    </xf>
    <xf numFmtId="0" fontId="14" fillId="43" borderId="0" xfId="4495" applyFont="1" applyFill="1" applyAlignment="1" applyProtection="1">
      <alignment vertical="top" wrapText="1"/>
      <protection locked="0"/>
    </xf>
    <xf numFmtId="0" fontId="14" fillId="43" borderId="54" xfId="4495" applyFont="1" applyFill="1" applyBorder="1" applyAlignment="1" applyProtection="1">
      <alignment vertical="top" wrapText="1"/>
      <protection locked="0"/>
    </xf>
    <xf numFmtId="0" fontId="14" fillId="43" borderId="55" xfId="4495" applyFont="1" applyFill="1" applyBorder="1" applyAlignment="1" applyProtection="1">
      <alignment vertical="top" wrapText="1"/>
      <protection locked="0"/>
    </xf>
    <xf numFmtId="0" fontId="14" fillId="43" borderId="6" xfId="4495" applyFont="1" applyFill="1" applyBorder="1" applyAlignment="1" applyProtection="1">
      <alignment vertical="top" wrapText="1"/>
      <protection locked="0"/>
    </xf>
    <xf numFmtId="0" fontId="14" fillId="43" borderId="56" xfId="4495" applyFont="1" applyFill="1" applyBorder="1" applyAlignment="1" applyProtection="1">
      <alignment vertical="top" wrapText="1"/>
      <protection locked="0"/>
    </xf>
    <xf numFmtId="0" fontId="14" fillId="43" borderId="0" xfId="4495" applyFont="1" applyFill="1" applyAlignment="1" applyProtection="1">
      <alignment horizontal="left" vertical="center" wrapText="1"/>
      <protection locked="0"/>
    </xf>
    <xf numFmtId="0" fontId="14" fillId="43" borderId="54" xfId="4495" applyFont="1" applyFill="1" applyBorder="1" applyAlignment="1" applyProtection="1">
      <alignment horizontal="left" vertical="center" wrapText="1"/>
      <protection locked="0"/>
    </xf>
    <xf numFmtId="0" fontId="14" fillId="43" borderId="6" xfId="4495" applyFont="1" applyFill="1" applyBorder="1" applyAlignment="1" applyProtection="1">
      <alignment horizontal="left" vertical="center" wrapText="1"/>
      <protection locked="0"/>
    </xf>
    <xf numFmtId="0" fontId="14" fillId="43" borderId="56" xfId="4495" applyFont="1" applyFill="1" applyBorder="1" applyAlignment="1" applyProtection="1">
      <alignment horizontal="left" vertical="center" wrapText="1"/>
      <protection locked="0"/>
    </xf>
    <xf numFmtId="0" fontId="108" fillId="5" borderId="62" xfId="4495" applyFill="1" applyBorder="1" applyAlignment="1" applyProtection="1">
      <alignment horizontal="center"/>
      <protection locked="0"/>
    </xf>
    <xf numFmtId="0" fontId="108" fillId="5" borderId="63" xfId="4495" applyFill="1" applyBorder="1" applyAlignment="1" applyProtection="1">
      <alignment horizontal="center"/>
      <protection locked="0"/>
    </xf>
    <xf numFmtId="0" fontId="14" fillId="0" borderId="59" xfId="4495" applyFont="1" applyBorder="1" applyAlignment="1">
      <alignment horizontal="left" vertical="top" wrapText="1"/>
    </xf>
    <xf numFmtId="0" fontId="14" fillId="0" borderId="4" xfId="4496" applyFont="1" applyBorder="1" applyAlignment="1">
      <alignment horizontal="center"/>
    </xf>
    <xf numFmtId="0" fontId="14" fillId="0" borderId="5" xfId="4496" applyFont="1" applyBorder="1" applyAlignment="1">
      <alignment horizontal="center"/>
    </xf>
    <xf numFmtId="0" fontId="14" fillId="0" borderId="50" xfId="4495" applyFont="1" applyBorder="1" applyAlignment="1">
      <alignment horizontal="left" vertical="top" wrapText="1"/>
    </xf>
    <xf numFmtId="0" fontId="14" fillId="0" borderId="51" xfId="4495" applyFont="1" applyBorder="1" applyAlignment="1">
      <alignment horizontal="left" vertical="top" wrapText="1"/>
    </xf>
    <xf numFmtId="0" fontId="14" fillId="0" borderId="52" xfId="4495" applyFont="1" applyBorder="1" applyAlignment="1">
      <alignment horizontal="left" vertical="top" wrapText="1"/>
    </xf>
    <xf numFmtId="0" fontId="14" fillId="0" borderId="57" xfId="4495" applyFont="1" applyBorder="1" applyAlignment="1">
      <alignment horizontal="left" vertical="center" wrapText="1"/>
    </xf>
    <xf numFmtId="0" fontId="14" fillId="0" borderId="58" xfId="4495" applyFont="1" applyBorder="1" applyAlignment="1">
      <alignment horizontal="left" vertical="center" wrapText="1"/>
    </xf>
    <xf numFmtId="0" fontId="14" fillId="0" borderId="59" xfId="4495" applyFont="1" applyBorder="1" applyAlignment="1">
      <alignment horizontal="left" vertical="center" wrapText="1"/>
    </xf>
    <xf numFmtId="0" fontId="21" fillId="0" borderId="0" xfId="4495" applyFont="1" applyAlignment="1">
      <alignment horizontal="left" vertical="top"/>
    </xf>
    <xf numFmtId="0" fontId="108" fillId="0" borderId="0" xfId="4495" applyAlignment="1" applyProtection="1">
      <alignment horizontal="center"/>
      <protection locked="0"/>
    </xf>
    <xf numFmtId="9" fontId="14" fillId="0" borderId="4" xfId="543" applyNumberFormat="1" applyBorder="1" applyAlignment="1">
      <alignment horizontal="center"/>
    </xf>
    <xf numFmtId="168" fontId="14" fillId="0" borderId="6" xfId="4495" applyNumberFormat="1" applyFont="1" applyBorder="1" applyAlignment="1">
      <alignment horizontal="right"/>
    </xf>
    <xf numFmtId="168" fontId="106" fillId="0" borderId="6" xfId="4495" applyNumberFormat="1" applyFont="1" applyBorder="1" applyAlignment="1">
      <alignment horizontal="right"/>
    </xf>
    <xf numFmtId="168" fontId="14" fillId="43" borderId="6" xfId="4495" applyNumberFormat="1" applyFont="1" applyFill="1" applyBorder="1" applyAlignment="1" applyProtection="1">
      <alignment horizontal="right"/>
      <protection locked="0"/>
    </xf>
    <xf numFmtId="6" fontId="14" fillId="0" borderId="3" xfId="1192" applyNumberFormat="1" applyBorder="1" applyAlignment="1">
      <alignment horizontal="right"/>
    </xf>
    <xf numFmtId="6" fontId="14" fillId="0" borderId="4" xfId="1192" applyNumberFormat="1" applyBorder="1" applyAlignment="1">
      <alignment horizontal="right"/>
    </xf>
    <xf numFmtId="6" fontId="14" fillId="0" borderId="5" xfId="1192" applyNumberFormat="1" applyBorder="1" applyAlignment="1">
      <alignment horizontal="right"/>
    </xf>
    <xf numFmtId="168" fontId="14" fillId="0" borderId="4" xfId="4495" applyNumberFormat="1" applyFont="1" applyBorder="1" applyAlignment="1">
      <alignment horizontal="right"/>
    </xf>
    <xf numFmtId="165" fontId="14" fillId="43" borderId="3" xfId="4495" applyNumberFormat="1" applyFont="1" applyFill="1" applyBorder="1" applyAlignment="1" applyProtection="1">
      <alignment horizontal="center"/>
      <protection locked="0"/>
    </xf>
    <xf numFmtId="165" fontId="14" fillId="43" borderId="4" xfId="4495" applyNumberFormat="1" applyFont="1" applyFill="1" applyBorder="1" applyAlignment="1" applyProtection="1">
      <alignment horizontal="center"/>
      <protection locked="0"/>
    </xf>
    <xf numFmtId="165" fontId="14" fillId="43" borderId="5" xfId="4495" applyNumberFormat="1" applyFont="1" applyFill="1" applyBorder="1" applyAlignment="1" applyProtection="1">
      <alignment horizontal="center"/>
      <protection locked="0"/>
    </xf>
    <xf numFmtId="165" fontId="14" fillId="0" borderId="6" xfId="1192" applyNumberFormat="1" applyBorder="1" applyAlignment="1">
      <alignment horizontal="right"/>
    </xf>
    <xf numFmtId="168" fontId="14" fillId="0" borderId="2" xfId="1192" applyNumberFormat="1" applyBorder="1" applyAlignment="1">
      <alignment horizontal="right"/>
    </xf>
    <xf numFmtId="0" fontId="14" fillId="5" borderId="6" xfId="1192" applyFill="1" applyBorder="1" applyAlignment="1" applyProtection="1">
      <alignment horizontal="left"/>
      <protection locked="0"/>
    </xf>
    <xf numFmtId="165" fontId="14" fillId="0" borderId="0" xfId="1192" applyNumberFormat="1" applyAlignment="1">
      <alignment horizontal="right"/>
    </xf>
    <xf numFmtId="2" fontId="14" fillId="0" borderId="0" xfId="1192" applyNumberFormat="1" applyAlignment="1">
      <alignment horizontal="right"/>
    </xf>
    <xf numFmtId="1" fontId="14" fillId="0" borderId="3" xfId="4495" applyNumberFormat="1" applyFont="1" applyBorder="1" applyAlignment="1">
      <alignment horizontal="center"/>
    </xf>
    <xf numFmtId="1" fontId="14" fillId="0" borderId="4" xfId="4495" applyNumberFormat="1" applyFont="1" applyBorder="1" applyAlignment="1">
      <alignment horizontal="center"/>
    </xf>
    <xf numFmtId="1" fontId="14" fillId="0" borderId="5" xfId="4495" applyNumberFormat="1" applyFont="1" applyBorder="1" applyAlignment="1">
      <alignment horizontal="center"/>
    </xf>
    <xf numFmtId="0" fontId="22" fillId="5" borderId="6" xfId="4495" applyFont="1" applyFill="1" applyBorder="1" applyAlignment="1" applyProtection="1">
      <alignment horizontal="left"/>
      <protection locked="0"/>
    </xf>
    <xf numFmtId="0" fontId="14" fillId="0" borderId="0" xfId="4495" applyFont="1" applyAlignment="1">
      <alignment horizontal="left"/>
    </xf>
    <xf numFmtId="0" fontId="14" fillId="5" borderId="6" xfId="4495" applyFont="1" applyFill="1" applyBorder="1" applyAlignment="1" applyProtection="1">
      <alignment horizontal="left"/>
      <protection locked="0"/>
    </xf>
    <xf numFmtId="0" fontId="44" fillId="5" borderId="6" xfId="4495" applyFont="1" applyFill="1" applyBorder="1" applyAlignment="1" applyProtection="1">
      <alignment horizontal="left"/>
      <protection locked="0"/>
    </xf>
    <xf numFmtId="0" fontId="14" fillId="44" borderId="6" xfId="4495" applyFont="1" applyFill="1" applyBorder="1" applyAlignment="1">
      <alignment horizontal="left"/>
    </xf>
    <xf numFmtId="0" fontId="14" fillId="0" borderId="0" xfId="1192" applyAlignment="1">
      <alignment horizontal="right"/>
    </xf>
    <xf numFmtId="9" fontId="14" fillId="0" borderId="6" xfId="1192" applyNumberFormat="1" applyBorder="1" applyAlignment="1">
      <alignment horizontal="center"/>
    </xf>
    <xf numFmtId="9" fontId="14" fillId="0" borderId="6" xfId="1192" quotePrefix="1" applyNumberFormat="1" applyBorder="1" applyAlignment="1">
      <alignment horizontal="center"/>
    </xf>
    <xf numFmtId="9" fontId="14" fillId="0" borderId="0" xfId="1192" quotePrefix="1" applyNumberFormat="1" applyAlignment="1">
      <alignment horizontal="center"/>
    </xf>
    <xf numFmtId="1" fontId="14" fillId="5" borderId="4" xfId="1192" applyNumberFormat="1" applyFill="1" applyBorder="1" applyAlignment="1" applyProtection="1">
      <alignment horizontal="center"/>
      <protection locked="0"/>
    </xf>
    <xf numFmtId="1" fontId="110" fillId="0" borderId="55" xfId="4496" applyNumberFormat="1" applyFont="1" applyBorder="1" applyAlignment="1">
      <alignment horizontal="center" vertical="top" wrapText="1"/>
    </xf>
    <xf numFmtId="1" fontId="110" fillId="0" borderId="6" xfId="4496" applyNumberFormat="1" applyFont="1" applyBorder="1" applyAlignment="1">
      <alignment horizontal="center" vertical="top" wrapText="1"/>
    </xf>
    <xf numFmtId="165" fontId="110" fillId="0" borderId="55" xfId="4496" applyNumberFormat="1" applyFont="1" applyBorder="1" applyAlignment="1">
      <alignment horizontal="center" vertical="top" wrapText="1"/>
    </xf>
    <xf numFmtId="165" fontId="110" fillId="0" borderId="6" xfId="4496" applyNumberFormat="1" applyFont="1" applyBorder="1" applyAlignment="1">
      <alignment horizontal="center" vertical="top" wrapText="1"/>
    </xf>
    <xf numFmtId="168" fontId="110" fillId="43" borderId="55" xfId="4496" applyNumberFormat="1" applyFont="1" applyFill="1" applyBorder="1" applyAlignment="1" applyProtection="1">
      <alignment horizontal="center" vertical="top" wrapText="1"/>
      <protection locked="0"/>
    </xf>
    <xf numFmtId="168" fontId="110" fillId="43" borderId="6" xfId="4496" applyNumberFormat="1" applyFont="1" applyFill="1" applyBorder="1" applyAlignment="1" applyProtection="1">
      <alignment horizontal="center" vertical="top" wrapText="1"/>
      <protection locked="0"/>
    </xf>
    <xf numFmtId="0" fontId="110" fillId="0" borderId="50" xfId="4496" applyFont="1" applyBorder="1" applyAlignment="1">
      <alignment horizontal="left" vertical="top" wrapText="1"/>
    </xf>
    <xf numFmtId="0" fontId="110" fillId="0" borderId="51" xfId="4496" applyFont="1" applyBorder="1" applyAlignment="1">
      <alignment horizontal="left" vertical="top" wrapText="1"/>
    </xf>
    <xf numFmtId="0" fontId="110" fillId="0" borderId="52" xfId="4496" applyFont="1" applyBorder="1" applyAlignment="1">
      <alignment horizontal="left" vertical="top" wrapText="1"/>
    </xf>
    <xf numFmtId="0" fontId="110" fillId="0" borderId="53" xfId="4496" applyFont="1" applyBorder="1" applyAlignment="1">
      <alignment horizontal="left" vertical="top" wrapText="1"/>
    </xf>
    <xf numFmtId="0" fontId="110" fillId="0" borderId="0" xfId="4496" applyFont="1" applyAlignment="1">
      <alignment horizontal="left" vertical="top" wrapText="1"/>
    </xf>
    <xf numFmtId="0" fontId="110" fillId="0" borderId="54" xfId="4496" applyFont="1" applyBorder="1" applyAlignment="1">
      <alignment horizontal="left" vertical="top" wrapText="1"/>
    </xf>
    <xf numFmtId="168" fontId="110" fillId="0" borderId="55" xfId="4496" applyNumberFormat="1" applyFont="1" applyBorder="1" applyAlignment="1">
      <alignment horizontal="center" vertical="top"/>
    </xf>
    <xf numFmtId="168" fontId="110" fillId="0" borderId="6" xfId="4496" applyNumberFormat="1" applyFont="1" applyBorder="1" applyAlignment="1">
      <alignment horizontal="center" vertical="top"/>
    </xf>
    <xf numFmtId="0" fontId="110" fillId="5" borderId="6" xfId="4496" applyFont="1" applyFill="1" applyBorder="1" applyAlignment="1" applyProtection="1">
      <alignment horizontal="center"/>
      <protection locked="0"/>
    </xf>
    <xf numFmtId="10" fontId="110" fillId="0" borderId="3" xfId="4496" applyNumberFormat="1" applyFont="1" applyBorder="1" applyAlignment="1">
      <alignment horizontal="center" vertical="top" wrapText="1"/>
    </xf>
    <xf numFmtId="10" fontId="110" fillId="0" borderId="4" xfId="4496" applyNumberFormat="1" applyFont="1" applyBorder="1" applyAlignment="1">
      <alignment horizontal="center" vertical="top" wrapText="1"/>
    </xf>
    <xf numFmtId="10" fontId="110" fillId="0" borderId="5" xfId="4496" applyNumberFormat="1" applyFont="1" applyBorder="1" applyAlignment="1">
      <alignment horizontal="center" vertical="top" wrapText="1"/>
    </xf>
    <xf numFmtId="0" fontId="110" fillId="0" borderId="55" xfId="4496" applyFont="1" applyBorder="1" applyAlignment="1">
      <alignment horizontal="center" vertical="top" wrapText="1"/>
    </xf>
    <xf numFmtId="0" fontId="110" fillId="0" borderId="6" xfId="4496" applyFont="1" applyBorder="1" applyAlignment="1">
      <alignment horizontal="center" vertical="top" wrapText="1"/>
    </xf>
    <xf numFmtId="0" fontId="20" fillId="3" borderId="2" xfId="4495" applyFont="1" applyFill="1" applyBorder="1" applyAlignment="1">
      <alignment horizontal="center" vertical="center"/>
    </xf>
    <xf numFmtId="0" fontId="20" fillId="3" borderId="16" xfId="4495" applyFont="1" applyFill="1" applyBorder="1" applyAlignment="1">
      <alignment horizontal="center" vertical="center"/>
    </xf>
    <xf numFmtId="0" fontId="21" fillId="0" borderId="48" xfId="4495" applyFont="1" applyBorder="1" applyAlignment="1">
      <alignment horizontal="left" vertical="top"/>
    </xf>
    <xf numFmtId="0" fontId="21" fillId="0" borderId="49" xfId="4495" applyFont="1" applyBorder="1" applyAlignment="1">
      <alignment horizontal="left" vertical="top"/>
    </xf>
    <xf numFmtId="0" fontId="14" fillId="0" borderId="50" xfId="4495" applyFont="1" applyBorder="1" applyAlignment="1">
      <alignment vertical="center" wrapText="1"/>
    </xf>
    <xf numFmtId="0" fontId="14" fillId="0" borderId="51" xfId="4495" applyFont="1" applyBorder="1" applyAlignment="1">
      <alignment vertical="center" wrapText="1"/>
    </xf>
    <xf numFmtId="0" fontId="14" fillId="0" borderId="52" xfId="4495" applyFont="1" applyBorder="1" applyAlignment="1">
      <alignment vertical="center" wrapText="1"/>
    </xf>
    <xf numFmtId="0" fontId="14" fillId="0" borderId="57" xfId="4495" applyFont="1" applyBorder="1" applyAlignment="1">
      <alignment vertical="center" wrapText="1"/>
    </xf>
    <xf numFmtId="0" fontId="14" fillId="0" borderId="58" xfId="4495" applyFont="1" applyBorder="1" applyAlignment="1">
      <alignment vertical="center" wrapText="1"/>
    </xf>
    <xf numFmtId="0" fontId="14" fillId="0" borderId="59" xfId="4495" applyFont="1" applyBorder="1" applyAlignment="1">
      <alignment vertical="center" wrapText="1"/>
    </xf>
    <xf numFmtId="0" fontId="110" fillId="43" borderId="55" xfId="4496" applyFont="1" applyFill="1" applyBorder="1" applyAlignment="1" applyProtection="1">
      <alignment horizontal="left" vertical="top" wrapText="1"/>
      <protection locked="0"/>
    </xf>
    <xf numFmtId="0" fontId="110" fillId="43" borderId="6" xfId="4496" applyFont="1" applyFill="1" applyBorder="1" applyAlignment="1" applyProtection="1">
      <alignment horizontal="left" vertical="top" wrapText="1"/>
      <protection locked="0"/>
    </xf>
    <xf numFmtId="0" fontId="110" fillId="43" borderId="56" xfId="4496" applyFont="1" applyFill="1" applyBorder="1" applyAlignment="1" applyProtection="1">
      <alignment horizontal="left" vertical="top" wrapText="1"/>
      <protection locked="0"/>
    </xf>
    <xf numFmtId="165" fontId="110" fillId="0" borderId="60" xfId="4496" applyNumberFormat="1" applyFont="1" applyBorder="1" applyAlignment="1">
      <alignment horizontal="center" vertical="top" wrapText="1"/>
    </xf>
    <xf numFmtId="0" fontId="110" fillId="5" borderId="60" xfId="4496" applyFont="1" applyFill="1" applyBorder="1" applyAlignment="1" applyProtection="1">
      <alignment horizontal="center"/>
      <protection locked="0"/>
    </xf>
    <xf numFmtId="0" fontId="110" fillId="5" borderId="4" xfId="4496" applyFont="1" applyFill="1" applyBorder="1" applyAlignment="1" applyProtection="1">
      <alignment horizontal="center"/>
      <protection locked="0"/>
    </xf>
    <xf numFmtId="0" fontId="110" fillId="0" borderId="57" xfId="4496" applyFont="1" applyBorder="1" applyAlignment="1">
      <alignment horizontal="left" vertical="top" wrapText="1"/>
    </xf>
    <xf numFmtId="0" fontId="110" fillId="0" borderId="58" xfId="4496" applyFont="1" applyBorder="1" applyAlignment="1">
      <alignment horizontal="left" vertical="top" wrapText="1"/>
    </xf>
    <xf numFmtId="0" fontId="110" fillId="0" borderId="59" xfId="4496" applyFont="1" applyBorder="1" applyAlignment="1">
      <alignment horizontal="left" vertical="top" wrapText="1"/>
    </xf>
    <xf numFmtId="0" fontId="110" fillId="5" borderId="55" xfId="4496" applyFont="1" applyFill="1" applyBorder="1" applyAlignment="1" applyProtection="1">
      <alignment horizontal="center"/>
      <protection locked="0"/>
    </xf>
    <xf numFmtId="49" fontId="86" fillId="45" borderId="15" xfId="4496" applyNumberFormat="1" applyFont="1" applyFill="1" applyBorder="1" applyAlignment="1">
      <alignment horizontal="center" vertical="center" wrapText="1"/>
    </xf>
    <xf numFmtId="49" fontId="86" fillId="45" borderId="13" xfId="4496" applyNumberFormat="1" applyFont="1" applyFill="1" applyBorder="1" applyAlignment="1">
      <alignment horizontal="center" vertical="center" wrapText="1"/>
    </xf>
    <xf numFmtId="168" fontId="86" fillId="0" borderId="84" xfId="4499" applyNumberFormat="1" applyFont="1" applyFill="1" applyBorder="1" applyAlignment="1" applyProtection="1">
      <alignment horizontal="left" vertical="center" indent="1"/>
    </xf>
    <xf numFmtId="168" fontId="86" fillId="0" borderId="83" xfId="4499" applyNumberFormat="1" applyFont="1" applyFill="1" applyBorder="1" applyAlignment="1" applyProtection="1">
      <alignment horizontal="left" vertical="center" indent="1"/>
    </xf>
    <xf numFmtId="0" fontId="86" fillId="0" borderId="11" xfId="4496" applyFont="1" applyBorder="1" applyAlignment="1">
      <alignment horizontal="left" indent="1"/>
    </xf>
    <xf numFmtId="0" fontId="86" fillId="0" borderId="15" xfId="4496" applyFont="1" applyBorder="1" applyAlignment="1">
      <alignment horizontal="left" indent="1"/>
    </xf>
    <xf numFmtId="0" fontId="125" fillId="0" borderId="71" xfId="4496" applyFont="1" applyBorder="1" applyAlignment="1">
      <alignment horizontal="left" indent="1"/>
    </xf>
    <xf numFmtId="168" fontId="86" fillId="0" borderId="11" xfId="4499" applyNumberFormat="1" applyFont="1" applyFill="1" applyBorder="1" applyAlignment="1" applyProtection="1">
      <alignment horizontal="left" vertical="center" indent="1"/>
    </xf>
    <xf numFmtId="168" fontId="86" fillId="0" borderId="13" xfId="4499" applyNumberFormat="1" applyFont="1" applyFill="1" applyBorder="1" applyAlignment="1" applyProtection="1">
      <alignment horizontal="left" vertical="center" indent="1"/>
    </xf>
    <xf numFmtId="49" fontId="124" fillId="3" borderId="0" xfId="1192" applyNumberFormat="1" applyFont="1" applyFill="1" applyAlignment="1">
      <alignment horizontal="center" vertical="center"/>
    </xf>
    <xf numFmtId="0" fontId="125" fillId="45" borderId="3" xfId="4496" applyFont="1" applyFill="1" applyBorder="1" applyAlignment="1">
      <alignment horizontal="center" vertical="center"/>
    </xf>
    <xf numFmtId="0" fontId="125" fillId="45" borderId="4" xfId="4496" applyFont="1" applyFill="1" applyBorder="1" applyAlignment="1">
      <alignment horizontal="center" vertical="center"/>
    </xf>
    <xf numFmtId="0" fontId="125" fillId="45" borderId="5" xfId="4496" applyFont="1" applyFill="1" applyBorder="1" applyAlignment="1">
      <alignment horizontal="center" vertical="center"/>
    </xf>
    <xf numFmtId="9" fontId="125" fillId="45" borderId="3" xfId="4499" applyFont="1" applyFill="1" applyBorder="1" applyAlignment="1" applyProtection="1">
      <alignment horizontal="center" vertical="center"/>
    </xf>
    <xf numFmtId="9" fontId="125" fillId="45" borderId="4" xfId="4499" applyFont="1" applyFill="1" applyBorder="1" applyAlignment="1" applyProtection="1">
      <alignment horizontal="center" vertical="center"/>
    </xf>
    <xf numFmtId="9" fontId="125" fillId="45" borderId="5" xfId="4499" applyFont="1" applyFill="1" applyBorder="1" applyAlignment="1" applyProtection="1">
      <alignment horizontal="center" vertical="center"/>
    </xf>
    <xf numFmtId="0" fontId="125" fillId="0" borderId="90" xfId="4496" applyFont="1" applyBorder="1" applyAlignment="1">
      <alignment horizontal="center" vertical="top" wrapText="1"/>
    </xf>
    <xf numFmtId="0" fontId="125" fillId="0" borderId="89" xfId="4496" applyFont="1" applyBorder="1" applyAlignment="1">
      <alignment horizontal="center" vertical="top" wrapText="1"/>
    </xf>
    <xf numFmtId="0" fontId="86" fillId="0" borderId="0" xfId="4496" applyFont="1" applyAlignment="1">
      <alignment horizontal="left" wrapText="1"/>
    </xf>
    <xf numFmtId="0" fontId="86" fillId="43" borderId="0" xfId="4496" applyFont="1" applyFill="1" applyAlignment="1" applyProtection="1">
      <alignment horizontal="left" vertical="top" wrapText="1"/>
      <protection locked="0"/>
    </xf>
    <xf numFmtId="0" fontId="86" fillId="43" borderId="6" xfId="4496" applyFont="1" applyFill="1" applyBorder="1" applyAlignment="1" applyProtection="1">
      <alignment horizontal="left" vertical="top" wrapText="1"/>
      <protection locked="0"/>
    </xf>
    <xf numFmtId="0" fontId="86" fillId="0" borderId="80" xfId="4496" applyFont="1" applyBorder="1" applyAlignment="1">
      <alignment horizontal="right"/>
    </xf>
    <xf numFmtId="0" fontId="86" fillId="0" borderId="11" xfId="4496" applyFont="1" applyBorder="1" applyAlignment="1">
      <alignment horizontal="right"/>
    </xf>
    <xf numFmtId="0" fontId="86" fillId="0" borderId="72" xfId="4496" applyFont="1" applyBorder="1" applyAlignment="1">
      <alignment horizontal="right"/>
    </xf>
    <xf numFmtId="0" fontId="86" fillId="0" borderId="73" xfId="4496" applyFont="1" applyBorder="1" applyAlignment="1">
      <alignment horizontal="right"/>
    </xf>
    <xf numFmtId="0" fontId="86" fillId="0" borderId="70" xfId="4496" applyFont="1" applyBorder="1" applyAlignment="1">
      <alignment horizontal="right"/>
    </xf>
    <xf numFmtId="0" fontId="86" fillId="0" borderId="71" xfId="4496" applyFont="1" applyBorder="1" applyAlignment="1">
      <alignment horizontal="right"/>
    </xf>
    <xf numFmtId="0" fontId="137" fillId="45" borderId="72" xfId="8726" applyFont="1" applyFill="1" applyBorder="1" applyAlignment="1">
      <alignment horizontal="center"/>
    </xf>
    <xf numFmtId="0" fontId="137" fillId="45" borderId="73" xfId="8726" applyFont="1" applyFill="1" applyBorder="1" applyAlignment="1">
      <alignment horizontal="center"/>
    </xf>
    <xf numFmtId="0" fontId="2" fillId="49" borderId="73" xfId="8726" applyFill="1" applyBorder="1" applyAlignment="1" applyProtection="1">
      <alignment horizontal="center"/>
      <protection locked="0"/>
    </xf>
    <xf numFmtId="0" fontId="2" fillId="49" borderId="93" xfId="8726" applyFill="1" applyBorder="1" applyAlignment="1" applyProtection="1">
      <alignment horizontal="center"/>
      <protection locked="0"/>
    </xf>
    <xf numFmtId="0" fontId="2" fillId="49" borderId="11" xfId="8726" applyFill="1" applyBorder="1" applyAlignment="1" applyProtection="1">
      <alignment horizontal="center"/>
      <protection locked="0"/>
    </xf>
    <xf numFmtId="0" fontId="2" fillId="49" borderId="91" xfId="8726" applyFill="1" applyBorder="1" applyAlignment="1" applyProtection="1">
      <alignment horizontal="center"/>
      <protection locked="0"/>
    </xf>
    <xf numFmtId="0" fontId="137" fillId="45" borderId="80" xfId="8726" applyFont="1" applyFill="1" applyBorder="1" applyAlignment="1">
      <alignment horizontal="center"/>
    </xf>
    <xf numFmtId="0" fontId="137" fillId="45" borderId="11" xfId="8726" applyFont="1" applyFill="1" applyBorder="1" applyAlignment="1">
      <alignment horizontal="center"/>
    </xf>
    <xf numFmtId="0" fontId="137" fillId="45" borderId="11" xfId="8726" applyFont="1" applyFill="1" applyBorder="1" applyAlignment="1">
      <alignment horizontal="center" wrapText="1"/>
    </xf>
    <xf numFmtId="0" fontId="138" fillId="45" borderId="11" xfId="8726" applyFont="1" applyFill="1" applyBorder="1" applyAlignment="1">
      <alignment horizontal="center"/>
    </xf>
    <xf numFmtId="0" fontId="138" fillId="45" borderId="91" xfId="8726" applyFont="1" applyFill="1" applyBorder="1" applyAlignment="1">
      <alignment horizontal="center"/>
    </xf>
    <xf numFmtId="0" fontId="90" fillId="45" borderId="70" xfId="8726" applyFont="1" applyFill="1" applyBorder="1" applyAlignment="1">
      <alignment horizontal="center"/>
    </xf>
    <xf numFmtId="0" fontId="90" fillId="45" borderId="71" xfId="8726" applyFont="1" applyFill="1" applyBorder="1" applyAlignment="1">
      <alignment horizontal="center"/>
    </xf>
    <xf numFmtId="0" fontId="90" fillId="45" borderId="74" xfId="8726" applyFont="1" applyFill="1" applyBorder="1" applyAlignment="1">
      <alignment horizontal="center"/>
    </xf>
    <xf numFmtId="0" fontId="90" fillId="45" borderId="70" xfId="8726" applyFont="1" applyFill="1" applyBorder="1" applyAlignment="1">
      <alignment horizontal="left" wrapText="1"/>
    </xf>
    <xf numFmtId="0" fontId="90" fillId="45" borderId="71" xfId="8726" applyFont="1" applyFill="1" applyBorder="1" applyAlignment="1">
      <alignment horizontal="left" wrapText="1"/>
    </xf>
    <xf numFmtId="0" fontId="90" fillId="45" borderId="80" xfId="8726" applyFont="1" applyFill="1" applyBorder="1" applyAlignment="1">
      <alignment horizontal="left" wrapText="1"/>
    </xf>
    <xf numFmtId="0" fontId="90" fillId="45" borderId="11" xfId="8726" applyFont="1" applyFill="1" applyBorder="1" applyAlignment="1">
      <alignment horizontal="left" wrapText="1"/>
    </xf>
    <xf numFmtId="0" fontId="151" fillId="49" borderId="80" xfId="8726" applyFont="1" applyFill="1" applyBorder="1" applyAlignment="1">
      <alignment horizontal="left" vertical="top"/>
    </xf>
    <xf numFmtId="0" fontId="151" fillId="49" borderId="11" xfId="8726" applyFont="1" applyFill="1" applyBorder="1" applyAlignment="1">
      <alignment horizontal="left" vertical="top"/>
    </xf>
    <xf numFmtId="0" fontId="151" fillId="49" borderId="91" xfId="8726" applyFont="1" applyFill="1" applyBorder="1" applyAlignment="1">
      <alignment horizontal="left" vertical="top"/>
    </xf>
    <xf numFmtId="0" fontId="151" fillId="49" borderId="72" xfId="8726" applyFont="1" applyFill="1" applyBorder="1" applyAlignment="1">
      <alignment horizontal="left" vertical="top"/>
    </xf>
    <xf numFmtId="0" fontId="151" fillId="49" borderId="73" xfId="8726" applyFont="1" applyFill="1" applyBorder="1" applyAlignment="1">
      <alignment horizontal="left" vertical="top"/>
    </xf>
    <xf numFmtId="0" fontId="151" fillId="49" borderId="93" xfId="8726" applyFont="1" applyFill="1" applyBorder="1" applyAlignment="1">
      <alignment horizontal="left" vertical="top"/>
    </xf>
    <xf numFmtId="10" fontId="2" fillId="49" borderId="84" xfId="8726" applyNumberFormat="1" applyFill="1" applyBorder="1" applyAlignment="1" applyProtection="1">
      <alignment horizontal="center"/>
      <protection locked="0"/>
    </xf>
    <xf numFmtId="10" fontId="2" fillId="49" borderId="82" xfId="8726" applyNumberFormat="1" applyFill="1" applyBorder="1" applyAlignment="1" applyProtection="1">
      <alignment horizontal="center"/>
      <protection locked="0"/>
    </xf>
    <xf numFmtId="10" fontId="2" fillId="49" borderId="85" xfId="8726" applyNumberFormat="1" applyFill="1" applyBorder="1" applyAlignment="1" applyProtection="1">
      <alignment horizontal="center"/>
      <protection locked="0"/>
    </xf>
    <xf numFmtId="0" fontId="2" fillId="49" borderId="3" xfId="8726" applyFill="1" applyBorder="1" applyAlignment="1" applyProtection="1">
      <alignment horizontal="center"/>
      <protection locked="0"/>
    </xf>
    <xf numFmtId="0" fontId="2" fillId="49" borderId="4" xfId="8726" applyFill="1" applyBorder="1" applyAlignment="1" applyProtection="1">
      <alignment horizontal="center"/>
      <protection locked="0"/>
    </xf>
    <xf numFmtId="0" fontId="2" fillId="49" borderId="79" xfId="8726" applyFill="1" applyBorder="1" applyAlignment="1" applyProtection="1">
      <alignment horizontal="center"/>
      <protection locked="0"/>
    </xf>
    <xf numFmtId="0" fontId="136" fillId="49" borderId="3" xfId="8726" applyFont="1" applyFill="1" applyBorder="1" applyAlignment="1" applyProtection="1">
      <alignment horizontal="center"/>
      <protection locked="0"/>
    </xf>
    <xf numFmtId="0" fontId="136" fillId="49" borderId="4" xfId="8726" applyFont="1" applyFill="1" applyBorder="1" applyAlignment="1" applyProtection="1">
      <alignment horizontal="center"/>
      <protection locked="0"/>
    </xf>
    <xf numFmtId="0" fontId="136" fillId="49" borderId="79" xfId="8726" applyFont="1" applyFill="1" applyBorder="1" applyAlignment="1" applyProtection="1">
      <alignment horizontal="center"/>
      <protection locked="0"/>
    </xf>
    <xf numFmtId="10" fontId="2" fillId="0" borderId="84" xfId="8726" applyNumberFormat="1" applyBorder="1" applyAlignment="1">
      <alignment horizontal="center"/>
    </xf>
    <xf numFmtId="10" fontId="2" fillId="0" borderId="82" xfId="8726" applyNumberFormat="1" applyBorder="1" applyAlignment="1">
      <alignment horizontal="center"/>
    </xf>
    <xf numFmtId="10" fontId="2" fillId="0" borderId="85" xfId="8726" applyNumberFormat="1" applyBorder="1" applyAlignment="1">
      <alignment horizontal="center"/>
    </xf>
    <xf numFmtId="0" fontId="136" fillId="49" borderId="71" xfId="8726" applyFont="1" applyFill="1" applyBorder="1" applyAlignment="1" applyProtection="1">
      <alignment horizontal="left" wrapText="1"/>
      <protection locked="0"/>
    </xf>
    <xf numFmtId="0" fontId="136" fillId="49" borderId="74" xfId="8726" applyFont="1" applyFill="1" applyBorder="1" applyAlignment="1" applyProtection="1">
      <alignment horizontal="left" wrapText="1"/>
      <protection locked="0"/>
    </xf>
    <xf numFmtId="0" fontId="136" fillId="49" borderId="11" xfId="8726" applyFont="1" applyFill="1" applyBorder="1" applyAlignment="1" applyProtection="1">
      <alignment horizontal="left" wrapText="1"/>
      <protection locked="0"/>
    </xf>
    <xf numFmtId="0" fontId="136" fillId="49" borderId="91" xfId="8726" applyFont="1" applyFill="1" applyBorder="1" applyAlignment="1" applyProtection="1">
      <alignment horizontal="left" wrapText="1"/>
      <protection locked="0"/>
    </xf>
    <xf numFmtId="168" fontId="153" fillId="49" borderId="11" xfId="700" applyNumberFormat="1" applyFont="1" applyFill="1" applyBorder="1" applyAlignment="1" applyProtection="1">
      <alignment horizontal="left"/>
      <protection locked="0"/>
    </xf>
    <xf numFmtId="168" fontId="153" fillId="49" borderId="91" xfId="700" applyNumberFormat="1" applyFont="1" applyFill="1" applyBorder="1" applyAlignment="1" applyProtection="1">
      <alignment horizontal="left"/>
      <protection locked="0"/>
    </xf>
    <xf numFmtId="0" fontId="134" fillId="45" borderId="95" xfId="8726" applyFont="1" applyFill="1" applyBorder="1" applyAlignment="1">
      <alignment horizontal="center"/>
    </xf>
    <xf numFmtId="0" fontId="134" fillId="45" borderId="13" xfId="8726" applyFont="1" applyFill="1" applyBorder="1" applyAlignment="1">
      <alignment horizontal="center"/>
    </xf>
    <xf numFmtId="0" fontId="134" fillId="45" borderId="71" xfId="8726" applyFont="1" applyFill="1" applyBorder="1" applyAlignment="1">
      <alignment horizontal="center"/>
    </xf>
    <xf numFmtId="0" fontId="134" fillId="45" borderId="74" xfId="8726" applyFont="1" applyFill="1" applyBorder="1" applyAlignment="1">
      <alignment horizontal="center"/>
    </xf>
    <xf numFmtId="0" fontId="151" fillId="49" borderId="80" xfId="8726" applyFont="1" applyFill="1" applyBorder="1" applyAlignment="1" applyProtection="1">
      <alignment horizontal="right"/>
      <protection locked="0"/>
    </xf>
    <xf numFmtId="0" fontId="151" fillId="49" borderId="11" xfId="8726" applyFont="1" applyFill="1" applyBorder="1" applyAlignment="1" applyProtection="1">
      <alignment horizontal="right"/>
      <protection locked="0"/>
    </xf>
    <xf numFmtId="168" fontId="134" fillId="45" borderId="43" xfId="8726" applyNumberFormat="1" applyFont="1" applyFill="1" applyBorder="1" applyAlignment="1">
      <alignment horizontal="left"/>
    </xf>
    <xf numFmtId="168" fontId="134" fillId="45" borderId="96" xfId="8726" applyNumberFormat="1" applyFont="1" applyFill="1" applyBorder="1" applyAlignment="1">
      <alignment horizontal="left"/>
    </xf>
    <xf numFmtId="0" fontId="149" fillId="45" borderId="11" xfId="8726" applyFont="1" applyFill="1" applyBorder="1" applyAlignment="1">
      <alignment horizontal="right"/>
    </xf>
    <xf numFmtId="14" fontId="136" fillId="49" borderId="11" xfId="8726" applyNumberFormat="1" applyFont="1" applyFill="1" applyBorder="1" applyAlignment="1" applyProtection="1">
      <alignment horizontal="center"/>
      <protection locked="0"/>
    </xf>
    <xf numFmtId="0" fontId="136" fillId="49" borderId="11" xfId="8726" applyFont="1" applyFill="1" applyBorder="1" applyAlignment="1" applyProtection="1">
      <alignment horizontal="center"/>
      <protection locked="0"/>
    </xf>
    <xf numFmtId="1" fontId="152" fillId="49" borderId="11" xfId="8726" applyNumberFormat="1" applyFont="1" applyFill="1" applyBorder="1" applyAlignment="1" applyProtection="1">
      <alignment horizontal="center"/>
      <protection locked="0"/>
    </xf>
    <xf numFmtId="1" fontId="152" fillId="49" borderId="3" xfId="8726" applyNumberFormat="1" applyFont="1" applyFill="1" applyBorder="1" applyAlignment="1" applyProtection="1">
      <alignment horizontal="center"/>
      <protection locked="0"/>
    </xf>
    <xf numFmtId="1" fontId="152" fillId="49" borderId="4" xfId="8726" applyNumberFormat="1" applyFont="1" applyFill="1" applyBorder="1" applyAlignment="1" applyProtection="1">
      <alignment horizontal="center"/>
      <protection locked="0"/>
    </xf>
    <xf numFmtId="1" fontId="152" fillId="49" borderId="5" xfId="8726" applyNumberFormat="1" applyFont="1" applyFill="1" applyBorder="1" applyAlignment="1" applyProtection="1">
      <alignment horizontal="center"/>
      <protection locked="0"/>
    </xf>
    <xf numFmtId="1" fontId="138" fillId="44" borderId="3" xfId="8726" applyNumberFormat="1" applyFont="1" applyFill="1" applyBorder="1" applyAlignment="1">
      <alignment horizontal="center"/>
    </xf>
    <xf numFmtId="1" fontId="138" fillId="44" borderId="4" xfId="8726" applyNumberFormat="1" applyFont="1" applyFill="1" applyBorder="1" applyAlignment="1">
      <alignment horizontal="center"/>
    </xf>
    <xf numFmtId="1" fontId="138" fillId="44" borderId="5" xfId="8726" applyNumberFormat="1" applyFont="1" applyFill="1" applyBorder="1" applyAlignment="1">
      <alignment horizontal="center"/>
    </xf>
    <xf numFmtId="0" fontId="2" fillId="49" borderId="1" xfId="8726" applyFill="1" applyBorder="1" applyAlignment="1" applyProtection="1">
      <alignment horizontal="center"/>
      <protection locked="0"/>
    </xf>
    <xf numFmtId="0" fontId="2" fillId="49" borderId="2" xfId="8726" applyFill="1" applyBorder="1" applyAlignment="1" applyProtection="1">
      <alignment horizontal="center"/>
      <protection locked="0"/>
    </xf>
    <xf numFmtId="0" fontId="136" fillId="49" borderId="89" xfId="8726" applyFont="1" applyFill="1" applyBorder="1" applyAlignment="1" applyProtection="1">
      <alignment horizontal="left"/>
      <protection locked="0"/>
    </xf>
    <xf numFmtId="0" fontId="136" fillId="49" borderId="71" xfId="8726" applyFont="1" applyFill="1" applyBorder="1" applyAlignment="1" applyProtection="1">
      <alignment horizontal="left"/>
      <protection locked="0"/>
    </xf>
    <xf numFmtId="0" fontId="136" fillId="49" borderId="74" xfId="8726" applyFont="1" applyFill="1" applyBorder="1" applyAlignment="1" applyProtection="1">
      <alignment horizontal="left"/>
      <protection locked="0"/>
    </xf>
    <xf numFmtId="0" fontId="134" fillId="45" borderId="80" xfId="8726" applyFont="1" applyFill="1" applyBorder="1" applyAlignment="1">
      <alignment horizontal="center"/>
    </xf>
    <xf numFmtId="0" fontId="134" fillId="45" borderId="11" xfId="8726" applyFont="1" applyFill="1" applyBorder="1" applyAlignment="1">
      <alignment horizontal="center"/>
    </xf>
    <xf numFmtId="0" fontId="134" fillId="45" borderId="3" xfId="8726" applyFont="1" applyFill="1" applyBorder="1" applyAlignment="1">
      <alignment horizontal="center"/>
    </xf>
    <xf numFmtId="0" fontId="134" fillId="45" borderId="4" xfId="8726" applyFont="1" applyFill="1" applyBorder="1" applyAlignment="1">
      <alignment horizontal="center"/>
    </xf>
    <xf numFmtId="0" fontId="134" fillId="45" borderId="79" xfId="8726" applyFont="1" applyFill="1" applyBorder="1" applyAlignment="1">
      <alignment horizontal="center"/>
    </xf>
    <xf numFmtId="0" fontId="90" fillId="45" borderId="72" xfId="8726" applyFont="1" applyFill="1" applyBorder="1" applyAlignment="1">
      <alignment horizontal="center"/>
    </xf>
    <xf numFmtId="0" fontId="90" fillId="45" borderId="73" xfId="8726" applyFont="1" applyFill="1" applyBorder="1" applyAlignment="1">
      <alignment horizontal="center"/>
    </xf>
    <xf numFmtId="14" fontId="136" fillId="49" borderId="83" xfId="8726" applyNumberFormat="1" applyFont="1" applyFill="1" applyBorder="1" applyAlignment="1" applyProtection="1">
      <alignment horizontal="center"/>
      <protection locked="0"/>
    </xf>
    <xf numFmtId="0" fontId="136" fillId="49" borderId="73" xfId="8726" applyFont="1" applyFill="1" applyBorder="1" applyAlignment="1" applyProtection="1">
      <alignment horizontal="center"/>
      <protection locked="0"/>
    </xf>
    <xf numFmtId="0" fontId="136" fillId="49" borderId="93" xfId="8726" applyFont="1" applyFill="1" applyBorder="1" applyAlignment="1" applyProtection="1">
      <alignment horizontal="center"/>
      <protection locked="0"/>
    </xf>
    <xf numFmtId="0" fontId="153" fillId="49" borderId="80" xfId="8726" applyFont="1" applyFill="1" applyBorder="1" applyAlignment="1" applyProtection="1">
      <alignment horizontal="right"/>
      <protection locked="0"/>
    </xf>
    <xf numFmtId="0" fontId="153" fillId="49" borderId="11" xfId="8726" applyFont="1" applyFill="1" applyBorder="1" applyAlignment="1" applyProtection="1">
      <alignment horizontal="right"/>
      <protection locked="0"/>
    </xf>
    <xf numFmtId="43" fontId="134" fillId="53" borderId="3" xfId="698" applyFont="1" applyFill="1" applyBorder="1" applyAlignment="1" applyProtection="1">
      <alignment horizontal="center"/>
      <protection hidden="1"/>
    </xf>
    <xf numFmtId="43" fontId="134" fillId="53" borderId="4" xfId="698" applyFont="1" applyFill="1" applyBorder="1" applyAlignment="1" applyProtection="1">
      <alignment horizontal="center"/>
      <protection hidden="1"/>
    </xf>
    <xf numFmtId="43" fontId="134" fillId="53" borderId="79" xfId="698" applyFont="1" applyFill="1" applyBorder="1" applyAlignment="1" applyProtection="1">
      <alignment horizontal="center"/>
      <protection hidden="1"/>
    </xf>
    <xf numFmtId="0" fontId="166" fillId="54" borderId="3" xfId="698" applyNumberFormat="1" applyFont="1" applyFill="1" applyBorder="1" applyAlignment="1" applyProtection="1">
      <alignment horizontal="center"/>
      <protection locked="0"/>
    </xf>
    <xf numFmtId="0" fontId="166" fillId="54" borderId="4" xfId="698" applyNumberFormat="1" applyFont="1" applyFill="1" applyBorder="1" applyAlignment="1" applyProtection="1">
      <alignment horizontal="center"/>
      <protection locked="0"/>
    </xf>
    <xf numFmtId="0" fontId="166" fillId="54" borderId="79" xfId="698" applyNumberFormat="1" applyFont="1" applyFill="1" applyBorder="1" applyAlignment="1" applyProtection="1">
      <alignment horizontal="center"/>
      <protection locked="0"/>
    </xf>
    <xf numFmtId="44" fontId="135" fillId="0" borderId="8" xfId="700" applyFont="1" applyBorder="1" applyAlignment="1" applyProtection="1">
      <alignment horizontal="center" wrapText="1"/>
      <protection hidden="1"/>
    </xf>
    <xf numFmtId="44" fontId="135" fillId="0" borderId="0" xfId="700" applyFont="1" applyBorder="1" applyAlignment="1" applyProtection="1">
      <alignment horizontal="center" wrapText="1"/>
      <protection hidden="1"/>
    </xf>
    <xf numFmtId="44" fontId="135" fillId="0" borderId="12" xfId="700" applyFont="1" applyBorder="1" applyAlignment="1" applyProtection="1">
      <alignment horizontal="center" wrapText="1"/>
      <protection hidden="1"/>
    </xf>
    <xf numFmtId="44" fontId="135" fillId="0" borderId="9" xfId="700" applyFont="1" applyBorder="1" applyAlignment="1" applyProtection="1">
      <alignment horizontal="center" wrapText="1"/>
      <protection hidden="1"/>
    </xf>
    <xf numFmtId="44" fontId="135" fillId="0" borderId="6" xfId="700" applyFont="1" applyBorder="1" applyAlignment="1" applyProtection="1">
      <alignment horizontal="center" wrapText="1"/>
      <protection hidden="1"/>
    </xf>
    <xf numFmtId="44" fontId="135" fillId="0" borderId="10" xfId="700" applyFont="1" applyBorder="1" applyAlignment="1" applyProtection="1">
      <alignment horizontal="center" wrapText="1"/>
      <protection hidden="1"/>
    </xf>
    <xf numFmtId="43" fontId="135" fillId="53" borderId="8" xfId="698" applyFont="1" applyFill="1" applyBorder="1" applyAlignment="1" applyProtection="1">
      <alignment horizontal="center" wrapText="1"/>
      <protection hidden="1"/>
    </xf>
    <xf numFmtId="43" fontId="135" fillId="53" borderId="0" xfId="698" applyFont="1" applyFill="1" applyBorder="1" applyAlignment="1" applyProtection="1">
      <alignment horizontal="center" wrapText="1"/>
      <protection hidden="1"/>
    </xf>
    <xf numFmtId="43" fontId="135" fillId="53" borderId="41" xfId="698" applyFont="1" applyFill="1" applyBorder="1" applyAlignment="1" applyProtection="1">
      <alignment horizontal="center" wrapText="1"/>
      <protection hidden="1"/>
    </xf>
    <xf numFmtId="43" fontId="135" fillId="53" borderId="9" xfId="698" applyFont="1" applyFill="1" applyBorder="1" applyAlignment="1" applyProtection="1">
      <alignment horizontal="center" wrapText="1"/>
      <protection hidden="1"/>
    </xf>
    <xf numFmtId="43" fontId="135" fillId="53" borderId="6" xfId="698" applyFont="1" applyFill="1" applyBorder="1" applyAlignment="1" applyProtection="1">
      <alignment horizontal="center" wrapText="1"/>
      <protection hidden="1"/>
    </xf>
    <xf numFmtId="43" fontId="135" fillId="53" borderId="103" xfId="698" applyFont="1" applyFill="1" applyBorder="1" applyAlignment="1" applyProtection="1">
      <alignment horizontal="center" wrapText="1"/>
      <protection hidden="1"/>
    </xf>
    <xf numFmtId="0" fontId="136" fillId="53" borderId="80" xfId="698" applyNumberFormat="1" applyFont="1" applyFill="1" applyBorder="1" applyAlignment="1" applyProtection="1">
      <alignment horizontal="center"/>
      <protection hidden="1"/>
    </xf>
    <xf numFmtId="0" fontId="136" fillId="53" borderId="11" xfId="698" applyNumberFormat="1" applyFont="1" applyFill="1" applyBorder="1" applyAlignment="1" applyProtection="1">
      <alignment horizontal="center"/>
      <protection hidden="1"/>
    </xf>
    <xf numFmtId="0" fontId="136" fillId="49" borderId="11" xfId="0" applyFont="1" applyFill="1" applyBorder="1" applyAlignment="1" applyProtection="1">
      <alignment horizontal="center"/>
      <protection locked="0"/>
    </xf>
    <xf numFmtId="14" fontId="166" fillId="49" borderId="11" xfId="700" applyNumberFormat="1" applyFont="1" applyFill="1" applyBorder="1" applyAlignment="1" applyProtection="1">
      <alignment horizontal="center"/>
      <protection locked="0"/>
    </xf>
    <xf numFmtId="44" fontId="166" fillId="49" borderId="11" xfId="700" applyFont="1" applyFill="1" applyBorder="1" applyAlignment="1" applyProtection="1">
      <alignment horizontal="center"/>
      <protection locked="0"/>
    </xf>
    <xf numFmtId="164" fontId="136" fillId="49" borderId="11" xfId="700" applyNumberFormat="1" applyFont="1" applyFill="1" applyBorder="1" applyAlignment="1" applyProtection="1">
      <alignment horizontal="center"/>
      <protection locked="0"/>
    </xf>
    <xf numFmtId="9" fontId="136" fillId="49" borderId="11" xfId="1022" applyFont="1" applyFill="1" applyBorder="1" applyAlignment="1" applyProtection="1">
      <alignment horizontal="center"/>
      <protection locked="0"/>
    </xf>
    <xf numFmtId="0" fontId="90" fillId="44" borderId="0" xfId="8726" applyFont="1" applyFill="1" applyAlignment="1">
      <alignment horizontal="left"/>
    </xf>
    <xf numFmtId="0" fontId="138" fillId="44" borderId="0" xfId="8726" applyFont="1" applyFill="1" applyAlignment="1">
      <alignment horizontal="left" vertical="top"/>
    </xf>
    <xf numFmtId="0" fontId="90" fillId="44" borderId="0" xfId="4503" applyFont="1" applyFill="1" applyBorder="1" applyAlignment="1">
      <alignment horizontal="left" vertical="top"/>
    </xf>
    <xf numFmtId="0" fontId="162" fillId="48" borderId="65" xfId="8726" applyFont="1" applyFill="1" applyBorder="1" applyAlignment="1">
      <alignment horizontal="center"/>
    </xf>
    <xf numFmtId="0" fontId="162" fillId="48" borderId="29" xfId="8726" applyFont="1" applyFill="1" applyBorder="1" applyAlignment="1">
      <alignment horizontal="center"/>
    </xf>
    <xf numFmtId="0" fontId="162" fillId="48" borderId="31" xfId="8726" applyFont="1" applyFill="1" applyBorder="1" applyAlignment="1">
      <alignment horizontal="center"/>
    </xf>
    <xf numFmtId="0" fontId="2" fillId="48" borderId="66" xfId="8726" applyFill="1" applyBorder="1" applyAlignment="1">
      <alignment horizontal="center"/>
    </xf>
    <xf numFmtId="0" fontId="2" fillId="48" borderId="0" xfId="8726" applyFill="1" applyAlignment="1">
      <alignment horizontal="center"/>
    </xf>
    <xf numFmtId="0" fontId="2" fillId="48" borderId="41" xfId="8726" applyFill="1" applyBorder="1" applyAlignment="1">
      <alignment horizontal="center"/>
    </xf>
    <xf numFmtId="0" fontId="134" fillId="48" borderId="66" xfId="8726" applyFont="1" applyFill="1" applyBorder="1" applyAlignment="1">
      <alignment horizontal="center"/>
    </xf>
    <xf numFmtId="0" fontId="134" fillId="48" borderId="0" xfId="8726" applyFont="1" applyFill="1" applyAlignment="1">
      <alignment horizontal="center"/>
    </xf>
    <xf numFmtId="0" fontId="134" fillId="48" borderId="41" xfId="8726" applyFont="1" applyFill="1" applyBorder="1" applyAlignment="1">
      <alignment horizontal="center"/>
    </xf>
    <xf numFmtId="0" fontId="90" fillId="48" borderId="66" xfId="8726" applyFont="1" applyFill="1" applyBorder="1" applyAlignment="1">
      <alignment horizontal="center"/>
    </xf>
    <xf numFmtId="0" fontId="90" fillId="48" borderId="0" xfId="8726" applyFont="1" applyFill="1" applyAlignment="1">
      <alignment horizontal="center"/>
    </xf>
    <xf numFmtId="0" fontId="90" fillId="48" borderId="41" xfId="8726" applyFont="1" applyFill="1" applyBorder="1" applyAlignment="1">
      <alignment horizontal="center"/>
    </xf>
    <xf numFmtId="14" fontId="2" fillId="49" borderId="67" xfId="8726" applyNumberFormat="1" applyFill="1" applyBorder="1" applyAlignment="1" applyProtection="1">
      <alignment horizontal="center"/>
      <protection locked="0"/>
    </xf>
    <xf numFmtId="14" fontId="2" fillId="49" borderId="68" xfId="8726" applyNumberFormat="1" applyFill="1" applyBorder="1" applyAlignment="1" applyProtection="1">
      <alignment horizontal="center"/>
      <protection locked="0"/>
    </xf>
    <xf numFmtId="14" fontId="2" fillId="49" borderId="69" xfId="8726" applyNumberFormat="1" applyFill="1" applyBorder="1" applyAlignment="1" applyProtection="1">
      <alignment horizontal="center"/>
      <protection locked="0"/>
    </xf>
    <xf numFmtId="0" fontId="2" fillId="49" borderId="67" xfId="8726" applyFill="1" applyBorder="1" applyAlignment="1" applyProtection="1">
      <alignment horizontal="left"/>
      <protection locked="0"/>
    </xf>
    <xf numFmtId="0" fontId="2" fillId="49" borderId="68" xfId="8726" applyFill="1" applyBorder="1" applyAlignment="1" applyProtection="1">
      <alignment horizontal="left"/>
      <protection locked="0"/>
    </xf>
    <xf numFmtId="0" fontId="2" fillId="49" borderId="69" xfId="8726" applyFill="1" applyBorder="1" applyAlignment="1" applyProtection="1">
      <alignment horizontal="left"/>
      <protection locked="0"/>
    </xf>
    <xf numFmtId="0" fontId="2" fillId="49" borderId="67" xfId="8726" applyFill="1" applyBorder="1" applyAlignment="1" applyProtection="1">
      <alignment horizontal="center"/>
      <protection locked="0"/>
    </xf>
    <xf numFmtId="0" fontId="2" fillId="49" borderId="68" xfId="8726" applyFill="1" applyBorder="1" applyAlignment="1" applyProtection="1">
      <alignment horizontal="center"/>
      <protection locked="0"/>
    </xf>
    <xf numFmtId="0" fontId="2" fillId="49" borderId="69" xfId="8726" applyFill="1" applyBorder="1" applyAlignment="1" applyProtection="1">
      <alignment horizontal="center"/>
      <protection locked="0"/>
    </xf>
    <xf numFmtId="0" fontId="90" fillId="48" borderId="42" xfId="8726" applyFont="1" applyFill="1" applyBorder="1" applyAlignment="1">
      <alignment horizontal="center"/>
    </xf>
    <xf numFmtId="0" fontId="134" fillId="48" borderId="0" xfId="8726" applyFont="1" applyFill="1" applyAlignment="1">
      <alignment horizontal="left" vertical="top" wrapText="1"/>
    </xf>
    <xf numFmtId="0" fontId="90" fillId="48" borderId="0" xfId="8726" applyFont="1" applyFill="1" applyAlignment="1">
      <alignment horizontal="left"/>
    </xf>
    <xf numFmtId="43" fontId="134" fillId="45" borderId="67" xfId="698" applyFont="1" applyFill="1" applyBorder="1" applyAlignment="1" applyProtection="1">
      <alignment horizontal="center"/>
      <protection hidden="1"/>
    </xf>
    <xf numFmtId="43" fontId="134" fillId="45" borderId="68" xfId="698" applyFont="1" applyFill="1" applyBorder="1" applyAlignment="1" applyProtection="1">
      <alignment horizontal="center"/>
      <protection hidden="1"/>
    </xf>
    <xf numFmtId="43" fontId="134" fillId="45" borderId="69" xfId="698" applyFont="1" applyFill="1" applyBorder="1" applyAlignment="1" applyProtection="1">
      <alignment horizontal="center"/>
      <protection hidden="1"/>
    </xf>
    <xf numFmtId="43" fontId="135" fillId="53" borderId="66" xfId="698" applyFont="1" applyFill="1" applyBorder="1" applyAlignment="1" applyProtection="1">
      <alignment horizontal="center" wrapText="1"/>
      <protection hidden="1"/>
    </xf>
    <xf numFmtId="43" fontId="135" fillId="53" borderId="12" xfId="698" applyFont="1" applyFill="1" applyBorder="1" applyAlignment="1" applyProtection="1">
      <alignment horizontal="center" wrapText="1"/>
      <protection hidden="1"/>
    </xf>
    <xf numFmtId="43" fontId="135" fillId="53" borderId="102" xfId="698" applyFont="1" applyFill="1" applyBorder="1" applyAlignment="1" applyProtection="1">
      <alignment horizontal="center" wrapText="1"/>
      <protection hidden="1"/>
    </xf>
    <xf numFmtId="43" fontId="135" fillId="53" borderId="10" xfId="698" applyFont="1" applyFill="1" applyBorder="1" applyAlignment="1" applyProtection="1">
      <alignment horizontal="center" wrapText="1"/>
      <protection hidden="1"/>
    </xf>
    <xf numFmtId="14" fontId="135" fillId="0" borderId="8" xfId="700" applyNumberFormat="1" applyFont="1" applyFill="1" applyBorder="1" applyAlignment="1" applyProtection="1">
      <alignment horizontal="center" wrapText="1"/>
      <protection hidden="1"/>
    </xf>
    <xf numFmtId="14" fontId="135" fillId="0" borderId="0" xfId="700" applyNumberFormat="1" applyFont="1" applyFill="1" applyBorder="1" applyAlignment="1" applyProtection="1">
      <alignment horizontal="center" wrapText="1"/>
      <protection hidden="1"/>
    </xf>
    <xf numFmtId="14" fontId="135" fillId="0" borderId="12" xfId="700" applyNumberFormat="1" applyFont="1" applyFill="1" applyBorder="1" applyAlignment="1" applyProtection="1">
      <alignment horizontal="center" wrapText="1"/>
      <protection hidden="1"/>
    </xf>
    <xf numFmtId="14" fontId="135" fillId="0" borderId="9" xfId="700" applyNumberFormat="1" applyFont="1" applyFill="1" applyBorder="1" applyAlignment="1" applyProtection="1">
      <alignment horizontal="center" wrapText="1"/>
      <protection hidden="1"/>
    </xf>
    <xf numFmtId="14" fontId="135" fillId="0" borderId="6" xfId="700" applyNumberFormat="1" applyFont="1" applyFill="1" applyBorder="1" applyAlignment="1" applyProtection="1">
      <alignment horizontal="center" wrapText="1"/>
      <protection hidden="1"/>
    </xf>
    <xf numFmtId="14" fontId="135" fillId="0" borderId="10" xfId="700" applyNumberFormat="1" applyFont="1" applyFill="1" applyBorder="1" applyAlignment="1" applyProtection="1">
      <alignment horizontal="center" wrapText="1"/>
      <protection hidden="1"/>
    </xf>
    <xf numFmtId="0" fontId="90" fillId="0" borderId="67" xfId="8726" applyFont="1" applyBorder="1" applyAlignment="1">
      <alignment horizontal="left"/>
    </xf>
    <xf numFmtId="0" fontId="90" fillId="0" borderId="68" xfId="8726" applyFont="1" applyBorder="1" applyAlignment="1">
      <alignment horizontal="left"/>
    </xf>
    <xf numFmtId="0" fontId="137" fillId="45" borderId="72" xfId="8726" applyFont="1" applyFill="1" applyBorder="1" applyAlignment="1">
      <alignment horizontal="right"/>
    </xf>
    <xf numFmtId="0" fontId="137" fillId="45" borderId="73" xfId="8726" applyFont="1" applyFill="1" applyBorder="1" applyAlignment="1">
      <alignment horizontal="right"/>
    </xf>
    <xf numFmtId="0" fontId="138" fillId="44" borderId="73" xfId="700" applyNumberFormat="1" applyFont="1" applyFill="1" applyBorder="1" applyAlignment="1">
      <alignment horizontal="left"/>
    </xf>
    <xf numFmtId="168" fontId="138" fillId="44" borderId="73" xfId="700" applyNumberFormat="1" applyFont="1" applyFill="1" applyBorder="1" applyAlignment="1">
      <alignment horizontal="left"/>
    </xf>
    <xf numFmtId="168" fontId="138" fillId="44" borderId="93" xfId="700" applyNumberFormat="1" applyFont="1" applyFill="1" applyBorder="1" applyAlignment="1">
      <alignment horizontal="left"/>
    </xf>
    <xf numFmtId="0" fontId="134" fillId="48" borderId="0" xfId="8726" applyFont="1" applyFill="1" applyAlignment="1">
      <alignment horizontal="right"/>
    </xf>
    <xf numFmtId="10" fontId="151" fillId="49" borderId="11" xfId="1022" applyNumberFormat="1" applyFont="1" applyFill="1" applyBorder="1" applyAlignment="1" applyProtection="1">
      <alignment horizontal="center"/>
      <protection locked="0"/>
    </xf>
    <xf numFmtId="168" fontId="135" fillId="48" borderId="0" xfId="700" applyNumberFormat="1" applyFont="1" applyFill="1" applyBorder="1" applyAlignment="1" applyProtection="1">
      <alignment horizontal="left"/>
      <protection locked="0"/>
    </xf>
    <xf numFmtId="0" fontId="138" fillId="45" borderId="67" xfId="0" applyFont="1" applyFill="1" applyBorder="1" applyAlignment="1" applyProtection="1">
      <alignment horizontal="center" wrapText="1"/>
      <protection hidden="1"/>
    </xf>
    <xf numFmtId="0" fontId="138" fillId="45" borderId="68" xfId="0" applyFont="1" applyFill="1" applyBorder="1" applyAlignment="1" applyProtection="1">
      <alignment horizontal="center" wrapText="1"/>
      <protection hidden="1"/>
    </xf>
    <xf numFmtId="0" fontId="138" fillId="45" borderId="69" xfId="0" applyFont="1" applyFill="1" applyBorder="1" applyAlignment="1" applyProtection="1">
      <alignment horizontal="center" wrapText="1"/>
      <protection hidden="1"/>
    </xf>
    <xf numFmtId="0" fontId="2" fillId="48" borderId="3" xfId="8726" applyFill="1" applyBorder="1" applyAlignment="1">
      <alignment horizontal="center"/>
    </xf>
    <xf numFmtId="0" fontId="2" fillId="48" borderId="4" xfId="8726" applyFill="1" applyBorder="1" applyAlignment="1">
      <alignment horizontal="center"/>
    </xf>
    <xf numFmtId="0" fontId="2" fillId="48" borderId="5" xfId="8726" applyFill="1" applyBorder="1" applyAlignment="1">
      <alignment horizontal="center"/>
    </xf>
    <xf numFmtId="0" fontId="2" fillId="48" borderId="1" xfId="8726" applyFill="1" applyBorder="1" applyAlignment="1">
      <alignment horizontal="center"/>
    </xf>
    <xf numFmtId="0" fontId="2" fillId="48" borderId="2" xfId="8726" applyFill="1" applyBorder="1" applyAlignment="1">
      <alignment horizontal="center"/>
    </xf>
    <xf numFmtId="0" fontId="2" fillId="48" borderId="7" xfId="8726" applyFill="1" applyBorder="1" applyAlignment="1">
      <alignment horizontal="center"/>
    </xf>
    <xf numFmtId="0" fontId="153" fillId="45" borderId="70" xfId="8726" applyFont="1" applyFill="1" applyBorder="1" applyAlignment="1">
      <alignment horizontal="right"/>
    </xf>
    <xf numFmtId="0" fontId="153" fillId="45" borderId="71" xfId="8726" applyFont="1" applyFill="1" applyBorder="1" applyAlignment="1">
      <alignment horizontal="right"/>
    </xf>
    <xf numFmtId="168" fontId="136" fillId="44" borderId="71" xfId="700" applyNumberFormat="1" applyFont="1" applyFill="1" applyBorder="1" applyAlignment="1">
      <alignment horizontal="left"/>
    </xf>
    <xf numFmtId="168" fontId="136" fillId="44" borderId="74" xfId="700" applyNumberFormat="1" applyFont="1" applyFill="1" applyBorder="1" applyAlignment="1">
      <alignment horizontal="left"/>
    </xf>
    <xf numFmtId="0" fontId="151" fillId="49" borderId="81" xfId="8726" applyFont="1" applyFill="1" applyBorder="1" applyAlignment="1" applyProtection="1">
      <alignment horizontal="center"/>
      <protection locked="0"/>
    </xf>
    <xf numFmtId="0" fontId="151" fillId="49" borderId="82" xfId="8726" applyFont="1" applyFill="1" applyBorder="1" applyAlignment="1" applyProtection="1">
      <alignment horizontal="center"/>
      <protection locked="0"/>
    </xf>
    <xf numFmtId="0" fontId="153" fillId="49" borderId="73" xfId="8726" applyFont="1" applyFill="1" applyBorder="1" applyAlignment="1" applyProtection="1">
      <alignment horizontal="left"/>
      <protection locked="0"/>
    </xf>
    <xf numFmtId="0" fontId="153" fillId="49" borderId="93" xfId="8726" applyFont="1" applyFill="1" applyBorder="1" applyAlignment="1" applyProtection="1">
      <alignment horizontal="left"/>
      <protection locked="0"/>
    </xf>
    <xf numFmtId="168" fontId="151" fillId="49" borderId="82" xfId="700" applyNumberFormat="1" applyFont="1" applyFill="1" applyBorder="1" applyAlignment="1" applyProtection="1">
      <alignment horizontal="left"/>
      <protection locked="0"/>
    </xf>
    <xf numFmtId="168" fontId="151" fillId="49" borderId="85" xfId="700" applyNumberFormat="1" applyFont="1" applyFill="1" applyBorder="1" applyAlignment="1" applyProtection="1">
      <alignment horizontal="left"/>
      <protection locked="0"/>
    </xf>
    <xf numFmtId="0" fontId="151" fillId="49" borderId="81" xfId="8726" applyFont="1" applyFill="1" applyBorder="1" applyAlignment="1" applyProtection="1">
      <alignment horizontal="left"/>
      <protection locked="0"/>
    </xf>
    <xf numFmtId="0" fontId="151" fillId="49" borderId="82" xfId="8726" applyFont="1" applyFill="1" applyBorder="1" applyAlignment="1" applyProtection="1">
      <alignment horizontal="left"/>
      <protection locked="0"/>
    </xf>
    <xf numFmtId="0" fontId="151" fillId="49" borderId="85" xfId="8726" applyFont="1" applyFill="1" applyBorder="1" applyAlignment="1" applyProtection="1">
      <alignment horizontal="left"/>
      <protection locked="0"/>
    </xf>
    <xf numFmtId="0" fontId="161" fillId="48" borderId="0" xfId="8726" applyFont="1" applyFill="1" applyAlignment="1">
      <alignment horizontal="left" wrapText="1"/>
    </xf>
    <xf numFmtId="0" fontId="161" fillId="48" borderId="41" xfId="8726" applyFont="1" applyFill="1" applyBorder="1" applyAlignment="1">
      <alignment horizontal="left" wrapText="1"/>
    </xf>
    <xf numFmtId="0" fontId="151" fillId="49" borderId="80" xfId="8726" applyFont="1" applyFill="1" applyBorder="1" applyAlignment="1" applyProtection="1">
      <alignment horizontal="center"/>
      <protection locked="0"/>
    </xf>
    <xf numFmtId="0" fontId="151" fillId="49" borderId="11" xfId="8726" applyFont="1" applyFill="1" applyBorder="1" applyAlignment="1" applyProtection="1">
      <alignment horizontal="center"/>
      <protection locked="0"/>
    </xf>
    <xf numFmtId="0" fontId="153" fillId="49" borderId="11" xfId="8726" applyFont="1" applyFill="1" applyBorder="1" applyAlignment="1" applyProtection="1">
      <alignment horizontal="left"/>
      <protection locked="0"/>
    </xf>
    <xf numFmtId="168" fontId="151" fillId="49" borderId="11" xfId="700" applyNumberFormat="1" applyFont="1" applyFill="1" applyBorder="1" applyAlignment="1" applyProtection="1">
      <alignment horizontal="left"/>
      <protection locked="0"/>
    </xf>
    <xf numFmtId="0" fontId="151" fillId="49" borderId="11" xfId="8726" applyFont="1" applyFill="1" applyBorder="1" applyAlignment="1" applyProtection="1">
      <alignment horizontal="left"/>
      <protection locked="0"/>
    </xf>
    <xf numFmtId="0" fontId="151" fillId="49" borderId="91" xfId="8726" applyFont="1" applyFill="1" applyBorder="1" applyAlignment="1" applyProtection="1">
      <alignment horizontal="left"/>
      <protection locked="0"/>
    </xf>
    <xf numFmtId="0" fontId="153" fillId="49" borderId="80" xfId="8726" applyFont="1" applyFill="1" applyBorder="1" applyAlignment="1" applyProtection="1">
      <alignment horizontal="center"/>
      <protection locked="0"/>
    </xf>
    <xf numFmtId="0" fontId="153" fillId="49" borderId="11" xfId="8726" applyFont="1" applyFill="1" applyBorder="1" applyAlignment="1" applyProtection="1">
      <alignment horizontal="center"/>
      <protection locked="0"/>
    </xf>
    <xf numFmtId="0" fontId="151" fillId="45" borderId="80" xfId="8726" applyFont="1" applyFill="1" applyBorder="1" applyAlignment="1">
      <alignment horizontal="right"/>
    </xf>
    <xf numFmtId="0" fontId="151" fillId="45" borderId="11" xfId="8726" applyFont="1" applyFill="1" applyBorder="1" applyAlignment="1">
      <alignment horizontal="right"/>
    </xf>
    <xf numFmtId="168" fontId="151" fillId="44" borderId="11" xfId="700" applyNumberFormat="1" applyFont="1" applyFill="1" applyBorder="1" applyAlignment="1">
      <alignment horizontal="left"/>
    </xf>
    <xf numFmtId="43" fontId="134" fillId="55" borderId="104" xfId="698" applyFont="1" applyFill="1" applyBorder="1" applyAlignment="1" applyProtection="1">
      <alignment horizontal="center"/>
      <protection hidden="1"/>
    </xf>
    <xf numFmtId="43" fontId="134" fillId="55" borderId="97" xfId="698" applyFont="1" applyFill="1" applyBorder="1" applyAlignment="1" applyProtection="1">
      <alignment horizontal="center"/>
      <protection hidden="1"/>
    </xf>
    <xf numFmtId="43" fontId="134" fillId="55" borderId="98" xfId="698" applyFont="1" applyFill="1" applyBorder="1" applyAlignment="1" applyProtection="1">
      <alignment horizontal="center"/>
      <protection hidden="1"/>
    </xf>
    <xf numFmtId="43" fontId="136" fillId="53" borderId="13" xfId="698" applyFont="1" applyFill="1" applyBorder="1" applyAlignment="1" applyProtection="1">
      <alignment horizontal="left"/>
      <protection hidden="1"/>
    </xf>
    <xf numFmtId="0" fontId="151" fillId="48" borderId="9" xfId="8726" applyFont="1" applyFill="1" applyBorder="1" applyAlignment="1">
      <alignment horizontal="center"/>
    </xf>
    <xf numFmtId="0" fontId="151" fillId="48" borderId="6" xfId="8726" applyFont="1" applyFill="1" applyBorder="1" applyAlignment="1">
      <alignment horizontal="center"/>
    </xf>
    <xf numFmtId="0" fontId="151" fillId="48" borderId="10" xfId="8726" applyFont="1" applyFill="1" applyBorder="1" applyAlignment="1">
      <alignment horizontal="center"/>
    </xf>
    <xf numFmtId="43" fontId="136" fillId="53" borderId="11" xfId="698" applyFont="1" applyFill="1" applyBorder="1" applyAlignment="1" applyProtection="1">
      <alignment horizontal="left"/>
      <protection hidden="1"/>
    </xf>
    <xf numFmtId="14" fontId="151" fillId="49" borderId="11" xfId="8726" applyNumberFormat="1" applyFont="1" applyFill="1" applyBorder="1" applyAlignment="1" applyProtection="1">
      <alignment horizontal="center"/>
      <protection locked="0"/>
    </xf>
    <xf numFmtId="14" fontId="151" fillId="49" borderId="91" xfId="8726" applyNumberFormat="1" applyFont="1" applyFill="1" applyBorder="1" applyAlignment="1" applyProtection="1">
      <alignment horizontal="center"/>
      <protection locked="0"/>
    </xf>
    <xf numFmtId="168" fontId="153" fillId="44" borderId="11" xfId="700" applyNumberFormat="1" applyFont="1" applyFill="1" applyBorder="1" applyAlignment="1">
      <alignment horizontal="left"/>
    </xf>
    <xf numFmtId="0" fontId="137" fillId="47" borderId="11" xfId="8726" applyFont="1" applyFill="1" applyBorder="1" applyAlignment="1">
      <alignment horizontal="center"/>
    </xf>
    <xf numFmtId="0" fontId="137" fillId="47" borderId="91" xfId="8726" applyFont="1" applyFill="1" applyBorder="1" applyAlignment="1">
      <alignment horizontal="center"/>
    </xf>
    <xf numFmtId="0" fontId="153" fillId="45" borderId="80" xfId="8726" applyFont="1" applyFill="1" applyBorder="1" applyAlignment="1">
      <alignment horizontal="right"/>
    </xf>
    <xf numFmtId="0" fontId="153" fillId="45" borderId="11" xfId="8726" applyFont="1" applyFill="1" applyBorder="1" applyAlignment="1">
      <alignment horizontal="right"/>
    </xf>
    <xf numFmtId="0" fontId="161" fillId="45" borderId="72" xfId="8726" applyFont="1" applyFill="1" applyBorder="1" applyAlignment="1">
      <alignment horizontal="center"/>
    </xf>
    <xf numFmtId="0" fontId="161" fillId="45" borderId="73" xfId="8726" applyFont="1" applyFill="1" applyBorder="1" applyAlignment="1">
      <alignment horizontal="center"/>
    </xf>
    <xf numFmtId="0" fontId="147" fillId="49" borderId="73" xfId="8726" applyFont="1" applyFill="1" applyBorder="1" applyAlignment="1" applyProtection="1">
      <alignment horizontal="left"/>
      <protection locked="0"/>
    </xf>
    <xf numFmtId="0" fontId="153" fillId="49" borderId="73" xfId="8726" applyFont="1" applyFill="1" applyBorder="1" applyAlignment="1" applyProtection="1">
      <alignment horizontal="center"/>
      <protection locked="0"/>
    </xf>
    <xf numFmtId="14" fontId="153" fillId="49" borderId="73" xfId="8726" applyNumberFormat="1" applyFont="1" applyFill="1" applyBorder="1" applyAlignment="1" applyProtection="1">
      <alignment horizontal="center"/>
      <protection locked="0"/>
    </xf>
    <xf numFmtId="168" fontId="153" fillId="49" borderId="73" xfId="8727" applyNumberFormat="1" applyFont="1" applyFill="1" applyBorder="1" applyAlignment="1" applyProtection="1">
      <alignment horizontal="center"/>
      <protection locked="0"/>
    </xf>
    <xf numFmtId="168" fontId="153" fillId="49" borderId="93" xfId="8727" applyNumberFormat="1" applyFont="1" applyFill="1" applyBorder="1" applyAlignment="1" applyProtection="1">
      <alignment horizontal="center"/>
      <protection locked="0"/>
    </xf>
    <xf numFmtId="0" fontId="151" fillId="49" borderId="72" xfId="8726" applyFont="1" applyFill="1" applyBorder="1" applyAlignment="1" applyProtection="1">
      <alignment horizontal="center"/>
      <protection locked="0"/>
    </xf>
    <xf numFmtId="0" fontId="151" fillId="49" borderId="73" xfId="8726" applyFont="1" applyFill="1" applyBorder="1" applyAlignment="1" applyProtection="1">
      <alignment horizontal="center"/>
      <protection locked="0"/>
    </xf>
    <xf numFmtId="14" fontId="151" fillId="49" borderId="73" xfId="8726" applyNumberFormat="1" applyFont="1" applyFill="1" applyBorder="1" applyAlignment="1" applyProtection="1">
      <alignment horizontal="center"/>
      <protection locked="0"/>
    </xf>
    <xf numFmtId="14" fontId="151" fillId="49" borderId="93" xfId="8726" applyNumberFormat="1" applyFont="1" applyFill="1" applyBorder="1" applyAlignment="1" applyProtection="1">
      <alignment horizontal="center"/>
      <protection locked="0"/>
    </xf>
    <xf numFmtId="0" fontId="90" fillId="45" borderId="65" xfId="8726" applyFont="1" applyFill="1" applyBorder="1" applyAlignment="1">
      <alignment horizontal="left" wrapText="1"/>
    </xf>
    <xf numFmtId="0" fontId="90" fillId="45" borderId="29" xfId="8726" applyFont="1" applyFill="1" applyBorder="1" applyAlignment="1">
      <alignment horizontal="left" wrapText="1"/>
    </xf>
    <xf numFmtId="0" fontId="90" fillId="45" borderId="31" xfId="8726" applyFont="1" applyFill="1" applyBorder="1" applyAlignment="1">
      <alignment horizontal="left" wrapText="1"/>
    </xf>
    <xf numFmtId="0" fontId="90" fillId="45" borderId="86" xfId="8726" applyFont="1" applyFill="1" applyBorder="1" applyAlignment="1">
      <alignment horizontal="left" wrapText="1"/>
    </xf>
    <xf numFmtId="0" fontId="90" fillId="45" borderId="42" xfId="8726" applyFont="1" applyFill="1" applyBorder="1" applyAlignment="1">
      <alignment horizontal="left" wrapText="1"/>
    </xf>
    <xf numFmtId="0" fontId="90" fillId="45" borderId="44" xfId="8726" applyFont="1" applyFill="1" applyBorder="1" applyAlignment="1">
      <alignment horizontal="left" wrapText="1"/>
    </xf>
    <xf numFmtId="0" fontId="134" fillId="45" borderId="70" xfId="8726" applyFont="1" applyFill="1" applyBorder="1" applyAlignment="1">
      <alignment horizontal="left"/>
    </xf>
    <xf numFmtId="0" fontId="134" fillId="45" borderId="71" xfId="8726" applyFont="1" applyFill="1" applyBorder="1" applyAlignment="1">
      <alignment horizontal="left"/>
    </xf>
    <xf numFmtId="0" fontId="134" fillId="45" borderId="74" xfId="8726" applyFont="1" applyFill="1" applyBorder="1" applyAlignment="1">
      <alignment horizontal="left"/>
    </xf>
    <xf numFmtId="0" fontId="90" fillId="45" borderId="80" xfId="8726" applyFont="1" applyFill="1" applyBorder="1" applyAlignment="1">
      <alignment horizontal="center"/>
    </xf>
    <xf numFmtId="0" fontId="90" fillId="45" borderId="11" xfId="8726" applyFont="1" applyFill="1" applyBorder="1" applyAlignment="1">
      <alignment horizontal="center"/>
    </xf>
    <xf numFmtId="0" fontId="90" fillId="45" borderId="91" xfId="8726" applyFont="1" applyFill="1" applyBorder="1" applyAlignment="1">
      <alignment horizontal="center"/>
    </xf>
    <xf numFmtId="0" fontId="151" fillId="49" borderId="80" xfId="8726" applyFont="1" applyFill="1" applyBorder="1" applyAlignment="1" applyProtection="1">
      <alignment horizontal="left" vertical="top"/>
      <protection locked="0"/>
    </xf>
    <xf numFmtId="0" fontId="151" fillId="49" borderId="11" xfId="8726" applyFont="1" applyFill="1" applyBorder="1" applyAlignment="1" applyProtection="1">
      <alignment horizontal="left" vertical="top"/>
      <protection locked="0"/>
    </xf>
    <xf numFmtId="0" fontId="151" fillId="49" borderId="91" xfId="8726" applyFont="1" applyFill="1" applyBorder="1" applyAlignment="1" applyProtection="1">
      <alignment horizontal="left" vertical="top"/>
      <protection locked="0"/>
    </xf>
    <xf numFmtId="0" fontId="151" fillId="49" borderId="72" xfId="8726" applyFont="1" applyFill="1" applyBorder="1" applyAlignment="1" applyProtection="1">
      <alignment horizontal="left" vertical="top"/>
      <protection locked="0"/>
    </xf>
    <xf numFmtId="0" fontId="151" fillId="49" borderId="73" xfId="8726" applyFont="1" applyFill="1" applyBorder="1" applyAlignment="1" applyProtection="1">
      <alignment horizontal="left" vertical="top"/>
      <protection locked="0"/>
    </xf>
    <xf numFmtId="0" fontId="151" fillId="49" borderId="93" xfId="8726" applyFont="1" applyFill="1" applyBorder="1" applyAlignment="1" applyProtection="1">
      <alignment horizontal="left" vertical="top"/>
      <protection locked="0"/>
    </xf>
    <xf numFmtId="0" fontId="161" fillId="45" borderId="80" xfId="8726" applyFont="1" applyFill="1" applyBorder="1" applyAlignment="1">
      <alignment horizontal="center"/>
    </xf>
    <xf numFmtId="0" fontId="161" fillId="45" borderId="11" xfId="8726" applyFont="1" applyFill="1" applyBorder="1" applyAlignment="1">
      <alignment horizontal="center"/>
    </xf>
    <xf numFmtId="0" fontId="147" fillId="49" borderId="11" xfId="8726" applyFont="1" applyFill="1" applyBorder="1" applyAlignment="1" applyProtection="1">
      <alignment horizontal="left"/>
      <protection locked="0"/>
    </xf>
    <xf numFmtId="14" fontId="153" fillId="49" borderId="11" xfId="8726" applyNumberFormat="1" applyFont="1" applyFill="1" applyBorder="1" applyAlignment="1" applyProtection="1">
      <alignment horizontal="center"/>
      <protection locked="0"/>
    </xf>
    <xf numFmtId="168" fontId="153" fillId="49" borderId="11" xfId="8727" applyNumberFormat="1" applyFont="1" applyFill="1" applyBorder="1" applyAlignment="1" applyProtection="1">
      <alignment horizontal="center"/>
      <protection locked="0"/>
    </xf>
    <xf numFmtId="168" fontId="153" fillId="49" borderId="91" xfId="8727" applyNumberFormat="1" applyFont="1" applyFill="1" applyBorder="1" applyAlignment="1" applyProtection="1">
      <alignment horizontal="center"/>
      <protection locked="0"/>
    </xf>
    <xf numFmtId="0" fontId="138" fillId="45" borderId="11" xfId="8726" applyFont="1" applyFill="1" applyBorder="1" applyAlignment="1">
      <alignment horizontal="center" wrapText="1"/>
    </xf>
    <xf numFmtId="0" fontId="138" fillId="45" borderId="91" xfId="8726" applyFont="1" applyFill="1" applyBorder="1" applyAlignment="1">
      <alignment horizontal="center" wrapText="1"/>
    </xf>
    <xf numFmtId="0" fontId="149" fillId="45" borderId="80" xfId="8726" applyFont="1" applyFill="1" applyBorder="1" applyAlignment="1">
      <alignment horizontal="left"/>
    </xf>
    <xf numFmtId="0" fontId="149" fillId="45" borderId="11" xfId="8726" applyFont="1" applyFill="1" applyBorder="1" applyAlignment="1">
      <alignment horizontal="left"/>
    </xf>
    <xf numFmtId="0" fontId="149" fillId="45" borderId="72" xfId="8726" applyFont="1" applyFill="1" applyBorder="1" applyAlignment="1">
      <alignment horizontal="left"/>
    </xf>
    <xf numFmtId="0" fontId="149" fillId="45" borderId="73" xfId="8726" applyFont="1" applyFill="1" applyBorder="1" applyAlignment="1">
      <alignment horizontal="left"/>
    </xf>
    <xf numFmtId="0" fontId="134" fillId="45" borderId="70" xfId="8726" applyFont="1" applyFill="1" applyBorder="1" applyAlignment="1">
      <alignment horizontal="center"/>
    </xf>
    <xf numFmtId="0" fontId="142" fillId="45" borderId="80" xfId="8726" applyFont="1" applyFill="1" applyBorder="1" applyAlignment="1">
      <alignment horizontal="left"/>
    </xf>
    <xf numFmtId="0" fontId="142" fillId="45" borderId="11" xfId="8726" applyFont="1" applyFill="1" applyBorder="1" applyAlignment="1">
      <alignment horizontal="left"/>
    </xf>
    <xf numFmtId="0" fontId="152" fillId="49" borderId="11" xfId="8726" applyFont="1" applyFill="1" applyBorder="1" applyAlignment="1" applyProtection="1">
      <alignment horizontal="left"/>
      <protection locked="0"/>
    </xf>
    <xf numFmtId="0" fontId="152" fillId="49" borderId="91" xfId="8726" applyFont="1" applyFill="1" applyBorder="1" applyAlignment="1" applyProtection="1">
      <alignment horizontal="left"/>
      <protection locked="0"/>
    </xf>
    <xf numFmtId="0" fontId="153" fillId="49" borderId="80" xfId="8726" applyFont="1" applyFill="1" applyBorder="1" applyAlignment="1" applyProtection="1">
      <alignment horizontal="left" vertical="top" wrapText="1"/>
      <protection locked="0"/>
    </xf>
    <xf numFmtId="0" fontId="153" fillId="49" borderId="11" xfId="8726" applyFont="1" applyFill="1" applyBorder="1" applyAlignment="1" applyProtection="1">
      <alignment horizontal="left" vertical="top"/>
      <protection locked="0"/>
    </xf>
    <xf numFmtId="0" fontId="153" fillId="49" borderId="91" xfId="8726" applyFont="1" applyFill="1" applyBorder="1" applyAlignment="1" applyProtection="1">
      <alignment horizontal="left" vertical="top"/>
      <protection locked="0"/>
    </xf>
    <xf numFmtId="0" fontId="153" fillId="49" borderId="80" xfId="8726" applyFont="1" applyFill="1" applyBorder="1" applyAlignment="1" applyProtection="1">
      <alignment horizontal="left" vertical="top"/>
      <protection locked="0"/>
    </xf>
    <xf numFmtId="0" fontId="153" fillId="49" borderId="72" xfId="8726" applyFont="1" applyFill="1" applyBorder="1" applyAlignment="1" applyProtection="1">
      <alignment horizontal="left" vertical="top"/>
      <protection locked="0"/>
    </xf>
    <xf numFmtId="0" fontId="153" fillId="49" borderId="73" xfId="8726" applyFont="1" applyFill="1" applyBorder="1" applyAlignment="1" applyProtection="1">
      <alignment horizontal="left" vertical="top"/>
      <protection locked="0"/>
    </xf>
    <xf numFmtId="0" fontId="153" fillId="49" borderId="93" xfId="8726" applyFont="1" applyFill="1" applyBorder="1" applyAlignment="1" applyProtection="1">
      <alignment horizontal="left" vertical="top"/>
      <protection locked="0"/>
    </xf>
    <xf numFmtId="0" fontId="134" fillId="45" borderId="75" xfId="8726" applyFont="1" applyFill="1" applyBorder="1" applyAlignment="1">
      <alignment horizontal="center"/>
    </xf>
    <xf numFmtId="0" fontId="134" fillId="45" borderId="76" xfId="8726" applyFont="1" applyFill="1" applyBorder="1" applyAlignment="1">
      <alignment horizontal="center"/>
    </xf>
    <xf numFmtId="0" fontId="134" fillId="45" borderId="77" xfId="8726" applyFont="1" applyFill="1" applyBorder="1" applyAlignment="1">
      <alignment horizontal="center"/>
    </xf>
    <xf numFmtId="0" fontId="90" fillId="45" borderId="74" xfId="8726" applyFont="1" applyFill="1" applyBorder="1" applyAlignment="1">
      <alignment horizontal="left" wrapText="1"/>
    </xf>
    <xf numFmtId="0" fontId="90" fillId="45" borderId="91" xfId="8726" applyFont="1" applyFill="1" applyBorder="1" applyAlignment="1">
      <alignment horizontal="left" wrapText="1"/>
    </xf>
    <xf numFmtId="0" fontId="90" fillId="45" borderId="65" xfId="8726" applyFont="1" applyFill="1" applyBorder="1" applyAlignment="1">
      <alignment horizontal="center"/>
    </xf>
    <xf numFmtId="0" fontId="90" fillId="45" borderId="29" xfId="8726" applyFont="1" applyFill="1" applyBorder="1" applyAlignment="1">
      <alignment horizontal="center"/>
    </xf>
    <xf numFmtId="0" fontId="90" fillId="45" borderId="31" xfId="8726" applyFont="1" applyFill="1" applyBorder="1" applyAlignment="1">
      <alignment horizontal="center"/>
    </xf>
    <xf numFmtId="0" fontId="148" fillId="45" borderId="11" xfId="8726" applyFont="1" applyFill="1" applyBorder="1" applyAlignment="1">
      <alignment horizontal="left"/>
    </xf>
    <xf numFmtId="0" fontId="148" fillId="45" borderId="91" xfId="8726" applyFont="1" applyFill="1" applyBorder="1" applyAlignment="1">
      <alignment horizontal="left"/>
    </xf>
    <xf numFmtId="0" fontId="151" fillId="49" borderId="80" xfId="8726" applyFont="1" applyFill="1" applyBorder="1" applyAlignment="1" applyProtection="1">
      <alignment horizontal="left" vertical="top" wrapText="1"/>
      <protection locked="0"/>
    </xf>
    <xf numFmtId="0" fontId="2" fillId="47" borderId="73" xfId="8726" applyFill="1" applyBorder="1" applyAlignment="1" applyProtection="1">
      <alignment horizontal="center"/>
      <protection locked="0"/>
    </xf>
    <xf numFmtId="0" fontId="2" fillId="47" borderId="93" xfId="8726" applyFill="1" applyBorder="1" applyAlignment="1" applyProtection="1">
      <alignment horizontal="center"/>
      <protection locked="0"/>
    </xf>
    <xf numFmtId="0" fontId="134" fillId="45" borderId="94" xfId="8726" applyFont="1" applyFill="1" applyBorder="1" applyAlignment="1">
      <alignment horizontal="right"/>
    </xf>
    <xf numFmtId="0" fontId="134" fillId="45" borderId="43" xfId="8726" applyFont="1" applyFill="1" applyBorder="1" applyAlignment="1">
      <alignment horizontal="right"/>
    </xf>
    <xf numFmtId="0" fontId="151" fillId="49" borderId="71" xfId="8726" applyFont="1" applyFill="1" applyBorder="1" applyAlignment="1" applyProtection="1">
      <alignment horizontal="left"/>
      <protection locked="0"/>
    </xf>
    <xf numFmtId="0" fontId="151" fillId="49" borderId="74" xfId="8726" applyFont="1" applyFill="1" applyBorder="1" applyAlignment="1" applyProtection="1">
      <alignment horizontal="left"/>
      <protection locked="0"/>
    </xf>
    <xf numFmtId="0" fontId="134" fillId="45" borderId="72" xfId="8726" applyFont="1" applyFill="1" applyBorder="1" applyAlignment="1">
      <alignment horizontal="center"/>
    </xf>
    <xf numFmtId="0" fontId="134" fillId="45" borderId="73" xfId="8726" applyFont="1" applyFill="1" applyBorder="1" applyAlignment="1">
      <alignment horizontal="center"/>
    </xf>
    <xf numFmtId="0" fontId="151" fillId="49" borderId="73" xfId="8726" applyFont="1" applyFill="1" applyBorder="1" applyAlignment="1" applyProtection="1">
      <alignment horizontal="left"/>
      <protection locked="0"/>
    </xf>
    <xf numFmtId="0" fontId="151" fillId="49" borderId="93" xfId="8726" applyFont="1" applyFill="1" applyBorder="1" applyAlignment="1" applyProtection="1">
      <alignment horizontal="left"/>
      <protection locked="0"/>
    </xf>
    <xf numFmtId="0" fontId="151" fillId="44" borderId="80" xfId="8726" applyFont="1" applyFill="1" applyBorder="1" applyAlignment="1" applyProtection="1">
      <alignment horizontal="right"/>
      <protection locked="0"/>
    </xf>
    <xf numFmtId="0" fontId="151" fillId="44" borderId="11" xfId="8726" applyFont="1" applyFill="1" applyBorder="1" applyAlignment="1" applyProtection="1">
      <alignment horizontal="right"/>
      <protection locked="0"/>
    </xf>
    <xf numFmtId="0" fontId="151" fillId="44" borderId="91" xfId="8726" applyFont="1" applyFill="1" applyBorder="1" applyAlignment="1" applyProtection="1">
      <alignment horizontal="right"/>
      <protection locked="0"/>
    </xf>
    <xf numFmtId="0" fontId="151" fillId="49" borderId="5" xfId="8726" applyFont="1" applyFill="1" applyBorder="1" applyAlignment="1" applyProtection="1">
      <alignment horizontal="left"/>
      <protection locked="0"/>
    </xf>
    <xf numFmtId="0" fontId="151" fillId="44" borderId="72" xfId="8726" applyFont="1" applyFill="1" applyBorder="1" applyAlignment="1" applyProtection="1">
      <alignment horizontal="right"/>
      <protection locked="0"/>
    </xf>
    <xf numFmtId="0" fontId="151" fillId="44" borderId="73" xfId="8726" applyFont="1" applyFill="1" applyBorder="1" applyAlignment="1" applyProtection="1">
      <alignment horizontal="right"/>
      <protection locked="0"/>
    </xf>
    <xf numFmtId="0" fontId="151" fillId="44" borderId="93" xfId="8726" applyFont="1" applyFill="1" applyBorder="1" applyAlignment="1" applyProtection="1">
      <alignment horizontal="right"/>
      <protection locked="0"/>
    </xf>
    <xf numFmtId="168" fontId="151" fillId="49" borderId="11" xfId="8727" applyNumberFormat="1" applyFont="1" applyFill="1" applyBorder="1" applyAlignment="1" applyProtection="1">
      <alignment horizontal="center"/>
      <protection locked="0"/>
    </xf>
    <xf numFmtId="1" fontId="151" fillId="49" borderId="11" xfId="8726" applyNumberFormat="1" applyFont="1" applyFill="1" applyBorder="1" applyAlignment="1" applyProtection="1">
      <alignment horizontal="center"/>
      <protection locked="0"/>
    </xf>
    <xf numFmtId="0" fontId="151" fillId="49" borderId="11" xfId="700" applyNumberFormat="1" applyFont="1" applyFill="1" applyBorder="1" applyAlignment="1" applyProtection="1">
      <alignment horizontal="left"/>
      <protection locked="0"/>
    </xf>
    <xf numFmtId="0" fontId="151" fillId="49" borderId="91" xfId="700" applyNumberFormat="1" applyFont="1" applyFill="1" applyBorder="1" applyAlignment="1" applyProtection="1">
      <alignment horizontal="left"/>
      <protection locked="0"/>
    </xf>
    <xf numFmtId="168" fontId="137" fillId="45" borderId="73" xfId="8727" applyNumberFormat="1" applyFont="1" applyFill="1" applyBorder="1" applyAlignment="1">
      <alignment horizontal="center"/>
    </xf>
    <xf numFmtId="1" fontId="137" fillId="45" borderId="73" xfId="8727" applyNumberFormat="1" applyFont="1" applyFill="1" applyBorder="1" applyAlignment="1">
      <alignment horizontal="center"/>
    </xf>
    <xf numFmtId="0" fontId="137" fillId="45" borderId="73" xfId="8727" applyNumberFormat="1" applyFont="1" applyFill="1" applyBorder="1" applyAlignment="1">
      <alignment horizontal="center"/>
    </xf>
    <xf numFmtId="0" fontId="137" fillId="45" borderId="93" xfId="8727" applyNumberFormat="1" applyFont="1" applyFill="1" applyBorder="1" applyAlignment="1">
      <alignment horizontal="center"/>
    </xf>
    <xf numFmtId="0" fontId="134" fillId="45" borderId="65" xfId="8726" applyFont="1" applyFill="1" applyBorder="1" applyAlignment="1">
      <alignment horizontal="center"/>
    </xf>
    <xf numFmtId="0" fontId="134" fillId="45" borderId="29" xfId="8726" applyFont="1" applyFill="1" applyBorder="1" applyAlignment="1">
      <alignment horizontal="center"/>
    </xf>
    <xf numFmtId="0" fontId="134" fillId="45" borderId="31" xfId="8726" applyFont="1" applyFill="1" applyBorder="1" applyAlignment="1">
      <alignment horizontal="center"/>
    </xf>
    <xf numFmtId="0" fontId="151" fillId="49" borderId="83" xfId="8726" applyFont="1" applyFill="1" applyBorder="1" applyAlignment="1" applyProtection="1">
      <alignment horizontal="left"/>
      <protection locked="0"/>
    </xf>
    <xf numFmtId="0" fontId="138" fillId="45" borderId="11" xfId="8726" applyFont="1" applyFill="1" applyBorder="1" applyAlignment="1">
      <alignment horizontal="center" vertical="center" wrapText="1"/>
    </xf>
    <xf numFmtId="0" fontId="138" fillId="45" borderId="91" xfId="8726" applyFont="1" applyFill="1" applyBorder="1" applyAlignment="1">
      <alignment horizontal="center" vertical="center" wrapText="1"/>
    </xf>
    <xf numFmtId="1" fontId="152" fillId="49" borderId="73" xfId="8726" applyNumberFormat="1" applyFont="1" applyFill="1" applyBorder="1" applyAlignment="1" applyProtection="1">
      <alignment horizontal="center"/>
      <protection locked="0"/>
    </xf>
    <xf numFmtId="1" fontId="152" fillId="49" borderId="84" xfId="8726" applyNumberFormat="1" applyFont="1" applyFill="1" applyBorder="1" applyAlignment="1" applyProtection="1">
      <alignment horizontal="center"/>
      <protection locked="0"/>
    </xf>
    <xf numFmtId="1" fontId="152" fillId="49" borderId="82" xfId="8726" applyNumberFormat="1" applyFont="1" applyFill="1" applyBorder="1" applyAlignment="1" applyProtection="1">
      <alignment horizontal="center"/>
      <protection locked="0"/>
    </xf>
    <xf numFmtId="1" fontId="152" fillId="49" borderId="83" xfId="8726" applyNumberFormat="1" applyFont="1" applyFill="1" applyBorder="1" applyAlignment="1" applyProtection="1">
      <alignment horizontal="center"/>
      <protection locked="0"/>
    </xf>
    <xf numFmtId="0" fontId="151" fillId="49" borderId="72" xfId="8726" applyFont="1" applyFill="1" applyBorder="1" applyAlignment="1" applyProtection="1">
      <alignment horizontal="right"/>
      <protection locked="0"/>
    </xf>
    <xf numFmtId="0" fontId="151" fillId="49" borderId="73" xfId="8726" applyFont="1" applyFill="1" applyBorder="1" applyAlignment="1" applyProtection="1">
      <alignment horizontal="right"/>
      <protection locked="0"/>
    </xf>
    <xf numFmtId="0" fontId="152" fillId="49" borderId="73" xfId="8726" applyFont="1" applyFill="1" applyBorder="1" applyAlignment="1" applyProtection="1">
      <alignment horizontal="center"/>
      <protection locked="0"/>
    </xf>
    <xf numFmtId="0" fontId="152" fillId="49" borderId="11" xfId="8726" applyFont="1" applyFill="1" applyBorder="1" applyAlignment="1" applyProtection="1">
      <alignment horizontal="center"/>
      <protection locked="0"/>
    </xf>
    <xf numFmtId="9" fontId="138" fillId="44" borderId="84" xfId="8728" applyFont="1" applyFill="1" applyBorder="1" applyAlignment="1">
      <alignment horizontal="center"/>
    </xf>
    <xf numFmtId="9" fontId="138" fillId="44" borderId="82" xfId="8728" applyFont="1" applyFill="1" applyBorder="1" applyAlignment="1">
      <alignment horizontal="center"/>
    </xf>
    <xf numFmtId="9" fontId="138" fillId="44" borderId="85" xfId="8728" applyFont="1" applyFill="1" applyBorder="1" applyAlignment="1">
      <alignment horizontal="center"/>
    </xf>
    <xf numFmtId="9" fontId="138" fillId="44" borderId="3" xfId="8728" applyFont="1" applyFill="1" applyBorder="1" applyAlignment="1">
      <alignment horizontal="center"/>
    </xf>
    <xf numFmtId="9" fontId="138" fillId="44" borderId="4" xfId="8728" applyFont="1" applyFill="1" applyBorder="1" applyAlignment="1">
      <alignment horizontal="center"/>
    </xf>
    <xf numFmtId="9" fontId="138" fillId="44" borderId="79" xfId="8728" applyFont="1" applyFill="1" applyBorder="1" applyAlignment="1">
      <alignment horizontal="center"/>
    </xf>
    <xf numFmtId="0" fontId="137" fillId="44" borderId="88" xfId="8726" applyFont="1" applyFill="1" applyBorder="1" applyAlignment="1">
      <alignment horizontal="center"/>
    </xf>
    <xf numFmtId="0" fontId="137" fillId="44" borderId="42" xfId="8726" applyFont="1" applyFill="1" applyBorder="1" applyAlignment="1">
      <alignment horizontal="center"/>
    </xf>
    <xf numFmtId="0" fontId="137" fillId="44" borderId="87" xfId="8726" applyFont="1" applyFill="1" applyBorder="1" applyAlignment="1">
      <alignment horizontal="center"/>
    </xf>
    <xf numFmtId="9" fontId="137" fillId="49" borderId="13" xfId="8726" applyNumberFormat="1" applyFont="1" applyFill="1" applyBorder="1" applyAlignment="1" applyProtection="1">
      <alignment horizontal="center"/>
      <protection locked="0"/>
    </xf>
    <xf numFmtId="0" fontId="134" fillId="45" borderId="67" xfId="8726" applyFont="1" applyFill="1" applyBorder="1" applyAlignment="1">
      <alignment horizontal="center"/>
    </xf>
    <xf numFmtId="0" fontId="134" fillId="45" borderId="68" xfId="8726" applyFont="1" applyFill="1" applyBorder="1" applyAlignment="1">
      <alignment horizontal="center"/>
    </xf>
    <xf numFmtId="0" fontId="134" fillId="45" borderId="69" xfId="8726" applyFont="1" applyFill="1" applyBorder="1" applyAlignment="1">
      <alignment horizontal="center"/>
    </xf>
    <xf numFmtId="0" fontId="138" fillId="45" borderId="65" xfId="8726" applyFont="1" applyFill="1" applyBorder="1" applyAlignment="1">
      <alignment horizontal="center" vertical="center" wrapText="1"/>
    </xf>
    <xf numFmtId="0" fontId="138" fillId="45" borderId="29" xfId="8726" applyFont="1" applyFill="1" applyBorder="1" applyAlignment="1">
      <alignment horizontal="center" vertical="center" wrapText="1"/>
    </xf>
    <xf numFmtId="0" fontId="138" fillId="45" borderId="31" xfId="8726" applyFont="1" applyFill="1" applyBorder="1" applyAlignment="1">
      <alignment horizontal="center" vertical="center" wrapText="1"/>
    </xf>
    <xf numFmtId="0" fontId="138" fillId="45" borderId="86" xfId="8726" applyFont="1" applyFill="1" applyBorder="1" applyAlignment="1">
      <alignment horizontal="center" vertical="center" wrapText="1"/>
    </xf>
    <xf numFmtId="0" fontId="138" fillId="45" borderId="42" xfId="8726" applyFont="1" applyFill="1" applyBorder="1" applyAlignment="1">
      <alignment horizontal="center" vertical="center" wrapText="1"/>
    </xf>
    <xf numFmtId="0" fontId="138" fillId="45" borderId="44" xfId="8726" applyFont="1" applyFill="1" applyBorder="1" applyAlignment="1">
      <alignment horizontal="center" vertical="center" wrapText="1"/>
    </xf>
    <xf numFmtId="0" fontId="138" fillId="45" borderId="67" xfId="8726" applyFont="1" applyFill="1" applyBorder="1" applyAlignment="1">
      <alignment horizontal="center"/>
    </xf>
    <xf numFmtId="0" fontId="138" fillId="45" borderId="68" xfId="8726" applyFont="1" applyFill="1" applyBorder="1" applyAlignment="1">
      <alignment horizontal="center"/>
    </xf>
    <xf numFmtId="0" fontId="138" fillId="45" borderId="69" xfId="8726" applyFont="1" applyFill="1" applyBorder="1" applyAlignment="1">
      <alignment horizontal="center"/>
    </xf>
    <xf numFmtId="9" fontId="137" fillId="44" borderId="88" xfId="1022" applyFont="1" applyFill="1" applyBorder="1" applyAlignment="1">
      <alignment horizontal="center"/>
    </xf>
    <xf numFmtId="9" fontId="137" fillId="44" borderId="42" xfId="1022" applyFont="1" applyFill="1" applyBorder="1" applyAlignment="1">
      <alignment horizontal="center"/>
    </xf>
    <xf numFmtId="9" fontId="137" fillId="44" borderId="44" xfId="1022" applyFont="1" applyFill="1" applyBorder="1" applyAlignment="1">
      <alignment horizontal="center"/>
    </xf>
    <xf numFmtId="0" fontId="138" fillId="45" borderId="95" xfId="8726" applyFont="1" applyFill="1" applyBorder="1" applyAlignment="1">
      <alignment horizontal="center" vertical="center" wrapText="1"/>
    </xf>
    <xf numFmtId="0" fontId="138" fillId="45" borderId="13" xfId="8726" applyFont="1" applyFill="1" applyBorder="1" applyAlignment="1">
      <alignment horizontal="center" vertical="center"/>
    </xf>
    <xf numFmtId="0" fontId="138" fillId="45" borderId="80" xfId="8726" applyFont="1" applyFill="1" applyBorder="1" applyAlignment="1">
      <alignment horizontal="center" vertical="center"/>
    </xf>
    <xf numFmtId="0" fontId="138" fillId="45" borderId="11" xfId="8726" applyFont="1" applyFill="1" applyBorder="1" applyAlignment="1">
      <alignment horizontal="center" vertical="center"/>
    </xf>
    <xf numFmtId="0" fontId="137" fillId="44" borderId="86" xfId="8726" applyFont="1" applyFill="1" applyBorder="1" applyAlignment="1">
      <alignment horizontal="center"/>
    </xf>
    <xf numFmtId="9" fontId="137" fillId="49" borderId="9" xfId="8726" applyNumberFormat="1" applyFont="1" applyFill="1" applyBorder="1" applyAlignment="1" applyProtection="1">
      <alignment horizontal="center"/>
      <protection locked="0"/>
    </xf>
    <xf numFmtId="9" fontId="137" fillId="49" borderId="6" xfId="8726" applyNumberFormat="1" applyFont="1" applyFill="1" applyBorder="1" applyAlignment="1" applyProtection="1">
      <alignment horizontal="center"/>
      <protection locked="0"/>
    </xf>
    <xf numFmtId="9" fontId="137" fillId="49" borderId="10" xfId="8726" applyNumberFormat="1" applyFont="1" applyFill="1" applyBorder="1" applyAlignment="1" applyProtection="1">
      <alignment horizontal="center"/>
      <protection locked="0"/>
    </xf>
    <xf numFmtId="9" fontId="138" fillId="49" borderId="9" xfId="8726" applyNumberFormat="1" applyFont="1" applyFill="1" applyBorder="1" applyAlignment="1" applyProtection="1">
      <alignment horizontal="center"/>
      <protection locked="0"/>
    </xf>
    <xf numFmtId="9" fontId="138" fillId="49" borderId="6" xfId="8726" applyNumberFormat="1" applyFont="1" applyFill="1" applyBorder="1" applyAlignment="1" applyProtection="1">
      <alignment horizontal="center"/>
      <protection locked="0"/>
    </xf>
    <xf numFmtId="9" fontId="138" fillId="49" borderId="10" xfId="8726" applyNumberFormat="1" applyFont="1" applyFill="1" applyBorder="1" applyAlignment="1" applyProtection="1">
      <alignment horizontal="center"/>
      <protection locked="0"/>
    </xf>
    <xf numFmtId="0" fontId="138" fillId="44" borderId="9" xfId="8726" applyFont="1" applyFill="1" applyBorder="1" applyAlignment="1">
      <alignment horizontal="center"/>
    </xf>
    <xf numFmtId="0" fontId="138" fillId="44" borderId="6" xfId="8726" applyFont="1" applyFill="1" applyBorder="1" applyAlignment="1">
      <alignment horizontal="center"/>
    </xf>
    <xf numFmtId="0" fontId="138" fillId="44" borderId="10" xfId="8726" applyFont="1" applyFill="1" applyBorder="1" applyAlignment="1">
      <alignment horizontal="center"/>
    </xf>
    <xf numFmtId="0" fontId="138" fillId="44" borderId="103" xfId="8726" applyFont="1" applyFill="1" applyBorder="1" applyAlignment="1">
      <alignment horizontal="center"/>
    </xf>
    <xf numFmtId="9" fontId="151" fillId="49" borderId="92" xfId="8726" applyNumberFormat="1" applyFont="1" applyFill="1" applyBorder="1" applyAlignment="1">
      <alignment horizontal="center"/>
    </xf>
    <xf numFmtId="9" fontId="151" fillId="49" borderId="4" xfId="8726" applyNumberFormat="1" applyFont="1" applyFill="1" applyBorder="1" applyAlignment="1">
      <alignment horizontal="center"/>
    </xf>
    <xf numFmtId="9" fontId="151" fillId="49" borderId="5" xfId="8726" applyNumberFormat="1" applyFont="1" applyFill="1" applyBorder="1" applyAlignment="1">
      <alignment horizontal="center"/>
    </xf>
    <xf numFmtId="0" fontId="151" fillId="44" borderId="3" xfId="8726" applyFont="1" applyFill="1" applyBorder="1" applyAlignment="1">
      <alignment horizontal="center"/>
    </xf>
    <xf numFmtId="0" fontId="151" fillId="44" borderId="4" xfId="8726" applyFont="1" applyFill="1" applyBorder="1" applyAlignment="1">
      <alignment horizontal="center"/>
    </xf>
    <xf numFmtId="0" fontId="151" fillId="44" borderId="5" xfId="8726" applyFont="1" applyFill="1" applyBorder="1" applyAlignment="1">
      <alignment horizontal="center"/>
    </xf>
    <xf numFmtId="9" fontId="137" fillId="44" borderId="3" xfId="8726" applyNumberFormat="1" applyFont="1" applyFill="1" applyBorder="1" applyAlignment="1">
      <alignment horizontal="center"/>
    </xf>
    <xf numFmtId="9" fontId="137" fillId="44" borderId="4" xfId="8726" applyNumberFormat="1" applyFont="1" applyFill="1" applyBorder="1" applyAlignment="1">
      <alignment horizontal="center"/>
    </xf>
    <xf numFmtId="9" fontId="137" fillId="44" borderId="79" xfId="8726" applyNumberFormat="1" applyFont="1" applyFill="1" applyBorder="1" applyAlignment="1">
      <alignment horizontal="center"/>
    </xf>
    <xf numFmtId="0" fontId="137" fillId="44" borderId="81" xfId="8726" applyFont="1" applyFill="1" applyBorder="1" applyAlignment="1">
      <alignment horizontal="center"/>
    </xf>
    <xf numFmtId="0" fontId="137" fillId="44" borderId="82" xfId="8726" applyFont="1" applyFill="1" applyBorder="1" applyAlignment="1">
      <alignment horizontal="center"/>
    </xf>
    <xf numFmtId="0" fontId="137" fillId="44" borderId="83" xfId="8726" applyFont="1" applyFill="1" applyBorder="1" applyAlignment="1">
      <alignment horizontal="center"/>
    </xf>
    <xf numFmtId="0" fontId="151" fillId="44" borderId="84" xfId="8726" applyFont="1" applyFill="1" applyBorder="1" applyAlignment="1">
      <alignment horizontal="center"/>
    </xf>
    <xf numFmtId="0" fontId="151" fillId="44" borderId="82" xfId="8726" applyFont="1" applyFill="1" applyBorder="1" applyAlignment="1">
      <alignment horizontal="center"/>
    </xf>
    <xf numFmtId="0" fontId="151" fillId="44" borderId="83" xfId="8726" applyFont="1" applyFill="1" applyBorder="1" applyAlignment="1">
      <alignment horizontal="center"/>
    </xf>
    <xf numFmtId="9" fontId="137" fillId="44" borderId="84" xfId="8726" applyNumberFormat="1" applyFont="1" applyFill="1" applyBorder="1" applyAlignment="1">
      <alignment horizontal="center"/>
    </xf>
    <xf numFmtId="9" fontId="137" fillId="44" borderId="82" xfId="8726" applyNumberFormat="1" applyFont="1" applyFill="1" applyBorder="1" applyAlignment="1">
      <alignment horizontal="center"/>
    </xf>
    <xf numFmtId="9" fontId="137" fillId="44" borderId="85" xfId="8726" applyNumberFormat="1" applyFont="1" applyFill="1" applyBorder="1" applyAlignment="1">
      <alignment horizontal="center"/>
    </xf>
    <xf numFmtId="0" fontId="137" fillId="45" borderId="13" xfId="8726" applyFont="1" applyFill="1" applyBorder="1" applyAlignment="1">
      <alignment horizontal="center" vertical="center" wrapText="1"/>
    </xf>
    <xf numFmtId="0" fontId="137" fillId="45" borderId="13" xfId="8726" applyFont="1" applyFill="1" applyBorder="1" applyAlignment="1">
      <alignment horizontal="center" vertical="center"/>
    </xf>
    <xf numFmtId="0" fontId="137" fillId="45" borderId="11" xfId="8726" applyFont="1" applyFill="1" applyBorder="1" applyAlignment="1">
      <alignment horizontal="center" vertical="center"/>
    </xf>
    <xf numFmtId="0" fontId="137" fillId="45" borderId="9" xfId="8726" applyFont="1" applyFill="1" applyBorder="1" applyAlignment="1">
      <alignment horizontal="center" vertical="center"/>
    </xf>
    <xf numFmtId="0" fontId="137" fillId="45" borderId="3" xfId="8726" applyFont="1" applyFill="1" applyBorder="1" applyAlignment="1">
      <alignment horizontal="center" vertical="center"/>
    </xf>
    <xf numFmtId="0" fontId="137" fillId="45" borderId="78" xfId="8726" applyFont="1" applyFill="1" applyBorder="1" applyAlignment="1">
      <alignment horizontal="center"/>
    </xf>
    <xf numFmtId="0" fontId="137" fillId="45" borderId="2" xfId="8726" applyFont="1" applyFill="1" applyBorder="1" applyAlignment="1">
      <alignment horizontal="center"/>
    </xf>
    <xf numFmtId="0" fontId="137" fillId="45" borderId="7" xfId="8726" applyFont="1" applyFill="1" applyBorder="1" applyAlignment="1">
      <alignment horizontal="center"/>
    </xf>
    <xf numFmtId="0" fontId="137" fillId="45" borderId="3" xfId="8726" applyFont="1" applyFill="1" applyBorder="1" applyAlignment="1">
      <alignment horizontal="center"/>
    </xf>
    <xf numFmtId="0" fontId="137" fillId="45" borderId="4" xfId="8726" applyFont="1" applyFill="1" applyBorder="1" applyAlignment="1">
      <alignment horizontal="center"/>
    </xf>
    <xf numFmtId="0" fontId="137" fillId="45" borderId="5" xfId="8726" applyFont="1" applyFill="1" applyBorder="1" applyAlignment="1">
      <alignment horizontal="center"/>
    </xf>
    <xf numFmtId="0" fontId="137" fillId="45" borderId="79" xfId="8726" applyFont="1" applyFill="1" applyBorder="1" applyAlignment="1">
      <alignment horizontal="center"/>
    </xf>
    <xf numFmtId="168" fontId="153" fillId="44" borderId="11" xfId="8727" applyNumberFormat="1" applyFont="1" applyFill="1" applyBorder="1" applyAlignment="1" applyProtection="1">
      <alignment horizontal="left"/>
    </xf>
    <xf numFmtId="0" fontId="137" fillId="45" borderId="11" xfId="8726" applyFont="1" applyFill="1" applyBorder="1" applyAlignment="1">
      <alignment horizontal="right"/>
    </xf>
    <xf numFmtId="1" fontId="2" fillId="44" borderId="11" xfId="8726" applyNumberFormat="1" applyFill="1" applyBorder="1" applyAlignment="1">
      <alignment horizontal="center"/>
    </xf>
    <xf numFmtId="0" fontId="2" fillId="44" borderId="11" xfId="8726" applyFill="1" applyBorder="1" applyAlignment="1">
      <alignment horizontal="center"/>
    </xf>
    <xf numFmtId="0" fontId="135" fillId="45" borderId="11" xfId="8726" applyFont="1" applyFill="1" applyBorder="1" applyAlignment="1">
      <alignment horizontal="right" wrapText="1"/>
    </xf>
    <xf numFmtId="14" fontId="136" fillId="49" borderId="11" xfId="8726" applyNumberFormat="1" applyFont="1" applyFill="1" applyBorder="1" applyAlignment="1" applyProtection="1">
      <alignment horizontal="center" vertical="center"/>
      <protection locked="0"/>
    </xf>
    <xf numFmtId="0" fontId="136" fillId="49" borderId="11" xfId="8726" applyFont="1" applyFill="1" applyBorder="1" applyAlignment="1" applyProtection="1">
      <alignment horizontal="center" vertical="center"/>
      <protection locked="0"/>
    </xf>
    <xf numFmtId="0" fontId="90" fillId="45" borderId="67" xfId="8726" applyFont="1" applyFill="1" applyBorder="1" applyAlignment="1">
      <alignment horizontal="center"/>
    </xf>
    <xf numFmtId="0" fontId="90" fillId="45" borderId="68" xfId="8726" applyFont="1" applyFill="1" applyBorder="1" applyAlignment="1">
      <alignment horizontal="center"/>
    </xf>
    <xf numFmtId="0" fontId="90" fillId="45" borderId="69" xfId="8726" applyFont="1" applyFill="1" applyBorder="1" applyAlignment="1">
      <alignment horizontal="center"/>
    </xf>
    <xf numFmtId="0" fontId="136" fillId="49" borderId="67" xfId="8726" applyFont="1" applyFill="1" applyBorder="1" applyAlignment="1" applyProtection="1">
      <alignment horizontal="center"/>
      <protection locked="0"/>
    </xf>
    <xf numFmtId="0" fontId="136" fillId="49" borderId="68" xfId="8726" applyFont="1" applyFill="1" applyBorder="1" applyAlignment="1" applyProtection="1">
      <alignment horizontal="center"/>
      <protection locked="0"/>
    </xf>
    <xf numFmtId="0" fontId="136" fillId="49" borderId="69" xfId="8726" applyFont="1" applyFill="1" applyBorder="1" applyAlignment="1" applyProtection="1">
      <alignment horizontal="center"/>
      <protection locked="0"/>
    </xf>
    <xf numFmtId="0" fontId="90" fillId="45" borderId="67" xfId="8726" applyFont="1" applyFill="1" applyBorder="1" applyAlignment="1">
      <alignment horizontal="right"/>
    </xf>
    <xf numFmtId="0" fontId="90" fillId="45" borderId="68" xfId="8726" applyFont="1" applyFill="1" applyBorder="1" applyAlignment="1">
      <alignment horizontal="right"/>
    </xf>
    <xf numFmtId="0" fontId="90" fillId="45" borderId="99" xfId="8726" applyFont="1" applyFill="1" applyBorder="1" applyAlignment="1">
      <alignment horizontal="right"/>
    </xf>
    <xf numFmtId="0" fontId="2" fillId="44" borderId="97" xfId="8726" applyFill="1" applyBorder="1" applyAlignment="1">
      <alignment horizontal="center"/>
    </xf>
    <xf numFmtId="0" fontId="2" fillId="44" borderId="98" xfId="8726" applyFill="1" applyBorder="1" applyAlignment="1">
      <alignment horizontal="center"/>
    </xf>
    <xf numFmtId="1" fontId="136" fillId="49" borderId="11" xfId="8726" applyNumberFormat="1" applyFont="1" applyFill="1" applyBorder="1" applyAlignment="1" applyProtection="1">
      <alignment horizontal="center"/>
      <protection locked="0"/>
    </xf>
    <xf numFmtId="0" fontId="133" fillId="47" borderId="65" xfId="8726" applyFont="1" applyFill="1" applyBorder="1" applyAlignment="1">
      <alignment horizontal="center"/>
    </xf>
    <xf numFmtId="0" fontId="133" fillId="47" borderId="29" xfId="8726" applyFont="1" applyFill="1" applyBorder="1" applyAlignment="1">
      <alignment horizontal="center"/>
    </xf>
    <xf numFmtId="0" fontId="133" fillId="47" borderId="31" xfId="8726" applyFont="1" applyFill="1" applyBorder="1" applyAlignment="1">
      <alignment horizontal="center"/>
    </xf>
    <xf numFmtId="0" fontId="134" fillId="49" borderId="66" xfId="8726" applyFont="1" applyFill="1" applyBorder="1" applyAlignment="1">
      <alignment horizontal="center"/>
    </xf>
    <xf numFmtId="0" fontId="134" fillId="49" borderId="0" xfId="8726" applyFont="1" applyFill="1" applyAlignment="1">
      <alignment horizontal="center"/>
    </xf>
    <xf numFmtId="0" fontId="134" fillId="49" borderId="41" xfId="8726" applyFont="1" applyFill="1" applyBorder="1" applyAlignment="1">
      <alignment horizontal="center"/>
    </xf>
    <xf numFmtId="0" fontId="136" fillId="44" borderId="67" xfId="8726" applyFont="1" applyFill="1" applyBorder="1" applyAlignment="1">
      <alignment horizontal="left"/>
    </xf>
    <xf numFmtId="0" fontId="136" fillId="44" borderId="68" xfId="8726" applyFont="1" applyFill="1" applyBorder="1" applyAlignment="1">
      <alignment horizontal="left"/>
    </xf>
    <xf numFmtId="0" fontId="136" fillId="44" borderId="69" xfId="8726" applyFont="1" applyFill="1" applyBorder="1" applyAlignment="1">
      <alignment horizontal="left"/>
    </xf>
    <xf numFmtId="0" fontId="135" fillId="45" borderId="11" xfId="8726" applyFont="1" applyFill="1" applyBorder="1" applyAlignment="1">
      <alignment horizontal="right"/>
    </xf>
    <xf numFmtId="0" fontId="2" fillId="44" borderId="67" xfId="8726" applyFill="1" applyBorder="1" applyAlignment="1">
      <alignment horizontal="center"/>
    </xf>
    <xf numFmtId="0" fontId="2" fillId="44" borderId="68" xfId="8726" applyFill="1" applyBorder="1" applyAlignment="1">
      <alignment horizontal="center"/>
    </xf>
    <xf numFmtId="0" fontId="2" fillId="44" borderId="69" xfId="8726" applyFill="1" applyBorder="1" applyAlignment="1">
      <alignment horizontal="center"/>
    </xf>
    <xf numFmtId="0" fontId="90" fillId="45" borderId="70" xfId="8726" applyFont="1" applyFill="1" applyBorder="1" applyAlignment="1">
      <alignment horizontal="center" wrapText="1"/>
    </xf>
    <xf numFmtId="0" fontId="90" fillId="45" borderId="71" xfId="8726" applyFont="1" applyFill="1" applyBorder="1" applyAlignment="1">
      <alignment horizontal="center" wrapText="1"/>
    </xf>
    <xf numFmtId="0" fontId="90" fillId="45" borderId="74" xfId="8726" applyFont="1" applyFill="1" applyBorder="1" applyAlignment="1">
      <alignment horizontal="center" wrapText="1"/>
    </xf>
    <xf numFmtId="0" fontId="90" fillId="45" borderId="104" xfId="8726" applyFont="1" applyFill="1" applyBorder="1" applyAlignment="1">
      <alignment horizontal="center"/>
    </xf>
    <xf numFmtId="0" fontId="90" fillId="45" borderId="97" xfId="8726" applyFont="1" applyFill="1" applyBorder="1" applyAlignment="1">
      <alignment horizontal="center"/>
    </xf>
    <xf numFmtId="0" fontId="90" fillId="45" borderId="98" xfId="8726" applyFont="1" applyFill="1" applyBorder="1" applyAlignment="1">
      <alignment horizontal="center"/>
    </xf>
    <xf numFmtId="43" fontId="134" fillId="56" borderId="13" xfId="698" applyFont="1" applyFill="1" applyBorder="1" applyAlignment="1" applyProtection="1">
      <alignment horizontal="center"/>
      <protection hidden="1"/>
    </xf>
    <xf numFmtId="43" fontId="136" fillId="53" borderId="11" xfId="698" applyFont="1" applyFill="1" applyBorder="1" applyAlignment="1" applyProtection="1">
      <alignment horizontal="left" wrapText="1"/>
      <protection hidden="1"/>
    </xf>
    <xf numFmtId="0" fontId="151" fillId="45" borderId="11" xfId="8726" applyFont="1" applyFill="1" applyBorder="1" applyAlignment="1">
      <alignment horizontal="left"/>
    </xf>
    <xf numFmtId="0" fontId="161" fillId="45" borderId="11" xfId="8726" applyFont="1" applyFill="1" applyBorder="1" applyAlignment="1">
      <alignment horizontal="left" wrapText="1"/>
    </xf>
    <xf numFmtId="0" fontId="138" fillId="45" borderId="13" xfId="0" applyFont="1" applyFill="1" applyBorder="1" applyAlignment="1" applyProtection="1">
      <alignment horizontal="left" wrapText="1"/>
      <protection hidden="1"/>
    </xf>
    <xf numFmtId="0" fontId="138" fillId="45" borderId="13" xfId="0" applyFont="1" applyFill="1" applyBorder="1" applyAlignment="1" applyProtection="1">
      <alignment horizontal="center" wrapText="1"/>
      <protection hidden="1"/>
    </xf>
    <xf numFmtId="182" fontId="2" fillId="0" borderId="13" xfId="8726" applyNumberFormat="1" applyBorder="1" applyAlignment="1">
      <alignment horizontal="center"/>
    </xf>
    <xf numFmtId="0" fontId="2" fillId="0" borderId="13" xfId="8726" applyBorder="1" applyAlignment="1">
      <alignment horizontal="center"/>
    </xf>
    <xf numFmtId="168" fontId="136" fillId="49" borderId="11" xfId="8727" applyNumberFormat="1" applyFont="1" applyFill="1" applyBorder="1" applyAlignment="1">
      <alignment horizontal="center"/>
    </xf>
    <xf numFmtId="0" fontId="134" fillId="44" borderId="11" xfId="8726" applyFont="1" applyFill="1" applyBorder="1" applyAlignment="1">
      <alignment horizontal="left"/>
    </xf>
    <xf numFmtId="0" fontId="151" fillId="48" borderId="3" xfId="8726" applyFont="1" applyFill="1" applyBorder="1" applyAlignment="1">
      <alignment horizontal="center"/>
    </xf>
    <xf numFmtId="0" fontId="151" fillId="48" borderId="4" xfId="8726" applyFont="1" applyFill="1" applyBorder="1" applyAlignment="1">
      <alignment horizontal="center"/>
    </xf>
    <xf numFmtId="0" fontId="151" fillId="48" borderId="5" xfId="8726" applyFont="1" applyFill="1" applyBorder="1" applyAlignment="1">
      <alignment horizontal="center"/>
    </xf>
    <xf numFmtId="0" fontId="136" fillId="49" borderId="3" xfId="0" applyFont="1" applyFill="1" applyBorder="1" applyAlignment="1" applyProtection="1">
      <alignment horizontal="center"/>
      <protection locked="0"/>
    </xf>
    <xf numFmtId="0" fontId="136" fillId="49" borderId="4" xfId="0" applyFont="1" applyFill="1" applyBorder="1" applyAlignment="1" applyProtection="1">
      <alignment horizontal="center"/>
      <protection locked="0"/>
    </xf>
    <xf numFmtId="0" fontId="136" fillId="49" borderId="5" xfId="0" applyFont="1" applyFill="1" applyBorder="1" applyAlignment="1" applyProtection="1">
      <alignment horizontal="center"/>
      <protection locked="0"/>
    </xf>
    <xf numFmtId="43" fontId="134" fillId="53" borderId="80" xfId="698" applyFont="1" applyFill="1" applyBorder="1" applyAlignment="1" applyProtection="1">
      <alignment horizontal="right"/>
      <protection hidden="1"/>
    </xf>
    <xf numFmtId="43" fontId="134" fillId="53" borderId="11" xfId="698" applyFont="1" applyFill="1" applyBorder="1" applyAlignment="1" applyProtection="1">
      <alignment horizontal="right"/>
      <protection hidden="1"/>
    </xf>
    <xf numFmtId="44" fontId="134" fillId="0" borderId="11" xfId="700" applyFont="1" applyBorder="1" applyAlignment="1" applyProtection="1">
      <alignment horizontal="center"/>
      <protection hidden="1"/>
    </xf>
    <xf numFmtId="164" fontId="134" fillId="0" borderId="11" xfId="700" applyNumberFormat="1" applyFont="1" applyBorder="1" applyAlignment="1" applyProtection="1">
      <alignment horizontal="center"/>
      <protection hidden="1"/>
    </xf>
    <xf numFmtId="9" fontId="134" fillId="0" borderId="11" xfId="1022" applyFont="1" applyBorder="1" applyAlignment="1" applyProtection="1">
      <alignment horizontal="center"/>
      <protection hidden="1"/>
    </xf>
    <xf numFmtId="168" fontId="14" fillId="2" borderId="3" xfId="569" applyNumberFormat="1" applyFill="1" applyBorder="1" applyAlignment="1">
      <alignment horizontal="center"/>
    </xf>
    <xf numFmtId="168" fontId="14" fillId="2" borderId="4" xfId="569" applyNumberFormat="1" applyFill="1" applyBorder="1" applyAlignment="1">
      <alignment horizontal="center"/>
    </xf>
    <xf numFmtId="168" fontId="14" fillId="2" borderId="5" xfId="569" applyNumberFormat="1" applyFill="1" applyBorder="1" applyAlignment="1">
      <alignment horizontal="center"/>
    </xf>
    <xf numFmtId="168" fontId="14" fillId="5" borderId="5" xfId="569" applyNumberFormat="1" applyFill="1" applyBorder="1" applyAlignment="1" applyProtection="1">
      <alignment horizontal="center"/>
      <protection locked="0"/>
    </xf>
    <xf numFmtId="168" fontId="14" fillId="5" borderId="11" xfId="569" applyNumberFormat="1" applyFill="1" applyBorder="1" applyAlignment="1" applyProtection="1">
      <alignment horizontal="center"/>
      <protection locked="0"/>
    </xf>
    <xf numFmtId="168" fontId="14" fillId="0" borderId="5" xfId="569" applyNumberFormat="1" applyBorder="1" applyAlignment="1">
      <alignment horizontal="center"/>
    </xf>
    <xf numFmtId="168" fontId="14" fillId="0" borderId="11" xfId="569" applyNumberFormat="1" applyBorder="1" applyAlignment="1">
      <alignment horizontal="center"/>
    </xf>
    <xf numFmtId="168" fontId="14" fillId="0" borderId="3" xfId="569" applyNumberFormat="1" applyBorder="1" applyAlignment="1">
      <alignment horizontal="center"/>
    </xf>
    <xf numFmtId="168" fontId="14" fillId="0" borderId="4" xfId="569" applyNumberFormat="1" applyBorder="1" applyAlignment="1">
      <alignment horizontal="center"/>
    </xf>
    <xf numFmtId="179" fontId="21" fillId="0" borderId="0" xfId="569" applyNumberFormat="1" applyFont="1" applyAlignment="1">
      <alignment horizontal="center" wrapText="1"/>
    </xf>
    <xf numFmtId="0" fontId="21" fillId="0" borderId="16" xfId="271" applyFont="1" applyBorder="1" applyAlignment="1">
      <alignment horizontal="center"/>
    </xf>
    <xf numFmtId="164" fontId="21" fillId="0" borderId="0" xfId="569" applyNumberFormat="1" applyFont="1" applyAlignment="1">
      <alignment horizontal="center" wrapText="1"/>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44" fillId="0" borderId="0" xfId="569" applyFont="1" applyAlignment="1">
      <alignment horizontal="left"/>
    </xf>
    <xf numFmtId="0" fontId="14" fillId="0" borderId="3" xfId="569" applyBorder="1" applyAlignment="1">
      <alignment horizontal="right"/>
    </xf>
    <xf numFmtId="0" fontId="14" fillId="0" borderId="4" xfId="569" applyBorder="1" applyAlignment="1">
      <alignment horizontal="right"/>
    </xf>
    <xf numFmtId="0" fontId="14" fillId="0" borderId="5" xfId="569" applyBorder="1" applyAlignment="1">
      <alignment horizontal="right"/>
    </xf>
    <xf numFmtId="0" fontId="22" fillId="0" borderId="3" xfId="569" applyFont="1" applyBorder="1" applyAlignment="1">
      <alignment horizontal="right"/>
    </xf>
    <xf numFmtId="0" fontId="22" fillId="0" borderId="4" xfId="569" applyFont="1" applyBorder="1" applyAlignment="1">
      <alignment horizontal="right"/>
    </xf>
    <xf numFmtId="0" fontId="22" fillId="0" borderId="5" xfId="569" applyFont="1" applyBorder="1" applyAlignment="1">
      <alignment horizontal="right"/>
    </xf>
    <xf numFmtId="168" fontId="14" fillId="0" borderId="3" xfId="569" applyNumberFormat="1" applyBorder="1" applyAlignment="1">
      <alignment horizontal="right"/>
    </xf>
    <xf numFmtId="168" fontId="14" fillId="0" borderId="4" xfId="569" applyNumberFormat="1" applyBorder="1" applyAlignment="1">
      <alignment horizontal="right"/>
    </xf>
    <xf numFmtId="168" fontId="14" fillId="0" borderId="5" xfId="569" applyNumberFormat="1" applyBorder="1" applyAlignment="1">
      <alignment horizontal="right"/>
    </xf>
    <xf numFmtId="9" fontId="14" fillId="0" borderId="5" xfId="569" applyNumberFormat="1" applyBorder="1" applyAlignment="1">
      <alignment horizontal="center"/>
    </xf>
    <xf numFmtId="9" fontId="14" fillId="0" borderId="11" xfId="569" applyNumberFormat="1" applyBorder="1" applyAlignment="1">
      <alignment horizontal="center"/>
    </xf>
    <xf numFmtId="0" fontId="21" fillId="0" borderId="3" xfId="569" applyFont="1" applyBorder="1" applyAlignment="1">
      <alignment horizontal="left"/>
    </xf>
    <xf numFmtId="0" fontId="21" fillId="0" borderId="5" xfId="569" applyFont="1" applyBorder="1" applyAlignment="1">
      <alignment horizontal="left"/>
    </xf>
    <xf numFmtId="0" fontId="22" fillId="0" borderId="4" xfId="569" applyFont="1" applyBorder="1" applyAlignment="1">
      <alignment horizontal="left"/>
    </xf>
    <xf numFmtId="0" fontId="22" fillId="0" borderId="5" xfId="569" applyFont="1" applyBorder="1" applyAlignment="1">
      <alignment horizontal="left"/>
    </xf>
    <xf numFmtId="0" fontId="20" fillId="3" borderId="2" xfId="569" applyFont="1" applyFill="1" applyBorder="1" applyAlignment="1">
      <alignment horizontal="center" vertical="center"/>
    </xf>
    <xf numFmtId="0" fontId="20" fillId="3" borderId="16" xfId="569" applyFont="1" applyFill="1" applyBorder="1" applyAlignment="1">
      <alignment horizontal="center" vertical="center"/>
    </xf>
    <xf numFmtId="0" fontId="21" fillId="0" borderId="11" xfId="569" applyFont="1" applyBorder="1" applyAlignment="1">
      <alignment horizontal="center" wrapText="1"/>
    </xf>
    <xf numFmtId="168" fontId="14" fillId="0" borderId="7" xfId="569" applyNumberFormat="1" applyBorder="1" applyAlignment="1">
      <alignment horizontal="center"/>
    </xf>
    <xf numFmtId="168" fontId="14" fillId="0" borderId="15" xfId="569" applyNumberFormat="1" applyBorder="1" applyAlignment="1">
      <alignment horizontal="center"/>
    </xf>
    <xf numFmtId="168" fontId="14" fillId="5" borderId="10" xfId="569" applyNumberFormat="1" applyFill="1" applyBorder="1" applyAlignment="1" applyProtection="1">
      <alignment horizontal="center"/>
      <protection locked="0"/>
    </xf>
    <xf numFmtId="168" fontId="14" fillId="5" borderId="13" xfId="569" applyNumberFormat="1" applyFill="1" applyBorder="1" applyAlignment="1" applyProtection="1">
      <alignment horizontal="center"/>
      <protection locked="0"/>
    </xf>
    <xf numFmtId="5" fontId="14" fillId="0" borderId="5" xfId="569" applyNumberFormat="1" applyBorder="1" applyAlignment="1">
      <alignment horizontal="center"/>
    </xf>
    <xf numFmtId="5" fontId="14" fillId="0" borderId="11" xfId="569" applyNumberFormat="1" applyBorder="1" applyAlignment="1">
      <alignment horizontal="center"/>
    </xf>
    <xf numFmtId="5" fontId="14" fillId="0" borderId="3" xfId="569" applyNumberFormat="1" applyBorder="1" applyAlignment="1">
      <alignment horizontal="center"/>
    </xf>
    <xf numFmtId="5" fontId="14" fillId="0" borderId="4" xfId="569" applyNumberFormat="1" applyBorder="1" applyAlignment="1">
      <alignment horizontal="center"/>
    </xf>
    <xf numFmtId="9" fontId="14" fillId="0" borderId="9" xfId="569" applyNumberFormat="1" applyBorder="1" applyAlignment="1">
      <alignment horizontal="center" vertical="center"/>
    </xf>
    <xf numFmtId="9" fontId="14" fillId="0" borderId="6" xfId="569" applyNumberFormat="1" applyBorder="1" applyAlignment="1">
      <alignment horizontal="center" vertical="center"/>
    </xf>
    <xf numFmtId="9" fontId="14" fillId="0" borderId="10" xfId="569" applyNumberFormat="1" applyBorder="1" applyAlignment="1">
      <alignment horizontal="center" vertical="center"/>
    </xf>
    <xf numFmtId="168" fontId="14" fillId="0" borderId="11" xfId="569" applyNumberFormat="1" applyBorder="1" applyAlignment="1">
      <alignment horizontal="right"/>
    </xf>
    <xf numFmtId="0" fontId="21" fillId="0" borderId="6" xfId="569" applyFont="1" applyBorder="1" applyAlignment="1">
      <alignment horizontal="center"/>
    </xf>
    <xf numFmtId="0" fontId="14" fillId="0" borderId="4" xfId="569" applyBorder="1" applyAlignment="1">
      <alignment horizontal="center"/>
    </xf>
    <xf numFmtId="0" fontId="14" fillId="0" borderId="5" xfId="569" applyBorder="1" applyAlignment="1">
      <alignment horizontal="center"/>
    </xf>
    <xf numFmtId="176" fontId="14" fillId="5" borderId="3" xfId="569" applyNumberFormat="1" applyFill="1" applyBorder="1" applyAlignment="1" applyProtection="1">
      <alignment horizontal="right"/>
      <protection locked="0"/>
    </xf>
    <xf numFmtId="176" fontId="14" fillId="5" borderId="4" xfId="569" applyNumberFormat="1" applyFill="1" applyBorder="1" applyAlignment="1" applyProtection="1">
      <alignment horizontal="right"/>
      <protection locked="0"/>
    </xf>
    <xf numFmtId="176" fontId="14" fillId="5" borderId="5" xfId="569" applyNumberFormat="1" applyFill="1" applyBorder="1" applyAlignment="1" applyProtection="1">
      <alignment horizontal="right"/>
      <protection locked="0"/>
    </xf>
    <xf numFmtId="0" fontId="95" fillId="0" borderId="0" xfId="569" applyFont="1" applyAlignment="1">
      <alignment horizontal="left" wrapText="1"/>
    </xf>
    <xf numFmtId="168" fontId="14" fillId="0" borderId="3" xfId="569" applyNumberFormat="1" applyBorder="1" applyAlignment="1" applyProtection="1">
      <alignment horizontal="right"/>
      <protection locked="0"/>
    </xf>
    <xf numFmtId="168" fontId="14" fillId="0" borderId="4" xfId="569" applyNumberFormat="1" applyBorder="1" applyAlignment="1" applyProtection="1">
      <alignment horizontal="right"/>
      <protection locked="0"/>
    </xf>
    <xf numFmtId="168" fontId="14" fillId="0" borderId="5" xfId="569" applyNumberFormat="1" applyBorder="1" applyAlignment="1" applyProtection="1">
      <alignment horizontal="right"/>
      <protection locked="0"/>
    </xf>
    <xf numFmtId="0" fontId="21" fillId="0" borderId="11" xfId="569" applyFont="1" applyBorder="1" applyAlignment="1">
      <alignment horizontal="center"/>
    </xf>
    <xf numFmtId="165" fontId="14" fillId="0" borderId="11" xfId="569" applyNumberFormat="1" applyBorder="1" applyAlignment="1" applyProtection="1">
      <alignment horizontal="center"/>
      <protection locked="0"/>
    </xf>
    <xf numFmtId="168" fontId="14" fillId="0" borderId="11" xfId="569" applyNumberFormat="1" applyBorder="1" applyAlignment="1">
      <alignment wrapText="1"/>
    </xf>
    <xf numFmtId="9" fontId="14" fillId="0" borderId="15" xfId="569" applyNumberFormat="1" applyBorder="1" applyAlignment="1">
      <alignment horizontal="center"/>
    </xf>
    <xf numFmtId="0" fontId="14" fillId="0" borderId="11" xfId="569" applyBorder="1" applyAlignment="1">
      <alignment horizontal="center"/>
    </xf>
    <xf numFmtId="0" fontId="95" fillId="0" borderId="0" xfId="0" applyFont="1" applyAlignment="1">
      <alignment horizontal="left" vertical="top" wrapText="1"/>
    </xf>
    <xf numFmtId="0" fontId="19" fillId="0" borderId="6" xfId="271" applyFont="1" applyBorder="1" applyAlignment="1">
      <alignment horizontal="center"/>
    </xf>
    <xf numFmtId="3" fontId="14" fillId="0" borderId="0" xfId="0" applyNumberFormat="1" applyFont="1" applyAlignment="1">
      <alignment horizontal="left" vertical="top" wrapText="1"/>
    </xf>
    <xf numFmtId="0" fontId="14" fillId="43" borderId="0" xfId="0" applyFont="1" applyFill="1" applyAlignment="1">
      <alignment horizontal="left"/>
    </xf>
    <xf numFmtId="0" fontId="15" fillId="0" borderId="0" xfId="244" applyAlignment="1"/>
    <xf numFmtId="0" fontId="0" fillId="0" borderId="0" xfId="0" applyAlignment="1"/>
    <xf numFmtId="0" fontId="37" fillId="0" borderId="0" xfId="0" applyFont="1"/>
    <xf numFmtId="0" fontId="15" fillId="0" borderId="0" xfId="244" applyFont="1" applyAlignment="1" applyProtection="1">
      <alignment horizontal="center"/>
    </xf>
    <xf numFmtId="0" fontId="14" fillId="0" borderId="0" xfId="0" applyFont="1" applyAlignment="1">
      <alignment horizontal="center" vertical="center"/>
    </xf>
    <xf numFmtId="0" fontId="14" fillId="0" borderId="0" xfId="0" applyFont="1" applyAlignment="1">
      <alignment horizontal="left" indent="4"/>
    </xf>
    <xf numFmtId="0" fontId="103" fillId="0" borderId="0" xfId="569" applyFont="1" applyAlignment="1"/>
    <xf numFmtId="0" fontId="14" fillId="0" borderId="0" xfId="569" applyAlignment="1"/>
    <xf numFmtId="168" fontId="14" fillId="0" borderId="4" xfId="0" applyNumberFormat="1" applyFont="1" applyBorder="1" applyAlignment="1">
      <alignment horizontal="center"/>
    </xf>
    <xf numFmtId="0" fontId="14" fillId="0" borderId="4" xfId="0" applyFont="1" applyBorder="1" applyAlignment="1" applyProtection="1">
      <alignment horizontal="left"/>
      <protection locked="0"/>
    </xf>
    <xf numFmtId="0" fontId="39" fillId="0" borderId="0" xfId="244" applyFont="1" applyFill="1" applyBorder="1" applyAlignment="1" applyProtection="1">
      <alignment horizontal="left"/>
    </xf>
    <xf numFmtId="0" fontId="0" fillId="5" borderId="6" xfId="0" applyFill="1" applyBorder="1" applyAlignment="1" applyProtection="1">
      <protection locked="0"/>
    </xf>
    <xf numFmtId="0" fontId="14" fillId="9" borderId="6" xfId="0" applyFont="1" applyFill="1" applyBorder="1"/>
    <xf numFmtId="166" fontId="14" fillId="0" borderId="0" xfId="0" applyNumberFormat="1" applyFont="1" applyAlignment="1">
      <alignment horizontal="left"/>
    </xf>
    <xf numFmtId="166" fontId="14" fillId="0" borderId="0" xfId="0" applyNumberFormat="1" applyFont="1"/>
    <xf numFmtId="0" fontId="14" fillId="5" borderId="6" xfId="0" applyFont="1" applyFill="1" applyBorder="1" applyAlignment="1" applyProtection="1">
      <alignment horizontal="center"/>
      <protection locked="0"/>
    </xf>
    <xf numFmtId="0" fontId="14" fillId="5" borderId="0" xfId="0" applyFont="1" applyFill="1" applyAlignment="1" applyProtection="1">
      <alignment horizontal="left" vertical="top" wrapText="1"/>
      <protection locked="0"/>
    </xf>
    <xf numFmtId="0" fontId="14" fillId="5" borderId="6" xfId="0" applyFont="1" applyFill="1" applyBorder="1" applyAlignment="1" applyProtection="1">
      <alignment horizontal="left" vertical="top" wrapText="1"/>
      <protection locked="0"/>
    </xf>
    <xf numFmtId="14" fontId="14" fillId="5" borderId="4" xfId="0" applyNumberFormat="1" applyFont="1" applyFill="1" applyBorder="1" applyAlignment="1" applyProtection="1">
      <alignment horizontal="right"/>
      <protection locked="0"/>
    </xf>
    <xf numFmtId="168" fontId="14" fillId="5" borderId="6" xfId="0" applyNumberFormat="1" applyFont="1" applyFill="1" applyBorder="1" applyAlignment="1" applyProtection="1">
      <alignment horizontal="right"/>
      <protection locked="0"/>
    </xf>
    <xf numFmtId="178" fontId="14" fillId="5" borderId="4" xfId="0" applyNumberFormat="1" applyFont="1" applyFill="1" applyBorder="1" applyAlignment="1" applyProtection="1">
      <alignment horizontal="right"/>
      <protection locked="0"/>
    </xf>
    <xf numFmtId="0" fontId="14" fillId="5" borderId="4" xfId="0" applyFont="1" applyFill="1" applyBorder="1" applyAlignment="1" applyProtection="1">
      <alignment horizontal="right"/>
      <protection locked="0"/>
    </xf>
    <xf numFmtId="10" fontId="14" fillId="5" borderId="4" xfId="0" applyNumberFormat="1" applyFont="1" applyFill="1" applyBorder="1" applyAlignment="1" applyProtection="1">
      <alignment horizontal="right"/>
      <protection locked="0"/>
    </xf>
    <xf numFmtId="168" fontId="14" fillId="0" borderId="0" xfId="0" applyNumberFormat="1" applyFont="1" applyAlignment="1">
      <alignment horizontal="right"/>
    </xf>
    <xf numFmtId="1" fontId="14" fillId="5" borderId="6" xfId="0" applyNumberFormat="1" applyFont="1" applyFill="1" applyBorder="1" applyAlignment="1" applyProtection="1">
      <alignment horizontal="right"/>
      <protection locked="0"/>
    </xf>
    <xf numFmtId="0" fontId="22" fillId="5" borderId="6" xfId="0" applyFont="1" applyFill="1" applyBorder="1" applyAlignment="1" applyProtection="1">
      <alignment horizontal="left"/>
      <protection locked="0"/>
    </xf>
    <xf numFmtId="0" fontId="14" fillId="5" borderId="11" xfId="0" applyFont="1" applyFill="1" applyBorder="1" applyAlignment="1" applyProtection="1">
      <alignment horizontal="center"/>
      <protection locked="0"/>
    </xf>
    <xf numFmtId="1" fontId="14" fillId="5" borderId="11" xfId="0" quotePrefix="1" applyNumberFormat="1" applyFont="1" applyFill="1" applyBorder="1" applyAlignment="1" applyProtection="1">
      <alignment horizontal="center"/>
      <protection locked="0"/>
    </xf>
    <xf numFmtId="1" fontId="14" fillId="5" borderId="11" xfId="0" applyNumberFormat="1" applyFont="1" applyFill="1" applyBorder="1" applyAlignment="1" applyProtection="1">
      <alignment horizontal="center"/>
      <protection locked="0"/>
    </xf>
    <xf numFmtId="10" fontId="14" fillId="0" borderId="11" xfId="0" applyNumberFormat="1" applyFont="1" applyBorder="1" applyAlignment="1">
      <alignment horizontal="center"/>
    </xf>
    <xf numFmtId="3" fontId="14" fillId="5" borderId="11" xfId="0" applyNumberFormat="1" applyFont="1" applyFill="1" applyBorder="1" applyAlignment="1" applyProtection="1">
      <alignment horizontal="center"/>
      <protection locked="0"/>
    </xf>
    <xf numFmtId="3" fontId="14" fillId="0" borderId="11" xfId="0" applyNumberFormat="1" applyFont="1" applyBorder="1" applyAlignment="1">
      <alignment horizontal="center"/>
    </xf>
    <xf numFmtId="168" fontId="14" fillId="0" borderId="11" xfId="0" applyNumberFormat="1" applyFont="1" applyBorder="1" applyAlignment="1">
      <alignment horizontal="center"/>
    </xf>
    <xf numFmtId="1" fontId="14" fillId="5" borderId="3" xfId="0" applyNumberFormat="1" applyFont="1" applyFill="1" applyBorder="1" applyAlignment="1" applyProtection="1">
      <alignment horizontal="right" vertical="top"/>
      <protection locked="0"/>
    </xf>
    <xf numFmtId="1" fontId="14" fillId="5" borderId="4" xfId="0" applyNumberFormat="1" applyFont="1" applyFill="1" applyBorder="1" applyAlignment="1" applyProtection="1">
      <alignment horizontal="right" vertical="top"/>
      <protection locked="0"/>
    </xf>
    <xf numFmtId="1" fontId="14" fillId="5" borderId="5" xfId="0" applyNumberFormat="1" applyFont="1" applyFill="1" applyBorder="1" applyAlignment="1" applyProtection="1">
      <alignment horizontal="right" vertical="top"/>
      <protection locked="0"/>
    </xf>
    <xf numFmtId="168" fontId="14" fillId="0" borderId="3" xfId="0" applyNumberFormat="1" applyFont="1" applyBorder="1" applyAlignment="1">
      <alignment vertical="top"/>
    </xf>
    <xf numFmtId="168" fontId="14" fillId="0" borderId="4" xfId="0" applyNumberFormat="1" applyFont="1" applyBorder="1" applyAlignment="1">
      <alignment vertical="top"/>
    </xf>
    <xf numFmtId="168" fontId="14" fillId="0" borderId="5" xfId="0" applyNumberFormat="1" applyFont="1" applyBorder="1" applyAlignment="1">
      <alignment vertical="top"/>
    </xf>
    <xf numFmtId="168" fontId="14" fillId="5" borderId="4" xfId="0" applyNumberFormat="1" applyFont="1" applyFill="1" applyBorder="1" applyAlignment="1" applyProtection="1">
      <alignment horizontal="left" vertical="top"/>
      <protection locked="0"/>
    </xf>
    <xf numFmtId="168" fontId="14" fillId="5" borderId="5" xfId="0" applyNumberFormat="1" applyFont="1" applyFill="1" applyBorder="1" applyAlignment="1" applyProtection="1">
      <alignment horizontal="left" vertical="top"/>
      <protection locked="0"/>
    </xf>
    <xf numFmtId="168" fontId="14" fillId="0" borderId="8" xfId="0" applyNumberFormat="1" applyFont="1" applyBorder="1" applyAlignment="1">
      <alignment vertical="top"/>
    </xf>
    <xf numFmtId="168" fontId="14" fillId="0" borderId="0" xfId="0" applyNumberFormat="1" applyFont="1" applyAlignment="1">
      <alignment vertical="top"/>
    </xf>
    <xf numFmtId="0" fontId="14" fillId="0" borderId="0" xfId="0" applyFont="1" applyAlignment="1">
      <alignment horizontal="right" vertical="top"/>
    </xf>
    <xf numFmtId="0" fontId="14" fillId="0" borderId="12" xfId="0" applyFont="1" applyBorder="1" applyAlignment="1">
      <alignment horizontal="right" vertical="top"/>
    </xf>
    <xf numFmtId="0" fontId="14" fillId="5" borderId="4" xfId="0" applyFont="1" applyFill="1" applyBorder="1" applyAlignment="1" applyProtection="1">
      <alignment horizontal="left" vertical="top"/>
      <protection locked="0"/>
    </xf>
    <xf numFmtId="0" fontId="14" fillId="5" borderId="5" xfId="0" applyFont="1" applyFill="1" applyBorder="1" applyAlignment="1" applyProtection="1">
      <alignment horizontal="left" vertical="top"/>
      <protection locked="0"/>
    </xf>
    <xf numFmtId="0" fontId="14" fillId="8" borderId="0" xfId="542" quotePrefix="1" applyFont="1" applyFill="1" applyAlignment="1">
      <alignment horizontal="left"/>
    </xf>
    <xf numFmtId="0" fontId="21" fillId="8" borderId="0" xfId="539" applyFont="1" applyFill="1" applyAlignment="1" applyProtection="1">
      <alignment horizontal="centerContinuous"/>
    </xf>
    <xf numFmtId="0" fontId="14" fillId="8" borderId="0" xfId="542" applyFont="1" applyFill="1"/>
    <xf numFmtId="0" fontId="14" fillId="5" borderId="9" xfId="0" applyFont="1" applyFill="1" applyBorder="1" applyAlignment="1" applyProtection="1">
      <alignment horizontal="center"/>
      <protection locked="0"/>
    </xf>
    <xf numFmtId="0" fontId="14" fillId="5" borderId="3" xfId="0" applyFont="1" applyFill="1" applyBorder="1" applyAlignment="1" applyProtection="1">
      <alignment horizontal="center"/>
      <protection locked="0"/>
    </xf>
    <xf numFmtId="0" fontId="14" fillId="5" borderId="4" xfId="0" applyFont="1" applyFill="1" applyBorder="1" applyAlignment="1" applyProtection="1">
      <alignment horizontal="center"/>
      <protection locked="0"/>
    </xf>
    <xf numFmtId="0" fontId="14" fillId="5" borderId="5" xfId="0" applyFont="1" applyFill="1" applyBorder="1" applyAlignment="1" applyProtection="1">
      <alignment horizontal="center"/>
      <protection locked="0"/>
    </xf>
    <xf numFmtId="165" fontId="14" fillId="5" borderId="3" xfId="0" applyNumberFormat="1" applyFont="1" applyFill="1" applyBorder="1" applyAlignment="1" applyProtection="1">
      <alignment horizontal="center"/>
      <protection locked="0"/>
    </xf>
    <xf numFmtId="165" fontId="14" fillId="5" borderId="4" xfId="0" applyNumberFormat="1" applyFont="1" applyFill="1" applyBorder="1" applyAlignment="1" applyProtection="1">
      <alignment horizontal="center"/>
      <protection locked="0"/>
    </xf>
    <xf numFmtId="165" fontId="14" fillId="5" borderId="5" xfId="0" applyNumberFormat="1" applyFont="1" applyFill="1" applyBorder="1" applyAlignment="1" applyProtection="1">
      <alignment horizontal="center"/>
      <protection locked="0"/>
    </xf>
    <xf numFmtId="0" fontId="14" fillId="45" borderId="3" xfId="0" applyFont="1" applyFill="1" applyBorder="1" applyAlignment="1">
      <alignment horizontal="center"/>
    </xf>
    <xf numFmtId="0" fontId="14" fillId="45" borderId="4" xfId="0" applyFont="1" applyFill="1" applyBorder="1" applyAlignment="1">
      <alignment horizontal="center"/>
    </xf>
    <xf numFmtId="0" fontId="14" fillId="45" borderId="5" xfId="0" applyFont="1" applyFill="1" applyBorder="1" applyAlignment="1">
      <alignment horizontal="center"/>
    </xf>
    <xf numFmtId="0" fontId="14" fillId="45" borderId="11" xfId="0" applyFont="1" applyFill="1" applyBorder="1" applyAlignment="1">
      <alignment horizontal="center"/>
    </xf>
    <xf numFmtId="0" fontId="14" fillId="2" borderId="11" xfId="0" applyFont="1" applyFill="1" applyBorder="1" applyAlignment="1">
      <alignment horizontal="center"/>
    </xf>
    <xf numFmtId="0" fontId="14" fillId="0" borderId="2" xfId="0" applyFont="1" applyBorder="1" applyAlignment="1">
      <alignment horizontal="center" vertical="top" wrapText="1"/>
    </xf>
    <xf numFmtId="0" fontId="14" fillId="0" borderId="7" xfId="0" applyFont="1" applyBorder="1" applyAlignment="1">
      <alignment horizontal="center" vertical="top" wrapText="1"/>
    </xf>
    <xf numFmtId="0" fontId="14" fillId="0" borderId="8" xfId="0" applyFont="1" applyBorder="1" applyAlignment="1">
      <alignment horizontal="center" vertical="top" wrapText="1"/>
    </xf>
    <xf numFmtId="0" fontId="14" fillId="0" borderId="0" xfId="0" applyFont="1" applyAlignment="1">
      <alignment horizontal="center" vertical="top" wrapText="1"/>
    </xf>
    <xf numFmtId="0" fontId="14" fillId="0" borderId="12" xfId="0" applyFont="1" applyBorder="1" applyAlignment="1">
      <alignment horizontal="center" vertical="top" wrapText="1"/>
    </xf>
    <xf numFmtId="0" fontId="14" fillId="0" borderId="9" xfId="0" applyFont="1" applyBorder="1" applyAlignment="1">
      <alignment horizontal="center" vertical="top" wrapText="1"/>
    </xf>
    <xf numFmtId="0" fontId="14" fillId="0" borderId="6" xfId="0" applyFont="1" applyBorder="1" applyAlignment="1">
      <alignment horizontal="center" vertical="top" wrapText="1"/>
    </xf>
    <xf numFmtId="0" fontId="14" fillId="0" borderId="10" xfId="0" applyFont="1" applyBorder="1" applyAlignment="1">
      <alignment horizontal="center" vertical="top" wrapText="1"/>
    </xf>
    <xf numFmtId="1" fontId="14" fillId="5" borderId="3" xfId="0" applyNumberFormat="1" applyFont="1" applyFill="1" applyBorder="1" applyAlignment="1" applyProtection="1">
      <alignment horizontal="center"/>
      <protection locked="0"/>
    </xf>
    <xf numFmtId="1" fontId="14" fillId="5" borderId="4" xfId="0" applyNumberFormat="1" applyFont="1" applyFill="1" applyBorder="1" applyAlignment="1" applyProtection="1">
      <alignment horizontal="center"/>
      <protection locked="0"/>
    </xf>
    <xf numFmtId="1" fontId="14" fillId="5" borderId="5" xfId="0" applyNumberFormat="1" applyFont="1" applyFill="1" applyBorder="1" applyAlignment="1" applyProtection="1">
      <alignment horizontal="center"/>
      <protection locked="0"/>
    </xf>
    <xf numFmtId="168" fontId="14" fillId="5" borderId="3" xfId="0" applyNumberFormat="1" applyFont="1" applyFill="1" applyBorder="1" applyAlignment="1" applyProtection="1">
      <alignment horizontal="center"/>
      <protection locked="0"/>
    </xf>
    <xf numFmtId="168" fontId="14" fillId="5" borderId="4" xfId="0" applyNumberFormat="1" applyFont="1" applyFill="1" applyBorder="1" applyAlignment="1" applyProtection="1">
      <alignment horizontal="center"/>
      <protection locked="0"/>
    </xf>
    <xf numFmtId="168" fontId="14" fillId="5" borderId="5" xfId="0" applyNumberFormat="1" applyFont="1" applyFill="1" applyBorder="1" applyAlignment="1" applyProtection="1">
      <alignment horizontal="center"/>
      <protection locked="0"/>
    </xf>
    <xf numFmtId="168" fontId="14" fillId="0" borderId="3" xfId="0" applyNumberFormat="1" applyFont="1" applyBorder="1" applyAlignment="1">
      <alignment horizontal="center"/>
    </xf>
    <xf numFmtId="168" fontId="14" fillId="0" borderId="5" xfId="0" applyNumberFormat="1" applyFont="1" applyBorder="1" applyAlignment="1">
      <alignment horizontal="center"/>
    </xf>
    <xf numFmtId="9" fontId="14" fillId="5" borderId="3" xfId="0" applyNumberFormat="1" applyFont="1" applyFill="1" applyBorder="1" applyAlignment="1" applyProtection="1">
      <alignment horizontal="center"/>
      <protection locked="0"/>
    </xf>
    <xf numFmtId="9" fontId="14" fillId="5" borderId="4" xfId="0" applyNumberFormat="1" applyFont="1" applyFill="1" applyBorder="1" applyAlignment="1" applyProtection="1">
      <alignment horizontal="center"/>
      <protection locked="0"/>
    </xf>
    <xf numFmtId="9" fontId="14" fillId="5" borderId="5" xfId="0" applyNumberFormat="1" applyFont="1" applyFill="1" applyBorder="1" applyAlignment="1" applyProtection="1">
      <alignment horizontal="center"/>
      <protection locked="0"/>
    </xf>
    <xf numFmtId="165" fontId="14" fillId="0" borderId="1" xfId="0" applyNumberFormat="1" applyFont="1" applyBorder="1" applyAlignment="1">
      <alignment horizontal="right"/>
    </xf>
    <xf numFmtId="165" fontId="14" fillId="0" borderId="2" xfId="0" applyNumberFormat="1" applyFont="1" applyBorder="1" applyAlignment="1">
      <alignment horizontal="right"/>
    </xf>
    <xf numFmtId="165" fontId="14" fillId="0" borderId="7" xfId="0" applyNumberFormat="1" applyFont="1" applyBorder="1" applyAlignment="1">
      <alignment horizontal="right"/>
    </xf>
    <xf numFmtId="5" fontId="14" fillId="0" borderId="0" xfId="542" applyNumberFormat="1" applyFont="1"/>
    <xf numFmtId="1" fontId="14" fillId="0" borderId="4" xfId="0" applyNumberFormat="1" applyFont="1" applyBorder="1" applyAlignment="1">
      <alignment horizontal="center"/>
    </xf>
    <xf numFmtId="1" fontId="14" fillId="0" borderId="5" xfId="0" applyNumberFormat="1" applyFont="1" applyBorder="1" applyAlignment="1">
      <alignment horizontal="center"/>
    </xf>
    <xf numFmtId="0" fontId="23" fillId="5" borderId="6" xfId="271" applyFill="1" applyBorder="1" applyAlignment="1" applyProtection="1">
      <protection locked="0"/>
    </xf>
    <xf numFmtId="0" fontId="14" fillId="0" borderId="11" xfId="0" applyFont="1" applyBorder="1" applyAlignment="1">
      <alignment horizontal="center" vertical="top" wrapText="1"/>
    </xf>
    <xf numFmtId="9" fontId="14" fillId="0" borderId="0" xfId="0" applyNumberFormat="1" applyFont="1"/>
    <xf numFmtId="0" fontId="22" fillId="5" borderId="3" xfId="543" applyFont="1" applyFill="1" applyBorder="1" applyAlignment="1">
      <alignment horizontal="center"/>
    </xf>
    <xf numFmtId="0" fontId="22" fillId="5" borderId="4" xfId="543" applyFont="1" applyFill="1" applyBorder="1" applyAlignment="1">
      <alignment horizontal="center"/>
    </xf>
    <xf numFmtId="0" fontId="22" fillId="5" borderId="5" xfId="543" applyFont="1" applyFill="1" applyBorder="1" applyAlignment="1">
      <alignment horizontal="center"/>
    </xf>
    <xf numFmtId="0" fontId="14" fillId="0" borderId="0" xfId="543" applyFont="1"/>
    <xf numFmtId="168" fontId="21" fillId="0" borderId="6" xfId="543" applyNumberFormat="1" applyFont="1" applyBorder="1" applyAlignment="1">
      <alignment horizontal="left"/>
    </xf>
    <xf numFmtId="168" fontId="21" fillId="0" borderId="6" xfId="543" applyNumberFormat="1" applyFont="1" applyBorder="1" applyAlignment="1">
      <alignment horizontal="center"/>
    </xf>
    <xf numFmtId="0" fontId="14" fillId="5" borderId="3" xfId="0" applyFont="1" applyFill="1" applyBorder="1" applyAlignment="1" applyProtection="1">
      <protection locked="0"/>
    </xf>
    <xf numFmtId="0" fontId="14" fillId="0" borderId="4" xfId="0" applyFont="1" applyBorder="1" applyAlignment="1" applyProtection="1">
      <protection locked="0"/>
    </xf>
    <xf numFmtId="0" fontId="14" fillId="0" borderId="5" xfId="0" applyFont="1" applyBorder="1" applyAlignment="1" applyProtection="1">
      <protection locked="0"/>
    </xf>
    <xf numFmtId="168" fontId="0" fillId="5" borderId="11" xfId="0" applyNumberFormat="1" applyFill="1" applyBorder="1" applyAlignment="1" applyProtection="1">
      <protection locked="0"/>
    </xf>
    <xf numFmtId="0" fontId="14" fillId="0" borderId="11" xfId="0" applyFont="1" applyBorder="1" applyAlignment="1">
      <alignment horizontal="left"/>
    </xf>
    <xf numFmtId="168" fontId="0" fillId="0" borderId="11" xfId="0" applyNumberFormat="1" applyBorder="1" applyAlignment="1"/>
    <xf numFmtId="168" fontId="0" fillId="5" borderId="3" xfId="0" applyNumberFormat="1" applyFill="1" applyBorder="1" applyAlignment="1" applyProtection="1">
      <protection locked="0"/>
    </xf>
    <xf numFmtId="168" fontId="0" fillId="5" borderId="4" xfId="0" applyNumberFormat="1" applyFill="1" applyBorder="1" applyAlignment="1" applyProtection="1">
      <protection locked="0"/>
    </xf>
    <xf numFmtId="168" fontId="0" fillId="5" borderId="5" xfId="0" applyNumberFormat="1" applyFill="1" applyBorder="1" applyAlignment="1" applyProtection="1">
      <protection locked="0"/>
    </xf>
    <xf numFmtId="168" fontId="0" fillId="0" borderId="3" xfId="0" applyNumberFormat="1" applyBorder="1" applyAlignment="1"/>
    <xf numFmtId="168" fontId="0" fillId="0" borderId="4" xfId="0" applyNumberFormat="1" applyBorder="1" applyAlignment="1"/>
    <xf numFmtId="168" fontId="0" fillId="0" borderId="5" xfId="0" applyNumberFormat="1" applyBorder="1" applyAlignment="1"/>
    <xf numFmtId="0" fontId="14" fillId="0" borderId="7" xfId="0" applyFont="1" applyBorder="1"/>
    <xf numFmtId="0" fontId="14" fillId="0" borderId="12" xfId="0" applyFont="1" applyBorder="1"/>
    <xf numFmtId="0" fontId="14" fillId="0" borderId="10" xfId="0" applyFont="1" applyBorder="1"/>
    <xf numFmtId="0" fontId="0" fillId="0" borderId="3" xfId="0" applyBorder="1" applyAlignment="1"/>
    <xf numFmtId="0" fontId="0" fillId="0" borderId="4" xfId="0" applyBorder="1" applyAlignment="1"/>
    <xf numFmtId="0" fontId="0" fillId="0" borderId="5" xfId="0" applyBorder="1" applyAlignment="1"/>
    <xf numFmtId="0" fontId="14" fillId="0" borderId="3" xfId="0" applyFont="1" applyBorder="1" applyAlignment="1"/>
    <xf numFmtId="0" fontId="14" fillId="0" borderId="4" xfId="0" applyFont="1" applyBorder="1" applyAlignment="1"/>
    <xf numFmtId="0" fontId="14" fillId="0" borderId="5" xfId="0" applyFont="1" applyBorder="1" applyAlignment="1"/>
    <xf numFmtId="0" fontId="24" fillId="0" borderId="0" xfId="543" applyFont="1"/>
    <xf numFmtId="0" fontId="14" fillId="0" borderId="1" xfId="0" applyFont="1" applyBorder="1"/>
    <xf numFmtId="0" fontId="0" fillId="0" borderId="6" xfId="0" applyBorder="1" applyAlignment="1" applyProtection="1">
      <protection locked="0"/>
    </xf>
    <xf numFmtId="0" fontId="0" fillId="0" borderId="10" xfId="0" applyBorder="1" applyAlignment="1" applyProtection="1">
      <protection locked="0"/>
    </xf>
    <xf numFmtId="0" fontId="32" fillId="0" borderId="7" xfId="543" applyFont="1" applyBorder="1"/>
    <xf numFmtId="0" fontId="32" fillId="0" borderId="3" xfId="543" applyFont="1" applyBorder="1" applyAlignment="1">
      <alignment horizontal="center"/>
    </xf>
    <xf numFmtId="0" fontId="32" fillId="0" borderId="4" xfId="543" applyFont="1" applyBorder="1" applyAlignment="1">
      <alignment horizontal="center"/>
    </xf>
    <xf numFmtId="0" fontId="32" fillId="0" borderId="5" xfId="543" applyFont="1" applyBorder="1" applyAlignment="1">
      <alignment horizontal="center"/>
    </xf>
    <xf numFmtId="0" fontId="21" fillId="0" borderId="1" xfId="543" applyFont="1" applyBorder="1" applyAlignment="1">
      <alignment horizontal="right"/>
    </xf>
    <xf numFmtId="0" fontId="21" fillId="0" borderId="2" xfId="543" applyFont="1" applyBorder="1" applyAlignment="1">
      <alignment horizontal="right"/>
    </xf>
    <xf numFmtId="0" fontId="21" fillId="0" borderId="7" xfId="543" applyFont="1" applyBorder="1" applyAlignment="1">
      <alignment horizontal="right"/>
    </xf>
    <xf numFmtId="0" fontId="21" fillId="0" borderId="12" xfId="543" applyFont="1" applyBorder="1" applyAlignment="1">
      <alignment horizontal="center" vertical="top"/>
    </xf>
    <xf numFmtId="0" fontId="22" fillId="5" borderId="3" xfId="543" applyFont="1" applyFill="1" applyBorder="1" applyAlignment="1" applyProtection="1">
      <alignment horizontal="center" vertical="top"/>
      <protection locked="0"/>
    </xf>
    <xf numFmtId="0" fontId="22" fillId="5" borderId="5" xfId="543" applyFont="1" applyFill="1" applyBorder="1" applyAlignment="1" applyProtection="1">
      <alignment horizontal="center" vertical="top"/>
      <protection locked="0"/>
    </xf>
    <xf numFmtId="0" fontId="22" fillId="0" borderId="8" xfId="543" applyFont="1" applyBorder="1" applyAlignment="1">
      <alignment horizontal="left" vertical="top" wrapText="1"/>
    </xf>
    <xf numFmtId="0" fontId="22" fillId="0" borderId="12" xfId="543" applyFont="1" applyBorder="1" applyAlignment="1">
      <alignment horizontal="center" vertical="top" wrapText="1"/>
    </xf>
    <xf numFmtId="0" fontId="14" fillId="5" borderId="4" xfId="543" applyFont="1" applyFill="1" applyBorder="1" applyAlignment="1" applyProtection="1">
      <alignment horizontal="left" vertical="top" wrapText="1"/>
      <protection locked="0"/>
    </xf>
    <xf numFmtId="0" fontId="14" fillId="5" borderId="5" xfId="543" applyFont="1" applyFill="1" applyBorder="1" applyAlignment="1" applyProtection="1">
      <alignment horizontal="left" vertical="top" wrapText="1"/>
      <protection locked="0"/>
    </xf>
    <xf numFmtId="0" fontId="22" fillId="0" borderId="1" xfId="543" applyFont="1" applyBorder="1" applyAlignment="1">
      <alignment horizontal="left" vertical="top" wrapText="1"/>
    </xf>
    <xf numFmtId="0" fontId="22" fillId="0" borderId="2" xfId="543" applyFont="1" applyBorder="1" applyAlignment="1">
      <alignment horizontal="center" vertical="top" wrapText="1"/>
    </xf>
    <xf numFmtId="0" fontId="22" fillId="5" borderId="3" xfId="543" applyFont="1" applyFill="1" applyBorder="1" applyAlignment="1" applyProtection="1">
      <alignment horizontal="center"/>
      <protection locked="0"/>
    </xf>
    <xf numFmtId="0" fontId="22" fillId="5" borderId="5" xfId="543" applyFont="1" applyFill="1" applyBorder="1" applyAlignment="1" applyProtection="1">
      <alignment horizontal="center"/>
      <protection locked="0"/>
    </xf>
    <xf numFmtId="0" fontId="22" fillId="0" borderId="0" xfId="543" applyFont="1" applyAlignment="1">
      <alignment horizontal="center" vertical="top" wrapText="1"/>
    </xf>
    <xf numFmtId="0" fontId="22" fillId="0" borderId="9" xfId="543" applyFont="1" applyBorder="1" applyAlignment="1">
      <alignment horizontal="left" vertical="top" wrapText="1"/>
    </xf>
    <xf numFmtId="0" fontId="22" fillId="0" borderId="6" xfId="543" applyFont="1" applyBorder="1" applyAlignment="1">
      <alignment horizontal="center" vertical="top" wrapText="1"/>
    </xf>
    <xf numFmtId="0" fontId="21" fillId="0" borderId="0" xfId="543" applyFont="1" applyAlignment="1">
      <alignment horizontal="center"/>
    </xf>
    <xf numFmtId="0" fontId="30" fillId="0" borderId="9" xfId="543" applyFont="1" applyBorder="1" applyAlignment="1">
      <alignment horizontal="left" vertical="top" wrapText="1"/>
    </xf>
    <xf numFmtId="2" fontId="14" fillId="0" borderId="11" xfId="0" applyNumberFormat="1" applyFont="1" applyBorder="1"/>
    <xf numFmtId="0" fontId="14" fillId="0" borderId="15" xfId="0" applyFont="1" applyBorder="1"/>
    <xf numFmtId="0" fontId="30" fillId="0" borderId="8" xfId="543" applyFont="1" applyBorder="1" applyAlignment="1">
      <alignment horizontal="left" vertical="top" wrapText="1"/>
    </xf>
    <xf numFmtId="0" fontId="30" fillId="0" borderId="0" xfId="543" applyFont="1" applyAlignment="1">
      <alignment horizontal="center" vertical="top" wrapText="1"/>
    </xf>
    <xf numFmtId="0" fontId="22" fillId="5" borderId="9" xfId="543" applyFont="1" applyFill="1" applyBorder="1" applyAlignment="1" applyProtection="1">
      <alignment horizontal="center"/>
      <protection locked="0"/>
    </xf>
    <xf numFmtId="0" fontId="22" fillId="5" borderId="10" xfId="543" applyFont="1" applyFill="1" applyBorder="1" applyAlignment="1" applyProtection="1">
      <alignment horizontal="center"/>
      <protection locked="0"/>
    </xf>
    <xf numFmtId="0" fontId="22" fillId="0" borderId="0" xfId="543" applyFont="1" applyAlignment="1">
      <alignment horizontal="center"/>
    </xf>
    <xf numFmtId="0" fontId="14" fillId="0" borderId="6" xfId="543" applyFont="1" applyBorder="1"/>
    <xf numFmtId="0" fontId="30" fillId="0" borderId="4" xfId="543" applyFont="1" applyBorder="1" applyAlignment="1">
      <alignment horizontal="right" vertical="top" wrapText="1"/>
    </xf>
    <xf numFmtId="0" fontId="21" fillId="0" borderId="4" xfId="543" applyFont="1" applyBorder="1" applyAlignment="1">
      <alignment horizontal="right" vertical="top" wrapText="1"/>
    </xf>
    <xf numFmtId="0" fontId="21" fillId="0" borderId="5" xfId="543" applyFont="1" applyBorder="1" applyAlignment="1">
      <alignment horizontal="right" vertical="top" wrapText="1"/>
    </xf>
    <xf numFmtId="0" fontId="30" fillId="0" borderId="0" xfId="543" applyFont="1" applyAlignment="1">
      <alignment horizontal="right" vertical="top" wrapText="1"/>
    </xf>
    <xf numFmtId="0" fontId="21" fillId="0" borderId="0" xfId="543" applyFont="1" applyAlignment="1">
      <alignment horizontal="right" vertical="top" wrapText="1"/>
    </xf>
    <xf numFmtId="0" fontId="21" fillId="0" borderId="2" xfId="543" applyFont="1" applyBorder="1" applyAlignment="1">
      <alignment horizontal="right" vertical="top" wrapText="1"/>
    </xf>
    <xf numFmtId="0" fontId="21" fillId="0" borderId="0" xfId="543" applyFont="1" applyAlignment="1">
      <alignment vertical="center" wrapText="1"/>
    </xf>
    <xf numFmtId="0" fontId="22" fillId="0" borderId="0" xfId="543" applyFont="1"/>
    <xf numFmtId="0" fontId="14" fillId="0" borderId="0" xfId="543" applyFont="1" applyAlignment="1">
      <alignment horizontal="left"/>
    </xf>
    <xf numFmtId="0" fontId="44" fillId="4" borderId="11" xfId="0" applyFont="1" applyFill="1" applyBorder="1" applyAlignment="1">
      <alignment vertical="top" wrapText="1"/>
    </xf>
    <xf numFmtId="0" fontId="44" fillId="2" borderId="11" xfId="0" applyFont="1" applyFill="1" applyBorder="1" applyAlignment="1">
      <alignment vertical="top" wrapText="1"/>
    </xf>
    <xf numFmtId="168" fontId="44" fillId="6" borderId="11" xfId="0" applyNumberFormat="1" applyFont="1" applyFill="1" applyBorder="1" applyAlignment="1">
      <alignment horizontal="center" vertical="top" wrapText="1"/>
    </xf>
    <xf numFmtId="0" fontId="44" fillId="0" borderId="11" xfId="0" applyFont="1" applyBorder="1" applyAlignment="1">
      <alignment horizontal="right" vertical="top"/>
    </xf>
    <xf numFmtId="168" fontId="44" fillId="0" borderId="11" xfId="0" applyNumberFormat="1" applyFont="1" applyBorder="1" applyAlignment="1">
      <alignment vertical="top"/>
    </xf>
    <xf numFmtId="168" fontId="44" fillId="5" borderId="11" xfId="0" applyNumberFormat="1" applyFont="1" applyFill="1" applyBorder="1" applyAlignment="1" applyProtection="1">
      <alignment vertical="top"/>
      <protection locked="0"/>
    </xf>
    <xf numFmtId="168" fontId="44" fillId="6" borderId="11" xfId="0" applyNumberFormat="1" applyFont="1" applyFill="1" applyBorder="1" applyAlignment="1">
      <alignment horizontal="center" vertical="top"/>
    </xf>
    <xf numFmtId="0" fontId="44" fillId="2" borderId="11" xfId="0" applyFont="1" applyFill="1" applyBorder="1" applyAlignment="1" applyProtection="1">
      <alignment vertical="top"/>
      <protection locked="0"/>
    </xf>
    <xf numFmtId="168" fontId="44" fillId="44" borderId="11" xfId="0" applyNumberFormat="1" applyFont="1" applyFill="1" applyBorder="1" applyAlignment="1">
      <alignment vertical="top" wrapText="1"/>
    </xf>
    <xf numFmtId="0" fontId="44" fillId="0" borderId="0" xfId="0" applyFont="1" applyAlignment="1">
      <alignment horizontal="left" vertical="top"/>
    </xf>
    <xf numFmtId="3" fontId="44" fillId="0" borderId="11" xfId="0" applyNumberFormat="1" applyFont="1" applyBorder="1" applyAlignment="1">
      <alignment vertical="top" wrapText="1"/>
    </xf>
    <xf numFmtId="0" fontId="44" fillId="2" borderId="12" xfId="0" applyFont="1" applyFill="1" applyBorder="1" applyAlignment="1">
      <alignment vertical="top" wrapText="1"/>
    </xf>
    <xf numFmtId="0" fontId="14" fillId="0" borderId="6" xfId="0" applyFont="1" applyBorder="1" applyAlignment="1">
      <alignment vertical="top" wrapText="1"/>
    </xf>
    <xf numFmtId="177" fontId="14" fillId="5" borderId="6" xfId="0" applyNumberFormat="1" applyFont="1" applyFill="1" applyBorder="1" applyAlignment="1" applyProtection="1">
      <alignment horizontal="left" vertical="top" wrapText="1"/>
      <protection locked="0"/>
    </xf>
    <xf numFmtId="0" fontId="14" fillId="0" borderId="2" xfId="0" applyFont="1" applyBorder="1" applyAlignment="1">
      <alignment vertical="top" wrapText="1"/>
    </xf>
    <xf numFmtId="0" fontId="14" fillId="0" borderId="0" xfId="0" applyFont="1" applyAlignment="1">
      <alignment horizontal="right" vertical="top" wrapText="1"/>
    </xf>
    <xf numFmtId="10" fontId="14" fillId="5" borderId="6" xfId="0" applyNumberFormat="1" applyFont="1" applyFill="1" applyBorder="1" applyAlignment="1" applyProtection="1">
      <alignment horizontal="center" vertical="top" wrapText="1"/>
      <protection locked="0"/>
    </xf>
    <xf numFmtId="0" fontId="14" fillId="0" borderId="6" xfId="0" applyFont="1" applyBorder="1" applyAlignment="1">
      <alignment horizontal="right" vertical="top" wrapText="1"/>
    </xf>
    <xf numFmtId="0" fontId="14" fillId="0" borderId="2" xfId="0" applyFont="1" applyBorder="1" applyAlignment="1">
      <alignment horizontal="left" vertical="top" wrapText="1"/>
    </xf>
    <xf numFmtId="0" fontId="110" fillId="0" borderId="47" xfId="4496" applyFont="1" applyBorder="1" applyAlignment="1"/>
    <xf numFmtId="0" fontId="110" fillId="0" borderId="48" xfId="4496" applyFont="1" applyBorder="1" applyAlignment="1"/>
    <xf numFmtId="0" fontId="110" fillId="0" borderId="49" xfId="4496" applyFont="1" applyBorder="1" applyAlignment="1"/>
    <xf numFmtId="0" fontId="21" fillId="0" borderId="0" xfId="4495" applyFont="1" applyAlignment="1"/>
    <xf numFmtId="0" fontId="86" fillId="0" borderId="71" xfId="4496" applyFont="1" applyBorder="1" applyAlignment="1"/>
    <xf numFmtId="0" fontId="86" fillId="0" borderId="74" xfId="4496" applyFont="1" applyBorder="1" applyAlignment="1"/>
    <xf numFmtId="0" fontId="86" fillId="0" borderId="11" xfId="4496" applyFont="1" applyBorder="1" applyAlignment="1"/>
    <xf numFmtId="0" fontId="86" fillId="0" borderId="91" xfId="4496" applyFont="1" applyBorder="1" applyAlignment="1"/>
    <xf numFmtId="0" fontId="86" fillId="0" borderId="73" xfId="4496" applyFont="1" applyBorder="1" applyAlignment="1"/>
    <xf numFmtId="0" fontId="86" fillId="0" borderId="93" xfId="4496" applyFont="1" applyBorder="1" applyAlignment="1"/>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44" fontId="1" fillId="49" borderId="13" xfId="700"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82" fontId="1" fillId="49" borderId="11" xfId="700" applyNumberFormat="1" applyFont="1" applyFill="1" applyBorder="1" applyAlignment="1" applyProtection="1">
      <alignment horizontal="center"/>
      <protection locked="0"/>
    </xf>
    <xf numFmtId="168" fontId="14" fillId="0" borderId="11" xfId="569" applyNumberFormat="1" applyBorder="1" applyAlignment="1"/>
    <xf numFmtId="168" fontId="14" fillId="0" borderId="3" xfId="569" applyNumberFormat="1" applyBorder="1" applyAlignment="1"/>
    <xf numFmtId="168" fontId="14" fillId="0" borderId="4" xfId="569" applyNumberFormat="1" applyBorder="1" applyAlignment="1"/>
    <xf numFmtId="168" fontId="14" fillId="0" borderId="5" xfId="569" applyNumberFormat="1" applyBorder="1" applyAlignment="1"/>
    <xf numFmtId="172" fontId="14" fillId="0" borderId="0" xfId="0" applyNumberFormat="1" applyFont="1" applyAlignment="1">
      <alignment horizontal="center"/>
    </xf>
    <xf numFmtId="10" fontId="37" fillId="0" borderId="0" xfId="0" applyNumberFormat="1" applyFont="1" applyAlignment="1">
      <alignment horizontal="center"/>
    </xf>
    <xf numFmtId="172" fontId="14" fillId="5" borderId="0" xfId="0" applyNumberFormat="1" applyFont="1" applyFill="1" applyAlignment="1">
      <alignment horizontal="center"/>
    </xf>
    <xf numFmtId="3" fontId="14" fillId="0" borderId="0" xfId="0" applyNumberFormat="1" applyFont="1" applyAlignment="1">
      <alignment vertical="top"/>
    </xf>
  </cellXfs>
  <cellStyles count="17170">
    <cellStyle name="20% - Accent1" xfId="1" builtinId="30" customBuiltin="1"/>
    <cellStyle name="20% - Accent1 10" xfId="4505" xr:uid="{00000000-0005-0000-0000-000001000000}"/>
    <cellStyle name="20% - Accent1 10 2" xfId="12947" xr:uid="{752A7407-BB7B-4949-9C6B-BA1261DEA06F}"/>
    <cellStyle name="20% - Accent1 11" xfId="8729" xr:uid="{EEED617A-099D-4010-8489-B853495C9DCA}"/>
    <cellStyle name="20% - Accent1 2" xfId="2" xr:uid="{00000000-0005-0000-0000-000002000000}"/>
    <cellStyle name="20% - Accent1 2 10" xfId="8730" xr:uid="{84DB7DD1-BC95-4AED-A892-FFDE1DEAE012}"/>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2 2 2" xfId="15509" xr:uid="{23D3AAFE-6D60-41F4-9E7F-C5C3F8D85F2E}"/>
    <cellStyle name="20% - Accent1 2 2 2 2 2 3" xfId="11291" xr:uid="{65F3FC23-ED50-403B-88E6-66DBB63AB780}"/>
    <cellStyle name="20% - Accent1 2 2 2 2 3" xfId="4922" xr:uid="{00000000-0005-0000-0000-000008000000}"/>
    <cellStyle name="20% - Accent1 2 2 2 2 3 2" xfId="13364" xr:uid="{96885F78-15C8-4FC5-BFDE-2DEEE1295F85}"/>
    <cellStyle name="20% - Accent1 2 2 2 2 4" xfId="9146" xr:uid="{BA9CA462-DE54-415D-A3FB-9A55D216429E}"/>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2 2 2" xfId="15922" xr:uid="{DEAF74F4-0D84-4C29-9910-798E3326E0E1}"/>
    <cellStyle name="20% - Accent1 2 2 2 3 2 3" xfId="11704" xr:uid="{7F10C01F-BBDA-4E48-9E2E-067020769734}"/>
    <cellStyle name="20% - Accent1 2 2 2 3 3" xfId="5335" xr:uid="{00000000-0005-0000-0000-00000C000000}"/>
    <cellStyle name="20% - Accent1 2 2 2 3 3 2" xfId="13777" xr:uid="{F58F0941-ADCE-4647-A058-CC0E063521D6}"/>
    <cellStyle name="20% - Accent1 2 2 2 3 4" xfId="9559" xr:uid="{2A62E186-F4DE-45A9-88D0-21A7A4B0F673}"/>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2 2 2" xfId="16335" xr:uid="{4648ABE4-C17B-420D-B7E4-DBD28D5492F9}"/>
    <cellStyle name="20% - Accent1 2 2 2 4 2 3" xfId="12117" xr:uid="{2825EAE7-28D9-4E80-8C08-76A5B29A2720}"/>
    <cellStyle name="20% - Accent1 2 2 2 4 3" xfId="5748" xr:uid="{00000000-0005-0000-0000-000010000000}"/>
    <cellStyle name="20% - Accent1 2 2 2 4 3 2" xfId="14190" xr:uid="{8F8A9564-A6BD-4199-982E-4FDA38326DE5}"/>
    <cellStyle name="20% - Accent1 2 2 2 4 4" xfId="9972" xr:uid="{E64F97F1-3456-4F2C-873F-A15FC65F8D29}"/>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2 2 2" xfId="16748" xr:uid="{4673B510-9FF7-495D-8314-004334D2CEE0}"/>
    <cellStyle name="20% - Accent1 2 2 2 5 2 3" xfId="12530" xr:uid="{0158E1EB-D766-42EA-8EE0-68A9C439CE20}"/>
    <cellStyle name="20% - Accent1 2 2 2 5 3" xfId="6161" xr:uid="{00000000-0005-0000-0000-000014000000}"/>
    <cellStyle name="20% - Accent1 2 2 2 5 3 2" xfId="14603" xr:uid="{5889E5D8-3675-4A47-BEFC-DDE7DD58ABCE}"/>
    <cellStyle name="20% - Accent1 2 2 2 5 4" xfId="10385" xr:uid="{8537E857-F0A5-49FD-925A-E99B44284791}"/>
    <cellStyle name="20% - Accent1 2 2 2 6" xfId="2267" xr:uid="{00000000-0005-0000-0000-000015000000}"/>
    <cellStyle name="20% - Accent1 2 2 2 6 2" xfId="6574" xr:uid="{00000000-0005-0000-0000-000016000000}"/>
    <cellStyle name="20% - Accent1 2 2 2 6 2 2" xfId="15016" xr:uid="{1C4BD36C-8EAF-4622-A676-17B4FE090F4B}"/>
    <cellStyle name="20% - Accent1 2 2 2 6 3" xfId="10798" xr:uid="{9951B425-96A7-42DA-9CCA-03A9B66B4E1A}"/>
    <cellStyle name="20% - Accent1 2 2 2 7" xfId="4508" xr:uid="{00000000-0005-0000-0000-000017000000}"/>
    <cellStyle name="20% - Accent1 2 2 2 7 2" xfId="12950" xr:uid="{E5AFB9B1-9E24-4E06-8256-C5C9778E5398}"/>
    <cellStyle name="20% - Accent1 2 2 2 8" xfId="8732" xr:uid="{947AA332-0D1A-443B-85D7-5450F4D4D6C6}"/>
    <cellStyle name="20% - Accent1 2 2 3" xfId="572" xr:uid="{00000000-0005-0000-0000-000018000000}"/>
    <cellStyle name="20% - Accent1 2 2 3 2" xfId="2843" xr:uid="{00000000-0005-0000-0000-000019000000}"/>
    <cellStyle name="20% - Accent1 2 2 3 2 2" xfId="7066" xr:uid="{00000000-0005-0000-0000-00001A000000}"/>
    <cellStyle name="20% - Accent1 2 2 3 2 2 2" xfId="15508" xr:uid="{608D702A-C5BF-4E05-ADED-4A35D8B6772E}"/>
    <cellStyle name="20% - Accent1 2 2 3 2 3" xfId="11290" xr:uid="{98BC4DC8-49DD-4C57-B725-906BB6026030}"/>
    <cellStyle name="20% - Accent1 2 2 3 3" xfId="4921" xr:uid="{00000000-0005-0000-0000-00001B000000}"/>
    <cellStyle name="20% - Accent1 2 2 3 3 2" xfId="13363" xr:uid="{D41B2DE6-5091-4288-917C-6E042D47CEE8}"/>
    <cellStyle name="20% - Accent1 2 2 3 4" xfId="9145" xr:uid="{D471F6EB-442D-4F0D-A8B6-DB104E42BED9}"/>
    <cellStyle name="20% - Accent1 2 2 4" xfId="1025" xr:uid="{00000000-0005-0000-0000-00001C000000}"/>
    <cellStyle name="20% - Accent1 2 2 4 2" xfId="3256" xr:uid="{00000000-0005-0000-0000-00001D000000}"/>
    <cellStyle name="20% - Accent1 2 2 4 2 2" xfId="7479" xr:uid="{00000000-0005-0000-0000-00001E000000}"/>
    <cellStyle name="20% - Accent1 2 2 4 2 2 2" xfId="15921" xr:uid="{032BA21B-42A2-46C3-8FF3-74966C90D258}"/>
    <cellStyle name="20% - Accent1 2 2 4 2 3" xfId="11703" xr:uid="{06C38411-5F3F-4640-9AEE-312D4094CF0A}"/>
    <cellStyle name="20% - Accent1 2 2 4 3" xfId="5334" xr:uid="{00000000-0005-0000-0000-00001F000000}"/>
    <cellStyle name="20% - Accent1 2 2 4 3 2" xfId="13776" xr:uid="{FEE44D6D-910F-449F-A8CE-47ACF796093B}"/>
    <cellStyle name="20% - Accent1 2 2 4 4" xfId="9558" xr:uid="{295EDE6F-8D69-4406-BB05-BD7C5E265620}"/>
    <cellStyle name="20% - Accent1 2 2 5" xfId="1439" xr:uid="{00000000-0005-0000-0000-000020000000}"/>
    <cellStyle name="20% - Accent1 2 2 5 2" xfId="3669" xr:uid="{00000000-0005-0000-0000-000021000000}"/>
    <cellStyle name="20% - Accent1 2 2 5 2 2" xfId="7892" xr:uid="{00000000-0005-0000-0000-000022000000}"/>
    <cellStyle name="20% - Accent1 2 2 5 2 2 2" xfId="16334" xr:uid="{8C275AC4-6756-403E-A1BB-E880360CF642}"/>
    <cellStyle name="20% - Accent1 2 2 5 2 3" xfId="12116" xr:uid="{469E794E-0F43-4639-B412-9DECA2B9C47A}"/>
    <cellStyle name="20% - Accent1 2 2 5 3" xfId="5747" xr:uid="{00000000-0005-0000-0000-000023000000}"/>
    <cellStyle name="20% - Accent1 2 2 5 3 2" xfId="14189" xr:uid="{094A1A61-BC7D-487C-ABB3-0605DE3F6ACA}"/>
    <cellStyle name="20% - Accent1 2 2 5 4" xfId="9971" xr:uid="{8BFA1DDA-2986-47AB-848D-24521DD7EF35}"/>
    <cellStyle name="20% - Accent1 2 2 6" xfId="1853" xr:uid="{00000000-0005-0000-0000-000024000000}"/>
    <cellStyle name="20% - Accent1 2 2 6 2" xfId="4082" xr:uid="{00000000-0005-0000-0000-000025000000}"/>
    <cellStyle name="20% - Accent1 2 2 6 2 2" xfId="8305" xr:uid="{00000000-0005-0000-0000-000026000000}"/>
    <cellStyle name="20% - Accent1 2 2 6 2 2 2" xfId="16747" xr:uid="{221894DC-51A9-4A13-9C4F-5BF527D26E65}"/>
    <cellStyle name="20% - Accent1 2 2 6 2 3" xfId="12529" xr:uid="{450978BD-E821-45E4-BB87-52DCD42CB111}"/>
    <cellStyle name="20% - Accent1 2 2 6 3" xfId="6160" xr:uid="{00000000-0005-0000-0000-000027000000}"/>
    <cellStyle name="20% - Accent1 2 2 6 3 2" xfId="14602" xr:uid="{D68E59FF-6EAE-4CD2-A762-3E3E02D46BD2}"/>
    <cellStyle name="20% - Accent1 2 2 6 4" xfId="10384" xr:uid="{D7FC5A71-36C8-481A-82E6-079D695412D5}"/>
    <cellStyle name="20% - Accent1 2 2 7" xfId="2266" xr:uid="{00000000-0005-0000-0000-000028000000}"/>
    <cellStyle name="20% - Accent1 2 2 7 2" xfId="6573" xr:uid="{00000000-0005-0000-0000-000029000000}"/>
    <cellStyle name="20% - Accent1 2 2 7 2 2" xfId="15015" xr:uid="{BB423FA6-45FC-488E-92D2-3B6D0614021B}"/>
    <cellStyle name="20% - Accent1 2 2 7 3" xfId="10797" xr:uid="{985D909A-0AC4-4014-B24C-3AF2DCAEA630}"/>
    <cellStyle name="20% - Accent1 2 2 8" xfId="4507" xr:uid="{00000000-0005-0000-0000-00002A000000}"/>
    <cellStyle name="20% - Accent1 2 2 8 2" xfId="12949" xr:uid="{2E930986-B3B3-498E-91B1-3833478D6E5C}"/>
    <cellStyle name="20% - Accent1 2 2 9" xfId="8731" xr:uid="{20B467B4-BC9A-486C-B485-A5C39D826891}"/>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2 2 2" xfId="15510" xr:uid="{D9CECC7A-D0F3-43C2-AAAF-054482466297}"/>
    <cellStyle name="20% - Accent1 2 3 2 2 3" xfId="11292" xr:uid="{F1162ED8-FBC6-4621-B556-16F5EC83F1E6}"/>
    <cellStyle name="20% - Accent1 2 3 2 3" xfId="4923" xr:uid="{00000000-0005-0000-0000-00002F000000}"/>
    <cellStyle name="20% - Accent1 2 3 2 3 2" xfId="13365" xr:uid="{B5718187-8372-4293-A1BA-0306EA733B17}"/>
    <cellStyle name="20% - Accent1 2 3 2 4" xfId="9147" xr:uid="{355A9DC8-F8E2-4BE4-9DE3-F10A70A26E7D}"/>
    <cellStyle name="20% - Accent1 2 3 3" xfId="1027" xr:uid="{00000000-0005-0000-0000-000030000000}"/>
    <cellStyle name="20% - Accent1 2 3 3 2" xfId="3258" xr:uid="{00000000-0005-0000-0000-000031000000}"/>
    <cellStyle name="20% - Accent1 2 3 3 2 2" xfId="7481" xr:uid="{00000000-0005-0000-0000-000032000000}"/>
    <cellStyle name="20% - Accent1 2 3 3 2 2 2" xfId="15923" xr:uid="{9F7652E3-6A66-4244-8E0D-425D4CEE0BB2}"/>
    <cellStyle name="20% - Accent1 2 3 3 2 3" xfId="11705" xr:uid="{D7652583-F491-4938-A846-1071C5A40EFB}"/>
    <cellStyle name="20% - Accent1 2 3 3 3" xfId="5336" xr:uid="{00000000-0005-0000-0000-000033000000}"/>
    <cellStyle name="20% - Accent1 2 3 3 3 2" xfId="13778" xr:uid="{905C20D0-AB13-485F-B64E-BD06AF2AD4D9}"/>
    <cellStyle name="20% - Accent1 2 3 3 4" xfId="9560" xr:uid="{75D323F1-5009-4813-9449-BE9B7A11AF6B}"/>
    <cellStyle name="20% - Accent1 2 3 4" xfId="1441" xr:uid="{00000000-0005-0000-0000-000034000000}"/>
    <cellStyle name="20% - Accent1 2 3 4 2" xfId="3671" xr:uid="{00000000-0005-0000-0000-000035000000}"/>
    <cellStyle name="20% - Accent1 2 3 4 2 2" xfId="7894" xr:uid="{00000000-0005-0000-0000-000036000000}"/>
    <cellStyle name="20% - Accent1 2 3 4 2 2 2" xfId="16336" xr:uid="{83A79207-C13B-4973-ACEB-58E0C93E5854}"/>
    <cellStyle name="20% - Accent1 2 3 4 2 3" xfId="12118" xr:uid="{DB3C62DB-22DD-4802-ADED-EC2ADB6EF011}"/>
    <cellStyle name="20% - Accent1 2 3 4 3" xfId="5749" xr:uid="{00000000-0005-0000-0000-000037000000}"/>
    <cellStyle name="20% - Accent1 2 3 4 3 2" xfId="14191" xr:uid="{7D262484-EB02-4532-815A-4FC31984489E}"/>
    <cellStyle name="20% - Accent1 2 3 4 4" xfId="9973" xr:uid="{665EDAE0-0194-4C7E-81D1-E487B8B14FD1}"/>
    <cellStyle name="20% - Accent1 2 3 5" xfId="1855" xr:uid="{00000000-0005-0000-0000-000038000000}"/>
    <cellStyle name="20% - Accent1 2 3 5 2" xfId="4084" xr:uid="{00000000-0005-0000-0000-000039000000}"/>
    <cellStyle name="20% - Accent1 2 3 5 2 2" xfId="8307" xr:uid="{00000000-0005-0000-0000-00003A000000}"/>
    <cellStyle name="20% - Accent1 2 3 5 2 2 2" xfId="16749" xr:uid="{704204D7-E1E8-4CBC-BE55-CC7A0E89B430}"/>
    <cellStyle name="20% - Accent1 2 3 5 2 3" xfId="12531" xr:uid="{A86AC183-216A-4E85-9A8F-37FBE0765D9A}"/>
    <cellStyle name="20% - Accent1 2 3 5 3" xfId="6162" xr:uid="{00000000-0005-0000-0000-00003B000000}"/>
    <cellStyle name="20% - Accent1 2 3 5 3 2" xfId="14604" xr:uid="{FE2832F0-9529-459C-8341-ADE2819BE6E0}"/>
    <cellStyle name="20% - Accent1 2 3 5 4" xfId="10386" xr:uid="{67A2B3EE-94FB-4141-A169-5F9C377D2AED}"/>
    <cellStyle name="20% - Accent1 2 3 6" xfId="2268" xr:uid="{00000000-0005-0000-0000-00003C000000}"/>
    <cellStyle name="20% - Accent1 2 3 6 2" xfId="6575" xr:uid="{00000000-0005-0000-0000-00003D000000}"/>
    <cellStyle name="20% - Accent1 2 3 6 2 2" xfId="15017" xr:uid="{C9F3F41C-AA1B-4023-BE4F-75BD71BA4DAB}"/>
    <cellStyle name="20% - Accent1 2 3 6 3" xfId="10799" xr:uid="{F3C2B751-8DC4-437B-A254-9144D4C9478F}"/>
    <cellStyle name="20% - Accent1 2 3 7" xfId="4509" xr:uid="{00000000-0005-0000-0000-00003E000000}"/>
    <cellStyle name="20% - Accent1 2 3 7 2" xfId="12951" xr:uid="{77AE180E-1CBC-4539-A183-9F57F9ADDE20}"/>
    <cellStyle name="20% - Accent1 2 3 8" xfId="8733" xr:uid="{B6A54A86-FBEA-4957-8A22-1BE5BFD25918}"/>
    <cellStyle name="20% - Accent1 2 4" xfId="571" xr:uid="{00000000-0005-0000-0000-00003F000000}"/>
    <cellStyle name="20% - Accent1 2 4 2" xfId="2842" xr:uid="{00000000-0005-0000-0000-000040000000}"/>
    <cellStyle name="20% - Accent1 2 4 2 2" xfId="7065" xr:uid="{00000000-0005-0000-0000-000041000000}"/>
    <cellStyle name="20% - Accent1 2 4 2 2 2" xfId="15507" xr:uid="{10545DFA-5B46-448A-AF5C-BAC64A4BF0A9}"/>
    <cellStyle name="20% - Accent1 2 4 2 3" xfId="11289" xr:uid="{680B3498-AD53-4B23-8B12-CA99F7D16F55}"/>
    <cellStyle name="20% - Accent1 2 4 3" xfId="4920" xr:uid="{00000000-0005-0000-0000-000042000000}"/>
    <cellStyle name="20% - Accent1 2 4 3 2" xfId="13362" xr:uid="{A07931D3-AE2B-415B-868A-91E893C20E11}"/>
    <cellStyle name="20% - Accent1 2 4 4" xfId="9144" xr:uid="{B019FF79-DD05-4C51-97D5-8DA28A8CE0A0}"/>
    <cellStyle name="20% - Accent1 2 5" xfId="1024" xr:uid="{00000000-0005-0000-0000-000043000000}"/>
    <cellStyle name="20% - Accent1 2 5 2" xfId="3255" xr:uid="{00000000-0005-0000-0000-000044000000}"/>
    <cellStyle name="20% - Accent1 2 5 2 2" xfId="7478" xr:uid="{00000000-0005-0000-0000-000045000000}"/>
    <cellStyle name="20% - Accent1 2 5 2 2 2" xfId="15920" xr:uid="{615F1147-1B57-4616-9827-143F155B3584}"/>
    <cellStyle name="20% - Accent1 2 5 2 3" xfId="11702" xr:uid="{59A2CCE1-C9BC-4898-9B54-28360FA5E5EB}"/>
    <cellStyle name="20% - Accent1 2 5 3" xfId="5333" xr:uid="{00000000-0005-0000-0000-000046000000}"/>
    <cellStyle name="20% - Accent1 2 5 3 2" xfId="13775" xr:uid="{198CD3B8-BBB2-45D6-9350-2EB61E4925D6}"/>
    <cellStyle name="20% - Accent1 2 5 4" xfId="9557" xr:uid="{6B12F69C-388A-4FFE-8ABD-2205E6D49AB0}"/>
    <cellStyle name="20% - Accent1 2 6" xfId="1438" xr:uid="{00000000-0005-0000-0000-000047000000}"/>
    <cellStyle name="20% - Accent1 2 6 2" xfId="3668" xr:uid="{00000000-0005-0000-0000-000048000000}"/>
    <cellStyle name="20% - Accent1 2 6 2 2" xfId="7891" xr:uid="{00000000-0005-0000-0000-000049000000}"/>
    <cellStyle name="20% - Accent1 2 6 2 2 2" xfId="16333" xr:uid="{D94B4085-AF18-4063-81E3-908E74404A13}"/>
    <cellStyle name="20% - Accent1 2 6 2 3" xfId="12115" xr:uid="{24A9A029-E6B4-4771-A4A9-ED54A68A40EB}"/>
    <cellStyle name="20% - Accent1 2 6 3" xfId="5746" xr:uid="{00000000-0005-0000-0000-00004A000000}"/>
    <cellStyle name="20% - Accent1 2 6 3 2" xfId="14188" xr:uid="{04FADB96-A0AA-4CD5-B8A5-77E22E7487BB}"/>
    <cellStyle name="20% - Accent1 2 6 4" xfId="9970" xr:uid="{000B60EB-3255-42B5-A488-45971092AE62}"/>
    <cellStyle name="20% - Accent1 2 7" xfId="1852" xr:uid="{00000000-0005-0000-0000-00004B000000}"/>
    <cellStyle name="20% - Accent1 2 7 2" xfId="4081" xr:uid="{00000000-0005-0000-0000-00004C000000}"/>
    <cellStyle name="20% - Accent1 2 7 2 2" xfId="8304" xr:uid="{00000000-0005-0000-0000-00004D000000}"/>
    <cellStyle name="20% - Accent1 2 7 2 2 2" xfId="16746" xr:uid="{A123BCB9-DEFF-4845-A59B-93B6A4B19585}"/>
    <cellStyle name="20% - Accent1 2 7 2 3" xfId="12528" xr:uid="{330BAFD5-72D2-441E-B20F-2002EEF4F082}"/>
    <cellStyle name="20% - Accent1 2 7 3" xfId="6159" xr:uid="{00000000-0005-0000-0000-00004E000000}"/>
    <cellStyle name="20% - Accent1 2 7 3 2" xfId="14601" xr:uid="{4322BA2F-E9A1-466A-A194-2A35636D1C91}"/>
    <cellStyle name="20% - Accent1 2 7 4" xfId="10383" xr:uid="{04FA3AFA-BC92-46E6-9991-A7C38B13F5E9}"/>
    <cellStyle name="20% - Accent1 2 8" xfId="2265" xr:uid="{00000000-0005-0000-0000-00004F000000}"/>
    <cellStyle name="20% - Accent1 2 8 2" xfId="6572" xr:uid="{00000000-0005-0000-0000-000050000000}"/>
    <cellStyle name="20% - Accent1 2 8 2 2" xfId="15014" xr:uid="{D7B8F54F-E344-4FB0-9CD7-1C436BE5C209}"/>
    <cellStyle name="20% - Accent1 2 8 3" xfId="10796" xr:uid="{A56138B7-35A4-4C7B-816A-0B6C925C3A3C}"/>
    <cellStyle name="20% - Accent1 2 9" xfId="4506" xr:uid="{00000000-0005-0000-0000-000051000000}"/>
    <cellStyle name="20% - Accent1 2 9 2" xfId="12948" xr:uid="{72366BB7-377F-49FB-B2BB-57F7D8133AF2}"/>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2 2 2" xfId="15512" xr:uid="{E009A137-D0CA-4205-9C7B-6DB50123DECD}"/>
    <cellStyle name="20% - Accent1 3 2 2 2 3" xfId="11294" xr:uid="{BA759BCB-022E-4901-A42C-AAD73EDC7CDF}"/>
    <cellStyle name="20% - Accent1 3 2 2 3" xfId="4925" xr:uid="{00000000-0005-0000-0000-000057000000}"/>
    <cellStyle name="20% - Accent1 3 2 2 3 2" xfId="13367" xr:uid="{24F5BA05-D282-4301-BBB3-076DE390B5B9}"/>
    <cellStyle name="20% - Accent1 3 2 2 4" xfId="9149" xr:uid="{4C4748F1-2742-4892-B394-5F519E399711}"/>
    <cellStyle name="20% - Accent1 3 2 3" xfId="1029" xr:uid="{00000000-0005-0000-0000-000058000000}"/>
    <cellStyle name="20% - Accent1 3 2 3 2" xfId="3260" xr:uid="{00000000-0005-0000-0000-000059000000}"/>
    <cellStyle name="20% - Accent1 3 2 3 2 2" xfId="7483" xr:uid="{00000000-0005-0000-0000-00005A000000}"/>
    <cellStyle name="20% - Accent1 3 2 3 2 2 2" xfId="15925" xr:uid="{B4A3FEC3-1013-43D0-87FC-8B314043CEEF}"/>
    <cellStyle name="20% - Accent1 3 2 3 2 3" xfId="11707" xr:uid="{CB108962-3228-4668-A793-E6A7573AA55D}"/>
    <cellStyle name="20% - Accent1 3 2 3 3" xfId="5338" xr:uid="{00000000-0005-0000-0000-00005B000000}"/>
    <cellStyle name="20% - Accent1 3 2 3 3 2" xfId="13780" xr:uid="{C9C89929-7D11-4F9D-8D49-480F51052173}"/>
    <cellStyle name="20% - Accent1 3 2 3 4" xfId="9562" xr:uid="{EFAA4870-5854-4355-A830-CDA18D6833FF}"/>
    <cellStyle name="20% - Accent1 3 2 4" xfId="1443" xr:uid="{00000000-0005-0000-0000-00005C000000}"/>
    <cellStyle name="20% - Accent1 3 2 4 2" xfId="3673" xr:uid="{00000000-0005-0000-0000-00005D000000}"/>
    <cellStyle name="20% - Accent1 3 2 4 2 2" xfId="7896" xr:uid="{00000000-0005-0000-0000-00005E000000}"/>
    <cellStyle name="20% - Accent1 3 2 4 2 2 2" xfId="16338" xr:uid="{A886B92B-1EDC-47A3-B12E-6FCE9FC5251A}"/>
    <cellStyle name="20% - Accent1 3 2 4 2 3" xfId="12120" xr:uid="{58FA8444-3E14-47FD-97B2-851AC23E2FCF}"/>
    <cellStyle name="20% - Accent1 3 2 4 3" xfId="5751" xr:uid="{00000000-0005-0000-0000-00005F000000}"/>
    <cellStyle name="20% - Accent1 3 2 4 3 2" xfId="14193" xr:uid="{4AE8A318-8663-44F9-AEB3-5752C0FD8C13}"/>
    <cellStyle name="20% - Accent1 3 2 4 4" xfId="9975" xr:uid="{C61121BD-55F4-4AB4-ADC2-25531BCDE168}"/>
    <cellStyle name="20% - Accent1 3 2 5" xfId="1857" xr:uid="{00000000-0005-0000-0000-000060000000}"/>
    <cellStyle name="20% - Accent1 3 2 5 2" xfId="4086" xr:uid="{00000000-0005-0000-0000-000061000000}"/>
    <cellStyle name="20% - Accent1 3 2 5 2 2" xfId="8309" xr:uid="{00000000-0005-0000-0000-000062000000}"/>
    <cellStyle name="20% - Accent1 3 2 5 2 2 2" xfId="16751" xr:uid="{D79A4C1D-1922-4879-90C5-42B84AFC03AA}"/>
    <cellStyle name="20% - Accent1 3 2 5 2 3" xfId="12533" xr:uid="{16106C28-AA73-4CF4-8F69-847B7BFF350E}"/>
    <cellStyle name="20% - Accent1 3 2 5 3" xfId="6164" xr:uid="{00000000-0005-0000-0000-000063000000}"/>
    <cellStyle name="20% - Accent1 3 2 5 3 2" xfId="14606" xr:uid="{FC885864-5227-45A2-93F2-C2C2D9332B49}"/>
    <cellStyle name="20% - Accent1 3 2 5 4" xfId="10388" xr:uid="{0BAE1458-1140-412F-96D8-977F894E147C}"/>
    <cellStyle name="20% - Accent1 3 2 6" xfId="2270" xr:uid="{00000000-0005-0000-0000-000064000000}"/>
    <cellStyle name="20% - Accent1 3 2 6 2" xfId="6577" xr:uid="{00000000-0005-0000-0000-000065000000}"/>
    <cellStyle name="20% - Accent1 3 2 6 2 2" xfId="15019" xr:uid="{A226D727-C582-4F82-BE5A-E90FCB1C1D37}"/>
    <cellStyle name="20% - Accent1 3 2 6 3" xfId="10801" xr:uid="{0B2FDF05-1602-469D-AFCD-12FF6F539C6D}"/>
    <cellStyle name="20% - Accent1 3 2 7" xfId="4511" xr:uid="{00000000-0005-0000-0000-000066000000}"/>
    <cellStyle name="20% - Accent1 3 2 7 2" xfId="12953" xr:uid="{8266D46B-9E75-4E79-BA1E-859ED7936ECA}"/>
    <cellStyle name="20% - Accent1 3 2 8" xfId="8735" xr:uid="{AD1456ED-F93E-4133-A344-78CD6360A508}"/>
    <cellStyle name="20% - Accent1 3 3" xfId="575" xr:uid="{00000000-0005-0000-0000-000067000000}"/>
    <cellStyle name="20% - Accent1 3 3 2" xfId="2846" xr:uid="{00000000-0005-0000-0000-000068000000}"/>
    <cellStyle name="20% - Accent1 3 3 2 2" xfId="7069" xr:uid="{00000000-0005-0000-0000-000069000000}"/>
    <cellStyle name="20% - Accent1 3 3 2 2 2" xfId="15511" xr:uid="{D50CCEFA-BFB8-4709-9254-EFAE253F280D}"/>
    <cellStyle name="20% - Accent1 3 3 2 3" xfId="11293" xr:uid="{BC6A8498-78DC-4097-80C1-A315E911F639}"/>
    <cellStyle name="20% - Accent1 3 3 3" xfId="4924" xr:uid="{00000000-0005-0000-0000-00006A000000}"/>
    <cellStyle name="20% - Accent1 3 3 3 2" xfId="13366" xr:uid="{9B770B45-530B-4E43-AEB1-68FF5F1AA770}"/>
    <cellStyle name="20% - Accent1 3 3 4" xfId="9148" xr:uid="{E8469FDA-6686-45E9-A292-8021C57D996A}"/>
    <cellStyle name="20% - Accent1 3 4" xfId="1028" xr:uid="{00000000-0005-0000-0000-00006B000000}"/>
    <cellStyle name="20% - Accent1 3 4 2" xfId="3259" xr:uid="{00000000-0005-0000-0000-00006C000000}"/>
    <cellStyle name="20% - Accent1 3 4 2 2" xfId="7482" xr:uid="{00000000-0005-0000-0000-00006D000000}"/>
    <cellStyle name="20% - Accent1 3 4 2 2 2" xfId="15924" xr:uid="{89331EF8-C45C-4469-8A21-0C444C1D0483}"/>
    <cellStyle name="20% - Accent1 3 4 2 3" xfId="11706" xr:uid="{60178766-A103-47C0-98F6-E08DCE67D7C4}"/>
    <cellStyle name="20% - Accent1 3 4 3" xfId="5337" xr:uid="{00000000-0005-0000-0000-00006E000000}"/>
    <cellStyle name="20% - Accent1 3 4 3 2" xfId="13779" xr:uid="{1DDA8620-C9C3-4EEF-87D0-D33B95359B68}"/>
    <cellStyle name="20% - Accent1 3 4 4" xfId="9561" xr:uid="{5D0A2DD2-E73A-4360-8CE9-60EAD1268294}"/>
    <cellStyle name="20% - Accent1 3 5" xfId="1442" xr:uid="{00000000-0005-0000-0000-00006F000000}"/>
    <cellStyle name="20% - Accent1 3 5 2" xfId="3672" xr:uid="{00000000-0005-0000-0000-000070000000}"/>
    <cellStyle name="20% - Accent1 3 5 2 2" xfId="7895" xr:uid="{00000000-0005-0000-0000-000071000000}"/>
    <cellStyle name="20% - Accent1 3 5 2 2 2" xfId="16337" xr:uid="{397C9342-2B5C-49DF-BE69-9514A5517596}"/>
    <cellStyle name="20% - Accent1 3 5 2 3" xfId="12119" xr:uid="{CE33EFA4-832C-459F-B99A-6B1C57ABC7CF}"/>
    <cellStyle name="20% - Accent1 3 5 3" xfId="5750" xr:uid="{00000000-0005-0000-0000-000072000000}"/>
    <cellStyle name="20% - Accent1 3 5 3 2" xfId="14192" xr:uid="{83D830D2-7409-4227-8660-D8FE62ABEA87}"/>
    <cellStyle name="20% - Accent1 3 5 4" xfId="9974" xr:uid="{1043E5BB-43CC-40DF-8CF0-C7E06D7650C8}"/>
    <cellStyle name="20% - Accent1 3 6" xfId="1856" xr:uid="{00000000-0005-0000-0000-000073000000}"/>
    <cellStyle name="20% - Accent1 3 6 2" xfId="4085" xr:uid="{00000000-0005-0000-0000-000074000000}"/>
    <cellStyle name="20% - Accent1 3 6 2 2" xfId="8308" xr:uid="{00000000-0005-0000-0000-000075000000}"/>
    <cellStyle name="20% - Accent1 3 6 2 2 2" xfId="16750" xr:uid="{E147D945-BDDC-4D00-9E5B-031482CF681D}"/>
    <cellStyle name="20% - Accent1 3 6 2 3" xfId="12532" xr:uid="{3421E587-6B08-4B6D-904C-C3100A9EFEA3}"/>
    <cellStyle name="20% - Accent1 3 6 3" xfId="6163" xr:uid="{00000000-0005-0000-0000-000076000000}"/>
    <cellStyle name="20% - Accent1 3 6 3 2" xfId="14605" xr:uid="{D8BE6364-7D5F-4FF6-874D-19C4CB0B5CB9}"/>
    <cellStyle name="20% - Accent1 3 6 4" xfId="10387" xr:uid="{E72C2EF8-5619-46C0-BFEE-FB6922859D04}"/>
    <cellStyle name="20% - Accent1 3 7" xfId="2269" xr:uid="{00000000-0005-0000-0000-000077000000}"/>
    <cellStyle name="20% - Accent1 3 7 2" xfId="6576" xr:uid="{00000000-0005-0000-0000-000078000000}"/>
    <cellStyle name="20% - Accent1 3 7 2 2" xfId="15018" xr:uid="{2E78D7F4-E874-435A-8969-A8CD436C6AFB}"/>
    <cellStyle name="20% - Accent1 3 7 3" xfId="10800" xr:uid="{C4AB21A4-6448-4398-B112-81FA9839D41A}"/>
    <cellStyle name="20% - Accent1 3 8" xfId="4510" xr:uid="{00000000-0005-0000-0000-000079000000}"/>
    <cellStyle name="20% - Accent1 3 8 2" xfId="12952" xr:uid="{4236DB92-85AB-4A63-B463-EB97CA595850}"/>
    <cellStyle name="20% - Accent1 3 9" xfId="8734" xr:uid="{34A65934-0EEF-462F-9FA9-CC03CEBB1C7A}"/>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2 2 2" xfId="15513" xr:uid="{366E3E4B-9BCE-4B4C-AEE6-DDC7BEACDEF7}"/>
    <cellStyle name="20% - Accent1 4 2 2 3" xfId="11295" xr:uid="{0C10F960-44C5-4826-BB4C-3DFB240C6332}"/>
    <cellStyle name="20% - Accent1 4 2 3" xfId="4926" xr:uid="{00000000-0005-0000-0000-00007E000000}"/>
    <cellStyle name="20% - Accent1 4 2 3 2" xfId="13368" xr:uid="{56D25870-A16C-4AB1-8E2D-2C69658C3C21}"/>
    <cellStyle name="20% - Accent1 4 2 4" xfId="9150" xr:uid="{E0F28F26-84BE-4279-AD2B-30AE6BB5E6E2}"/>
    <cellStyle name="20% - Accent1 4 3" xfId="1030" xr:uid="{00000000-0005-0000-0000-00007F000000}"/>
    <cellStyle name="20% - Accent1 4 3 2" xfId="3261" xr:uid="{00000000-0005-0000-0000-000080000000}"/>
    <cellStyle name="20% - Accent1 4 3 2 2" xfId="7484" xr:uid="{00000000-0005-0000-0000-000081000000}"/>
    <cellStyle name="20% - Accent1 4 3 2 2 2" xfId="15926" xr:uid="{2668463F-19B6-497E-9FD4-2037E8F9CDDD}"/>
    <cellStyle name="20% - Accent1 4 3 2 3" xfId="11708" xr:uid="{D36AC264-2F6B-478A-973B-2C56728DBA13}"/>
    <cellStyle name="20% - Accent1 4 3 3" xfId="5339" xr:uid="{00000000-0005-0000-0000-000082000000}"/>
    <cellStyle name="20% - Accent1 4 3 3 2" xfId="13781" xr:uid="{6D5042AA-1D95-4883-AC32-89E2D51F9623}"/>
    <cellStyle name="20% - Accent1 4 3 4" xfId="9563" xr:uid="{430D13EB-ABDC-4947-A457-B9C5F7772C19}"/>
    <cellStyle name="20% - Accent1 4 4" xfId="1444" xr:uid="{00000000-0005-0000-0000-000083000000}"/>
    <cellStyle name="20% - Accent1 4 4 2" xfId="3674" xr:uid="{00000000-0005-0000-0000-000084000000}"/>
    <cellStyle name="20% - Accent1 4 4 2 2" xfId="7897" xr:uid="{00000000-0005-0000-0000-000085000000}"/>
    <cellStyle name="20% - Accent1 4 4 2 2 2" xfId="16339" xr:uid="{A6CE67DE-088F-4FEF-9008-9A0FF860BCFB}"/>
    <cellStyle name="20% - Accent1 4 4 2 3" xfId="12121" xr:uid="{7DAEDBC2-B4B3-4633-83FF-C640EBBEAA28}"/>
    <cellStyle name="20% - Accent1 4 4 3" xfId="5752" xr:uid="{00000000-0005-0000-0000-000086000000}"/>
    <cellStyle name="20% - Accent1 4 4 3 2" xfId="14194" xr:uid="{FD9BAB9B-5F54-4161-B9C4-0E29078CC503}"/>
    <cellStyle name="20% - Accent1 4 4 4" xfId="9976" xr:uid="{6742CBB7-FD80-4985-9D92-F0E70AF7114D}"/>
    <cellStyle name="20% - Accent1 4 5" xfId="1858" xr:uid="{00000000-0005-0000-0000-000087000000}"/>
    <cellStyle name="20% - Accent1 4 5 2" xfId="4087" xr:uid="{00000000-0005-0000-0000-000088000000}"/>
    <cellStyle name="20% - Accent1 4 5 2 2" xfId="8310" xr:uid="{00000000-0005-0000-0000-000089000000}"/>
    <cellStyle name="20% - Accent1 4 5 2 2 2" xfId="16752" xr:uid="{5CC2304B-9AC5-4AD0-A1FE-C23A40AF61EC}"/>
    <cellStyle name="20% - Accent1 4 5 2 3" xfId="12534" xr:uid="{DE8259D1-B61E-4D50-BF3F-6161B7A76E61}"/>
    <cellStyle name="20% - Accent1 4 5 3" xfId="6165" xr:uid="{00000000-0005-0000-0000-00008A000000}"/>
    <cellStyle name="20% - Accent1 4 5 3 2" xfId="14607" xr:uid="{D625A61B-F80E-4586-96B2-5591979B31AE}"/>
    <cellStyle name="20% - Accent1 4 5 4" xfId="10389" xr:uid="{5F882289-F358-4DFF-9358-184A3BC74619}"/>
    <cellStyle name="20% - Accent1 4 6" xfId="2271" xr:uid="{00000000-0005-0000-0000-00008B000000}"/>
    <cellStyle name="20% - Accent1 4 6 2" xfId="6578" xr:uid="{00000000-0005-0000-0000-00008C000000}"/>
    <cellStyle name="20% - Accent1 4 6 2 2" xfId="15020" xr:uid="{6A53F213-3103-4C02-B567-B7ADAFF7FCB0}"/>
    <cellStyle name="20% - Accent1 4 6 3" xfId="10802" xr:uid="{F6EAA504-8C4C-42CA-B283-349467CD66CF}"/>
    <cellStyle name="20% - Accent1 4 7" xfId="4512" xr:uid="{00000000-0005-0000-0000-00008D000000}"/>
    <cellStyle name="20% - Accent1 4 7 2" xfId="12954" xr:uid="{C174CA64-45D4-4927-ACBC-CD4DF0440F0D}"/>
    <cellStyle name="20% - Accent1 4 8" xfId="8736" xr:uid="{64165FBE-F6DE-4809-963F-3514E16ADD8C}"/>
    <cellStyle name="20% - Accent1 5" xfId="570" xr:uid="{00000000-0005-0000-0000-00008E000000}"/>
    <cellStyle name="20% - Accent1 5 2" xfId="2841" xr:uid="{00000000-0005-0000-0000-00008F000000}"/>
    <cellStyle name="20% - Accent1 5 2 2" xfId="7064" xr:uid="{00000000-0005-0000-0000-000090000000}"/>
    <cellStyle name="20% - Accent1 5 2 2 2" xfId="15506" xr:uid="{91568C48-C60D-4134-BC3A-992CA090324D}"/>
    <cellStyle name="20% - Accent1 5 2 3" xfId="11288" xr:uid="{63E89198-8D43-49DD-B2C8-454A11BE0CA2}"/>
    <cellStyle name="20% - Accent1 5 3" xfId="4919" xr:uid="{00000000-0005-0000-0000-000091000000}"/>
    <cellStyle name="20% - Accent1 5 3 2" xfId="13361" xr:uid="{0774C4E4-49B7-4079-AB27-2BABF1685F49}"/>
    <cellStyle name="20% - Accent1 5 4" xfId="9143" xr:uid="{044B7F15-0F7D-4D62-9893-FE99A03927A0}"/>
    <cellStyle name="20% - Accent1 6" xfId="1023" xr:uid="{00000000-0005-0000-0000-000092000000}"/>
    <cellStyle name="20% - Accent1 6 2" xfId="3254" xr:uid="{00000000-0005-0000-0000-000093000000}"/>
    <cellStyle name="20% - Accent1 6 2 2" xfId="7477" xr:uid="{00000000-0005-0000-0000-000094000000}"/>
    <cellStyle name="20% - Accent1 6 2 2 2" xfId="15919" xr:uid="{468C410C-6E98-4B45-AAAF-7BA19E09BACE}"/>
    <cellStyle name="20% - Accent1 6 2 3" xfId="11701" xr:uid="{F0EF7F34-9179-4640-9836-D31F27A5E14A}"/>
    <cellStyle name="20% - Accent1 6 3" xfId="5332" xr:uid="{00000000-0005-0000-0000-000095000000}"/>
    <cellStyle name="20% - Accent1 6 3 2" xfId="13774" xr:uid="{FE3442A9-BAC7-4E99-BC51-A1D4D9A047E8}"/>
    <cellStyle name="20% - Accent1 6 4" xfId="9556" xr:uid="{8AD60A3A-F611-4278-848C-283BA340CA2C}"/>
    <cellStyle name="20% - Accent1 7" xfId="1437" xr:uid="{00000000-0005-0000-0000-000096000000}"/>
    <cellStyle name="20% - Accent1 7 2" xfId="3667" xr:uid="{00000000-0005-0000-0000-000097000000}"/>
    <cellStyle name="20% - Accent1 7 2 2" xfId="7890" xr:uid="{00000000-0005-0000-0000-000098000000}"/>
    <cellStyle name="20% - Accent1 7 2 2 2" xfId="16332" xr:uid="{C711E4AD-3823-419D-B536-71B1F6F9E999}"/>
    <cellStyle name="20% - Accent1 7 2 3" xfId="12114" xr:uid="{D552A500-4FF6-4467-B501-F2B0B23960A4}"/>
    <cellStyle name="20% - Accent1 7 3" xfId="5745" xr:uid="{00000000-0005-0000-0000-000099000000}"/>
    <cellStyle name="20% - Accent1 7 3 2" xfId="14187" xr:uid="{4D1A7660-C112-494B-99A5-00AB59F792C9}"/>
    <cellStyle name="20% - Accent1 7 4" xfId="9969" xr:uid="{2EA1D90E-529D-4587-A2C1-0AC313C78993}"/>
    <cellStyle name="20% - Accent1 8" xfId="1851" xr:uid="{00000000-0005-0000-0000-00009A000000}"/>
    <cellStyle name="20% - Accent1 8 2" xfId="4080" xr:uid="{00000000-0005-0000-0000-00009B000000}"/>
    <cellStyle name="20% - Accent1 8 2 2" xfId="8303" xr:uid="{00000000-0005-0000-0000-00009C000000}"/>
    <cellStyle name="20% - Accent1 8 2 2 2" xfId="16745" xr:uid="{64BB058D-9D7A-4BFE-AD9F-27759A9FE114}"/>
    <cellStyle name="20% - Accent1 8 2 3" xfId="12527" xr:uid="{33B9BA31-FFE1-47A0-8A92-1017AF088B94}"/>
    <cellStyle name="20% - Accent1 8 3" xfId="6158" xr:uid="{00000000-0005-0000-0000-00009D000000}"/>
    <cellStyle name="20% - Accent1 8 3 2" xfId="14600" xr:uid="{A1F8993D-95C7-4A19-A86C-5DA77F1CC13F}"/>
    <cellStyle name="20% - Accent1 8 4" xfId="10382" xr:uid="{A4EB0F20-B754-403F-86F7-977947DD95D6}"/>
    <cellStyle name="20% - Accent1 9" xfId="2264" xr:uid="{00000000-0005-0000-0000-00009E000000}"/>
    <cellStyle name="20% - Accent1 9 2" xfId="6571" xr:uid="{00000000-0005-0000-0000-00009F000000}"/>
    <cellStyle name="20% - Accent1 9 2 2" xfId="15013" xr:uid="{2F724352-7496-412A-9829-1C8F759226F4}"/>
    <cellStyle name="20% - Accent1 9 3" xfId="10795" xr:uid="{552CC066-6C6D-4CFF-9BC4-5E5E8171308F}"/>
    <cellStyle name="20% - Accent2" xfId="9" builtinId="34" customBuiltin="1"/>
    <cellStyle name="20% - Accent2 10" xfId="4513" xr:uid="{00000000-0005-0000-0000-0000A1000000}"/>
    <cellStyle name="20% - Accent2 10 2" xfId="12955" xr:uid="{59C14770-E41F-47CD-88B0-5FEDE2F9B1B4}"/>
    <cellStyle name="20% - Accent2 11" xfId="8737" xr:uid="{95E2779D-B1DC-47A6-82A2-97549DBE7BAB}"/>
    <cellStyle name="20% - Accent2 2" xfId="10" xr:uid="{00000000-0005-0000-0000-0000A2000000}"/>
    <cellStyle name="20% - Accent2 2 10" xfId="8738" xr:uid="{BAA0651B-E75D-4F26-B917-6B0A1A7B6083}"/>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2 2 2" xfId="15517" xr:uid="{6EB5123D-E56F-41CD-ACD7-F721DDA7996B}"/>
    <cellStyle name="20% - Accent2 2 2 2 2 2 3" xfId="11299" xr:uid="{AB13B7B8-01A8-4EFC-954C-A7950E334D78}"/>
    <cellStyle name="20% - Accent2 2 2 2 2 3" xfId="4930" xr:uid="{00000000-0005-0000-0000-0000A8000000}"/>
    <cellStyle name="20% - Accent2 2 2 2 2 3 2" xfId="13372" xr:uid="{8A31B7C0-8DE0-4A80-9E4A-DA91CC4C0D02}"/>
    <cellStyle name="20% - Accent2 2 2 2 2 4" xfId="9154" xr:uid="{5767593D-A37B-404B-B7A5-F8215F213422}"/>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2 2 2" xfId="15930" xr:uid="{D560667F-E920-4009-A557-6C201F4C6B8B}"/>
    <cellStyle name="20% - Accent2 2 2 2 3 2 3" xfId="11712" xr:uid="{F01E9EBA-0F8E-43BC-B217-DCE63CA308D5}"/>
    <cellStyle name="20% - Accent2 2 2 2 3 3" xfId="5343" xr:uid="{00000000-0005-0000-0000-0000AC000000}"/>
    <cellStyle name="20% - Accent2 2 2 2 3 3 2" xfId="13785" xr:uid="{5798FD55-F89F-4D35-A31E-D02A74085C87}"/>
    <cellStyle name="20% - Accent2 2 2 2 3 4" xfId="9567" xr:uid="{B76B7F70-FA7E-48A3-A4EB-C428B6B3AC79}"/>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2 2 2" xfId="16343" xr:uid="{D2379356-FFE4-43C2-9E7C-7A3950D8E125}"/>
    <cellStyle name="20% - Accent2 2 2 2 4 2 3" xfId="12125" xr:uid="{7C7A209A-74CF-47A8-A893-8AB5D743F544}"/>
    <cellStyle name="20% - Accent2 2 2 2 4 3" xfId="5756" xr:uid="{00000000-0005-0000-0000-0000B0000000}"/>
    <cellStyle name="20% - Accent2 2 2 2 4 3 2" xfId="14198" xr:uid="{922634DC-9229-4145-B953-AA5C709EBAFB}"/>
    <cellStyle name="20% - Accent2 2 2 2 4 4" xfId="9980" xr:uid="{572E4DC9-4979-4895-B555-8A6B1FEECFDB}"/>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2 2 2" xfId="16756" xr:uid="{B80CD960-7AB0-4DBC-A09B-95198B77B242}"/>
    <cellStyle name="20% - Accent2 2 2 2 5 2 3" xfId="12538" xr:uid="{3360D82F-8E7B-4186-9D97-929C504F0E6B}"/>
    <cellStyle name="20% - Accent2 2 2 2 5 3" xfId="6169" xr:uid="{00000000-0005-0000-0000-0000B4000000}"/>
    <cellStyle name="20% - Accent2 2 2 2 5 3 2" xfId="14611" xr:uid="{4A75B8D6-9A4B-4084-807C-42ED06B4470E}"/>
    <cellStyle name="20% - Accent2 2 2 2 5 4" xfId="10393" xr:uid="{35E5A91C-0E62-4E80-BE6B-47BFB4C05E6C}"/>
    <cellStyle name="20% - Accent2 2 2 2 6" xfId="2275" xr:uid="{00000000-0005-0000-0000-0000B5000000}"/>
    <cellStyle name="20% - Accent2 2 2 2 6 2" xfId="6582" xr:uid="{00000000-0005-0000-0000-0000B6000000}"/>
    <cellStyle name="20% - Accent2 2 2 2 6 2 2" xfId="15024" xr:uid="{14DC3076-7A40-4306-BDB1-BFC1241C9CA2}"/>
    <cellStyle name="20% - Accent2 2 2 2 6 3" xfId="10806" xr:uid="{BB72F969-2B12-4235-9A87-5725FC9D55AD}"/>
    <cellStyle name="20% - Accent2 2 2 2 7" xfId="4516" xr:uid="{00000000-0005-0000-0000-0000B7000000}"/>
    <cellStyle name="20% - Accent2 2 2 2 7 2" xfId="12958" xr:uid="{5D9A56CC-F4FB-4337-A5F4-695EE444A520}"/>
    <cellStyle name="20% - Accent2 2 2 2 8" xfId="8740" xr:uid="{D5374DC0-74FC-425E-BF8A-A57F92FA10DD}"/>
    <cellStyle name="20% - Accent2 2 2 3" xfId="580" xr:uid="{00000000-0005-0000-0000-0000B8000000}"/>
    <cellStyle name="20% - Accent2 2 2 3 2" xfId="2851" xr:uid="{00000000-0005-0000-0000-0000B9000000}"/>
    <cellStyle name="20% - Accent2 2 2 3 2 2" xfId="7074" xr:uid="{00000000-0005-0000-0000-0000BA000000}"/>
    <cellStyle name="20% - Accent2 2 2 3 2 2 2" xfId="15516" xr:uid="{C508512B-DDC1-4F2A-8B98-93E1A4067FF8}"/>
    <cellStyle name="20% - Accent2 2 2 3 2 3" xfId="11298" xr:uid="{C415DE6C-78DD-4429-B71F-70EC8B613A56}"/>
    <cellStyle name="20% - Accent2 2 2 3 3" xfId="4929" xr:uid="{00000000-0005-0000-0000-0000BB000000}"/>
    <cellStyle name="20% - Accent2 2 2 3 3 2" xfId="13371" xr:uid="{E6241B43-2297-41A9-AAF6-A4E5D9369997}"/>
    <cellStyle name="20% - Accent2 2 2 3 4" xfId="9153" xr:uid="{83849235-674A-4143-9FB4-4216A1491C04}"/>
    <cellStyle name="20% - Accent2 2 2 4" xfId="1033" xr:uid="{00000000-0005-0000-0000-0000BC000000}"/>
    <cellStyle name="20% - Accent2 2 2 4 2" xfId="3264" xr:uid="{00000000-0005-0000-0000-0000BD000000}"/>
    <cellStyle name="20% - Accent2 2 2 4 2 2" xfId="7487" xr:uid="{00000000-0005-0000-0000-0000BE000000}"/>
    <cellStyle name="20% - Accent2 2 2 4 2 2 2" xfId="15929" xr:uid="{7B130855-F939-4149-B495-EA0E8210F5AE}"/>
    <cellStyle name="20% - Accent2 2 2 4 2 3" xfId="11711" xr:uid="{0E8102A7-BE59-4E95-8A2E-087172C9FC7E}"/>
    <cellStyle name="20% - Accent2 2 2 4 3" xfId="5342" xr:uid="{00000000-0005-0000-0000-0000BF000000}"/>
    <cellStyle name="20% - Accent2 2 2 4 3 2" xfId="13784" xr:uid="{CD2F6B81-09C9-43EF-91AE-E0215F8B3543}"/>
    <cellStyle name="20% - Accent2 2 2 4 4" xfId="9566" xr:uid="{A2506B86-343B-4BCC-AA69-8D0FD6F0B0D4}"/>
    <cellStyle name="20% - Accent2 2 2 5" xfId="1447" xr:uid="{00000000-0005-0000-0000-0000C0000000}"/>
    <cellStyle name="20% - Accent2 2 2 5 2" xfId="3677" xr:uid="{00000000-0005-0000-0000-0000C1000000}"/>
    <cellStyle name="20% - Accent2 2 2 5 2 2" xfId="7900" xr:uid="{00000000-0005-0000-0000-0000C2000000}"/>
    <cellStyle name="20% - Accent2 2 2 5 2 2 2" xfId="16342" xr:uid="{2AE33A9B-2D5B-4E6E-A9DF-54E3232D2D39}"/>
    <cellStyle name="20% - Accent2 2 2 5 2 3" xfId="12124" xr:uid="{9CD2C62D-86DD-4761-9B9E-56029B97C311}"/>
    <cellStyle name="20% - Accent2 2 2 5 3" xfId="5755" xr:uid="{00000000-0005-0000-0000-0000C3000000}"/>
    <cellStyle name="20% - Accent2 2 2 5 3 2" xfId="14197" xr:uid="{B885441E-90EE-4D4D-8405-693BBDAD9540}"/>
    <cellStyle name="20% - Accent2 2 2 5 4" xfId="9979" xr:uid="{E7750524-A4D3-42A0-BDDE-7694A7187BF6}"/>
    <cellStyle name="20% - Accent2 2 2 6" xfId="1861" xr:uid="{00000000-0005-0000-0000-0000C4000000}"/>
    <cellStyle name="20% - Accent2 2 2 6 2" xfId="4090" xr:uid="{00000000-0005-0000-0000-0000C5000000}"/>
    <cellStyle name="20% - Accent2 2 2 6 2 2" xfId="8313" xr:uid="{00000000-0005-0000-0000-0000C6000000}"/>
    <cellStyle name="20% - Accent2 2 2 6 2 2 2" xfId="16755" xr:uid="{8F9098E8-F354-4178-BEC7-2B7AFC341C92}"/>
    <cellStyle name="20% - Accent2 2 2 6 2 3" xfId="12537" xr:uid="{73419AC8-F136-4392-869C-E623AED0B1BC}"/>
    <cellStyle name="20% - Accent2 2 2 6 3" xfId="6168" xr:uid="{00000000-0005-0000-0000-0000C7000000}"/>
    <cellStyle name="20% - Accent2 2 2 6 3 2" xfId="14610" xr:uid="{627D6846-936F-4B03-844C-F4F4988C1B4D}"/>
    <cellStyle name="20% - Accent2 2 2 6 4" xfId="10392" xr:uid="{CB64C1B4-2041-44E8-8AE5-5274742027B7}"/>
    <cellStyle name="20% - Accent2 2 2 7" xfId="2274" xr:uid="{00000000-0005-0000-0000-0000C8000000}"/>
    <cellStyle name="20% - Accent2 2 2 7 2" xfId="6581" xr:uid="{00000000-0005-0000-0000-0000C9000000}"/>
    <cellStyle name="20% - Accent2 2 2 7 2 2" xfId="15023" xr:uid="{617F71D5-036A-4A61-A599-E05A4A84AEDC}"/>
    <cellStyle name="20% - Accent2 2 2 7 3" xfId="10805" xr:uid="{9569531B-96EA-40DB-866A-E36524C79A4B}"/>
    <cellStyle name="20% - Accent2 2 2 8" xfId="4515" xr:uid="{00000000-0005-0000-0000-0000CA000000}"/>
    <cellStyle name="20% - Accent2 2 2 8 2" xfId="12957" xr:uid="{498586FA-F6F6-4D6D-B427-0CEB37EF514F}"/>
    <cellStyle name="20% - Accent2 2 2 9" xfId="8739" xr:uid="{5B5FB69A-015E-4405-BB92-DCF90F4BD477}"/>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2 2 2" xfId="15518" xr:uid="{B45C0EDD-8F7B-4AF2-8EF6-2D6EF0D1F980}"/>
    <cellStyle name="20% - Accent2 2 3 2 2 3" xfId="11300" xr:uid="{95C03D82-5F2C-4E62-8336-45BE8E8B7AF7}"/>
    <cellStyle name="20% - Accent2 2 3 2 3" xfId="4931" xr:uid="{00000000-0005-0000-0000-0000CF000000}"/>
    <cellStyle name="20% - Accent2 2 3 2 3 2" xfId="13373" xr:uid="{30948D9C-76AC-4E64-9E31-798C229B51ED}"/>
    <cellStyle name="20% - Accent2 2 3 2 4" xfId="9155" xr:uid="{1E7AFADC-A8FC-4099-9343-F835C88C402A}"/>
    <cellStyle name="20% - Accent2 2 3 3" xfId="1035" xr:uid="{00000000-0005-0000-0000-0000D0000000}"/>
    <cellStyle name="20% - Accent2 2 3 3 2" xfId="3266" xr:uid="{00000000-0005-0000-0000-0000D1000000}"/>
    <cellStyle name="20% - Accent2 2 3 3 2 2" xfId="7489" xr:uid="{00000000-0005-0000-0000-0000D2000000}"/>
    <cellStyle name="20% - Accent2 2 3 3 2 2 2" xfId="15931" xr:uid="{B92895AE-DFFD-41AF-A0B1-52DE0F191F39}"/>
    <cellStyle name="20% - Accent2 2 3 3 2 3" xfId="11713" xr:uid="{7F8F10EC-4E8D-4C07-99D6-2394F313549A}"/>
    <cellStyle name="20% - Accent2 2 3 3 3" xfId="5344" xr:uid="{00000000-0005-0000-0000-0000D3000000}"/>
    <cellStyle name="20% - Accent2 2 3 3 3 2" xfId="13786" xr:uid="{293FF3D9-9E61-4856-A620-3A5B93B8513B}"/>
    <cellStyle name="20% - Accent2 2 3 3 4" xfId="9568" xr:uid="{90630878-CF53-46A2-8DFC-2095B003C34C}"/>
    <cellStyle name="20% - Accent2 2 3 4" xfId="1449" xr:uid="{00000000-0005-0000-0000-0000D4000000}"/>
    <cellStyle name="20% - Accent2 2 3 4 2" xfId="3679" xr:uid="{00000000-0005-0000-0000-0000D5000000}"/>
    <cellStyle name="20% - Accent2 2 3 4 2 2" xfId="7902" xr:uid="{00000000-0005-0000-0000-0000D6000000}"/>
    <cellStyle name="20% - Accent2 2 3 4 2 2 2" xfId="16344" xr:uid="{F6E4F3AF-0D0D-4675-9AAB-21D145471E78}"/>
    <cellStyle name="20% - Accent2 2 3 4 2 3" xfId="12126" xr:uid="{E6C6BAD9-C93F-4FE7-A7F0-EA5F43416F53}"/>
    <cellStyle name="20% - Accent2 2 3 4 3" xfId="5757" xr:uid="{00000000-0005-0000-0000-0000D7000000}"/>
    <cellStyle name="20% - Accent2 2 3 4 3 2" xfId="14199" xr:uid="{7604601D-8F02-4903-BAEA-3B15E829A58F}"/>
    <cellStyle name="20% - Accent2 2 3 4 4" xfId="9981" xr:uid="{AE1C55C1-AB84-4BB7-ABA3-F45EB09E4414}"/>
    <cellStyle name="20% - Accent2 2 3 5" xfId="1863" xr:uid="{00000000-0005-0000-0000-0000D8000000}"/>
    <cellStyle name="20% - Accent2 2 3 5 2" xfId="4092" xr:uid="{00000000-0005-0000-0000-0000D9000000}"/>
    <cellStyle name="20% - Accent2 2 3 5 2 2" xfId="8315" xr:uid="{00000000-0005-0000-0000-0000DA000000}"/>
    <cellStyle name="20% - Accent2 2 3 5 2 2 2" xfId="16757" xr:uid="{2A86F6DB-1C29-4563-A5F1-CCA6ADE88700}"/>
    <cellStyle name="20% - Accent2 2 3 5 2 3" xfId="12539" xr:uid="{B131AC5B-F763-4B23-B8AD-5CD3513DF0DB}"/>
    <cellStyle name="20% - Accent2 2 3 5 3" xfId="6170" xr:uid="{00000000-0005-0000-0000-0000DB000000}"/>
    <cellStyle name="20% - Accent2 2 3 5 3 2" xfId="14612" xr:uid="{627E4534-6821-4AEA-BD45-910E421D0A0A}"/>
    <cellStyle name="20% - Accent2 2 3 5 4" xfId="10394" xr:uid="{FEE9699F-E8D0-4486-9E68-85F0958CF7CC}"/>
    <cellStyle name="20% - Accent2 2 3 6" xfId="2276" xr:uid="{00000000-0005-0000-0000-0000DC000000}"/>
    <cellStyle name="20% - Accent2 2 3 6 2" xfId="6583" xr:uid="{00000000-0005-0000-0000-0000DD000000}"/>
    <cellStyle name="20% - Accent2 2 3 6 2 2" xfId="15025" xr:uid="{F60AFE41-B18C-416A-92D5-45572E9C25E8}"/>
    <cellStyle name="20% - Accent2 2 3 6 3" xfId="10807" xr:uid="{339C029C-0CF3-46B9-BB94-A84DD573AA75}"/>
    <cellStyle name="20% - Accent2 2 3 7" xfId="4517" xr:uid="{00000000-0005-0000-0000-0000DE000000}"/>
    <cellStyle name="20% - Accent2 2 3 7 2" xfId="12959" xr:uid="{240C7311-70B6-4394-B14B-73196EEF7FD3}"/>
    <cellStyle name="20% - Accent2 2 3 8" xfId="8741" xr:uid="{B7F76C1D-16AC-4B35-95F9-66EA7A66D39D}"/>
    <cellStyle name="20% - Accent2 2 4" xfId="579" xr:uid="{00000000-0005-0000-0000-0000DF000000}"/>
    <cellStyle name="20% - Accent2 2 4 2" xfId="2850" xr:uid="{00000000-0005-0000-0000-0000E0000000}"/>
    <cellStyle name="20% - Accent2 2 4 2 2" xfId="7073" xr:uid="{00000000-0005-0000-0000-0000E1000000}"/>
    <cellStyle name="20% - Accent2 2 4 2 2 2" xfId="15515" xr:uid="{A72A5F9C-3D26-43DF-972D-6C46CB53B0B9}"/>
    <cellStyle name="20% - Accent2 2 4 2 3" xfId="11297" xr:uid="{045B6F84-6786-4C72-B501-58D567F3FA58}"/>
    <cellStyle name="20% - Accent2 2 4 3" xfId="4928" xr:uid="{00000000-0005-0000-0000-0000E2000000}"/>
    <cellStyle name="20% - Accent2 2 4 3 2" xfId="13370" xr:uid="{1844A700-228B-4DC8-BEFA-1C5BFBCC7EED}"/>
    <cellStyle name="20% - Accent2 2 4 4" xfId="9152" xr:uid="{1855C072-D711-405A-B224-5B0D9D980F25}"/>
    <cellStyle name="20% - Accent2 2 5" xfId="1032" xr:uid="{00000000-0005-0000-0000-0000E3000000}"/>
    <cellStyle name="20% - Accent2 2 5 2" xfId="3263" xr:uid="{00000000-0005-0000-0000-0000E4000000}"/>
    <cellStyle name="20% - Accent2 2 5 2 2" xfId="7486" xr:uid="{00000000-0005-0000-0000-0000E5000000}"/>
    <cellStyle name="20% - Accent2 2 5 2 2 2" xfId="15928" xr:uid="{13713067-84AA-4F87-81B9-841D463EB316}"/>
    <cellStyle name="20% - Accent2 2 5 2 3" xfId="11710" xr:uid="{318AE692-9529-4167-A855-241CD6B59F9A}"/>
    <cellStyle name="20% - Accent2 2 5 3" xfId="5341" xr:uid="{00000000-0005-0000-0000-0000E6000000}"/>
    <cellStyle name="20% - Accent2 2 5 3 2" xfId="13783" xr:uid="{4692FA52-DAB9-4016-A596-4CA32872CA65}"/>
    <cellStyle name="20% - Accent2 2 5 4" xfId="9565" xr:uid="{A1A3623E-6DB7-4EA0-915A-3B2B837101DE}"/>
    <cellStyle name="20% - Accent2 2 6" xfId="1446" xr:uid="{00000000-0005-0000-0000-0000E7000000}"/>
    <cellStyle name="20% - Accent2 2 6 2" xfId="3676" xr:uid="{00000000-0005-0000-0000-0000E8000000}"/>
    <cellStyle name="20% - Accent2 2 6 2 2" xfId="7899" xr:uid="{00000000-0005-0000-0000-0000E9000000}"/>
    <cellStyle name="20% - Accent2 2 6 2 2 2" xfId="16341" xr:uid="{37BE6340-17E3-4A45-888C-F97ACCFE6ACC}"/>
    <cellStyle name="20% - Accent2 2 6 2 3" xfId="12123" xr:uid="{880960E0-23BC-46EC-A1BB-ED020B6B509C}"/>
    <cellStyle name="20% - Accent2 2 6 3" xfId="5754" xr:uid="{00000000-0005-0000-0000-0000EA000000}"/>
    <cellStyle name="20% - Accent2 2 6 3 2" xfId="14196" xr:uid="{826EB5F0-21F5-49E7-A608-B28CB50BE4D8}"/>
    <cellStyle name="20% - Accent2 2 6 4" xfId="9978" xr:uid="{A70DAFCA-8808-481D-B51C-C6220BED14D7}"/>
    <cellStyle name="20% - Accent2 2 7" xfId="1860" xr:uid="{00000000-0005-0000-0000-0000EB000000}"/>
    <cellStyle name="20% - Accent2 2 7 2" xfId="4089" xr:uid="{00000000-0005-0000-0000-0000EC000000}"/>
    <cellStyle name="20% - Accent2 2 7 2 2" xfId="8312" xr:uid="{00000000-0005-0000-0000-0000ED000000}"/>
    <cellStyle name="20% - Accent2 2 7 2 2 2" xfId="16754" xr:uid="{AD24314F-FB44-4B03-B478-03D33E98C041}"/>
    <cellStyle name="20% - Accent2 2 7 2 3" xfId="12536" xr:uid="{B4B39AF4-0920-422A-9972-0F91F29687E2}"/>
    <cellStyle name="20% - Accent2 2 7 3" xfId="6167" xr:uid="{00000000-0005-0000-0000-0000EE000000}"/>
    <cellStyle name="20% - Accent2 2 7 3 2" xfId="14609" xr:uid="{49193341-75C2-43C9-BADD-5EA6B41EB00D}"/>
    <cellStyle name="20% - Accent2 2 7 4" xfId="10391" xr:uid="{6140F028-8597-45D8-BD5A-9A291B2EA8B2}"/>
    <cellStyle name="20% - Accent2 2 8" xfId="2273" xr:uid="{00000000-0005-0000-0000-0000EF000000}"/>
    <cellStyle name="20% - Accent2 2 8 2" xfId="6580" xr:uid="{00000000-0005-0000-0000-0000F0000000}"/>
    <cellStyle name="20% - Accent2 2 8 2 2" xfId="15022" xr:uid="{62A0A846-9C90-445C-9B1A-904EB607E15B}"/>
    <cellStyle name="20% - Accent2 2 8 3" xfId="10804" xr:uid="{9B4DEDF6-1EF9-4DC7-94C4-D0038D82AE79}"/>
    <cellStyle name="20% - Accent2 2 9" xfId="4514" xr:uid="{00000000-0005-0000-0000-0000F1000000}"/>
    <cellStyle name="20% - Accent2 2 9 2" xfId="12956" xr:uid="{A086ED88-E404-4819-A5C4-C6FBC766C136}"/>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2 2 2" xfId="15520" xr:uid="{270B99B3-183A-4EC2-A223-B3F279488B26}"/>
    <cellStyle name="20% - Accent2 3 2 2 2 3" xfId="11302" xr:uid="{E21CE726-3AB3-4946-9B13-434066C091D2}"/>
    <cellStyle name="20% - Accent2 3 2 2 3" xfId="4933" xr:uid="{00000000-0005-0000-0000-0000F7000000}"/>
    <cellStyle name="20% - Accent2 3 2 2 3 2" xfId="13375" xr:uid="{1E1CABB8-9027-4356-B8A1-2E3ECD9295D7}"/>
    <cellStyle name="20% - Accent2 3 2 2 4" xfId="9157" xr:uid="{63A794E3-B57B-4CAF-A30F-1FC8EFF3A5D4}"/>
    <cellStyle name="20% - Accent2 3 2 3" xfId="1037" xr:uid="{00000000-0005-0000-0000-0000F8000000}"/>
    <cellStyle name="20% - Accent2 3 2 3 2" xfId="3268" xr:uid="{00000000-0005-0000-0000-0000F9000000}"/>
    <cellStyle name="20% - Accent2 3 2 3 2 2" xfId="7491" xr:uid="{00000000-0005-0000-0000-0000FA000000}"/>
    <cellStyle name="20% - Accent2 3 2 3 2 2 2" xfId="15933" xr:uid="{49B6A487-3159-4521-8F4A-02128AAB0D41}"/>
    <cellStyle name="20% - Accent2 3 2 3 2 3" xfId="11715" xr:uid="{B16348AC-DCB7-4839-99DB-0AB34D2FD029}"/>
    <cellStyle name="20% - Accent2 3 2 3 3" xfId="5346" xr:uid="{00000000-0005-0000-0000-0000FB000000}"/>
    <cellStyle name="20% - Accent2 3 2 3 3 2" xfId="13788" xr:uid="{90A6ED67-B8E2-4129-9C09-DABE5A5A85DE}"/>
    <cellStyle name="20% - Accent2 3 2 3 4" xfId="9570" xr:uid="{9319CC8A-F126-40E3-BE5E-1E6E7B48A663}"/>
    <cellStyle name="20% - Accent2 3 2 4" xfId="1451" xr:uid="{00000000-0005-0000-0000-0000FC000000}"/>
    <cellStyle name="20% - Accent2 3 2 4 2" xfId="3681" xr:uid="{00000000-0005-0000-0000-0000FD000000}"/>
    <cellStyle name="20% - Accent2 3 2 4 2 2" xfId="7904" xr:uid="{00000000-0005-0000-0000-0000FE000000}"/>
    <cellStyle name="20% - Accent2 3 2 4 2 2 2" xfId="16346" xr:uid="{3EB0520B-A70D-428C-AAA2-938CC75DCD1F}"/>
    <cellStyle name="20% - Accent2 3 2 4 2 3" xfId="12128" xr:uid="{8B52DD26-AD99-46A4-B514-73E60348942B}"/>
    <cellStyle name="20% - Accent2 3 2 4 3" xfId="5759" xr:uid="{00000000-0005-0000-0000-0000FF000000}"/>
    <cellStyle name="20% - Accent2 3 2 4 3 2" xfId="14201" xr:uid="{B080D176-CAB5-44AD-A619-B062FAE79276}"/>
    <cellStyle name="20% - Accent2 3 2 4 4" xfId="9983" xr:uid="{BE349D9E-F999-4203-BB3A-83416D71E03D}"/>
    <cellStyle name="20% - Accent2 3 2 5" xfId="1865" xr:uid="{00000000-0005-0000-0000-000000010000}"/>
    <cellStyle name="20% - Accent2 3 2 5 2" xfId="4094" xr:uid="{00000000-0005-0000-0000-000001010000}"/>
    <cellStyle name="20% - Accent2 3 2 5 2 2" xfId="8317" xr:uid="{00000000-0005-0000-0000-000002010000}"/>
    <cellStyle name="20% - Accent2 3 2 5 2 2 2" xfId="16759" xr:uid="{EBCADAAD-3689-4B64-9B1A-4B21E69B3F3D}"/>
    <cellStyle name="20% - Accent2 3 2 5 2 3" xfId="12541" xr:uid="{FCD2D713-9762-4D36-A67C-D1CA7881091B}"/>
    <cellStyle name="20% - Accent2 3 2 5 3" xfId="6172" xr:uid="{00000000-0005-0000-0000-000003010000}"/>
    <cellStyle name="20% - Accent2 3 2 5 3 2" xfId="14614" xr:uid="{DD3156C8-940E-4FBD-AD83-41EEF8DBDC02}"/>
    <cellStyle name="20% - Accent2 3 2 5 4" xfId="10396" xr:uid="{6C524139-DB33-438D-A96B-93CA2EA0DCE9}"/>
    <cellStyle name="20% - Accent2 3 2 6" xfId="2278" xr:uid="{00000000-0005-0000-0000-000004010000}"/>
    <cellStyle name="20% - Accent2 3 2 6 2" xfId="6585" xr:uid="{00000000-0005-0000-0000-000005010000}"/>
    <cellStyle name="20% - Accent2 3 2 6 2 2" xfId="15027" xr:uid="{9B261FBC-6693-46AF-9E7C-F2A4AAA46088}"/>
    <cellStyle name="20% - Accent2 3 2 6 3" xfId="10809" xr:uid="{203291B4-5E65-46EB-829D-BF9C81E7CF12}"/>
    <cellStyle name="20% - Accent2 3 2 7" xfId="4519" xr:uid="{00000000-0005-0000-0000-000006010000}"/>
    <cellStyle name="20% - Accent2 3 2 7 2" xfId="12961" xr:uid="{134E5DEE-DD47-4B9C-B088-9BD696456271}"/>
    <cellStyle name="20% - Accent2 3 2 8" xfId="8743" xr:uid="{FF5C0CBE-0A5F-4873-B9FC-BEA309D228A0}"/>
    <cellStyle name="20% - Accent2 3 3" xfId="583" xr:uid="{00000000-0005-0000-0000-000007010000}"/>
    <cellStyle name="20% - Accent2 3 3 2" xfId="2854" xr:uid="{00000000-0005-0000-0000-000008010000}"/>
    <cellStyle name="20% - Accent2 3 3 2 2" xfId="7077" xr:uid="{00000000-0005-0000-0000-000009010000}"/>
    <cellStyle name="20% - Accent2 3 3 2 2 2" xfId="15519" xr:uid="{16E718D9-809B-40D6-AADE-F64AA26580EE}"/>
    <cellStyle name="20% - Accent2 3 3 2 3" xfId="11301" xr:uid="{A6D3E298-ABC1-40BA-B962-B85DED152A5F}"/>
    <cellStyle name="20% - Accent2 3 3 3" xfId="4932" xr:uid="{00000000-0005-0000-0000-00000A010000}"/>
    <cellStyle name="20% - Accent2 3 3 3 2" xfId="13374" xr:uid="{09C07DBC-0671-48E8-B7C4-7DB2CE24582D}"/>
    <cellStyle name="20% - Accent2 3 3 4" xfId="9156" xr:uid="{66BE84D0-6458-4B06-A6C2-0131454DC526}"/>
    <cellStyle name="20% - Accent2 3 4" xfId="1036" xr:uid="{00000000-0005-0000-0000-00000B010000}"/>
    <cellStyle name="20% - Accent2 3 4 2" xfId="3267" xr:uid="{00000000-0005-0000-0000-00000C010000}"/>
    <cellStyle name="20% - Accent2 3 4 2 2" xfId="7490" xr:uid="{00000000-0005-0000-0000-00000D010000}"/>
    <cellStyle name="20% - Accent2 3 4 2 2 2" xfId="15932" xr:uid="{1C814DE8-D5E5-4C7E-BF31-ECFB8BCE38C7}"/>
    <cellStyle name="20% - Accent2 3 4 2 3" xfId="11714" xr:uid="{115521E6-C0C2-47E8-823A-3FDB1227AA0E}"/>
    <cellStyle name="20% - Accent2 3 4 3" xfId="5345" xr:uid="{00000000-0005-0000-0000-00000E010000}"/>
    <cellStyle name="20% - Accent2 3 4 3 2" xfId="13787" xr:uid="{BAFF6FCC-AD48-44F5-ABDE-C9412960BAF6}"/>
    <cellStyle name="20% - Accent2 3 4 4" xfId="9569" xr:uid="{704D69EF-BE2A-4A4A-B501-81EB618E7E51}"/>
    <cellStyle name="20% - Accent2 3 5" xfId="1450" xr:uid="{00000000-0005-0000-0000-00000F010000}"/>
    <cellStyle name="20% - Accent2 3 5 2" xfId="3680" xr:uid="{00000000-0005-0000-0000-000010010000}"/>
    <cellStyle name="20% - Accent2 3 5 2 2" xfId="7903" xr:uid="{00000000-0005-0000-0000-000011010000}"/>
    <cellStyle name="20% - Accent2 3 5 2 2 2" xfId="16345" xr:uid="{CB73DFBF-D5AD-44BB-9A92-93632711A6BF}"/>
    <cellStyle name="20% - Accent2 3 5 2 3" xfId="12127" xr:uid="{1EACF4F1-6CE9-4EB8-99CD-38D2C4A2C5C4}"/>
    <cellStyle name="20% - Accent2 3 5 3" xfId="5758" xr:uid="{00000000-0005-0000-0000-000012010000}"/>
    <cellStyle name="20% - Accent2 3 5 3 2" xfId="14200" xr:uid="{6D61122D-A137-4932-9B18-A7DF0473C657}"/>
    <cellStyle name="20% - Accent2 3 5 4" xfId="9982" xr:uid="{147B9000-8D99-4D73-8F22-AB084F8900EE}"/>
    <cellStyle name="20% - Accent2 3 6" xfId="1864" xr:uid="{00000000-0005-0000-0000-000013010000}"/>
    <cellStyle name="20% - Accent2 3 6 2" xfId="4093" xr:uid="{00000000-0005-0000-0000-000014010000}"/>
    <cellStyle name="20% - Accent2 3 6 2 2" xfId="8316" xr:uid="{00000000-0005-0000-0000-000015010000}"/>
    <cellStyle name="20% - Accent2 3 6 2 2 2" xfId="16758" xr:uid="{AD9D3D61-8C50-4440-807D-83CF40F6029F}"/>
    <cellStyle name="20% - Accent2 3 6 2 3" xfId="12540" xr:uid="{B16DC65E-9ECC-4320-AE1E-28DC72B6AE09}"/>
    <cellStyle name="20% - Accent2 3 6 3" xfId="6171" xr:uid="{00000000-0005-0000-0000-000016010000}"/>
    <cellStyle name="20% - Accent2 3 6 3 2" xfId="14613" xr:uid="{FC279840-AB02-49D6-9820-0C52358D5901}"/>
    <cellStyle name="20% - Accent2 3 6 4" xfId="10395" xr:uid="{0A4F7A2F-CAB8-4358-BFDA-CB15A586E83E}"/>
    <cellStyle name="20% - Accent2 3 7" xfId="2277" xr:uid="{00000000-0005-0000-0000-000017010000}"/>
    <cellStyle name="20% - Accent2 3 7 2" xfId="6584" xr:uid="{00000000-0005-0000-0000-000018010000}"/>
    <cellStyle name="20% - Accent2 3 7 2 2" xfId="15026" xr:uid="{DAB315A1-3F9B-4AC3-986C-75F06EA22AEE}"/>
    <cellStyle name="20% - Accent2 3 7 3" xfId="10808" xr:uid="{9DBF4804-ACCD-4232-BC13-5CDCA136530D}"/>
    <cellStyle name="20% - Accent2 3 8" xfId="4518" xr:uid="{00000000-0005-0000-0000-000019010000}"/>
    <cellStyle name="20% - Accent2 3 8 2" xfId="12960" xr:uid="{5E94E7D3-60D5-4F14-AE73-1E208BCC8347}"/>
    <cellStyle name="20% - Accent2 3 9" xfId="8742" xr:uid="{03AEB4D7-BAAB-42ED-A6D7-81C0D660CC49}"/>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2 2 2" xfId="15521" xr:uid="{BDEDF713-D662-4F65-9FA0-9D21B2334114}"/>
    <cellStyle name="20% - Accent2 4 2 2 3" xfId="11303" xr:uid="{2F0EE8E4-3AA1-45F5-8E1F-B7A13F029EFD}"/>
    <cellStyle name="20% - Accent2 4 2 3" xfId="4934" xr:uid="{00000000-0005-0000-0000-00001E010000}"/>
    <cellStyle name="20% - Accent2 4 2 3 2" xfId="13376" xr:uid="{14E64BAE-18AB-4399-9311-AC8124E5994F}"/>
    <cellStyle name="20% - Accent2 4 2 4" xfId="9158" xr:uid="{33993B65-ACEF-40A6-885A-8A6A955A98D6}"/>
    <cellStyle name="20% - Accent2 4 3" xfId="1038" xr:uid="{00000000-0005-0000-0000-00001F010000}"/>
    <cellStyle name="20% - Accent2 4 3 2" xfId="3269" xr:uid="{00000000-0005-0000-0000-000020010000}"/>
    <cellStyle name="20% - Accent2 4 3 2 2" xfId="7492" xr:uid="{00000000-0005-0000-0000-000021010000}"/>
    <cellStyle name="20% - Accent2 4 3 2 2 2" xfId="15934" xr:uid="{56011F54-BFF7-4568-9F86-2A7E50D12554}"/>
    <cellStyle name="20% - Accent2 4 3 2 3" xfId="11716" xr:uid="{15CD6A7E-E284-4648-8929-3E1AE1B65316}"/>
    <cellStyle name="20% - Accent2 4 3 3" xfId="5347" xr:uid="{00000000-0005-0000-0000-000022010000}"/>
    <cellStyle name="20% - Accent2 4 3 3 2" xfId="13789" xr:uid="{28BE3994-753D-4997-A841-29767247025F}"/>
    <cellStyle name="20% - Accent2 4 3 4" xfId="9571" xr:uid="{C972519E-1974-42D2-A268-BFF345935751}"/>
    <cellStyle name="20% - Accent2 4 4" xfId="1452" xr:uid="{00000000-0005-0000-0000-000023010000}"/>
    <cellStyle name="20% - Accent2 4 4 2" xfId="3682" xr:uid="{00000000-0005-0000-0000-000024010000}"/>
    <cellStyle name="20% - Accent2 4 4 2 2" xfId="7905" xr:uid="{00000000-0005-0000-0000-000025010000}"/>
    <cellStyle name="20% - Accent2 4 4 2 2 2" xfId="16347" xr:uid="{69DAB262-9928-4ED3-841A-573F5EA6B27E}"/>
    <cellStyle name="20% - Accent2 4 4 2 3" xfId="12129" xr:uid="{29338B65-0EC5-45C5-91CC-270D927CB420}"/>
    <cellStyle name="20% - Accent2 4 4 3" xfId="5760" xr:uid="{00000000-0005-0000-0000-000026010000}"/>
    <cellStyle name="20% - Accent2 4 4 3 2" xfId="14202" xr:uid="{13C90BE1-8FE2-40A7-93D4-CC119FF2A8F3}"/>
    <cellStyle name="20% - Accent2 4 4 4" xfId="9984" xr:uid="{C8B424C5-B070-4E84-967B-A3FF35F97FC6}"/>
    <cellStyle name="20% - Accent2 4 5" xfId="1866" xr:uid="{00000000-0005-0000-0000-000027010000}"/>
    <cellStyle name="20% - Accent2 4 5 2" xfId="4095" xr:uid="{00000000-0005-0000-0000-000028010000}"/>
    <cellStyle name="20% - Accent2 4 5 2 2" xfId="8318" xr:uid="{00000000-0005-0000-0000-000029010000}"/>
    <cellStyle name="20% - Accent2 4 5 2 2 2" xfId="16760" xr:uid="{4B3633A4-C454-40DF-92F2-775D9A778833}"/>
    <cellStyle name="20% - Accent2 4 5 2 3" xfId="12542" xr:uid="{07F8B379-4627-418E-A746-3EA29FA21F49}"/>
    <cellStyle name="20% - Accent2 4 5 3" xfId="6173" xr:uid="{00000000-0005-0000-0000-00002A010000}"/>
    <cellStyle name="20% - Accent2 4 5 3 2" xfId="14615" xr:uid="{6FF5D00B-BEEB-4C69-AA99-CBE8BD28BB00}"/>
    <cellStyle name="20% - Accent2 4 5 4" xfId="10397" xr:uid="{767E5157-9E29-45A7-B787-4D18E1268A44}"/>
    <cellStyle name="20% - Accent2 4 6" xfId="2279" xr:uid="{00000000-0005-0000-0000-00002B010000}"/>
    <cellStyle name="20% - Accent2 4 6 2" xfId="6586" xr:uid="{00000000-0005-0000-0000-00002C010000}"/>
    <cellStyle name="20% - Accent2 4 6 2 2" xfId="15028" xr:uid="{C1A3F3C9-89E4-4084-87A0-5E0CF1089637}"/>
    <cellStyle name="20% - Accent2 4 6 3" xfId="10810" xr:uid="{F39F0E01-45EF-40EE-85C5-D6B1FC49C58C}"/>
    <cellStyle name="20% - Accent2 4 7" xfId="4520" xr:uid="{00000000-0005-0000-0000-00002D010000}"/>
    <cellStyle name="20% - Accent2 4 7 2" xfId="12962" xr:uid="{349930CF-2129-4C89-8301-FCCC1982AB83}"/>
    <cellStyle name="20% - Accent2 4 8" xfId="8744" xr:uid="{9ABDC5F9-96B3-4834-933F-0095D97B932E}"/>
    <cellStyle name="20% - Accent2 5" xfId="578" xr:uid="{00000000-0005-0000-0000-00002E010000}"/>
    <cellStyle name="20% - Accent2 5 2" xfId="2849" xr:uid="{00000000-0005-0000-0000-00002F010000}"/>
    <cellStyle name="20% - Accent2 5 2 2" xfId="7072" xr:uid="{00000000-0005-0000-0000-000030010000}"/>
    <cellStyle name="20% - Accent2 5 2 2 2" xfId="15514" xr:uid="{BA409BF0-A067-4E0C-B51E-BE553E5E17AB}"/>
    <cellStyle name="20% - Accent2 5 2 3" xfId="11296" xr:uid="{2D970655-DD2B-4BBD-B3B5-FFF97A0CEE48}"/>
    <cellStyle name="20% - Accent2 5 3" xfId="4927" xr:uid="{00000000-0005-0000-0000-000031010000}"/>
    <cellStyle name="20% - Accent2 5 3 2" xfId="13369" xr:uid="{163B4EF2-D506-480B-8943-AA72D47B4B77}"/>
    <cellStyle name="20% - Accent2 5 4" xfId="9151" xr:uid="{49FC9D94-6ACC-4157-A26E-A9B767E97BE4}"/>
    <cellStyle name="20% - Accent2 6" xfId="1031" xr:uid="{00000000-0005-0000-0000-000032010000}"/>
    <cellStyle name="20% - Accent2 6 2" xfId="3262" xr:uid="{00000000-0005-0000-0000-000033010000}"/>
    <cellStyle name="20% - Accent2 6 2 2" xfId="7485" xr:uid="{00000000-0005-0000-0000-000034010000}"/>
    <cellStyle name="20% - Accent2 6 2 2 2" xfId="15927" xr:uid="{242D18CD-B3D6-483C-AF7E-15C06EAD988F}"/>
    <cellStyle name="20% - Accent2 6 2 3" xfId="11709" xr:uid="{C2FCE872-426E-4962-8695-46B94501643B}"/>
    <cellStyle name="20% - Accent2 6 3" xfId="5340" xr:uid="{00000000-0005-0000-0000-000035010000}"/>
    <cellStyle name="20% - Accent2 6 3 2" xfId="13782" xr:uid="{2FB5828E-4C4A-4FE2-BEEC-AE3DA9BF12F6}"/>
    <cellStyle name="20% - Accent2 6 4" xfId="9564" xr:uid="{741F775F-54F6-4BBC-96D5-B1C71D3038AD}"/>
    <cellStyle name="20% - Accent2 7" xfId="1445" xr:uid="{00000000-0005-0000-0000-000036010000}"/>
    <cellStyle name="20% - Accent2 7 2" xfId="3675" xr:uid="{00000000-0005-0000-0000-000037010000}"/>
    <cellStyle name="20% - Accent2 7 2 2" xfId="7898" xr:uid="{00000000-0005-0000-0000-000038010000}"/>
    <cellStyle name="20% - Accent2 7 2 2 2" xfId="16340" xr:uid="{B9DF838E-F94F-4177-8082-E855982C4851}"/>
    <cellStyle name="20% - Accent2 7 2 3" xfId="12122" xr:uid="{96D910FB-09A1-4C7D-B837-D319E3211B69}"/>
    <cellStyle name="20% - Accent2 7 3" xfId="5753" xr:uid="{00000000-0005-0000-0000-000039010000}"/>
    <cellStyle name="20% - Accent2 7 3 2" xfId="14195" xr:uid="{FCFFD08C-D4D0-4C77-B49A-555AC13F4786}"/>
    <cellStyle name="20% - Accent2 7 4" xfId="9977" xr:uid="{75164D55-D06D-40F1-BC8E-FC8B83A8B307}"/>
    <cellStyle name="20% - Accent2 8" xfId="1859" xr:uid="{00000000-0005-0000-0000-00003A010000}"/>
    <cellStyle name="20% - Accent2 8 2" xfId="4088" xr:uid="{00000000-0005-0000-0000-00003B010000}"/>
    <cellStyle name="20% - Accent2 8 2 2" xfId="8311" xr:uid="{00000000-0005-0000-0000-00003C010000}"/>
    <cellStyle name="20% - Accent2 8 2 2 2" xfId="16753" xr:uid="{A3C1EAB1-C431-4213-9630-5DD59A5DCD6C}"/>
    <cellStyle name="20% - Accent2 8 2 3" xfId="12535" xr:uid="{95F1A5ED-B9C0-4ABE-852B-954F2EEC65FA}"/>
    <cellStyle name="20% - Accent2 8 3" xfId="6166" xr:uid="{00000000-0005-0000-0000-00003D010000}"/>
    <cellStyle name="20% - Accent2 8 3 2" xfId="14608" xr:uid="{4661773F-FA25-44FB-8D6C-46EC86B1AE4E}"/>
    <cellStyle name="20% - Accent2 8 4" xfId="10390" xr:uid="{46A186C6-140B-4DE5-8D20-E55E6FDE778E}"/>
    <cellStyle name="20% - Accent2 9" xfId="2272" xr:uid="{00000000-0005-0000-0000-00003E010000}"/>
    <cellStyle name="20% - Accent2 9 2" xfId="6579" xr:uid="{00000000-0005-0000-0000-00003F010000}"/>
    <cellStyle name="20% - Accent2 9 2 2" xfId="15021" xr:uid="{F1D465DF-FDDE-4FA7-9A0C-23E156D286E9}"/>
    <cellStyle name="20% - Accent2 9 3" xfId="10803" xr:uid="{058F28B3-ED17-41AA-99F8-463902563703}"/>
    <cellStyle name="20% - Accent3" xfId="17" builtinId="38" customBuiltin="1"/>
    <cellStyle name="20% - Accent3 10" xfId="4521" xr:uid="{00000000-0005-0000-0000-000041010000}"/>
    <cellStyle name="20% - Accent3 10 2" xfId="12963" xr:uid="{824339D8-95DB-483C-8E64-376251EE2254}"/>
    <cellStyle name="20% - Accent3 11" xfId="8745" xr:uid="{FFF42498-9EFC-49BF-80E3-7900D637A307}"/>
    <cellStyle name="20% - Accent3 2" xfId="18" xr:uid="{00000000-0005-0000-0000-000042010000}"/>
    <cellStyle name="20% - Accent3 2 10" xfId="8746" xr:uid="{0D51302B-7A7E-4F04-9EB3-BA4E0D381243}"/>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2 2 2" xfId="15525" xr:uid="{4D059024-C951-4F7D-9312-EBE7FC7723B8}"/>
    <cellStyle name="20% - Accent3 2 2 2 2 2 3" xfId="11307" xr:uid="{5889AF10-35B0-4D72-BB62-E1177DD9F5CC}"/>
    <cellStyle name="20% - Accent3 2 2 2 2 3" xfId="4938" xr:uid="{00000000-0005-0000-0000-000048010000}"/>
    <cellStyle name="20% - Accent3 2 2 2 2 3 2" xfId="13380" xr:uid="{22F70AA6-D1B1-44E9-9085-CFB209BA2B72}"/>
    <cellStyle name="20% - Accent3 2 2 2 2 4" xfId="9162" xr:uid="{CB1B2BC5-C670-4382-8F0F-59C7A20C478B}"/>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2 2 2" xfId="15938" xr:uid="{7D860205-22B5-469C-BB8C-E2954DD9914D}"/>
    <cellStyle name="20% - Accent3 2 2 2 3 2 3" xfId="11720" xr:uid="{948BA9F1-DD45-43FC-A5F0-9CE2C4F45933}"/>
    <cellStyle name="20% - Accent3 2 2 2 3 3" xfId="5351" xr:uid="{00000000-0005-0000-0000-00004C010000}"/>
    <cellStyle name="20% - Accent3 2 2 2 3 3 2" xfId="13793" xr:uid="{A5FE760D-82FF-4DF4-B47E-2B8DD4276D94}"/>
    <cellStyle name="20% - Accent3 2 2 2 3 4" xfId="9575" xr:uid="{82129BA4-B067-4684-A837-B5216DC46C98}"/>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2 2 2" xfId="16351" xr:uid="{ED7739A3-433A-4F86-A6ED-A88E21619EC9}"/>
    <cellStyle name="20% - Accent3 2 2 2 4 2 3" xfId="12133" xr:uid="{3171FAF2-5E57-4C01-A83A-E901EB6A4CAC}"/>
    <cellStyle name="20% - Accent3 2 2 2 4 3" xfId="5764" xr:uid="{00000000-0005-0000-0000-000050010000}"/>
    <cellStyle name="20% - Accent3 2 2 2 4 3 2" xfId="14206" xr:uid="{DC9902A4-3FC8-453A-87D4-0DC742AB68F5}"/>
    <cellStyle name="20% - Accent3 2 2 2 4 4" xfId="9988" xr:uid="{07974B95-8985-413A-9296-2FA2D85FB04F}"/>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2 2 2" xfId="16764" xr:uid="{6CC6A3B9-A1DF-407F-AB1B-A0AA3D898053}"/>
    <cellStyle name="20% - Accent3 2 2 2 5 2 3" xfId="12546" xr:uid="{864EB1F2-54FF-4F7B-AA1F-9ACF302FC295}"/>
    <cellStyle name="20% - Accent3 2 2 2 5 3" xfId="6177" xr:uid="{00000000-0005-0000-0000-000054010000}"/>
    <cellStyle name="20% - Accent3 2 2 2 5 3 2" xfId="14619" xr:uid="{92DB3FEC-BA35-424D-A008-80E9A63425A2}"/>
    <cellStyle name="20% - Accent3 2 2 2 5 4" xfId="10401" xr:uid="{64C43980-627C-4D32-BCAC-AFBD9CE432E1}"/>
    <cellStyle name="20% - Accent3 2 2 2 6" xfId="2283" xr:uid="{00000000-0005-0000-0000-000055010000}"/>
    <cellStyle name="20% - Accent3 2 2 2 6 2" xfId="6590" xr:uid="{00000000-0005-0000-0000-000056010000}"/>
    <cellStyle name="20% - Accent3 2 2 2 6 2 2" xfId="15032" xr:uid="{02DBF75D-E982-4259-A2CE-65FAFD2B497C}"/>
    <cellStyle name="20% - Accent3 2 2 2 6 3" xfId="10814" xr:uid="{6743C99E-111C-4CF8-B04C-363BC07D3DEB}"/>
    <cellStyle name="20% - Accent3 2 2 2 7" xfId="4524" xr:uid="{00000000-0005-0000-0000-000057010000}"/>
    <cellStyle name="20% - Accent3 2 2 2 7 2" xfId="12966" xr:uid="{AB5B9068-A758-4975-B9E9-B452EFC61E06}"/>
    <cellStyle name="20% - Accent3 2 2 2 8" xfId="8748" xr:uid="{3DC0E05C-DE7A-45C4-B001-124F9B886ED0}"/>
    <cellStyle name="20% - Accent3 2 2 3" xfId="588" xr:uid="{00000000-0005-0000-0000-000058010000}"/>
    <cellStyle name="20% - Accent3 2 2 3 2" xfId="2859" xr:uid="{00000000-0005-0000-0000-000059010000}"/>
    <cellStyle name="20% - Accent3 2 2 3 2 2" xfId="7082" xr:uid="{00000000-0005-0000-0000-00005A010000}"/>
    <cellStyle name="20% - Accent3 2 2 3 2 2 2" xfId="15524" xr:uid="{A35D08C7-58DA-40B2-98F9-B02C1378421F}"/>
    <cellStyle name="20% - Accent3 2 2 3 2 3" xfId="11306" xr:uid="{2015F1A6-77B1-4635-B2C8-331701894EEA}"/>
    <cellStyle name="20% - Accent3 2 2 3 3" xfId="4937" xr:uid="{00000000-0005-0000-0000-00005B010000}"/>
    <cellStyle name="20% - Accent3 2 2 3 3 2" xfId="13379" xr:uid="{B6DED7B0-1D57-4086-9F78-95251FA38896}"/>
    <cellStyle name="20% - Accent3 2 2 3 4" xfId="9161" xr:uid="{73D65DBF-2ABB-4795-AEE5-3F7A8931493D}"/>
    <cellStyle name="20% - Accent3 2 2 4" xfId="1041" xr:uid="{00000000-0005-0000-0000-00005C010000}"/>
    <cellStyle name="20% - Accent3 2 2 4 2" xfId="3272" xr:uid="{00000000-0005-0000-0000-00005D010000}"/>
    <cellStyle name="20% - Accent3 2 2 4 2 2" xfId="7495" xr:uid="{00000000-0005-0000-0000-00005E010000}"/>
    <cellStyle name="20% - Accent3 2 2 4 2 2 2" xfId="15937" xr:uid="{CAA9E7A2-672C-4573-A301-AE77D5374661}"/>
    <cellStyle name="20% - Accent3 2 2 4 2 3" xfId="11719" xr:uid="{E6371954-7B0D-4F63-9CD0-85F813F5B9F1}"/>
    <cellStyle name="20% - Accent3 2 2 4 3" xfId="5350" xr:uid="{00000000-0005-0000-0000-00005F010000}"/>
    <cellStyle name="20% - Accent3 2 2 4 3 2" xfId="13792" xr:uid="{522D44CA-0F92-44D9-B143-342DFCFA9173}"/>
    <cellStyle name="20% - Accent3 2 2 4 4" xfId="9574" xr:uid="{AA24BE90-E026-4AAC-B1B1-2C1B5C7B07CA}"/>
    <cellStyle name="20% - Accent3 2 2 5" xfId="1455" xr:uid="{00000000-0005-0000-0000-000060010000}"/>
    <cellStyle name="20% - Accent3 2 2 5 2" xfId="3685" xr:uid="{00000000-0005-0000-0000-000061010000}"/>
    <cellStyle name="20% - Accent3 2 2 5 2 2" xfId="7908" xr:uid="{00000000-0005-0000-0000-000062010000}"/>
    <cellStyle name="20% - Accent3 2 2 5 2 2 2" xfId="16350" xr:uid="{10E58A6F-01BE-4314-A7A4-DA7716BDF770}"/>
    <cellStyle name="20% - Accent3 2 2 5 2 3" xfId="12132" xr:uid="{842EBE5A-5F4D-4A41-BC10-0B93BF9A6E0B}"/>
    <cellStyle name="20% - Accent3 2 2 5 3" xfId="5763" xr:uid="{00000000-0005-0000-0000-000063010000}"/>
    <cellStyle name="20% - Accent3 2 2 5 3 2" xfId="14205" xr:uid="{87FD0468-C250-4F26-9709-0B4827946595}"/>
    <cellStyle name="20% - Accent3 2 2 5 4" xfId="9987" xr:uid="{5B5B23E9-8581-49BD-8D41-C291263A713C}"/>
    <cellStyle name="20% - Accent3 2 2 6" xfId="1869" xr:uid="{00000000-0005-0000-0000-000064010000}"/>
    <cellStyle name="20% - Accent3 2 2 6 2" xfId="4098" xr:uid="{00000000-0005-0000-0000-000065010000}"/>
    <cellStyle name="20% - Accent3 2 2 6 2 2" xfId="8321" xr:uid="{00000000-0005-0000-0000-000066010000}"/>
    <cellStyle name="20% - Accent3 2 2 6 2 2 2" xfId="16763" xr:uid="{CD08946B-6A50-4EC4-8F8F-A9214EC9AD40}"/>
    <cellStyle name="20% - Accent3 2 2 6 2 3" xfId="12545" xr:uid="{05981F6E-5A75-432D-A74A-F9B359C92F00}"/>
    <cellStyle name="20% - Accent3 2 2 6 3" xfId="6176" xr:uid="{00000000-0005-0000-0000-000067010000}"/>
    <cellStyle name="20% - Accent3 2 2 6 3 2" xfId="14618" xr:uid="{2E250607-4E8A-451A-BF64-5870387C8A72}"/>
    <cellStyle name="20% - Accent3 2 2 6 4" xfId="10400" xr:uid="{FBFB3E25-4239-4808-B025-44D3B5EBF1E4}"/>
    <cellStyle name="20% - Accent3 2 2 7" xfId="2282" xr:uid="{00000000-0005-0000-0000-000068010000}"/>
    <cellStyle name="20% - Accent3 2 2 7 2" xfId="6589" xr:uid="{00000000-0005-0000-0000-000069010000}"/>
    <cellStyle name="20% - Accent3 2 2 7 2 2" xfId="15031" xr:uid="{7BF88FFA-FE79-4AE0-8F23-A6F7A787DFB8}"/>
    <cellStyle name="20% - Accent3 2 2 7 3" xfId="10813" xr:uid="{9FA7DBCB-C617-43BE-9CCD-C3B48B3850FE}"/>
    <cellStyle name="20% - Accent3 2 2 8" xfId="4523" xr:uid="{00000000-0005-0000-0000-00006A010000}"/>
    <cellStyle name="20% - Accent3 2 2 8 2" xfId="12965" xr:uid="{5EB5132D-1EC6-4490-91EC-77AA497DD946}"/>
    <cellStyle name="20% - Accent3 2 2 9" xfId="8747" xr:uid="{FA121F17-B684-4676-9541-EABBD8464502}"/>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2 2 2" xfId="15526" xr:uid="{41E4675A-F013-4DA8-A284-D51139FCACFE}"/>
    <cellStyle name="20% - Accent3 2 3 2 2 3" xfId="11308" xr:uid="{B02EC039-3C65-4C76-9CB9-4BFC78C30CB7}"/>
    <cellStyle name="20% - Accent3 2 3 2 3" xfId="4939" xr:uid="{00000000-0005-0000-0000-00006F010000}"/>
    <cellStyle name="20% - Accent3 2 3 2 3 2" xfId="13381" xr:uid="{84433E52-D200-49AB-B798-6A0E214C8254}"/>
    <cellStyle name="20% - Accent3 2 3 2 4" xfId="9163" xr:uid="{9B492CAE-0F77-42B7-99F7-2E2CE5131814}"/>
    <cellStyle name="20% - Accent3 2 3 3" xfId="1043" xr:uid="{00000000-0005-0000-0000-000070010000}"/>
    <cellStyle name="20% - Accent3 2 3 3 2" xfId="3274" xr:uid="{00000000-0005-0000-0000-000071010000}"/>
    <cellStyle name="20% - Accent3 2 3 3 2 2" xfId="7497" xr:uid="{00000000-0005-0000-0000-000072010000}"/>
    <cellStyle name="20% - Accent3 2 3 3 2 2 2" xfId="15939" xr:uid="{53BB3266-65CE-4C0A-BA29-56D4857E591B}"/>
    <cellStyle name="20% - Accent3 2 3 3 2 3" xfId="11721" xr:uid="{3D6F3E24-942F-4983-868E-F7C925E13689}"/>
    <cellStyle name="20% - Accent3 2 3 3 3" xfId="5352" xr:uid="{00000000-0005-0000-0000-000073010000}"/>
    <cellStyle name="20% - Accent3 2 3 3 3 2" xfId="13794" xr:uid="{BCFF06B4-C04A-4202-9EB9-9075127DB860}"/>
    <cellStyle name="20% - Accent3 2 3 3 4" xfId="9576" xr:uid="{C7466AFA-4F28-46C3-B5D6-543286DA3EF6}"/>
    <cellStyle name="20% - Accent3 2 3 4" xfId="1457" xr:uid="{00000000-0005-0000-0000-000074010000}"/>
    <cellStyle name="20% - Accent3 2 3 4 2" xfId="3687" xr:uid="{00000000-0005-0000-0000-000075010000}"/>
    <cellStyle name="20% - Accent3 2 3 4 2 2" xfId="7910" xr:uid="{00000000-0005-0000-0000-000076010000}"/>
    <cellStyle name="20% - Accent3 2 3 4 2 2 2" xfId="16352" xr:uid="{F20B8A87-6A4B-4292-99F8-BAE966EC4AD3}"/>
    <cellStyle name="20% - Accent3 2 3 4 2 3" xfId="12134" xr:uid="{11E36353-089C-415E-8DB8-617D69FE5176}"/>
    <cellStyle name="20% - Accent3 2 3 4 3" xfId="5765" xr:uid="{00000000-0005-0000-0000-000077010000}"/>
    <cellStyle name="20% - Accent3 2 3 4 3 2" xfId="14207" xr:uid="{0DF8B81A-A54A-41D4-9E8D-4DBEBD3DDCE7}"/>
    <cellStyle name="20% - Accent3 2 3 4 4" xfId="9989" xr:uid="{8550D8BC-C6B5-41BA-A788-40C4D745C096}"/>
    <cellStyle name="20% - Accent3 2 3 5" xfId="1871" xr:uid="{00000000-0005-0000-0000-000078010000}"/>
    <cellStyle name="20% - Accent3 2 3 5 2" xfId="4100" xr:uid="{00000000-0005-0000-0000-000079010000}"/>
    <cellStyle name="20% - Accent3 2 3 5 2 2" xfId="8323" xr:uid="{00000000-0005-0000-0000-00007A010000}"/>
    <cellStyle name="20% - Accent3 2 3 5 2 2 2" xfId="16765" xr:uid="{3378A729-1A99-4EE3-9CDD-9A65EC3BFAB8}"/>
    <cellStyle name="20% - Accent3 2 3 5 2 3" xfId="12547" xr:uid="{9FF3C497-FAA1-44EB-A0C3-235CB01FEFD1}"/>
    <cellStyle name="20% - Accent3 2 3 5 3" xfId="6178" xr:uid="{00000000-0005-0000-0000-00007B010000}"/>
    <cellStyle name="20% - Accent3 2 3 5 3 2" xfId="14620" xr:uid="{CFBCC936-0328-418D-8254-4CA16C22155E}"/>
    <cellStyle name="20% - Accent3 2 3 5 4" xfId="10402" xr:uid="{D45844E9-F71F-448A-A90F-123280F71AA8}"/>
    <cellStyle name="20% - Accent3 2 3 6" xfId="2284" xr:uid="{00000000-0005-0000-0000-00007C010000}"/>
    <cellStyle name="20% - Accent3 2 3 6 2" xfId="6591" xr:uid="{00000000-0005-0000-0000-00007D010000}"/>
    <cellStyle name="20% - Accent3 2 3 6 2 2" xfId="15033" xr:uid="{2918D4F5-BA10-4438-BCBE-58B04CFFC949}"/>
    <cellStyle name="20% - Accent3 2 3 6 3" xfId="10815" xr:uid="{063A58E4-0213-43B8-903B-F954B5A825D3}"/>
    <cellStyle name="20% - Accent3 2 3 7" xfId="4525" xr:uid="{00000000-0005-0000-0000-00007E010000}"/>
    <cellStyle name="20% - Accent3 2 3 7 2" xfId="12967" xr:uid="{C18563B8-8B65-44F5-943F-1A9C9B4A48D8}"/>
    <cellStyle name="20% - Accent3 2 3 8" xfId="8749" xr:uid="{CDBFAA3D-71EE-4674-91B0-94FC9ABAAF78}"/>
    <cellStyle name="20% - Accent3 2 4" xfId="587" xr:uid="{00000000-0005-0000-0000-00007F010000}"/>
    <cellStyle name="20% - Accent3 2 4 2" xfId="2858" xr:uid="{00000000-0005-0000-0000-000080010000}"/>
    <cellStyle name="20% - Accent3 2 4 2 2" xfId="7081" xr:uid="{00000000-0005-0000-0000-000081010000}"/>
    <cellStyle name="20% - Accent3 2 4 2 2 2" xfId="15523" xr:uid="{16B1F81F-82FE-4042-A0C7-095BB555C259}"/>
    <cellStyle name="20% - Accent3 2 4 2 3" xfId="11305" xr:uid="{387DFE03-F891-4436-ADA9-99476AD17748}"/>
    <cellStyle name="20% - Accent3 2 4 3" xfId="4936" xr:uid="{00000000-0005-0000-0000-000082010000}"/>
    <cellStyle name="20% - Accent3 2 4 3 2" xfId="13378" xr:uid="{376950A6-BBB9-4E7A-8711-2E749967A62F}"/>
    <cellStyle name="20% - Accent3 2 4 4" xfId="9160" xr:uid="{D64AFA23-A1B1-4C0E-A7CA-9990141A3E68}"/>
    <cellStyle name="20% - Accent3 2 5" xfId="1040" xr:uid="{00000000-0005-0000-0000-000083010000}"/>
    <cellStyle name="20% - Accent3 2 5 2" xfId="3271" xr:uid="{00000000-0005-0000-0000-000084010000}"/>
    <cellStyle name="20% - Accent3 2 5 2 2" xfId="7494" xr:uid="{00000000-0005-0000-0000-000085010000}"/>
    <cellStyle name="20% - Accent3 2 5 2 2 2" xfId="15936" xr:uid="{5275E805-5263-4188-B319-8853BFB37F8C}"/>
    <cellStyle name="20% - Accent3 2 5 2 3" xfId="11718" xr:uid="{E64AB20E-F2E1-4419-A080-FBE868C353E0}"/>
    <cellStyle name="20% - Accent3 2 5 3" xfId="5349" xr:uid="{00000000-0005-0000-0000-000086010000}"/>
    <cellStyle name="20% - Accent3 2 5 3 2" xfId="13791" xr:uid="{15CE5D5E-FF06-473A-B375-D05DC15771AE}"/>
    <cellStyle name="20% - Accent3 2 5 4" xfId="9573" xr:uid="{47EDE4A8-3207-4664-B728-0873DC5A0E2C}"/>
    <cellStyle name="20% - Accent3 2 6" xfId="1454" xr:uid="{00000000-0005-0000-0000-000087010000}"/>
    <cellStyle name="20% - Accent3 2 6 2" xfId="3684" xr:uid="{00000000-0005-0000-0000-000088010000}"/>
    <cellStyle name="20% - Accent3 2 6 2 2" xfId="7907" xr:uid="{00000000-0005-0000-0000-000089010000}"/>
    <cellStyle name="20% - Accent3 2 6 2 2 2" xfId="16349" xr:uid="{4934E279-FC4D-4D9B-9872-1235A649E617}"/>
    <cellStyle name="20% - Accent3 2 6 2 3" xfId="12131" xr:uid="{6781B9D3-8D1D-497B-B10A-C77B368E02D8}"/>
    <cellStyle name="20% - Accent3 2 6 3" xfId="5762" xr:uid="{00000000-0005-0000-0000-00008A010000}"/>
    <cellStyle name="20% - Accent3 2 6 3 2" xfId="14204" xr:uid="{30BE0800-9839-44D5-8E07-DC7C16C897CF}"/>
    <cellStyle name="20% - Accent3 2 6 4" xfId="9986" xr:uid="{7296652C-1596-4524-8CA5-A23B06F9BFCD}"/>
    <cellStyle name="20% - Accent3 2 7" xfId="1868" xr:uid="{00000000-0005-0000-0000-00008B010000}"/>
    <cellStyle name="20% - Accent3 2 7 2" xfId="4097" xr:uid="{00000000-0005-0000-0000-00008C010000}"/>
    <cellStyle name="20% - Accent3 2 7 2 2" xfId="8320" xr:uid="{00000000-0005-0000-0000-00008D010000}"/>
    <cellStyle name="20% - Accent3 2 7 2 2 2" xfId="16762" xr:uid="{EB2B4554-63F4-439D-9FEA-8CDD56E5E9F0}"/>
    <cellStyle name="20% - Accent3 2 7 2 3" xfId="12544" xr:uid="{0D1CEA8B-A6ED-4C95-B67A-EDD03B7216CC}"/>
    <cellStyle name="20% - Accent3 2 7 3" xfId="6175" xr:uid="{00000000-0005-0000-0000-00008E010000}"/>
    <cellStyle name="20% - Accent3 2 7 3 2" xfId="14617" xr:uid="{B7168926-80E7-4C35-B467-9994F0D86847}"/>
    <cellStyle name="20% - Accent3 2 7 4" xfId="10399" xr:uid="{6DCC9E64-C980-4472-9A1E-F2AC3B4982CF}"/>
    <cellStyle name="20% - Accent3 2 8" xfId="2281" xr:uid="{00000000-0005-0000-0000-00008F010000}"/>
    <cellStyle name="20% - Accent3 2 8 2" xfId="6588" xr:uid="{00000000-0005-0000-0000-000090010000}"/>
    <cellStyle name="20% - Accent3 2 8 2 2" xfId="15030" xr:uid="{781694FF-DDB0-4582-95B0-A5ED19A97D28}"/>
    <cellStyle name="20% - Accent3 2 8 3" xfId="10812" xr:uid="{3144402F-78F4-4192-A587-CAE524579F3F}"/>
    <cellStyle name="20% - Accent3 2 9" xfId="4522" xr:uid="{00000000-0005-0000-0000-000091010000}"/>
    <cellStyle name="20% - Accent3 2 9 2" xfId="12964" xr:uid="{839B6CB1-D9A3-42D2-B11B-3B7794D27CBB}"/>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2 2 2" xfId="15528" xr:uid="{A6C3972C-4954-4DAB-836D-C1E833236E6A}"/>
    <cellStyle name="20% - Accent3 3 2 2 2 3" xfId="11310" xr:uid="{C600BAE2-3A65-45D3-ACC0-25D7E81E8B44}"/>
    <cellStyle name="20% - Accent3 3 2 2 3" xfId="4941" xr:uid="{00000000-0005-0000-0000-000097010000}"/>
    <cellStyle name="20% - Accent3 3 2 2 3 2" xfId="13383" xr:uid="{E08EF39B-00B7-4401-A920-821E417B29D9}"/>
    <cellStyle name="20% - Accent3 3 2 2 4" xfId="9165" xr:uid="{1E936889-BE09-4748-825D-6792F513D93F}"/>
    <cellStyle name="20% - Accent3 3 2 3" xfId="1045" xr:uid="{00000000-0005-0000-0000-000098010000}"/>
    <cellStyle name="20% - Accent3 3 2 3 2" xfId="3276" xr:uid="{00000000-0005-0000-0000-000099010000}"/>
    <cellStyle name="20% - Accent3 3 2 3 2 2" xfId="7499" xr:uid="{00000000-0005-0000-0000-00009A010000}"/>
    <cellStyle name="20% - Accent3 3 2 3 2 2 2" xfId="15941" xr:uid="{C1E222BC-BD74-4C4F-9D02-87A0B343F0A2}"/>
    <cellStyle name="20% - Accent3 3 2 3 2 3" xfId="11723" xr:uid="{E8D5B942-D50A-48FE-A38A-6314E600387F}"/>
    <cellStyle name="20% - Accent3 3 2 3 3" xfId="5354" xr:uid="{00000000-0005-0000-0000-00009B010000}"/>
    <cellStyle name="20% - Accent3 3 2 3 3 2" xfId="13796" xr:uid="{A482A89D-8349-409B-90E4-12E9901B8863}"/>
    <cellStyle name="20% - Accent3 3 2 3 4" xfId="9578" xr:uid="{B1847F2F-CA1E-487E-BB83-46D2EBF6518A}"/>
    <cellStyle name="20% - Accent3 3 2 4" xfId="1459" xr:uid="{00000000-0005-0000-0000-00009C010000}"/>
    <cellStyle name="20% - Accent3 3 2 4 2" xfId="3689" xr:uid="{00000000-0005-0000-0000-00009D010000}"/>
    <cellStyle name="20% - Accent3 3 2 4 2 2" xfId="7912" xr:uid="{00000000-0005-0000-0000-00009E010000}"/>
    <cellStyle name="20% - Accent3 3 2 4 2 2 2" xfId="16354" xr:uid="{6B03EB27-049E-446C-ABA1-E6E2EC669657}"/>
    <cellStyle name="20% - Accent3 3 2 4 2 3" xfId="12136" xr:uid="{42FB92EB-F0DC-4707-A122-B299DC0CD078}"/>
    <cellStyle name="20% - Accent3 3 2 4 3" xfId="5767" xr:uid="{00000000-0005-0000-0000-00009F010000}"/>
    <cellStyle name="20% - Accent3 3 2 4 3 2" xfId="14209" xr:uid="{0546E3DF-77AB-4211-8E55-7DF2630DCDEC}"/>
    <cellStyle name="20% - Accent3 3 2 4 4" xfId="9991" xr:uid="{7C8894F5-3B48-47DD-9289-042075CF8FA2}"/>
    <cellStyle name="20% - Accent3 3 2 5" xfId="1873" xr:uid="{00000000-0005-0000-0000-0000A0010000}"/>
    <cellStyle name="20% - Accent3 3 2 5 2" xfId="4102" xr:uid="{00000000-0005-0000-0000-0000A1010000}"/>
    <cellStyle name="20% - Accent3 3 2 5 2 2" xfId="8325" xr:uid="{00000000-0005-0000-0000-0000A2010000}"/>
    <cellStyle name="20% - Accent3 3 2 5 2 2 2" xfId="16767" xr:uid="{C39C8A0F-0963-434C-8CEB-FF928DCC778A}"/>
    <cellStyle name="20% - Accent3 3 2 5 2 3" xfId="12549" xr:uid="{25BB3460-07A1-4213-A745-BFAD3FE89F1F}"/>
    <cellStyle name="20% - Accent3 3 2 5 3" xfId="6180" xr:uid="{00000000-0005-0000-0000-0000A3010000}"/>
    <cellStyle name="20% - Accent3 3 2 5 3 2" xfId="14622" xr:uid="{9106F37A-9F6D-4B12-9BC8-7475724F2C96}"/>
    <cellStyle name="20% - Accent3 3 2 5 4" xfId="10404" xr:uid="{E0BA9090-79CC-481C-B05C-B7B9C3AE64F7}"/>
    <cellStyle name="20% - Accent3 3 2 6" xfId="2286" xr:uid="{00000000-0005-0000-0000-0000A4010000}"/>
    <cellStyle name="20% - Accent3 3 2 6 2" xfId="6593" xr:uid="{00000000-0005-0000-0000-0000A5010000}"/>
    <cellStyle name="20% - Accent3 3 2 6 2 2" xfId="15035" xr:uid="{45815BE8-BF63-4581-AF8C-BEDF06067B40}"/>
    <cellStyle name="20% - Accent3 3 2 6 3" xfId="10817" xr:uid="{1DC810FB-4A51-428C-BC44-90C63B70A4EA}"/>
    <cellStyle name="20% - Accent3 3 2 7" xfId="4527" xr:uid="{00000000-0005-0000-0000-0000A6010000}"/>
    <cellStyle name="20% - Accent3 3 2 7 2" xfId="12969" xr:uid="{CB9CF2FA-8B71-4F24-8865-652D9F6BBDAB}"/>
    <cellStyle name="20% - Accent3 3 2 8" xfId="8751" xr:uid="{5AC2DF3B-FBCB-4669-89E2-7F942D28BE98}"/>
    <cellStyle name="20% - Accent3 3 3" xfId="591" xr:uid="{00000000-0005-0000-0000-0000A7010000}"/>
    <cellStyle name="20% - Accent3 3 3 2" xfId="2862" xr:uid="{00000000-0005-0000-0000-0000A8010000}"/>
    <cellStyle name="20% - Accent3 3 3 2 2" xfId="7085" xr:uid="{00000000-0005-0000-0000-0000A9010000}"/>
    <cellStyle name="20% - Accent3 3 3 2 2 2" xfId="15527" xr:uid="{0A6AB56D-C479-460B-9B67-F3BE16BAA169}"/>
    <cellStyle name="20% - Accent3 3 3 2 3" xfId="11309" xr:uid="{8A14D808-EC11-4D57-9EDC-34CB673A8DC3}"/>
    <cellStyle name="20% - Accent3 3 3 3" xfId="4940" xr:uid="{00000000-0005-0000-0000-0000AA010000}"/>
    <cellStyle name="20% - Accent3 3 3 3 2" xfId="13382" xr:uid="{4F14E519-5F55-4EBA-A697-86E78D91E0F9}"/>
    <cellStyle name="20% - Accent3 3 3 4" xfId="9164" xr:uid="{392D0B9C-2C79-4E8D-B9B5-01CA017BDA38}"/>
    <cellStyle name="20% - Accent3 3 4" xfId="1044" xr:uid="{00000000-0005-0000-0000-0000AB010000}"/>
    <cellStyle name="20% - Accent3 3 4 2" xfId="3275" xr:uid="{00000000-0005-0000-0000-0000AC010000}"/>
    <cellStyle name="20% - Accent3 3 4 2 2" xfId="7498" xr:uid="{00000000-0005-0000-0000-0000AD010000}"/>
    <cellStyle name="20% - Accent3 3 4 2 2 2" xfId="15940" xr:uid="{FE11ACC4-8127-42AD-A2B9-8A9DF48505D7}"/>
    <cellStyle name="20% - Accent3 3 4 2 3" xfId="11722" xr:uid="{E6C58AA7-D66B-4042-965C-E1E12970EFCE}"/>
    <cellStyle name="20% - Accent3 3 4 3" xfId="5353" xr:uid="{00000000-0005-0000-0000-0000AE010000}"/>
    <cellStyle name="20% - Accent3 3 4 3 2" xfId="13795" xr:uid="{E0103615-9E85-40F3-9D98-6CCC683CF950}"/>
    <cellStyle name="20% - Accent3 3 4 4" xfId="9577" xr:uid="{56938997-E1C2-4CAF-B3DC-83476937D597}"/>
    <cellStyle name="20% - Accent3 3 5" xfId="1458" xr:uid="{00000000-0005-0000-0000-0000AF010000}"/>
    <cellStyle name="20% - Accent3 3 5 2" xfId="3688" xr:uid="{00000000-0005-0000-0000-0000B0010000}"/>
    <cellStyle name="20% - Accent3 3 5 2 2" xfId="7911" xr:uid="{00000000-0005-0000-0000-0000B1010000}"/>
    <cellStyle name="20% - Accent3 3 5 2 2 2" xfId="16353" xr:uid="{F668281C-C1A5-4B6E-A237-4AB1DD68EA56}"/>
    <cellStyle name="20% - Accent3 3 5 2 3" xfId="12135" xr:uid="{70DB5AC8-DE76-4D80-9309-A9034B7BDC30}"/>
    <cellStyle name="20% - Accent3 3 5 3" xfId="5766" xr:uid="{00000000-0005-0000-0000-0000B2010000}"/>
    <cellStyle name="20% - Accent3 3 5 3 2" xfId="14208" xr:uid="{61D3CF72-A84E-41AC-9B97-E997ED24342A}"/>
    <cellStyle name="20% - Accent3 3 5 4" xfId="9990" xr:uid="{FF5A1730-D958-45A2-9B44-6EC249D5B694}"/>
    <cellStyle name="20% - Accent3 3 6" xfId="1872" xr:uid="{00000000-0005-0000-0000-0000B3010000}"/>
    <cellStyle name="20% - Accent3 3 6 2" xfId="4101" xr:uid="{00000000-0005-0000-0000-0000B4010000}"/>
    <cellStyle name="20% - Accent3 3 6 2 2" xfId="8324" xr:uid="{00000000-0005-0000-0000-0000B5010000}"/>
    <cellStyle name="20% - Accent3 3 6 2 2 2" xfId="16766" xr:uid="{76D1B07A-F020-427E-B8B1-E9519FE4F334}"/>
    <cellStyle name="20% - Accent3 3 6 2 3" xfId="12548" xr:uid="{0065759F-07CB-417D-B282-958A963232D4}"/>
    <cellStyle name="20% - Accent3 3 6 3" xfId="6179" xr:uid="{00000000-0005-0000-0000-0000B6010000}"/>
    <cellStyle name="20% - Accent3 3 6 3 2" xfId="14621" xr:uid="{55B3C7AD-20F0-4FFD-9BF4-0943D7307336}"/>
    <cellStyle name="20% - Accent3 3 6 4" xfId="10403" xr:uid="{3FFB9976-1429-48FA-95A2-5045BE87226F}"/>
    <cellStyle name="20% - Accent3 3 7" xfId="2285" xr:uid="{00000000-0005-0000-0000-0000B7010000}"/>
    <cellStyle name="20% - Accent3 3 7 2" xfId="6592" xr:uid="{00000000-0005-0000-0000-0000B8010000}"/>
    <cellStyle name="20% - Accent3 3 7 2 2" xfId="15034" xr:uid="{1C263C84-2E60-41D5-AD7C-F4AC34C268E5}"/>
    <cellStyle name="20% - Accent3 3 7 3" xfId="10816" xr:uid="{CDEE7A40-B081-4348-8D2C-2CECBF0123E0}"/>
    <cellStyle name="20% - Accent3 3 8" xfId="4526" xr:uid="{00000000-0005-0000-0000-0000B9010000}"/>
    <cellStyle name="20% - Accent3 3 8 2" xfId="12968" xr:uid="{25098A38-8A9E-4304-AFD4-6FAB260EF53D}"/>
    <cellStyle name="20% - Accent3 3 9" xfId="8750" xr:uid="{C9FAF537-2846-406B-B308-9646010882BD}"/>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2 2 2" xfId="15529" xr:uid="{69F8FA21-FCE2-4530-9E41-5D6B7816ECDF}"/>
    <cellStyle name="20% - Accent3 4 2 2 3" xfId="11311" xr:uid="{0242EB5E-B908-496F-813D-DDAB3628855E}"/>
    <cellStyle name="20% - Accent3 4 2 3" xfId="4942" xr:uid="{00000000-0005-0000-0000-0000BE010000}"/>
    <cellStyle name="20% - Accent3 4 2 3 2" xfId="13384" xr:uid="{7C70F9B5-B663-41E2-8113-3D5874687EBD}"/>
    <cellStyle name="20% - Accent3 4 2 4" xfId="9166" xr:uid="{51984E56-4A24-42DE-A5A6-8485A593CB0D}"/>
    <cellStyle name="20% - Accent3 4 3" xfId="1046" xr:uid="{00000000-0005-0000-0000-0000BF010000}"/>
    <cellStyle name="20% - Accent3 4 3 2" xfId="3277" xr:uid="{00000000-0005-0000-0000-0000C0010000}"/>
    <cellStyle name="20% - Accent3 4 3 2 2" xfId="7500" xr:uid="{00000000-0005-0000-0000-0000C1010000}"/>
    <cellStyle name="20% - Accent3 4 3 2 2 2" xfId="15942" xr:uid="{D9FC4C46-38FA-4150-B248-5A5EE50E9310}"/>
    <cellStyle name="20% - Accent3 4 3 2 3" xfId="11724" xr:uid="{A51BCC6E-9FF2-41A5-BB22-0CFDA74D9B56}"/>
    <cellStyle name="20% - Accent3 4 3 3" xfId="5355" xr:uid="{00000000-0005-0000-0000-0000C2010000}"/>
    <cellStyle name="20% - Accent3 4 3 3 2" xfId="13797" xr:uid="{1AC685E1-6DFD-4E29-A6B8-3BD4EF991D21}"/>
    <cellStyle name="20% - Accent3 4 3 4" xfId="9579" xr:uid="{9FD17445-9299-4BB6-81B7-70BF800AC33C}"/>
    <cellStyle name="20% - Accent3 4 4" xfId="1460" xr:uid="{00000000-0005-0000-0000-0000C3010000}"/>
    <cellStyle name="20% - Accent3 4 4 2" xfId="3690" xr:uid="{00000000-0005-0000-0000-0000C4010000}"/>
    <cellStyle name="20% - Accent3 4 4 2 2" xfId="7913" xr:uid="{00000000-0005-0000-0000-0000C5010000}"/>
    <cellStyle name="20% - Accent3 4 4 2 2 2" xfId="16355" xr:uid="{20E7F313-FF88-428A-B152-510EAE83E578}"/>
    <cellStyle name="20% - Accent3 4 4 2 3" xfId="12137" xr:uid="{CD39739B-3624-4C84-A3AF-AD1D801E9237}"/>
    <cellStyle name="20% - Accent3 4 4 3" xfId="5768" xr:uid="{00000000-0005-0000-0000-0000C6010000}"/>
    <cellStyle name="20% - Accent3 4 4 3 2" xfId="14210" xr:uid="{918376ED-E6EE-41D4-8668-20046C50FE6B}"/>
    <cellStyle name="20% - Accent3 4 4 4" xfId="9992" xr:uid="{6133D769-EE99-41A4-B939-1E19D4A232FE}"/>
    <cellStyle name="20% - Accent3 4 5" xfId="1874" xr:uid="{00000000-0005-0000-0000-0000C7010000}"/>
    <cellStyle name="20% - Accent3 4 5 2" xfId="4103" xr:uid="{00000000-0005-0000-0000-0000C8010000}"/>
    <cellStyle name="20% - Accent3 4 5 2 2" xfId="8326" xr:uid="{00000000-0005-0000-0000-0000C9010000}"/>
    <cellStyle name="20% - Accent3 4 5 2 2 2" xfId="16768" xr:uid="{D63D8032-13B5-474E-AF9F-24D014012E13}"/>
    <cellStyle name="20% - Accent3 4 5 2 3" xfId="12550" xr:uid="{38E2D5D0-814E-4B0F-B903-303F30805585}"/>
    <cellStyle name="20% - Accent3 4 5 3" xfId="6181" xr:uid="{00000000-0005-0000-0000-0000CA010000}"/>
    <cellStyle name="20% - Accent3 4 5 3 2" xfId="14623" xr:uid="{CF029D02-2874-4471-869E-B61CF2A4F32A}"/>
    <cellStyle name="20% - Accent3 4 5 4" xfId="10405" xr:uid="{6594EA08-4761-4E47-9937-EA55E7124722}"/>
    <cellStyle name="20% - Accent3 4 6" xfId="2287" xr:uid="{00000000-0005-0000-0000-0000CB010000}"/>
    <cellStyle name="20% - Accent3 4 6 2" xfId="6594" xr:uid="{00000000-0005-0000-0000-0000CC010000}"/>
    <cellStyle name="20% - Accent3 4 6 2 2" xfId="15036" xr:uid="{C3C757D1-467E-4456-AA8E-5E70D54D5AED}"/>
    <cellStyle name="20% - Accent3 4 6 3" xfId="10818" xr:uid="{DD8ABA6F-B833-4648-936D-F9AADEA8BF16}"/>
    <cellStyle name="20% - Accent3 4 7" xfId="4528" xr:uid="{00000000-0005-0000-0000-0000CD010000}"/>
    <cellStyle name="20% - Accent3 4 7 2" xfId="12970" xr:uid="{6E568931-1566-4886-B07A-76E076D6C8F2}"/>
    <cellStyle name="20% - Accent3 4 8" xfId="8752" xr:uid="{1344DEEF-269E-4D07-BA8F-FDE6ABBE2404}"/>
    <cellStyle name="20% - Accent3 5" xfId="586" xr:uid="{00000000-0005-0000-0000-0000CE010000}"/>
    <cellStyle name="20% - Accent3 5 2" xfId="2857" xr:uid="{00000000-0005-0000-0000-0000CF010000}"/>
    <cellStyle name="20% - Accent3 5 2 2" xfId="7080" xr:uid="{00000000-0005-0000-0000-0000D0010000}"/>
    <cellStyle name="20% - Accent3 5 2 2 2" xfId="15522" xr:uid="{D9446BD2-4475-4E99-ABDC-FBCA15CA435F}"/>
    <cellStyle name="20% - Accent3 5 2 3" xfId="11304" xr:uid="{D90C702D-7749-4598-B98C-6A13FF255D88}"/>
    <cellStyle name="20% - Accent3 5 3" xfId="4935" xr:uid="{00000000-0005-0000-0000-0000D1010000}"/>
    <cellStyle name="20% - Accent3 5 3 2" xfId="13377" xr:uid="{E5ADF2A2-A21B-4A02-BCF6-2053D2F88FF2}"/>
    <cellStyle name="20% - Accent3 5 4" xfId="9159" xr:uid="{8065232F-F954-450B-8E0A-5C04E1C75500}"/>
    <cellStyle name="20% - Accent3 6" xfId="1039" xr:uid="{00000000-0005-0000-0000-0000D2010000}"/>
    <cellStyle name="20% - Accent3 6 2" xfId="3270" xr:uid="{00000000-0005-0000-0000-0000D3010000}"/>
    <cellStyle name="20% - Accent3 6 2 2" xfId="7493" xr:uid="{00000000-0005-0000-0000-0000D4010000}"/>
    <cellStyle name="20% - Accent3 6 2 2 2" xfId="15935" xr:uid="{0C77076F-D3CB-48B9-8694-72FB247A3922}"/>
    <cellStyle name="20% - Accent3 6 2 3" xfId="11717" xr:uid="{DC94DF1A-5AF6-47BB-B47A-FB565437D0CD}"/>
    <cellStyle name="20% - Accent3 6 3" xfId="5348" xr:uid="{00000000-0005-0000-0000-0000D5010000}"/>
    <cellStyle name="20% - Accent3 6 3 2" xfId="13790" xr:uid="{569F4B0F-D409-4427-A8C9-2D1D3C2A2747}"/>
    <cellStyle name="20% - Accent3 6 4" xfId="9572" xr:uid="{C498F27B-103F-44C4-B795-A9104F7324D2}"/>
    <cellStyle name="20% - Accent3 7" xfId="1453" xr:uid="{00000000-0005-0000-0000-0000D6010000}"/>
    <cellStyle name="20% - Accent3 7 2" xfId="3683" xr:uid="{00000000-0005-0000-0000-0000D7010000}"/>
    <cellStyle name="20% - Accent3 7 2 2" xfId="7906" xr:uid="{00000000-0005-0000-0000-0000D8010000}"/>
    <cellStyle name="20% - Accent3 7 2 2 2" xfId="16348" xr:uid="{1E51104C-F46C-4524-AD7F-4821A3D41876}"/>
    <cellStyle name="20% - Accent3 7 2 3" xfId="12130" xr:uid="{E501CCB2-7E7B-49BD-B6F3-52F46C12BACB}"/>
    <cellStyle name="20% - Accent3 7 3" xfId="5761" xr:uid="{00000000-0005-0000-0000-0000D9010000}"/>
    <cellStyle name="20% - Accent3 7 3 2" xfId="14203" xr:uid="{58AACEC8-F66E-4F4E-9174-6FF8C2638826}"/>
    <cellStyle name="20% - Accent3 7 4" xfId="9985" xr:uid="{ED40A28F-08C7-427A-8C81-FBADEED79805}"/>
    <cellStyle name="20% - Accent3 8" xfId="1867" xr:uid="{00000000-0005-0000-0000-0000DA010000}"/>
    <cellStyle name="20% - Accent3 8 2" xfId="4096" xr:uid="{00000000-0005-0000-0000-0000DB010000}"/>
    <cellStyle name="20% - Accent3 8 2 2" xfId="8319" xr:uid="{00000000-0005-0000-0000-0000DC010000}"/>
    <cellStyle name="20% - Accent3 8 2 2 2" xfId="16761" xr:uid="{4A0ABE3A-4D04-4937-9C9F-A726BC08B4C8}"/>
    <cellStyle name="20% - Accent3 8 2 3" xfId="12543" xr:uid="{B4825A58-6909-4D7F-8BFA-D1E13AEB1B1E}"/>
    <cellStyle name="20% - Accent3 8 3" xfId="6174" xr:uid="{00000000-0005-0000-0000-0000DD010000}"/>
    <cellStyle name="20% - Accent3 8 3 2" xfId="14616" xr:uid="{8ACF9E03-2535-4BF3-82F1-7AF8F1E24E4A}"/>
    <cellStyle name="20% - Accent3 8 4" xfId="10398" xr:uid="{48A1FB6F-77F2-474A-AA28-0D07D07AF7FC}"/>
    <cellStyle name="20% - Accent3 9" xfId="2280" xr:uid="{00000000-0005-0000-0000-0000DE010000}"/>
    <cellStyle name="20% - Accent3 9 2" xfId="6587" xr:uid="{00000000-0005-0000-0000-0000DF010000}"/>
    <cellStyle name="20% - Accent3 9 2 2" xfId="15029" xr:uid="{7E5232C2-CDFE-4E4D-B37E-092A64C7471E}"/>
    <cellStyle name="20% - Accent3 9 3" xfId="10811" xr:uid="{DEE2237B-A288-427C-9600-F7336A54C9CA}"/>
    <cellStyle name="20% - Accent4" xfId="25" builtinId="42" customBuiltin="1"/>
    <cellStyle name="20% - Accent4 10" xfId="4529" xr:uid="{00000000-0005-0000-0000-0000E1010000}"/>
    <cellStyle name="20% - Accent4 10 2" xfId="12971" xr:uid="{E0385FB8-4580-4490-AA00-480C7554B24A}"/>
    <cellStyle name="20% - Accent4 11" xfId="8753" xr:uid="{2BA07A54-CB8A-4F26-933B-297732663EE1}"/>
    <cellStyle name="20% - Accent4 2" xfId="26" xr:uid="{00000000-0005-0000-0000-0000E2010000}"/>
    <cellStyle name="20% - Accent4 2 10" xfId="8754" xr:uid="{C094FD5E-6BDC-4A0D-A341-E18405E5594A}"/>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2 2 2" xfId="15533" xr:uid="{7F17C934-FB41-4E02-A222-5EAA03ADD944}"/>
    <cellStyle name="20% - Accent4 2 2 2 2 2 3" xfId="11315" xr:uid="{6EEFF31E-ADC9-4637-976C-393702ABBA26}"/>
    <cellStyle name="20% - Accent4 2 2 2 2 3" xfId="4946" xr:uid="{00000000-0005-0000-0000-0000E8010000}"/>
    <cellStyle name="20% - Accent4 2 2 2 2 3 2" xfId="13388" xr:uid="{DA536678-C8A8-467E-8A39-67D4CEB6B317}"/>
    <cellStyle name="20% - Accent4 2 2 2 2 4" xfId="9170" xr:uid="{ADD1C3A2-D578-44B4-B9E5-3CDFD1FFFD64}"/>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2 2 2" xfId="15946" xr:uid="{7A172B69-9582-4B3D-B52A-D17FCE2EC34D}"/>
    <cellStyle name="20% - Accent4 2 2 2 3 2 3" xfId="11728" xr:uid="{804AF46C-A056-4F57-B77D-2C0659180D12}"/>
    <cellStyle name="20% - Accent4 2 2 2 3 3" xfId="5359" xr:uid="{00000000-0005-0000-0000-0000EC010000}"/>
    <cellStyle name="20% - Accent4 2 2 2 3 3 2" xfId="13801" xr:uid="{3E38A5AB-2EEB-4F78-AADF-E6C839F106E1}"/>
    <cellStyle name="20% - Accent4 2 2 2 3 4" xfId="9583" xr:uid="{5DC72CBF-4D81-4357-9DAE-6773FB543216}"/>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2 2 2" xfId="16359" xr:uid="{1A7EE96A-AA2D-4F96-9BF1-A226A6951C24}"/>
    <cellStyle name="20% - Accent4 2 2 2 4 2 3" xfId="12141" xr:uid="{F61CA62E-2ED6-4C53-994D-923AD2F92CEB}"/>
    <cellStyle name="20% - Accent4 2 2 2 4 3" xfId="5772" xr:uid="{00000000-0005-0000-0000-0000F0010000}"/>
    <cellStyle name="20% - Accent4 2 2 2 4 3 2" xfId="14214" xr:uid="{7653385C-568D-4F73-9707-0FDF451E10AA}"/>
    <cellStyle name="20% - Accent4 2 2 2 4 4" xfId="9996" xr:uid="{DD74AF0B-D012-41CB-AB46-7DCDAB47A577}"/>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2 2 2" xfId="16772" xr:uid="{FD235330-E10D-45C4-9522-DAD5C3509134}"/>
    <cellStyle name="20% - Accent4 2 2 2 5 2 3" xfId="12554" xr:uid="{F56D0486-E7B9-4C9B-A40D-35EBFDC0AC72}"/>
    <cellStyle name="20% - Accent4 2 2 2 5 3" xfId="6185" xr:uid="{00000000-0005-0000-0000-0000F4010000}"/>
    <cellStyle name="20% - Accent4 2 2 2 5 3 2" xfId="14627" xr:uid="{C7E8259E-3722-4162-B2D1-C0BD30873522}"/>
    <cellStyle name="20% - Accent4 2 2 2 5 4" xfId="10409" xr:uid="{7CBF1B94-EE45-431D-8129-71E39C79D487}"/>
    <cellStyle name="20% - Accent4 2 2 2 6" xfId="2291" xr:uid="{00000000-0005-0000-0000-0000F5010000}"/>
    <cellStyle name="20% - Accent4 2 2 2 6 2" xfId="6598" xr:uid="{00000000-0005-0000-0000-0000F6010000}"/>
    <cellStyle name="20% - Accent4 2 2 2 6 2 2" xfId="15040" xr:uid="{10FACEB6-49F4-4F46-B140-874B884E082E}"/>
    <cellStyle name="20% - Accent4 2 2 2 6 3" xfId="10822" xr:uid="{D7FA4E51-326E-4EB1-8101-143DC3DE173F}"/>
    <cellStyle name="20% - Accent4 2 2 2 7" xfId="4532" xr:uid="{00000000-0005-0000-0000-0000F7010000}"/>
    <cellStyle name="20% - Accent4 2 2 2 7 2" xfId="12974" xr:uid="{6A9572EC-737C-4E28-8033-0CBCBACF5C66}"/>
    <cellStyle name="20% - Accent4 2 2 2 8" xfId="8756" xr:uid="{5D725C4D-30B6-477D-915E-F625DCF96135}"/>
    <cellStyle name="20% - Accent4 2 2 3" xfId="596" xr:uid="{00000000-0005-0000-0000-0000F8010000}"/>
    <cellStyle name="20% - Accent4 2 2 3 2" xfId="2867" xr:uid="{00000000-0005-0000-0000-0000F9010000}"/>
    <cellStyle name="20% - Accent4 2 2 3 2 2" xfId="7090" xr:uid="{00000000-0005-0000-0000-0000FA010000}"/>
    <cellStyle name="20% - Accent4 2 2 3 2 2 2" xfId="15532" xr:uid="{39E2D3FE-70DB-431E-BC7A-2B246C19DBCF}"/>
    <cellStyle name="20% - Accent4 2 2 3 2 3" xfId="11314" xr:uid="{631F529D-6507-4B27-9543-0A9619A644DD}"/>
    <cellStyle name="20% - Accent4 2 2 3 3" xfId="4945" xr:uid="{00000000-0005-0000-0000-0000FB010000}"/>
    <cellStyle name="20% - Accent4 2 2 3 3 2" xfId="13387" xr:uid="{620BE583-E947-490E-A97F-5B60E5CD6B25}"/>
    <cellStyle name="20% - Accent4 2 2 3 4" xfId="9169" xr:uid="{F5E082BA-E750-495A-A61B-2C0284303EFA}"/>
    <cellStyle name="20% - Accent4 2 2 4" xfId="1049" xr:uid="{00000000-0005-0000-0000-0000FC010000}"/>
    <cellStyle name="20% - Accent4 2 2 4 2" xfId="3280" xr:uid="{00000000-0005-0000-0000-0000FD010000}"/>
    <cellStyle name="20% - Accent4 2 2 4 2 2" xfId="7503" xr:uid="{00000000-0005-0000-0000-0000FE010000}"/>
    <cellStyle name="20% - Accent4 2 2 4 2 2 2" xfId="15945" xr:uid="{E14A04A7-E30A-46B5-86AD-F58F2CC70683}"/>
    <cellStyle name="20% - Accent4 2 2 4 2 3" xfId="11727" xr:uid="{081BC525-5345-4E2B-94CC-CC8C3EAE9A9B}"/>
    <cellStyle name="20% - Accent4 2 2 4 3" xfId="5358" xr:uid="{00000000-0005-0000-0000-0000FF010000}"/>
    <cellStyle name="20% - Accent4 2 2 4 3 2" xfId="13800" xr:uid="{830495DD-73A8-4C25-8177-A6B4091F4B08}"/>
    <cellStyle name="20% - Accent4 2 2 4 4" xfId="9582" xr:uid="{839A13F0-6975-42C9-9D14-D99363912C8B}"/>
    <cellStyle name="20% - Accent4 2 2 5" xfId="1463" xr:uid="{00000000-0005-0000-0000-000000020000}"/>
    <cellStyle name="20% - Accent4 2 2 5 2" xfId="3693" xr:uid="{00000000-0005-0000-0000-000001020000}"/>
    <cellStyle name="20% - Accent4 2 2 5 2 2" xfId="7916" xr:uid="{00000000-0005-0000-0000-000002020000}"/>
    <cellStyle name="20% - Accent4 2 2 5 2 2 2" xfId="16358" xr:uid="{A6D05A61-667A-4207-91B7-E37F8D25A956}"/>
    <cellStyle name="20% - Accent4 2 2 5 2 3" xfId="12140" xr:uid="{687FA9C8-AEAE-4F5E-89FF-3FC8BDA62814}"/>
    <cellStyle name="20% - Accent4 2 2 5 3" xfId="5771" xr:uid="{00000000-0005-0000-0000-000003020000}"/>
    <cellStyle name="20% - Accent4 2 2 5 3 2" xfId="14213" xr:uid="{97DA1A7E-E5A7-4C78-9D9B-05C793A5E293}"/>
    <cellStyle name="20% - Accent4 2 2 5 4" xfId="9995" xr:uid="{0AA748FB-1564-4070-8DE4-9BD848A6B35D}"/>
    <cellStyle name="20% - Accent4 2 2 6" xfId="1877" xr:uid="{00000000-0005-0000-0000-000004020000}"/>
    <cellStyle name="20% - Accent4 2 2 6 2" xfId="4106" xr:uid="{00000000-0005-0000-0000-000005020000}"/>
    <cellStyle name="20% - Accent4 2 2 6 2 2" xfId="8329" xr:uid="{00000000-0005-0000-0000-000006020000}"/>
    <cellStyle name="20% - Accent4 2 2 6 2 2 2" xfId="16771" xr:uid="{3C5BC1B7-D621-4CF1-AF23-169184469387}"/>
    <cellStyle name="20% - Accent4 2 2 6 2 3" xfId="12553" xr:uid="{E2F22C34-6C6B-43E4-B86B-F79A599F3C23}"/>
    <cellStyle name="20% - Accent4 2 2 6 3" xfId="6184" xr:uid="{00000000-0005-0000-0000-000007020000}"/>
    <cellStyle name="20% - Accent4 2 2 6 3 2" xfId="14626" xr:uid="{84D5279B-4122-44C7-BBB6-971FE1E673CA}"/>
    <cellStyle name="20% - Accent4 2 2 6 4" xfId="10408" xr:uid="{9809C931-EA2D-4F3F-87A4-8082B4F1D302}"/>
    <cellStyle name="20% - Accent4 2 2 7" xfId="2290" xr:uid="{00000000-0005-0000-0000-000008020000}"/>
    <cellStyle name="20% - Accent4 2 2 7 2" xfId="6597" xr:uid="{00000000-0005-0000-0000-000009020000}"/>
    <cellStyle name="20% - Accent4 2 2 7 2 2" xfId="15039" xr:uid="{6A581F74-9622-44A1-A63B-46D3AAC1119C}"/>
    <cellStyle name="20% - Accent4 2 2 7 3" xfId="10821" xr:uid="{A49200BD-9891-4AA7-9723-6F8395D5EE9E}"/>
    <cellStyle name="20% - Accent4 2 2 8" xfId="4531" xr:uid="{00000000-0005-0000-0000-00000A020000}"/>
    <cellStyle name="20% - Accent4 2 2 8 2" xfId="12973" xr:uid="{AB5565AF-6C83-4D71-830E-C9AB4506869D}"/>
    <cellStyle name="20% - Accent4 2 2 9" xfId="8755" xr:uid="{FB2780DA-547D-450B-92E1-D4A6C273A5D6}"/>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2 2 2" xfId="15534" xr:uid="{598F1ACA-1829-4C3C-93C2-C332DDE6896F}"/>
    <cellStyle name="20% - Accent4 2 3 2 2 3" xfId="11316" xr:uid="{CA4BCA90-8F46-48FE-9082-D903EC183F8A}"/>
    <cellStyle name="20% - Accent4 2 3 2 3" xfId="4947" xr:uid="{00000000-0005-0000-0000-00000F020000}"/>
    <cellStyle name="20% - Accent4 2 3 2 3 2" xfId="13389" xr:uid="{DBA177C6-4A8C-4B88-8D52-8B9FD71C32C3}"/>
    <cellStyle name="20% - Accent4 2 3 2 4" xfId="9171" xr:uid="{D114E5AE-0AA3-412D-B6A1-C4B95300E9B3}"/>
    <cellStyle name="20% - Accent4 2 3 3" xfId="1051" xr:uid="{00000000-0005-0000-0000-000010020000}"/>
    <cellStyle name="20% - Accent4 2 3 3 2" xfId="3282" xr:uid="{00000000-0005-0000-0000-000011020000}"/>
    <cellStyle name="20% - Accent4 2 3 3 2 2" xfId="7505" xr:uid="{00000000-0005-0000-0000-000012020000}"/>
    <cellStyle name="20% - Accent4 2 3 3 2 2 2" xfId="15947" xr:uid="{D4962FEB-DDF2-41E1-B752-5FA023323BC2}"/>
    <cellStyle name="20% - Accent4 2 3 3 2 3" xfId="11729" xr:uid="{8970EA25-C2D0-41E7-8847-8259240BA581}"/>
    <cellStyle name="20% - Accent4 2 3 3 3" xfId="5360" xr:uid="{00000000-0005-0000-0000-000013020000}"/>
    <cellStyle name="20% - Accent4 2 3 3 3 2" xfId="13802" xr:uid="{B3C0016B-4612-4A78-8C4E-25E3792FCFE3}"/>
    <cellStyle name="20% - Accent4 2 3 3 4" xfId="9584" xr:uid="{D2E7A5F3-FD43-4749-BEDF-BE14F8E1F2EA}"/>
    <cellStyle name="20% - Accent4 2 3 4" xfId="1465" xr:uid="{00000000-0005-0000-0000-000014020000}"/>
    <cellStyle name="20% - Accent4 2 3 4 2" xfId="3695" xr:uid="{00000000-0005-0000-0000-000015020000}"/>
    <cellStyle name="20% - Accent4 2 3 4 2 2" xfId="7918" xr:uid="{00000000-0005-0000-0000-000016020000}"/>
    <cellStyle name="20% - Accent4 2 3 4 2 2 2" xfId="16360" xr:uid="{DC8869AD-2A9E-4A20-A8E2-04628F328D8F}"/>
    <cellStyle name="20% - Accent4 2 3 4 2 3" xfId="12142" xr:uid="{6F89EF51-90B4-4050-B170-B46C38D76D2D}"/>
    <cellStyle name="20% - Accent4 2 3 4 3" xfId="5773" xr:uid="{00000000-0005-0000-0000-000017020000}"/>
    <cellStyle name="20% - Accent4 2 3 4 3 2" xfId="14215" xr:uid="{2B15E4F7-669F-4356-B495-BB7C42BD7EF3}"/>
    <cellStyle name="20% - Accent4 2 3 4 4" xfId="9997" xr:uid="{58D1C374-151D-4A50-BFB7-5FD40A89D0E9}"/>
    <cellStyle name="20% - Accent4 2 3 5" xfId="1879" xr:uid="{00000000-0005-0000-0000-000018020000}"/>
    <cellStyle name="20% - Accent4 2 3 5 2" xfId="4108" xr:uid="{00000000-0005-0000-0000-000019020000}"/>
    <cellStyle name="20% - Accent4 2 3 5 2 2" xfId="8331" xr:uid="{00000000-0005-0000-0000-00001A020000}"/>
    <cellStyle name="20% - Accent4 2 3 5 2 2 2" xfId="16773" xr:uid="{10851434-0A79-4C2C-92E2-FFCF1A48B1BD}"/>
    <cellStyle name="20% - Accent4 2 3 5 2 3" xfId="12555" xr:uid="{FEEEAB0F-B125-4897-B9A3-FB4B14414171}"/>
    <cellStyle name="20% - Accent4 2 3 5 3" xfId="6186" xr:uid="{00000000-0005-0000-0000-00001B020000}"/>
    <cellStyle name="20% - Accent4 2 3 5 3 2" xfId="14628" xr:uid="{C8F4CC02-2979-46CA-8BD3-00BEF3331712}"/>
    <cellStyle name="20% - Accent4 2 3 5 4" xfId="10410" xr:uid="{71B28FF8-AA2A-4019-999C-A8507E03C7DA}"/>
    <cellStyle name="20% - Accent4 2 3 6" xfId="2292" xr:uid="{00000000-0005-0000-0000-00001C020000}"/>
    <cellStyle name="20% - Accent4 2 3 6 2" xfId="6599" xr:uid="{00000000-0005-0000-0000-00001D020000}"/>
    <cellStyle name="20% - Accent4 2 3 6 2 2" xfId="15041" xr:uid="{0FEE1E4C-35A9-440A-9900-457DAF7D1570}"/>
    <cellStyle name="20% - Accent4 2 3 6 3" xfId="10823" xr:uid="{7F97067C-7EE6-4525-88C8-8B496BB58185}"/>
    <cellStyle name="20% - Accent4 2 3 7" xfId="4533" xr:uid="{00000000-0005-0000-0000-00001E020000}"/>
    <cellStyle name="20% - Accent4 2 3 7 2" xfId="12975" xr:uid="{0123E6D7-6888-46EF-BAD2-11D150EA2DE8}"/>
    <cellStyle name="20% - Accent4 2 3 8" xfId="8757" xr:uid="{0942CC5D-2FAF-4F73-A455-E82BEE43370D}"/>
    <cellStyle name="20% - Accent4 2 4" xfId="595" xr:uid="{00000000-0005-0000-0000-00001F020000}"/>
    <cellStyle name="20% - Accent4 2 4 2" xfId="2866" xr:uid="{00000000-0005-0000-0000-000020020000}"/>
    <cellStyle name="20% - Accent4 2 4 2 2" xfId="7089" xr:uid="{00000000-0005-0000-0000-000021020000}"/>
    <cellStyle name="20% - Accent4 2 4 2 2 2" xfId="15531" xr:uid="{C337FBC9-028E-42BF-A2F3-A3C6C377E0FC}"/>
    <cellStyle name="20% - Accent4 2 4 2 3" xfId="11313" xr:uid="{E5D8C753-FDC4-42F7-BC92-E51880041480}"/>
    <cellStyle name="20% - Accent4 2 4 3" xfId="4944" xr:uid="{00000000-0005-0000-0000-000022020000}"/>
    <cellStyle name="20% - Accent4 2 4 3 2" xfId="13386" xr:uid="{E80B725F-41C1-4118-954B-FFCDE63230CE}"/>
    <cellStyle name="20% - Accent4 2 4 4" xfId="9168" xr:uid="{75A9A8E2-7164-4F05-9B24-E1EF25E719F7}"/>
    <cellStyle name="20% - Accent4 2 5" xfId="1048" xr:uid="{00000000-0005-0000-0000-000023020000}"/>
    <cellStyle name="20% - Accent4 2 5 2" xfId="3279" xr:uid="{00000000-0005-0000-0000-000024020000}"/>
    <cellStyle name="20% - Accent4 2 5 2 2" xfId="7502" xr:uid="{00000000-0005-0000-0000-000025020000}"/>
    <cellStyle name="20% - Accent4 2 5 2 2 2" xfId="15944" xr:uid="{E824EE56-924D-4006-A218-28A1A98793C6}"/>
    <cellStyle name="20% - Accent4 2 5 2 3" xfId="11726" xr:uid="{836E0B14-FBFA-4CE7-BF62-B495339918FE}"/>
    <cellStyle name="20% - Accent4 2 5 3" xfId="5357" xr:uid="{00000000-0005-0000-0000-000026020000}"/>
    <cellStyle name="20% - Accent4 2 5 3 2" xfId="13799" xr:uid="{5EC2BC71-A11D-4B9E-B3CD-DCF0B76D0FB0}"/>
    <cellStyle name="20% - Accent4 2 5 4" xfId="9581" xr:uid="{111D91EE-2DDE-48A3-A9A1-E4105699F06A}"/>
    <cellStyle name="20% - Accent4 2 6" xfId="1462" xr:uid="{00000000-0005-0000-0000-000027020000}"/>
    <cellStyle name="20% - Accent4 2 6 2" xfId="3692" xr:uid="{00000000-0005-0000-0000-000028020000}"/>
    <cellStyle name="20% - Accent4 2 6 2 2" xfId="7915" xr:uid="{00000000-0005-0000-0000-000029020000}"/>
    <cellStyle name="20% - Accent4 2 6 2 2 2" xfId="16357" xr:uid="{F8505EB2-DE32-45F3-B00E-93121D52FB72}"/>
    <cellStyle name="20% - Accent4 2 6 2 3" xfId="12139" xr:uid="{10D29499-A123-4816-B12A-51413005495A}"/>
    <cellStyle name="20% - Accent4 2 6 3" xfId="5770" xr:uid="{00000000-0005-0000-0000-00002A020000}"/>
    <cellStyle name="20% - Accent4 2 6 3 2" xfId="14212" xr:uid="{978F622C-9643-44EA-A9DD-F014D1C90B9C}"/>
    <cellStyle name="20% - Accent4 2 6 4" xfId="9994" xr:uid="{716B9A89-6A49-4851-AD6F-957D04325192}"/>
    <cellStyle name="20% - Accent4 2 7" xfId="1876" xr:uid="{00000000-0005-0000-0000-00002B020000}"/>
    <cellStyle name="20% - Accent4 2 7 2" xfId="4105" xr:uid="{00000000-0005-0000-0000-00002C020000}"/>
    <cellStyle name="20% - Accent4 2 7 2 2" xfId="8328" xr:uid="{00000000-0005-0000-0000-00002D020000}"/>
    <cellStyle name="20% - Accent4 2 7 2 2 2" xfId="16770" xr:uid="{A8DA5C29-6FA7-4114-8F4B-DF593FDB955F}"/>
    <cellStyle name="20% - Accent4 2 7 2 3" xfId="12552" xr:uid="{A90BF640-CC58-4E34-B113-A790D081A6C8}"/>
    <cellStyle name="20% - Accent4 2 7 3" xfId="6183" xr:uid="{00000000-0005-0000-0000-00002E020000}"/>
    <cellStyle name="20% - Accent4 2 7 3 2" xfId="14625" xr:uid="{DAF6C154-D90C-48F4-90B6-6E3231D29236}"/>
    <cellStyle name="20% - Accent4 2 7 4" xfId="10407" xr:uid="{E29FF35C-E8E4-4576-9CEC-48F3DCB7A1F4}"/>
    <cellStyle name="20% - Accent4 2 8" xfId="2289" xr:uid="{00000000-0005-0000-0000-00002F020000}"/>
    <cellStyle name="20% - Accent4 2 8 2" xfId="6596" xr:uid="{00000000-0005-0000-0000-000030020000}"/>
    <cellStyle name="20% - Accent4 2 8 2 2" xfId="15038" xr:uid="{0F9CFA41-073A-4E28-8631-7D077BD894D8}"/>
    <cellStyle name="20% - Accent4 2 8 3" xfId="10820" xr:uid="{AD7FEB63-C6B1-4145-B85E-017791D8D847}"/>
    <cellStyle name="20% - Accent4 2 9" xfId="4530" xr:uid="{00000000-0005-0000-0000-000031020000}"/>
    <cellStyle name="20% - Accent4 2 9 2" xfId="12972" xr:uid="{EB786503-49A9-4920-BB55-D69C898C1BFA}"/>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2 2 2" xfId="15536" xr:uid="{D28538B4-C0DA-49E2-8707-A90D39AD0988}"/>
    <cellStyle name="20% - Accent4 3 2 2 2 3" xfId="11318" xr:uid="{E31639A8-FC76-44FE-85E8-22F1EF704566}"/>
    <cellStyle name="20% - Accent4 3 2 2 3" xfId="4949" xr:uid="{00000000-0005-0000-0000-000037020000}"/>
    <cellStyle name="20% - Accent4 3 2 2 3 2" xfId="13391" xr:uid="{A4226EA0-D875-4601-8B57-91322675DBA5}"/>
    <cellStyle name="20% - Accent4 3 2 2 4" xfId="9173" xr:uid="{9FFFD807-7DDC-4A91-A86A-9518E65B8CDF}"/>
    <cellStyle name="20% - Accent4 3 2 3" xfId="1053" xr:uid="{00000000-0005-0000-0000-000038020000}"/>
    <cellStyle name="20% - Accent4 3 2 3 2" xfId="3284" xr:uid="{00000000-0005-0000-0000-000039020000}"/>
    <cellStyle name="20% - Accent4 3 2 3 2 2" xfId="7507" xr:uid="{00000000-0005-0000-0000-00003A020000}"/>
    <cellStyle name="20% - Accent4 3 2 3 2 2 2" xfId="15949" xr:uid="{3B6D4B61-C45D-4D44-BF75-6F80631A5D9B}"/>
    <cellStyle name="20% - Accent4 3 2 3 2 3" xfId="11731" xr:uid="{75FB7B0E-57D7-4DD8-AD1D-49E540180226}"/>
    <cellStyle name="20% - Accent4 3 2 3 3" xfId="5362" xr:uid="{00000000-0005-0000-0000-00003B020000}"/>
    <cellStyle name="20% - Accent4 3 2 3 3 2" xfId="13804" xr:uid="{5AD67A58-6AAD-4B0E-B350-FE4564462FBD}"/>
    <cellStyle name="20% - Accent4 3 2 3 4" xfId="9586" xr:uid="{2360F98A-B737-4214-A93B-BF5B62E66F73}"/>
    <cellStyle name="20% - Accent4 3 2 4" xfId="1467" xr:uid="{00000000-0005-0000-0000-00003C020000}"/>
    <cellStyle name="20% - Accent4 3 2 4 2" xfId="3697" xr:uid="{00000000-0005-0000-0000-00003D020000}"/>
    <cellStyle name="20% - Accent4 3 2 4 2 2" xfId="7920" xr:uid="{00000000-0005-0000-0000-00003E020000}"/>
    <cellStyle name="20% - Accent4 3 2 4 2 2 2" xfId="16362" xr:uid="{E730B1A2-E998-4702-94EA-EE3D29FC3B70}"/>
    <cellStyle name="20% - Accent4 3 2 4 2 3" xfId="12144" xr:uid="{31C1A54D-8EC7-4015-AB11-8613044DE3DB}"/>
    <cellStyle name="20% - Accent4 3 2 4 3" xfId="5775" xr:uid="{00000000-0005-0000-0000-00003F020000}"/>
    <cellStyle name="20% - Accent4 3 2 4 3 2" xfId="14217" xr:uid="{8F2CD516-9CF7-4220-AEF6-2B486E0D6641}"/>
    <cellStyle name="20% - Accent4 3 2 4 4" xfId="9999" xr:uid="{D8F460F1-F407-43EF-AFE9-1386EBA622DC}"/>
    <cellStyle name="20% - Accent4 3 2 5" xfId="1881" xr:uid="{00000000-0005-0000-0000-000040020000}"/>
    <cellStyle name="20% - Accent4 3 2 5 2" xfId="4110" xr:uid="{00000000-0005-0000-0000-000041020000}"/>
    <cellStyle name="20% - Accent4 3 2 5 2 2" xfId="8333" xr:uid="{00000000-0005-0000-0000-000042020000}"/>
    <cellStyle name="20% - Accent4 3 2 5 2 2 2" xfId="16775" xr:uid="{42021703-1C57-4FC7-85EB-C956E8E6132D}"/>
    <cellStyle name="20% - Accent4 3 2 5 2 3" xfId="12557" xr:uid="{EDD0C0E1-0653-4054-BDE7-1FA03B4E0DB3}"/>
    <cellStyle name="20% - Accent4 3 2 5 3" xfId="6188" xr:uid="{00000000-0005-0000-0000-000043020000}"/>
    <cellStyle name="20% - Accent4 3 2 5 3 2" xfId="14630" xr:uid="{EBEE6B33-3F1B-4841-8B72-A985FA2CFFD8}"/>
    <cellStyle name="20% - Accent4 3 2 5 4" xfId="10412" xr:uid="{2CCBC069-A37A-437F-8D31-B0A5F7E94D49}"/>
    <cellStyle name="20% - Accent4 3 2 6" xfId="2294" xr:uid="{00000000-0005-0000-0000-000044020000}"/>
    <cellStyle name="20% - Accent4 3 2 6 2" xfId="6601" xr:uid="{00000000-0005-0000-0000-000045020000}"/>
    <cellStyle name="20% - Accent4 3 2 6 2 2" xfId="15043" xr:uid="{AA9D10FA-1419-4097-A915-060FB666A305}"/>
    <cellStyle name="20% - Accent4 3 2 6 3" xfId="10825" xr:uid="{432B051A-2044-4FB2-933E-80E6A92E5E55}"/>
    <cellStyle name="20% - Accent4 3 2 7" xfId="4535" xr:uid="{00000000-0005-0000-0000-000046020000}"/>
    <cellStyle name="20% - Accent4 3 2 7 2" xfId="12977" xr:uid="{ED4D85FE-705B-4953-8E14-AD4B342F80E6}"/>
    <cellStyle name="20% - Accent4 3 2 8" xfId="8759" xr:uid="{A59591CA-E94C-4183-8651-09ADA43D50BE}"/>
    <cellStyle name="20% - Accent4 3 3" xfId="599" xr:uid="{00000000-0005-0000-0000-000047020000}"/>
    <cellStyle name="20% - Accent4 3 3 2" xfId="2870" xr:uid="{00000000-0005-0000-0000-000048020000}"/>
    <cellStyle name="20% - Accent4 3 3 2 2" xfId="7093" xr:uid="{00000000-0005-0000-0000-000049020000}"/>
    <cellStyle name="20% - Accent4 3 3 2 2 2" xfId="15535" xr:uid="{C74BE05F-1B2C-4485-ADED-C6422BA0ECBD}"/>
    <cellStyle name="20% - Accent4 3 3 2 3" xfId="11317" xr:uid="{8DE6B5D7-E838-4EF9-9E17-C4DD9459C450}"/>
    <cellStyle name="20% - Accent4 3 3 3" xfId="4948" xr:uid="{00000000-0005-0000-0000-00004A020000}"/>
    <cellStyle name="20% - Accent4 3 3 3 2" xfId="13390" xr:uid="{99EE07BA-36A0-4DC3-AC20-02EE4534BEB4}"/>
    <cellStyle name="20% - Accent4 3 3 4" xfId="9172" xr:uid="{B19727CD-E997-436F-82AB-BFBA22DAD98B}"/>
    <cellStyle name="20% - Accent4 3 4" xfId="1052" xr:uid="{00000000-0005-0000-0000-00004B020000}"/>
    <cellStyle name="20% - Accent4 3 4 2" xfId="3283" xr:uid="{00000000-0005-0000-0000-00004C020000}"/>
    <cellStyle name="20% - Accent4 3 4 2 2" xfId="7506" xr:uid="{00000000-0005-0000-0000-00004D020000}"/>
    <cellStyle name="20% - Accent4 3 4 2 2 2" xfId="15948" xr:uid="{522BFE21-01D6-41FA-8E66-22ECB1EC12C0}"/>
    <cellStyle name="20% - Accent4 3 4 2 3" xfId="11730" xr:uid="{BC700A24-89E9-4C58-9558-17A315FB768A}"/>
    <cellStyle name="20% - Accent4 3 4 3" xfId="5361" xr:uid="{00000000-0005-0000-0000-00004E020000}"/>
    <cellStyle name="20% - Accent4 3 4 3 2" xfId="13803" xr:uid="{15F62D0F-D71E-4D4D-81DE-2523C799F117}"/>
    <cellStyle name="20% - Accent4 3 4 4" xfId="9585" xr:uid="{FE2D41E0-C452-49FA-86EB-370ABC376ABD}"/>
    <cellStyle name="20% - Accent4 3 5" xfId="1466" xr:uid="{00000000-0005-0000-0000-00004F020000}"/>
    <cellStyle name="20% - Accent4 3 5 2" xfId="3696" xr:uid="{00000000-0005-0000-0000-000050020000}"/>
    <cellStyle name="20% - Accent4 3 5 2 2" xfId="7919" xr:uid="{00000000-0005-0000-0000-000051020000}"/>
    <cellStyle name="20% - Accent4 3 5 2 2 2" xfId="16361" xr:uid="{ACF01F02-4947-417E-A785-6D2440CED2C2}"/>
    <cellStyle name="20% - Accent4 3 5 2 3" xfId="12143" xr:uid="{6676CFB8-C720-4120-A411-584F3C022920}"/>
    <cellStyle name="20% - Accent4 3 5 3" xfId="5774" xr:uid="{00000000-0005-0000-0000-000052020000}"/>
    <cellStyle name="20% - Accent4 3 5 3 2" xfId="14216" xr:uid="{DCCB21E2-A95E-4EE3-AA69-755B77D1C4A2}"/>
    <cellStyle name="20% - Accent4 3 5 4" xfId="9998" xr:uid="{385797AE-F89C-4CD3-BAD6-604F3A24EE43}"/>
    <cellStyle name="20% - Accent4 3 6" xfId="1880" xr:uid="{00000000-0005-0000-0000-000053020000}"/>
    <cellStyle name="20% - Accent4 3 6 2" xfId="4109" xr:uid="{00000000-0005-0000-0000-000054020000}"/>
    <cellStyle name="20% - Accent4 3 6 2 2" xfId="8332" xr:uid="{00000000-0005-0000-0000-000055020000}"/>
    <cellStyle name="20% - Accent4 3 6 2 2 2" xfId="16774" xr:uid="{C281E51B-41E2-4F57-B231-DD7D028E32EA}"/>
    <cellStyle name="20% - Accent4 3 6 2 3" xfId="12556" xr:uid="{35A9FD58-B7A9-47B7-970F-AC334DB59391}"/>
    <cellStyle name="20% - Accent4 3 6 3" xfId="6187" xr:uid="{00000000-0005-0000-0000-000056020000}"/>
    <cellStyle name="20% - Accent4 3 6 3 2" xfId="14629" xr:uid="{984A8734-CA25-47DF-8851-7F2C0764AC53}"/>
    <cellStyle name="20% - Accent4 3 6 4" xfId="10411" xr:uid="{EC8A6ECE-5FD7-4E59-9EDB-A5039FCCF998}"/>
    <cellStyle name="20% - Accent4 3 7" xfId="2293" xr:uid="{00000000-0005-0000-0000-000057020000}"/>
    <cellStyle name="20% - Accent4 3 7 2" xfId="6600" xr:uid="{00000000-0005-0000-0000-000058020000}"/>
    <cellStyle name="20% - Accent4 3 7 2 2" xfId="15042" xr:uid="{B22257E3-6485-45C0-88C8-963D2DEA82B9}"/>
    <cellStyle name="20% - Accent4 3 7 3" xfId="10824" xr:uid="{7452EF1C-A9A5-4968-8773-BCA96AD7EBBB}"/>
    <cellStyle name="20% - Accent4 3 8" xfId="4534" xr:uid="{00000000-0005-0000-0000-000059020000}"/>
    <cellStyle name="20% - Accent4 3 8 2" xfId="12976" xr:uid="{D00B4803-B8D9-4F3D-B4AA-9C2F09FD1343}"/>
    <cellStyle name="20% - Accent4 3 9" xfId="8758" xr:uid="{E6EAB259-3217-4941-BC3F-10F26CC20ED8}"/>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2 2 2" xfId="15537" xr:uid="{836A645A-988D-48ED-BA08-5369998DFF05}"/>
    <cellStyle name="20% - Accent4 4 2 2 3" xfId="11319" xr:uid="{E5CD74A4-7D2C-4480-8332-A3721CECC8F6}"/>
    <cellStyle name="20% - Accent4 4 2 3" xfId="4950" xr:uid="{00000000-0005-0000-0000-00005E020000}"/>
    <cellStyle name="20% - Accent4 4 2 3 2" xfId="13392" xr:uid="{ABF3B906-B60D-4F58-9779-5F28EAEE144C}"/>
    <cellStyle name="20% - Accent4 4 2 4" xfId="9174" xr:uid="{3F29E8FB-974B-4604-935B-37F201AD0856}"/>
    <cellStyle name="20% - Accent4 4 3" xfId="1054" xr:uid="{00000000-0005-0000-0000-00005F020000}"/>
    <cellStyle name="20% - Accent4 4 3 2" xfId="3285" xr:uid="{00000000-0005-0000-0000-000060020000}"/>
    <cellStyle name="20% - Accent4 4 3 2 2" xfId="7508" xr:uid="{00000000-0005-0000-0000-000061020000}"/>
    <cellStyle name="20% - Accent4 4 3 2 2 2" xfId="15950" xr:uid="{08EDDA73-482A-42E8-946E-8E393F9315F5}"/>
    <cellStyle name="20% - Accent4 4 3 2 3" xfId="11732" xr:uid="{8679F03F-CF3D-47C1-9982-D1849BCAA3F3}"/>
    <cellStyle name="20% - Accent4 4 3 3" xfId="5363" xr:uid="{00000000-0005-0000-0000-000062020000}"/>
    <cellStyle name="20% - Accent4 4 3 3 2" xfId="13805" xr:uid="{6005D4ED-E4D1-47D5-A9B3-318A68E39A0E}"/>
    <cellStyle name="20% - Accent4 4 3 4" xfId="9587" xr:uid="{6EEC9EC0-9454-48C9-848C-07E5DD76A1F7}"/>
    <cellStyle name="20% - Accent4 4 4" xfId="1468" xr:uid="{00000000-0005-0000-0000-000063020000}"/>
    <cellStyle name="20% - Accent4 4 4 2" xfId="3698" xr:uid="{00000000-0005-0000-0000-000064020000}"/>
    <cellStyle name="20% - Accent4 4 4 2 2" xfId="7921" xr:uid="{00000000-0005-0000-0000-000065020000}"/>
    <cellStyle name="20% - Accent4 4 4 2 2 2" xfId="16363" xr:uid="{013B37B9-62ED-499C-ADB7-4C3573D85CC5}"/>
    <cellStyle name="20% - Accent4 4 4 2 3" xfId="12145" xr:uid="{F376ED1D-9C21-4665-91D3-9B751E6144DB}"/>
    <cellStyle name="20% - Accent4 4 4 3" xfId="5776" xr:uid="{00000000-0005-0000-0000-000066020000}"/>
    <cellStyle name="20% - Accent4 4 4 3 2" xfId="14218" xr:uid="{225AFF04-2205-4BAC-BBD9-DD6EB2C322B0}"/>
    <cellStyle name="20% - Accent4 4 4 4" xfId="10000" xr:uid="{1E8FBA85-2B8D-483C-A75C-575DC20E8AB1}"/>
    <cellStyle name="20% - Accent4 4 5" xfId="1882" xr:uid="{00000000-0005-0000-0000-000067020000}"/>
    <cellStyle name="20% - Accent4 4 5 2" xfId="4111" xr:uid="{00000000-0005-0000-0000-000068020000}"/>
    <cellStyle name="20% - Accent4 4 5 2 2" xfId="8334" xr:uid="{00000000-0005-0000-0000-000069020000}"/>
    <cellStyle name="20% - Accent4 4 5 2 2 2" xfId="16776" xr:uid="{838C6567-8A5A-4980-A160-31AC78333BB2}"/>
    <cellStyle name="20% - Accent4 4 5 2 3" xfId="12558" xr:uid="{5A583DA2-8FD7-455F-8595-28DC759450CA}"/>
    <cellStyle name="20% - Accent4 4 5 3" xfId="6189" xr:uid="{00000000-0005-0000-0000-00006A020000}"/>
    <cellStyle name="20% - Accent4 4 5 3 2" xfId="14631" xr:uid="{E196B59F-C2C6-493F-AC91-CDCE42620132}"/>
    <cellStyle name="20% - Accent4 4 5 4" xfId="10413" xr:uid="{0DD6D867-687F-4C1F-A4BA-ECE98E2CFD7D}"/>
    <cellStyle name="20% - Accent4 4 6" xfId="2295" xr:uid="{00000000-0005-0000-0000-00006B020000}"/>
    <cellStyle name="20% - Accent4 4 6 2" xfId="6602" xr:uid="{00000000-0005-0000-0000-00006C020000}"/>
    <cellStyle name="20% - Accent4 4 6 2 2" xfId="15044" xr:uid="{07E41D2C-9D56-436C-8780-F891C993D153}"/>
    <cellStyle name="20% - Accent4 4 6 3" xfId="10826" xr:uid="{84E821E1-084C-47E1-B050-4D7BF4446455}"/>
    <cellStyle name="20% - Accent4 4 7" xfId="4536" xr:uid="{00000000-0005-0000-0000-00006D020000}"/>
    <cellStyle name="20% - Accent4 4 7 2" xfId="12978" xr:uid="{A2FCFCD2-B571-4920-AE6B-161DBFC01147}"/>
    <cellStyle name="20% - Accent4 4 8" xfId="8760" xr:uid="{53036F6E-8557-4DD7-8D5A-518BC74017D7}"/>
    <cellStyle name="20% - Accent4 5" xfId="594" xr:uid="{00000000-0005-0000-0000-00006E020000}"/>
    <cellStyle name="20% - Accent4 5 2" xfId="2865" xr:uid="{00000000-0005-0000-0000-00006F020000}"/>
    <cellStyle name="20% - Accent4 5 2 2" xfId="7088" xr:uid="{00000000-0005-0000-0000-000070020000}"/>
    <cellStyle name="20% - Accent4 5 2 2 2" xfId="15530" xr:uid="{C70B684D-6681-484F-BC90-5FAC448622FE}"/>
    <cellStyle name="20% - Accent4 5 2 3" xfId="11312" xr:uid="{0DB53945-AA68-4E3A-A227-A8EE444A69D3}"/>
    <cellStyle name="20% - Accent4 5 3" xfId="4943" xr:uid="{00000000-0005-0000-0000-000071020000}"/>
    <cellStyle name="20% - Accent4 5 3 2" xfId="13385" xr:uid="{688534D2-AC33-418C-AAC6-19979D71C3DD}"/>
    <cellStyle name="20% - Accent4 5 4" xfId="9167" xr:uid="{47A5D2C5-A47C-41CC-985A-F47E8D96099B}"/>
    <cellStyle name="20% - Accent4 6" xfId="1047" xr:uid="{00000000-0005-0000-0000-000072020000}"/>
    <cellStyle name="20% - Accent4 6 2" xfId="3278" xr:uid="{00000000-0005-0000-0000-000073020000}"/>
    <cellStyle name="20% - Accent4 6 2 2" xfId="7501" xr:uid="{00000000-0005-0000-0000-000074020000}"/>
    <cellStyle name="20% - Accent4 6 2 2 2" xfId="15943" xr:uid="{F3BE3B4F-DD75-4755-BEE9-B17F4BB2C337}"/>
    <cellStyle name="20% - Accent4 6 2 3" xfId="11725" xr:uid="{65D3BA66-142C-41CF-9F0B-4F48081E306C}"/>
    <cellStyle name="20% - Accent4 6 3" xfId="5356" xr:uid="{00000000-0005-0000-0000-000075020000}"/>
    <cellStyle name="20% - Accent4 6 3 2" xfId="13798" xr:uid="{514C60CF-41DF-41D0-9E9D-E005D16669F1}"/>
    <cellStyle name="20% - Accent4 6 4" xfId="9580" xr:uid="{E9D98BA0-FBE9-4500-8907-8F683617AECC}"/>
    <cellStyle name="20% - Accent4 7" xfId="1461" xr:uid="{00000000-0005-0000-0000-000076020000}"/>
    <cellStyle name="20% - Accent4 7 2" xfId="3691" xr:uid="{00000000-0005-0000-0000-000077020000}"/>
    <cellStyle name="20% - Accent4 7 2 2" xfId="7914" xr:uid="{00000000-0005-0000-0000-000078020000}"/>
    <cellStyle name="20% - Accent4 7 2 2 2" xfId="16356" xr:uid="{EAA8B564-8BD4-4809-92EF-F6162CF13CDA}"/>
    <cellStyle name="20% - Accent4 7 2 3" xfId="12138" xr:uid="{963BFCFF-E71A-4125-A01C-012E2A8A3A8A}"/>
    <cellStyle name="20% - Accent4 7 3" xfId="5769" xr:uid="{00000000-0005-0000-0000-000079020000}"/>
    <cellStyle name="20% - Accent4 7 3 2" xfId="14211" xr:uid="{70BDB909-5AE1-4039-BD73-FF77B6611F62}"/>
    <cellStyle name="20% - Accent4 7 4" xfId="9993" xr:uid="{0432A272-0C0F-4367-8B72-CA6BCA710CC1}"/>
    <cellStyle name="20% - Accent4 8" xfId="1875" xr:uid="{00000000-0005-0000-0000-00007A020000}"/>
    <cellStyle name="20% - Accent4 8 2" xfId="4104" xr:uid="{00000000-0005-0000-0000-00007B020000}"/>
    <cellStyle name="20% - Accent4 8 2 2" xfId="8327" xr:uid="{00000000-0005-0000-0000-00007C020000}"/>
    <cellStyle name="20% - Accent4 8 2 2 2" xfId="16769" xr:uid="{DAEA2B55-CDC6-4DA2-A200-03D11C8A5068}"/>
    <cellStyle name="20% - Accent4 8 2 3" xfId="12551" xr:uid="{BC0C3754-BDF5-4749-BDCD-556DF6BFD9B1}"/>
    <cellStyle name="20% - Accent4 8 3" xfId="6182" xr:uid="{00000000-0005-0000-0000-00007D020000}"/>
    <cellStyle name="20% - Accent4 8 3 2" xfId="14624" xr:uid="{70410A69-D5D9-4DE3-BC13-D2B073B9E3B8}"/>
    <cellStyle name="20% - Accent4 8 4" xfId="10406" xr:uid="{A1A6CE5D-4980-4ADE-A6CB-031D9D803CB3}"/>
    <cellStyle name="20% - Accent4 9" xfId="2288" xr:uid="{00000000-0005-0000-0000-00007E020000}"/>
    <cellStyle name="20% - Accent4 9 2" xfId="6595" xr:uid="{00000000-0005-0000-0000-00007F020000}"/>
    <cellStyle name="20% - Accent4 9 2 2" xfId="15037" xr:uid="{F89AF296-3094-4F27-842C-26B8C873234F}"/>
    <cellStyle name="20% - Accent4 9 3" xfId="10819" xr:uid="{17F778F3-5883-4200-A5DF-7C3F1A088623}"/>
    <cellStyle name="20% - Accent5" xfId="33" builtinId="46" customBuiltin="1"/>
    <cellStyle name="20% - Accent5 10" xfId="4537" xr:uid="{00000000-0005-0000-0000-000081020000}"/>
    <cellStyle name="20% - Accent5 10 2" xfId="12979" xr:uid="{4490441E-2C6B-4404-826D-D6CF5B6352C7}"/>
    <cellStyle name="20% - Accent5 11" xfId="8761" xr:uid="{918E9232-D0CC-45AB-8D21-17F62180FD8F}"/>
    <cellStyle name="20% - Accent5 2" xfId="34" xr:uid="{00000000-0005-0000-0000-000082020000}"/>
    <cellStyle name="20% - Accent5 2 10" xfId="8762" xr:uid="{DCF836CB-5B1C-46ED-82C2-903240D7E7E1}"/>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2 2 2" xfId="15541" xr:uid="{FBB594B2-2963-4A67-9E27-D2CC7CB7CE32}"/>
    <cellStyle name="20% - Accent5 2 2 2 2 2 3" xfId="11323" xr:uid="{A18F4CDC-262F-4FE9-AC17-8E3047D16591}"/>
    <cellStyle name="20% - Accent5 2 2 2 2 3" xfId="4954" xr:uid="{00000000-0005-0000-0000-000088020000}"/>
    <cellStyle name="20% - Accent5 2 2 2 2 3 2" xfId="13396" xr:uid="{9931438C-84B8-4EC2-9A10-3FFDF5A8AC0A}"/>
    <cellStyle name="20% - Accent5 2 2 2 2 4" xfId="9178" xr:uid="{898F3254-AEC3-4219-8BB3-A66A2B391243}"/>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2 2 2" xfId="15954" xr:uid="{51590C77-A308-41D4-8BD3-AA0B094A9EB0}"/>
    <cellStyle name="20% - Accent5 2 2 2 3 2 3" xfId="11736" xr:uid="{5B218617-66F8-4BF3-9FE1-F5C1AAC484B2}"/>
    <cellStyle name="20% - Accent5 2 2 2 3 3" xfId="5367" xr:uid="{00000000-0005-0000-0000-00008C020000}"/>
    <cellStyle name="20% - Accent5 2 2 2 3 3 2" xfId="13809" xr:uid="{5BEE0ABE-80E6-42A0-AEB7-FC06067C32DB}"/>
    <cellStyle name="20% - Accent5 2 2 2 3 4" xfId="9591" xr:uid="{FD09F537-983A-48FE-86F3-CA02A4B65151}"/>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2 2 2" xfId="16367" xr:uid="{699E4416-F769-4728-96F2-61F86BEFE12E}"/>
    <cellStyle name="20% - Accent5 2 2 2 4 2 3" xfId="12149" xr:uid="{1C78E6A7-4BDD-419B-BEF7-CE397A99B365}"/>
    <cellStyle name="20% - Accent5 2 2 2 4 3" xfId="5780" xr:uid="{00000000-0005-0000-0000-000090020000}"/>
    <cellStyle name="20% - Accent5 2 2 2 4 3 2" xfId="14222" xr:uid="{4E73BBD9-C326-448A-99B5-4969F3364C2C}"/>
    <cellStyle name="20% - Accent5 2 2 2 4 4" xfId="10004" xr:uid="{7531A5A6-D941-4192-9C29-978CF8AB6715}"/>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2 2 2" xfId="16780" xr:uid="{DED8BD7F-6FF0-4CDF-9392-5D0D30FAA9A0}"/>
    <cellStyle name="20% - Accent5 2 2 2 5 2 3" xfId="12562" xr:uid="{87347A06-8D6A-4D1E-91DB-608F1819EB32}"/>
    <cellStyle name="20% - Accent5 2 2 2 5 3" xfId="6193" xr:uid="{00000000-0005-0000-0000-000094020000}"/>
    <cellStyle name="20% - Accent5 2 2 2 5 3 2" xfId="14635" xr:uid="{CC872CD2-EB8E-459A-9550-3CA230483E41}"/>
    <cellStyle name="20% - Accent5 2 2 2 5 4" xfId="10417" xr:uid="{4B9743A4-4DC9-435D-A7D6-1C9B86ABF15F}"/>
    <cellStyle name="20% - Accent5 2 2 2 6" xfId="2299" xr:uid="{00000000-0005-0000-0000-000095020000}"/>
    <cellStyle name="20% - Accent5 2 2 2 6 2" xfId="6606" xr:uid="{00000000-0005-0000-0000-000096020000}"/>
    <cellStyle name="20% - Accent5 2 2 2 6 2 2" xfId="15048" xr:uid="{F370C2C0-A341-48D5-8FA3-517D8D8E1A1A}"/>
    <cellStyle name="20% - Accent5 2 2 2 6 3" xfId="10830" xr:uid="{8ABAA83B-B684-405C-8413-FE74654F0797}"/>
    <cellStyle name="20% - Accent5 2 2 2 7" xfId="4540" xr:uid="{00000000-0005-0000-0000-000097020000}"/>
    <cellStyle name="20% - Accent5 2 2 2 7 2" xfId="12982" xr:uid="{81DBB8E9-0386-4D0F-B345-E1F69840AC38}"/>
    <cellStyle name="20% - Accent5 2 2 2 8" xfId="8764" xr:uid="{76B40537-9364-4322-8C64-3AD8AE9C39DD}"/>
    <cellStyle name="20% - Accent5 2 2 3" xfId="604" xr:uid="{00000000-0005-0000-0000-000098020000}"/>
    <cellStyle name="20% - Accent5 2 2 3 2" xfId="2875" xr:uid="{00000000-0005-0000-0000-000099020000}"/>
    <cellStyle name="20% - Accent5 2 2 3 2 2" xfId="7098" xr:uid="{00000000-0005-0000-0000-00009A020000}"/>
    <cellStyle name="20% - Accent5 2 2 3 2 2 2" xfId="15540" xr:uid="{6464F60C-ED98-4CB9-854B-06A5B07CB2C5}"/>
    <cellStyle name="20% - Accent5 2 2 3 2 3" xfId="11322" xr:uid="{B27FD9FA-F05C-44F1-B948-66E08C711E3B}"/>
    <cellStyle name="20% - Accent5 2 2 3 3" xfId="4953" xr:uid="{00000000-0005-0000-0000-00009B020000}"/>
    <cellStyle name="20% - Accent5 2 2 3 3 2" xfId="13395" xr:uid="{EE63260A-3788-4742-B04C-0E58E69D9A85}"/>
    <cellStyle name="20% - Accent5 2 2 3 4" xfId="9177" xr:uid="{7514B353-5967-4730-9F4F-26FBA9C7A1C3}"/>
    <cellStyle name="20% - Accent5 2 2 4" xfId="1057" xr:uid="{00000000-0005-0000-0000-00009C020000}"/>
    <cellStyle name="20% - Accent5 2 2 4 2" xfId="3288" xr:uid="{00000000-0005-0000-0000-00009D020000}"/>
    <cellStyle name="20% - Accent5 2 2 4 2 2" xfId="7511" xr:uid="{00000000-0005-0000-0000-00009E020000}"/>
    <cellStyle name="20% - Accent5 2 2 4 2 2 2" xfId="15953" xr:uid="{A328D610-C027-4966-A4EA-0AD69CD2CC0F}"/>
    <cellStyle name="20% - Accent5 2 2 4 2 3" xfId="11735" xr:uid="{F335E3C9-B2CF-42B5-9771-C2C3D76D4C7A}"/>
    <cellStyle name="20% - Accent5 2 2 4 3" xfId="5366" xr:uid="{00000000-0005-0000-0000-00009F020000}"/>
    <cellStyle name="20% - Accent5 2 2 4 3 2" xfId="13808" xr:uid="{33191227-1EC0-476F-9DF2-95BC17DB191D}"/>
    <cellStyle name="20% - Accent5 2 2 4 4" xfId="9590" xr:uid="{A0661437-51E0-4BBD-AD66-D7A060DC2441}"/>
    <cellStyle name="20% - Accent5 2 2 5" xfId="1471" xr:uid="{00000000-0005-0000-0000-0000A0020000}"/>
    <cellStyle name="20% - Accent5 2 2 5 2" xfId="3701" xr:uid="{00000000-0005-0000-0000-0000A1020000}"/>
    <cellStyle name="20% - Accent5 2 2 5 2 2" xfId="7924" xr:uid="{00000000-0005-0000-0000-0000A2020000}"/>
    <cellStyle name="20% - Accent5 2 2 5 2 2 2" xfId="16366" xr:uid="{913F66DC-39B1-4E67-B302-355287EC4BAA}"/>
    <cellStyle name="20% - Accent5 2 2 5 2 3" xfId="12148" xr:uid="{D37CCC3B-918E-43A0-B4B9-8E8352C16BF1}"/>
    <cellStyle name="20% - Accent5 2 2 5 3" xfId="5779" xr:uid="{00000000-0005-0000-0000-0000A3020000}"/>
    <cellStyle name="20% - Accent5 2 2 5 3 2" xfId="14221" xr:uid="{9BEE8309-9572-4134-942B-B7F29A8D7379}"/>
    <cellStyle name="20% - Accent5 2 2 5 4" xfId="10003" xr:uid="{87124BB9-9A77-4330-8A20-7131D6AE39A8}"/>
    <cellStyle name="20% - Accent5 2 2 6" xfId="1885" xr:uid="{00000000-0005-0000-0000-0000A4020000}"/>
    <cellStyle name="20% - Accent5 2 2 6 2" xfId="4114" xr:uid="{00000000-0005-0000-0000-0000A5020000}"/>
    <cellStyle name="20% - Accent5 2 2 6 2 2" xfId="8337" xr:uid="{00000000-0005-0000-0000-0000A6020000}"/>
    <cellStyle name="20% - Accent5 2 2 6 2 2 2" xfId="16779" xr:uid="{23C7FD80-6B2D-4ED9-ADC6-30A6AA3363C4}"/>
    <cellStyle name="20% - Accent5 2 2 6 2 3" xfId="12561" xr:uid="{B4A959CC-AC24-4818-80FF-39B684A3B81C}"/>
    <cellStyle name="20% - Accent5 2 2 6 3" xfId="6192" xr:uid="{00000000-0005-0000-0000-0000A7020000}"/>
    <cellStyle name="20% - Accent5 2 2 6 3 2" xfId="14634" xr:uid="{FCE57D07-C3D5-4A3E-B3D7-499C872C4399}"/>
    <cellStyle name="20% - Accent5 2 2 6 4" xfId="10416" xr:uid="{20669373-4875-4BF5-8C14-192452141B2F}"/>
    <cellStyle name="20% - Accent5 2 2 7" xfId="2298" xr:uid="{00000000-0005-0000-0000-0000A8020000}"/>
    <cellStyle name="20% - Accent5 2 2 7 2" xfId="6605" xr:uid="{00000000-0005-0000-0000-0000A9020000}"/>
    <cellStyle name="20% - Accent5 2 2 7 2 2" xfId="15047" xr:uid="{51CEBFC6-2C1D-4859-9112-2887A28B358F}"/>
    <cellStyle name="20% - Accent5 2 2 7 3" xfId="10829" xr:uid="{53FA86B1-804F-4561-854C-84C47AFB9915}"/>
    <cellStyle name="20% - Accent5 2 2 8" xfId="4539" xr:uid="{00000000-0005-0000-0000-0000AA020000}"/>
    <cellStyle name="20% - Accent5 2 2 8 2" xfId="12981" xr:uid="{2A6BB236-6E85-4583-9182-50AED890B928}"/>
    <cellStyle name="20% - Accent5 2 2 9" xfId="8763" xr:uid="{97813B78-7507-4E63-AAB5-2A6FE2BA6976}"/>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2 2 2" xfId="15542" xr:uid="{8ED4AAE2-9541-491C-8468-0DD4B73FE36C}"/>
    <cellStyle name="20% - Accent5 2 3 2 2 3" xfId="11324" xr:uid="{4F53FFE6-200B-4B53-9A4C-EC56268823AA}"/>
    <cellStyle name="20% - Accent5 2 3 2 3" xfId="4955" xr:uid="{00000000-0005-0000-0000-0000AF020000}"/>
    <cellStyle name="20% - Accent5 2 3 2 3 2" xfId="13397" xr:uid="{A6D30722-186C-4C10-8378-E9197EE934F9}"/>
    <cellStyle name="20% - Accent5 2 3 2 4" xfId="9179" xr:uid="{3BEED0EE-8A4B-40BC-8E1C-4502D5F897B9}"/>
    <cellStyle name="20% - Accent5 2 3 3" xfId="1059" xr:uid="{00000000-0005-0000-0000-0000B0020000}"/>
    <cellStyle name="20% - Accent5 2 3 3 2" xfId="3290" xr:uid="{00000000-0005-0000-0000-0000B1020000}"/>
    <cellStyle name="20% - Accent5 2 3 3 2 2" xfId="7513" xr:uid="{00000000-0005-0000-0000-0000B2020000}"/>
    <cellStyle name="20% - Accent5 2 3 3 2 2 2" xfId="15955" xr:uid="{6333B2C7-8DED-4B96-BDB8-400A8CD757C5}"/>
    <cellStyle name="20% - Accent5 2 3 3 2 3" xfId="11737" xr:uid="{F8B0B769-188E-456D-8E45-6FB20ECF77BB}"/>
    <cellStyle name="20% - Accent5 2 3 3 3" xfId="5368" xr:uid="{00000000-0005-0000-0000-0000B3020000}"/>
    <cellStyle name="20% - Accent5 2 3 3 3 2" xfId="13810" xr:uid="{C870EBD6-BA6A-4C5C-B2FA-E7954D4050DF}"/>
    <cellStyle name="20% - Accent5 2 3 3 4" xfId="9592" xr:uid="{F4D04E6D-38B4-4C0E-B8B7-C1A55D3F6C86}"/>
    <cellStyle name="20% - Accent5 2 3 4" xfId="1473" xr:uid="{00000000-0005-0000-0000-0000B4020000}"/>
    <cellStyle name="20% - Accent5 2 3 4 2" xfId="3703" xr:uid="{00000000-0005-0000-0000-0000B5020000}"/>
    <cellStyle name="20% - Accent5 2 3 4 2 2" xfId="7926" xr:uid="{00000000-0005-0000-0000-0000B6020000}"/>
    <cellStyle name="20% - Accent5 2 3 4 2 2 2" xfId="16368" xr:uid="{8F47BCE9-ACBD-4016-8A1A-EB87787A89E7}"/>
    <cellStyle name="20% - Accent5 2 3 4 2 3" xfId="12150" xr:uid="{30FC3628-093A-49CC-A831-56C89DD72CFB}"/>
    <cellStyle name="20% - Accent5 2 3 4 3" xfId="5781" xr:uid="{00000000-0005-0000-0000-0000B7020000}"/>
    <cellStyle name="20% - Accent5 2 3 4 3 2" xfId="14223" xr:uid="{4A73E6FA-C4FB-45AB-9B1B-00606E29CE92}"/>
    <cellStyle name="20% - Accent5 2 3 4 4" xfId="10005" xr:uid="{4758A873-C87D-4E5D-909F-DB26D4FE83F7}"/>
    <cellStyle name="20% - Accent5 2 3 5" xfId="1887" xr:uid="{00000000-0005-0000-0000-0000B8020000}"/>
    <cellStyle name="20% - Accent5 2 3 5 2" xfId="4116" xr:uid="{00000000-0005-0000-0000-0000B9020000}"/>
    <cellStyle name="20% - Accent5 2 3 5 2 2" xfId="8339" xr:uid="{00000000-0005-0000-0000-0000BA020000}"/>
    <cellStyle name="20% - Accent5 2 3 5 2 2 2" xfId="16781" xr:uid="{61ECB385-6823-4947-B026-208AA4C2E9D4}"/>
    <cellStyle name="20% - Accent5 2 3 5 2 3" xfId="12563" xr:uid="{7936EE32-8E14-49A3-B7A0-3ABD90F71A39}"/>
    <cellStyle name="20% - Accent5 2 3 5 3" xfId="6194" xr:uid="{00000000-0005-0000-0000-0000BB020000}"/>
    <cellStyle name="20% - Accent5 2 3 5 3 2" xfId="14636" xr:uid="{46191AB2-3A29-4D38-B9C6-BDC8BCE43418}"/>
    <cellStyle name="20% - Accent5 2 3 5 4" xfId="10418" xr:uid="{59372E3D-5764-4642-B723-B93C2817A2B7}"/>
    <cellStyle name="20% - Accent5 2 3 6" xfId="2300" xr:uid="{00000000-0005-0000-0000-0000BC020000}"/>
    <cellStyle name="20% - Accent5 2 3 6 2" xfId="6607" xr:uid="{00000000-0005-0000-0000-0000BD020000}"/>
    <cellStyle name="20% - Accent5 2 3 6 2 2" xfId="15049" xr:uid="{67820908-0A85-4CD2-9D36-D99244840A2C}"/>
    <cellStyle name="20% - Accent5 2 3 6 3" xfId="10831" xr:uid="{259DDBAD-ABB4-4C45-A9D2-C273833CC163}"/>
    <cellStyle name="20% - Accent5 2 3 7" xfId="4541" xr:uid="{00000000-0005-0000-0000-0000BE020000}"/>
    <cellStyle name="20% - Accent5 2 3 7 2" xfId="12983" xr:uid="{9F5A8BC1-65AC-461B-AC7C-B35AE8E890D2}"/>
    <cellStyle name="20% - Accent5 2 3 8" xfId="8765" xr:uid="{ED8D984D-6810-43C0-95F5-B14E0DEE19CA}"/>
    <cellStyle name="20% - Accent5 2 4" xfId="603" xr:uid="{00000000-0005-0000-0000-0000BF020000}"/>
    <cellStyle name="20% - Accent5 2 4 2" xfId="2874" xr:uid="{00000000-0005-0000-0000-0000C0020000}"/>
    <cellStyle name="20% - Accent5 2 4 2 2" xfId="7097" xr:uid="{00000000-0005-0000-0000-0000C1020000}"/>
    <cellStyle name="20% - Accent5 2 4 2 2 2" xfId="15539" xr:uid="{C8541941-A26B-4355-BC0F-0A70CB9F7E54}"/>
    <cellStyle name="20% - Accent5 2 4 2 3" xfId="11321" xr:uid="{37130C9B-36D2-4397-A5A7-F0E4EF17E41D}"/>
    <cellStyle name="20% - Accent5 2 4 3" xfId="4952" xr:uid="{00000000-0005-0000-0000-0000C2020000}"/>
    <cellStyle name="20% - Accent5 2 4 3 2" xfId="13394" xr:uid="{85BEF5C2-C08D-4ECE-B202-2F864A9F0CE2}"/>
    <cellStyle name="20% - Accent5 2 4 4" xfId="9176" xr:uid="{3AD9A309-BBC1-4180-A81C-EA867B522135}"/>
    <cellStyle name="20% - Accent5 2 5" xfId="1056" xr:uid="{00000000-0005-0000-0000-0000C3020000}"/>
    <cellStyle name="20% - Accent5 2 5 2" xfId="3287" xr:uid="{00000000-0005-0000-0000-0000C4020000}"/>
    <cellStyle name="20% - Accent5 2 5 2 2" xfId="7510" xr:uid="{00000000-0005-0000-0000-0000C5020000}"/>
    <cellStyle name="20% - Accent5 2 5 2 2 2" xfId="15952" xr:uid="{8F214716-6E12-41EB-B579-34D858FCDE7C}"/>
    <cellStyle name="20% - Accent5 2 5 2 3" xfId="11734" xr:uid="{7C47B397-A286-4A2F-966E-A6D0D8270DB3}"/>
    <cellStyle name="20% - Accent5 2 5 3" xfId="5365" xr:uid="{00000000-0005-0000-0000-0000C6020000}"/>
    <cellStyle name="20% - Accent5 2 5 3 2" xfId="13807" xr:uid="{3A087075-A8CC-4C5A-A308-85964B2F75E6}"/>
    <cellStyle name="20% - Accent5 2 5 4" xfId="9589" xr:uid="{5FFC38FC-1539-4D94-9B73-9196D6CB0DB1}"/>
    <cellStyle name="20% - Accent5 2 6" xfId="1470" xr:uid="{00000000-0005-0000-0000-0000C7020000}"/>
    <cellStyle name="20% - Accent5 2 6 2" xfId="3700" xr:uid="{00000000-0005-0000-0000-0000C8020000}"/>
    <cellStyle name="20% - Accent5 2 6 2 2" xfId="7923" xr:uid="{00000000-0005-0000-0000-0000C9020000}"/>
    <cellStyle name="20% - Accent5 2 6 2 2 2" xfId="16365" xr:uid="{063184EF-2049-4A20-A51A-B90F96FD5972}"/>
    <cellStyle name="20% - Accent5 2 6 2 3" xfId="12147" xr:uid="{057079A3-95AF-4457-AF4C-3770FCC99372}"/>
    <cellStyle name="20% - Accent5 2 6 3" xfId="5778" xr:uid="{00000000-0005-0000-0000-0000CA020000}"/>
    <cellStyle name="20% - Accent5 2 6 3 2" xfId="14220" xr:uid="{1F450A6C-C774-4C21-9F58-31B51172A7B5}"/>
    <cellStyle name="20% - Accent5 2 6 4" xfId="10002" xr:uid="{F6B6E071-0698-4A29-89C2-07FAB884F080}"/>
    <cellStyle name="20% - Accent5 2 7" xfId="1884" xr:uid="{00000000-0005-0000-0000-0000CB020000}"/>
    <cellStyle name="20% - Accent5 2 7 2" xfId="4113" xr:uid="{00000000-0005-0000-0000-0000CC020000}"/>
    <cellStyle name="20% - Accent5 2 7 2 2" xfId="8336" xr:uid="{00000000-0005-0000-0000-0000CD020000}"/>
    <cellStyle name="20% - Accent5 2 7 2 2 2" xfId="16778" xr:uid="{8DD127E6-5081-42B1-AF39-5AB3789BC8CD}"/>
    <cellStyle name="20% - Accent5 2 7 2 3" xfId="12560" xr:uid="{FE4FC993-FB42-4FEA-A8B7-CC25155A571A}"/>
    <cellStyle name="20% - Accent5 2 7 3" xfId="6191" xr:uid="{00000000-0005-0000-0000-0000CE020000}"/>
    <cellStyle name="20% - Accent5 2 7 3 2" xfId="14633" xr:uid="{857201B7-548D-48C3-87D0-2D4073CA9C47}"/>
    <cellStyle name="20% - Accent5 2 7 4" xfId="10415" xr:uid="{474C46F7-770E-417B-AB0E-C6DAD57629F5}"/>
    <cellStyle name="20% - Accent5 2 8" xfId="2297" xr:uid="{00000000-0005-0000-0000-0000CF020000}"/>
    <cellStyle name="20% - Accent5 2 8 2" xfId="6604" xr:uid="{00000000-0005-0000-0000-0000D0020000}"/>
    <cellStyle name="20% - Accent5 2 8 2 2" xfId="15046" xr:uid="{0A97DCC1-E320-4A25-9E42-BD337EF3E9EE}"/>
    <cellStyle name="20% - Accent5 2 8 3" xfId="10828" xr:uid="{EA5FC2FE-EBE1-4F4F-B7CE-EA01AB97EB17}"/>
    <cellStyle name="20% - Accent5 2 9" xfId="4538" xr:uid="{00000000-0005-0000-0000-0000D1020000}"/>
    <cellStyle name="20% - Accent5 2 9 2" xfId="12980" xr:uid="{F1CAB2DD-A9F7-4BB1-ADA9-6637F8F4FDB3}"/>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2 2 2" xfId="15544" xr:uid="{D51E737B-1658-4D63-A4C6-886439F4E7D1}"/>
    <cellStyle name="20% - Accent5 3 2 2 2 3" xfId="11326" xr:uid="{049E0CBA-8CBC-41B7-91DB-C6B7F734B2B2}"/>
    <cellStyle name="20% - Accent5 3 2 2 3" xfId="4957" xr:uid="{00000000-0005-0000-0000-0000D7020000}"/>
    <cellStyle name="20% - Accent5 3 2 2 3 2" xfId="13399" xr:uid="{F76EFF6F-4EE3-40D7-83DB-3C6BBAF22996}"/>
    <cellStyle name="20% - Accent5 3 2 2 4" xfId="9181" xr:uid="{201EB28E-C77D-4568-A23E-AABD56DCBC5F}"/>
    <cellStyle name="20% - Accent5 3 2 3" xfId="1061" xr:uid="{00000000-0005-0000-0000-0000D8020000}"/>
    <cellStyle name="20% - Accent5 3 2 3 2" xfId="3292" xr:uid="{00000000-0005-0000-0000-0000D9020000}"/>
    <cellStyle name="20% - Accent5 3 2 3 2 2" xfId="7515" xr:uid="{00000000-0005-0000-0000-0000DA020000}"/>
    <cellStyle name="20% - Accent5 3 2 3 2 2 2" xfId="15957" xr:uid="{773F9930-2B1A-4DE0-9C02-393E8F1CCD80}"/>
    <cellStyle name="20% - Accent5 3 2 3 2 3" xfId="11739" xr:uid="{A8A43D54-EEFD-4237-B903-2A60EDDAC24B}"/>
    <cellStyle name="20% - Accent5 3 2 3 3" xfId="5370" xr:uid="{00000000-0005-0000-0000-0000DB020000}"/>
    <cellStyle name="20% - Accent5 3 2 3 3 2" xfId="13812" xr:uid="{C8B111DA-370F-4386-AAA5-6BB00D31733A}"/>
    <cellStyle name="20% - Accent5 3 2 3 4" xfId="9594" xr:uid="{BDC29867-4F9C-41DD-BC66-AFEAF5609DB2}"/>
    <cellStyle name="20% - Accent5 3 2 4" xfId="1475" xr:uid="{00000000-0005-0000-0000-0000DC020000}"/>
    <cellStyle name="20% - Accent5 3 2 4 2" xfId="3705" xr:uid="{00000000-0005-0000-0000-0000DD020000}"/>
    <cellStyle name="20% - Accent5 3 2 4 2 2" xfId="7928" xr:uid="{00000000-0005-0000-0000-0000DE020000}"/>
    <cellStyle name="20% - Accent5 3 2 4 2 2 2" xfId="16370" xr:uid="{CDE8FD66-D81C-48FE-B859-B94E6665CD25}"/>
    <cellStyle name="20% - Accent5 3 2 4 2 3" xfId="12152" xr:uid="{3A263DD9-2AA7-43B3-A4B0-ADD279BE6698}"/>
    <cellStyle name="20% - Accent5 3 2 4 3" xfId="5783" xr:uid="{00000000-0005-0000-0000-0000DF020000}"/>
    <cellStyle name="20% - Accent5 3 2 4 3 2" xfId="14225" xr:uid="{37D32360-F94A-47EC-BB9E-A8F0ABA581D7}"/>
    <cellStyle name="20% - Accent5 3 2 4 4" xfId="10007" xr:uid="{7E0A096F-3C34-4BB1-8C7B-8ADFC28179E5}"/>
    <cellStyle name="20% - Accent5 3 2 5" xfId="1889" xr:uid="{00000000-0005-0000-0000-0000E0020000}"/>
    <cellStyle name="20% - Accent5 3 2 5 2" xfId="4118" xr:uid="{00000000-0005-0000-0000-0000E1020000}"/>
    <cellStyle name="20% - Accent5 3 2 5 2 2" xfId="8341" xr:uid="{00000000-0005-0000-0000-0000E2020000}"/>
    <cellStyle name="20% - Accent5 3 2 5 2 2 2" xfId="16783" xr:uid="{73AF1535-25CB-4E3B-80EF-67D0B8B61DBF}"/>
    <cellStyle name="20% - Accent5 3 2 5 2 3" xfId="12565" xr:uid="{F5C9E3BF-5560-4545-A225-40D4D2C5BA99}"/>
    <cellStyle name="20% - Accent5 3 2 5 3" xfId="6196" xr:uid="{00000000-0005-0000-0000-0000E3020000}"/>
    <cellStyle name="20% - Accent5 3 2 5 3 2" xfId="14638" xr:uid="{10E885C7-FC3B-4697-9B0E-BAB751DAD3D5}"/>
    <cellStyle name="20% - Accent5 3 2 5 4" xfId="10420" xr:uid="{DDFB84CA-A385-42B3-AA03-BEC0F8F82224}"/>
    <cellStyle name="20% - Accent5 3 2 6" xfId="2302" xr:uid="{00000000-0005-0000-0000-0000E4020000}"/>
    <cellStyle name="20% - Accent5 3 2 6 2" xfId="6609" xr:uid="{00000000-0005-0000-0000-0000E5020000}"/>
    <cellStyle name="20% - Accent5 3 2 6 2 2" xfId="15051" xr:uid="{688854B0-86F1-4C1D-97F3-29EF280B8344}"/>
    <cellStyle name="20% - Accent5 3 2 6 3" xfId="10833" xr:uid="{6D9B9071-3C26-4543-97E5-DB6586E33476}"/>
    <cellStyle name="20% - Accent5 3 2 7" xfId="4543" xr:uid="{00000000-0005-0000-0000-0000E6020000}"/>
    <cellStyle name="20% - Accent5 3 2 7 2" xfId="12985" xr:uid="{CFA9E5FC-1582-4086-BC01-5E56FF727FF8}"/>
    <cellStyle name="20% - Accent5 3 2 8" xfId="8767" xr:uid="{28AA4FB7-B11C-4AFC-A525-85C718FB856B}"/>
    <cellStyle name="20% - Accent5 3 3" xfId="607" xr:uid="{00000000-0005-0000-0000-0000E7020000}"/>
    <cellStyle name="20% - Accent5 3 3 2" xfId="2878" xr:uid="{00000000-0005-0000-0000-0000E8020000}"/>
    <cellStyle name="20% - Accent5 3 3 2 2" xfId="7101" xr:uid="{00000000-0005-0000-0000-0000E9020000}"/>
    <cellStyle name="20% - Accent5 3 3 2 2 2" xfId="15543" xr:uid="{826BFAC9-FBF6-418C-A837-6F2F86247C5C}"/>
    <cellStyle name="20% - Accent5 3 3 2 3" xfId="11325" xr:uid="{1CF2BEEB-DFC6-4413-AA8B-BE9E8F801C57}"/>
    <cellStyle name="20% - Accent5 3 3 3" xfId="4956" xr:uid="{00000000-0005-0000-0000-0000EA020000}"/>
    <cellStyle name="20% - Accent5 3 3 3 2" xfId="13398" xr:uid="{3C05CAA6-FBD9-4CAF-8A12-479657A9C101}"/>
    <cellStyle name="20% - Accent5 3 3 4" xfId="9180" xr:uid="{AAC97CED-9A8B-49C6-A21B-3FE2CF898A61}"/>
    <cellStyle name="20% - Accent5 3 4" xfId="1060" xr:uid="{00000000-0005-0000-0000-0000EB020000}"/>
    <cellStyle name="20% - Accent5 3 4 2" xfId="3291" xr:uid="{00000000-0005-0000-0000-0000EC020000}"/>
    <cellStyle name="20% - Accent5 3 4 2 2" xfId="7514" xr:uid="{00000000-0005-0000-0000-0000ED020000}"/>
    <cellStyle name="20% - Accent5 3 4 2 2 2" xfId="15956" xr:uid="{1A173730-D48D-446A-AA80-4EC7C3C75BE7}"/>
    <cellStyle name="20% - Accent5 3 4 2 3" xfId="11738" xr:uid="{30EEB9DE-53A3-4843-B4A0-8204A44CF094}"/>
    <cellStyle name="20% - Accent5 3 4 3" xfId="5369" xr:uid="{00000000-0005-0000-0000-0000EE020000}"/>
    <cellStyle name="20% - Accent5 3 4 3 2" xfId="13811" xr:uid="{E5A0BC49-76B1-41BB-9971-1DD3D9D2B633}"/>
    <cellStyle name="20% - Accent5 3 4 4" xfId="9593" xr:uid="{712AE1BA-DAFE-45B2-89B7-BA7EEB22914F}"/>
    <cellStyle name="20% - Accent5 3 5" xfId="1474" xr:uid="{00000000-0005-0000-0000-0000EF020000}"/>
    <cellStyle name="20% - Accent5 3 5 2" xfId="3704" xr:uid="{00000000-0005-0000-0000-0000F0020000}"/>
    <cellStyle name="20% - Accent5 3 5 2 2" xfId="7927" xr:uid="{00000000-0005-0000-0000-0000F1020000}"/>
    <cellStyle name="20% - Accent5 3 5 2 2 2" xfId="16369" xr:uid="{8AB6D360-7C54-4FC7-A403-8E46AA7DEEF8}"/>
    <cellStyle name="20% - Accent5 3 5 2 3" xfId="12151" xr:uid="{B05CCCA2-7F8A-428A-9D65-3651ECF03731}"/>
    <cellStyle name="20% - Accent5 3 5 3" xfId="5782" xr:uid="{00000000-0005-0000-0000-0000F2020000}"/>
    <cellStyle name="20% - Accent5 3 5 3 2" xfId="14224" xr:uid="{6C066EC9-16DD-46FE-A0AE-D2DF201E73F8}"/>
    <cellStyle name="20% - Accent5 3 5 4" xfId="10006" xr:uid="{990A8694-EFE1-4386-AB52-F18C1E266667}"/>
    <cellStyle name="20% - Accent5 3 6" xfId="1888" xr:uid="{00000000-0005-0000-0000-0000F3020000}"/>
    <cellStyle name="20% - Accent5 3 6 2" xfId="4117" xr:uid="{00000000-0005-0000-0000-0000F4020000}"/>
    <cellStyle name="20% - Accent5 3 6 2 2" xfId="8340" xr:uid="{00000000-0005-0000-0000-0000F5020000}"/>
    <cellStyle name="20% - Accent5 3 6 2 2 2" xfId="16782" xr:uid="{8CA3CB7C-F3A3-4444-80D0-19DD335B45AA}"/>
    <cellStyle name="20% - Accent5 3 6 2 3" xfId="12564" xr:uid="{49F0F641-C55E-4847-8DC7-65DA04382816}"/>
    <cellStyle name="20% - Accent5 3 6 3" xfId="6195" xr:uid="{00000000-0005-0000-0000-0000F6020000}"/>
    <cellStyle name="20% - Accent5 3 6 3 2" xfId="14637" xr:uid="{D4F2A20C-24FE-45FF-BE99-DFE05B3D3E71}"/>
    <cellStyle name="20% - Accent5 3 6 4" xfId="10419" xr:uid="{DE120AE1-E3A4-4A79-87CA-C8EACE804336}"/>
    <cellStyle name="20% - Accent5 3 7" xfId="2301" xr:uid="{00000000-0005-0000-0000-0000F7020000}"/>
    <cellStyle name="20% - Accent5 3 7 2" xfId="6608" xr:uid="{00000000-0005-0000-0000-0000F8020000}"/>
    <cellStyle name="20% - Accent5 3 7 2 2" xfId="15050" xr:uid="{1FDC0BC2-1900-45A9-9453-7BA270F13CB1}"/>
    <cellStyle name="20% - Accent5 3 7 3" xfId="10832" xr:uid="{8D6A3F00-160E-47FC-974B-9FEFD76D62EA}"/>
    <cellStyle name="20% - Accent5 3 8" xfId="4542" xr:uid="{00000000-0005-0000-0000-0000F9020000}"/>
    <cellStyle name="20% - Accent5 3 8 2" xfId="12984" xr:uid="{FD6EC4EF-F6C8-4CF0-9584-7F346DF32382}"/>
    <cellStyle name="20% - Accent5 3 9" xfId="8766" xr:uid="{F31D9CA9-7937-476F-A99A-F0DD0A83D2FD}"/>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2 2 2" xfId="15545" xr:uid="{7FA3FEFC-E1B2-4E62-B4AE-B6EB3EDEF94B}"/>
    <cellStyle name="20% - Accent5 4 2 2 3" xfId="11327" xr:uid="{D8ECA79A-5676-46E9-A0CD-28F22EC15F53}"/>
    <cellStyle name="20% - Accent5 4 2 3" xfId="4958" xr:uid="{00000000-0005-0000-0000-0000FE020000}"/>
    <cellStyle name="20% - Accent5 4 2 3 2" xfId="13400" xr:uid="{EC4FC9C2-C46E-4869-8094-1221E7B87AA4}"/>
    <cellStyle name="20% - Accent5 4 2 4" xfId="9182" xr:uid="{6DDDB6D1-73CC-42E3-8187-3597D457A2DE}"/>
    <cellStyle name="20% - Accent5 4 3" xfId="1062" xr:uid="{00000000-0005-0000-0000-0000FF020000}"/>
    <cellStyle name="20% - Accent5 4 3 2" xfId="3293" xr:uid="{00000000-0005-0000-0000-000000030000}"/>
    <cellStyle name="20% - Accent5 4 3 2 2" xfId="7516" xr:uid="{00000000-0005-0000-0000-000001030000}"/>
    <cellStyle name="20% - Accent5 4 3 2 2 2" xfId="15958" xr:uid="{16F419E7-C580-4309-955F-1C52AFF64979}"/>
    <cellStyle name="20% - Accent5 4 3 2 3" xfId="11740" xr:uid="{CB4654D1-6F80-4E6A-9154-F5B2F7782CF7}"/>
    <cellStyle name="20% - Accent5 4 3 3" xfId="5371" xr:uid="{00000000-0005-0000-0000-000002030000}"/>
    <cellStyle name="20% - Accent5 4 3 3 2" xfId="13813" xr:uid="{A4D74498-7EFE-4069-9430-3A4AEBDF1984}"/>
    <cellStyle name="20% - Accent5 4 3 4" xfId="9595" xr:uid="{8D9C4255-C98E-4E44-87A4-C45E06E30862}"/>
    <cellStyle name="20% - Accent5 4 4" xfId="1476" xr:uid="{00000000-0005-0000-0000-000003030000}"/>
    <cellStyle name="20% - Accent5 4 4 2" xfId="3706" xr:uid="{00000000-0005-0000-0000-000004030000}"/>
    <cellStyle name="20% - Accent5 4 4 2 2" xfId="7929" xr:uid="{00000000-0005-0000-0000-000005030000}"/>
    <cellStyle name="20% - Accent5 4 4 2 2 2" xfId="16371" xr:uid="{9F9D3C11-4E48-40DE-A63B-550917108F9B}"/>
    <cellStyle name="20% - Accent5 4 4 2 3" xfId="12153" xr:uid="{BA85F89F-13E0-4120-8C6C-07A0C2931C39}"/>
    <cellStyle name="20% - Accent5 4 4 3" xfId="5784" xr:uid="{00000000-0005-0000-0000-000006030000}"/>
    <cellStyle name="20% - Accent5 4 4 3 2" xfId="14226" xr:uid="{51C43A9C-8171-4974-8310-1F6A79E30902}"/>
    <cellStyle name="20% - Accent5 4 4 4" xfId="10008" xr:uid="{766B0762-D8C8-415F-B8E8-24D83157350B}"/>
    <cellStyle name="20% - Accent5 4 5" xfId="1890" xr:uid="{00000000-0005-0000-0000-000007030000}"/>
    <cellStyle name="20% - Accent5 4 5 2" xfId="4119" xr:uid="{00000000-0005-0000-0000-000008030000}"/>
    <cellStyle name="20% - Accent5 4 5 2 2" xfId="8342" xr:uid="{00000000-0005-0000-0000-000009030000}"/>
    <cellStyle name="20% - Accent5 4 5 2 2 2" xfId="16784" xr:uid="{E577E077-1A05-4ADE-BF4C-3A3AD18F1E5B}"/>
    <cellStyle name="20% - Accent5 4 5 2 3" xfId="12566" xr:uid="{9B283251-0512-4978-825F-0EF73C8772CD}"/>
    <cellStyle name="20% - Accent5 4 5 3" xfId="6197" xr:uid="{00000000-0005-0000-0000-00000A030000}"/>
    <cellStyle name="20% - Accent5 4 5 3 2" xfId="14639" xr:uid="{2BF38E29-F8EE-4C22-8B97-F6793E69A101}"/>
    <cellStyle name="20% - Accent5 4 5 4" xfId="10421" xr:uid="{39F5C501-9E1F-47D3-BBC8-47A3C9D5F049}"/>
    <cellStyle name="20% - Accent5 4 6" xfId="2303" xr:uid="{00000000-0005-0000-0000-00000B030000}"/>
    <cellStyle name="20% - Accent5 4 6 2" xfId="6610" xr:uid="{00000000-0005-0000-0000-00000C030000}"/>
    <cellStyle name="20% - Accent5 4 6 2 2" xfId="15052" xr:uid="{BDA4EB86-0A1A-4473-A421-39CE61F80656}"/>
    <cellStyle name="20% - Accent5 4 6 3" xfId="10834" xr:uid="{3F7AF15E-2FC1-4141-B73E-E4AEE3F6C387}"/>
    <cellStyle name="20% - Accent5 4 7" xfId="4544" xr:uid="{00000000-0005-0000-0000-00000D030000}"/>
    <cellStyle name="20% - Accent5 4 7 2" xfId="12986" xr:uid="{374A5142-5B8B-4911-9654-A6BCB37026E1}"/>
    <cellStyle name="20% - Accent5 4 8" xfId="8768" xr:uid="{9156A860-020F-4A54-BD8D-C59A68257002}"/>
    <cellStyle name="20% - Accent5 5" xfId="602" xr:uid="{00000000-0005-0000-0000-00000E030000}"/>
    <cellStyle name="20% - Accent5 5 2" xfId="2873" xr:uid="{00000000-0005-0000-0000-00000F030000}"/>
    <cellStyle name="20% - Accent5 5 2 2" xfId="7096" xr:uid="{00000000-0005-0000-0000-000010030000}"/>
    <cellStyle name="20% - Accent5 5 2 2 2" xfId="15538" xr:uid="{C791D4C2-FB4B-453C-869A-CBD07F66EE74}"/>
    <cellStyle name="20% - Accent5 5 2 3" xfId="11320" xr:uid="{703F9D6E-54A6-4E19-958B-BC357B0B9E72}"/>
    <cellStyle name="20% - Accent5 5 3" xfId="4951" xr:uid="{00000000-0005-0000-0000-000011030000}"/>
    <cellStyle name="20% - Accent5 5 3 2" xfId="13393" xr:uid="{8DD06C61-0A71-4F1C-B835-8EDF407F6FA2}"/>
    <cellStyle name="20% - Accent5 5 4" xfId="9175" xr:uid="{5BE26343-7D6D-490B-8441-BCFA1B7179A4}"/>
    <cellStyle name="20% - Accent5 6" xfId="1055" xr:uid="{00000000-0005-0000-0000-000012030000}"/>
    <cellStyle name="20% - Accent5 6 2" xfId="3286" xr:uid="{00000000-0005-0000-0000-000013030000}"/>
    <cellStyle name="20% - Accent5 6 2 2" xfId="7509" xr:uid="{00000000-0005-0000-0000-000014030000}"/>
    <cellStyle name="20% - Accent5 6 2 2 2" xfId="15951" xr:uid="{CABC479F-1F5E-4A1B-8E9D-E1DF5ADC29B9}"/>
    <cellStyle name="20% - Accent5 6 2 3" xfId="11733" xr:uid="{20F4C1D9-3D66-4F98-A424-ED55C56E43B0}"/>
    <cellStyle name="20% - Accent5 6 3" xfId="5364" xr:uid="{00000000-0005-0000-0000-000015030000}"/>
    <cellStyle name="20% - Accent5 6 3 2" xfId="13806" xr:uid="{2C62F8E7-C7DB-4708-B0C9-DCD8560327CE}"/>
    <cellStyle name="20% - Accent5 6 4" xfId="9588" xr:uid="{F8CED15E-1332-4EB8-9BC7-3B3840D15E73}"/>
    <cellStyle name="20% - Accent5 7" xfId="1469" xr:uid="{00000000-0005-0000-0000-000016030000}"/>
    <cellStyle name="20% - Accent5 7 2" xfId="3699" xr:uid="{00000000-0005-0000-0000-000017030000}"/>
    <cellStyle name="20% - Accent5 7 2 2" xfId="7922" xr:uid="{00000000-0005-0000-0000-000018030000}"/>
    <cellStyle name="20% - Accent5 7 2 2 2" xfId="16364" xr:uid="{BAB09090-AE3A-4836-BDC1-475AB8322ADD}"/>
    <cellStyle name="20% - Accent5 7 2 3" xfId="12146" xr:uid="{3FB2DB4F-A596-4055-B0F6-2338000A8746}"/>
    <cellStyle name="20% - Accent5 7 3" xfId="5777" xr:uid="{00000000-0005-0000-0000-000019030000}"/>
    <cellStyle name="20% - Accent5 7 3 2" xfId="14219" xr:uid="{65A3FE78-738C-4E24-B067-5029B9025EF1}"/>
    <cellStyle name="20% - Accent5 7 4" xfId="10001" xr:uid="{455BFCCA-A260-4DA0-B310-26F0513754C4}"/>
    <cellStyle name="20% - Accent5 8" xfId="1883" xr:uid="{00000000-0005-0000-0000-00001A030000}"/>
    <cellStyle name="20% - Accent5 8 2" xfId="4112" xr:uid="{00000000-0005-0000-0000-00001B030000}"/>
    <cellStyle name="20% - Accent5 8 2 2" xfId="8335" xr:uid="{00000000-0005-0000-0000-00001C030000}"/>
    <cellStyle name="20% - Accent5 8 2 2 2" xfId="16777" xr:uid="{95533A0B-35AC-4E54-BB63-2AF09844E528}"/>
    <cellStyle name="20% - Accent5 8 2 3" xfId="12559" xr:uid="{1C54A62F-40E1-457E-B024-DDD88BC821DE}"/>
    <cellStyle name="20% - Accent5 8 3" xfId="6190" xr:uid="{00000000-0005-0000-0000-00001D030000}"/>
    <cellStyle name="20% - Accent5 8 3 2" xfId="14632" xr:uid="{B39E6147-349D-42BA-BC58-234956F32E7D}"/>
    <cellStyle name="20% - Accent5 8 4" xfId="10414" xr:uid="{18AEBC76-4988-4136-ACB0-9DE24C93BABA}"/>
    <cellStyle name="20% - Accent5 9" xfId="2296" xr:uid="{00000000-0005-0000-0000-00001E030000}"/>
    <cellStyle name="20% - Accent5 9 2" xfId="6603" xr:uid="{00000000-0005-0000-0000-00001F030000}"/>
    <cellStyle name="20% - Accent5 9 2 2" xfId="15045" xr:uid="{4DAB9996-F170-48E8-9A3B-59453B46A49B}"/>
    <cellStyle name="20% - Accent5 9 3" xfId="10827" xr:uid="{C179463E-B76A-41AB-AA95-C73BC99C299D}"/>
    <cellStyle name="20% - Accent6" xfId="41" builtinId="50" customBuiltin="1"/>
    <cellStyle name="20% - Accent6 10" xfId="4545" xr:uid="{00000000-0005-0000-0000-000021030000}"/>
    <cellStyle name="20% - Accent6 10 2" xfId="12987" xr:uid="{BD77A106-A68D-4E70-926F-1A6FBA50A3A2}"/>
    <cellStyle name="20% - Accent6 11" xfId="8769" xr:uid="{DB778E56-BEF1-4606-9D69-CC7E776B85D5}"/>
    <cellStyle name="20% - Accent6 2" xfId="42" xr:uid="{00000000-0005-0000-0000-000022030000}"/>
    <cellStyle name="20% - Accent6 2 10" xfId="8770" xr:uid="{48692AD5-EB72-4E0D-AAD9-EB59BC74902A}"/>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2 2 2" xfId="15549" xr:uid="{C09CE883-0715-4A47-8977-F36515AABE44}"/>
    <cellStyle name="20% - Accent6 2 2 2 2 2 3" xfId="11331" xr:uid="{04221950-DD8B-4486-94EE-73D64D7D4338}"/>
    <cellStyle name="20% - Accent6 2 2 2 2 3" xfId="4962" xr:uid="{00000000-0005-0000-0000-000028030000}"/>
    <cellStyle name="20% - Accent6 2 2 2 2 3 2" xfId="13404" xr:uid="{3CA1FCC4-63AE-4DEF-BF64-65EF6FEB8A7A}"/>
    <cellStyle name="20% - Accent6 2 2 2 2 4" xfId="9186" xr:uid="{7A7AED41-453B-4EBA-88D3-03F6F0989E0A}"/>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2 2 2" xfId="15962" xr:uid="{270A9287-7BB6-432B-B844-95C90CD2C261}"/>
    <cellStyle name="20% - Accent6 2 2 2 3 2 3" xfId="11744" xr:uid="{EB13C481-FFE7-4528-AD1B-2FA2A2995D6C}"/>
    <cellStyle name="20% - Accent6 2 2 2 3 3" xfId="5375" xr:uid="{00000000-0005-0000-0000-00002C030000}"/>
    <cellStyle name="20% - Accent6 2 2 2 3 3 2" xfId="13817" xr:uid="{3AFC5FBB-0EEE-4EA2-93C3-4EFE3E16A1DA}"/>
    <cellStyle name="20% - Accent6 2 2 2 3 4" xfId="9599" xr:uid="{372C9612-1531-4C53-BE13-2BB369654C6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2 2 2" xfId="16375" xr:uid="{69BBD897-84AB-4CBC-9B98-53AB36EF7AB5}"/>
    <cellStyle name="20% - Accent6 2 2 2 4 2 3" xfId="12157" xr:uid="{CC14ED94-E19E-4980-A2B8-9B3E2122AEAF}"/>
    <cellStyle name="20% - Accent6 2 2 2 4 3" xfId="5788" xr:uid="{00000000-0005-0000-0000-000030030000}"/>
    <cellStyle name="20% - Accent6 2 2 2 4 3 2" xfId="14230" xr:uid="{50FA1128-BB57-4F81-8CA5-0C2796C42BBB}"/>
    <cellStyle name="20% - Accent6 2 2 2 4 4" xfId="10012" xr:uid="{09BF2AA4-077B-4EB6-BF4A-B47A14342B5D}"/>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2 2 2" xfId="16788" xr:uid="{48B4008C-C0E1-4A2B-BC16-7D4B98199082}"/>
    <cellStyle name="20% - Accent6 2 2 2 5 2 3" xfId="12570" xr:uid="{210567A7-7A11-40CD-AA03-C8E6DCBE1227}"/>
    <cellStyle name="20% - Accent6 2 2 2 5 3" xfId="6201" xr:uid="{00000000-0005-0000-0000-000034030000}"/>
    <cellStyle name="20% - Accent6 2 2 2 5 3 2" xfId="14643" xr:uid="{FA4BF52C-0A56-44F9-8A70-E6002931D887}"/>
    <cellStyle name="20% - Accent6 2 2 2 5 4" xfId="10425" xr:uid="{B94D2EC9-12C4-4A0D-BC2B-51CBD04D83D8}"/>
    <cellStyle name="20% - Accent6 2 2 2 6" xfId="2307" xr:uid="{00000000-0005-0000-0000-000035030000}"/>
    <cellStyle name="20% - Accent6 2 2 2 6 2" xfId="6614" xr:uid="{00000000-0005-0000-0000-000036030000}"/>
    <cellStyle name="20% - Accent6 2 2 2 6 2 2" xfId="15056" xr:uid="{6C9AB30F-763C-422A-BC15-1A5F10B0CAA2}"/>
    <cellStyle name="20% - Accent6 2 2 2 6 3" xfId="10838" xr:uid="{89893C20-0064-47B0-BF7F-6EFC9FB21264}"/>
    <cellStyle name="20% - Accent6 2 2 2 7" xfId="4548" xr:uid="{00000000-0005-0000-0000-000037030000}"/>
    <cellStyle name="20% - Accent6 2 2 2 7 2" xfId="12990" xr:uid="{4D9DF8B9-3E52-404D-9D48-48A81C264E15}"/>
    <cellStyle name="20% - Accent6 2 2 2 8" xfId="8772" xr:uid="{3B85555F-AB4F-47D7-84EC-BEE8A70C68E2}"/>
    <cellStyle name="20% - Accent6 2 2 3" xfId="612" xr:uid="{00000000-0005-0000-0000-000038030000}"/>
    <cellStyle name="20% - Accent6 2 2 3 2" xfId="2883" xr:uid="{00000000-0005-0000-0000-000039030000}"/>
    <cellStyle name="20% - Accent6 2 2 3 2 2" xfId="7106" xr:uid="{00000000-0005-0000-0000-00003A030000}"/>
    <cellStyle name="20% - Accent6 2 2 3 2 2 2" xfId="15548" xr:uid="{97E9B2F5-47FE-4DDA-84F5-CA2DF2EDB534}"/>
    <cellStyle name="20% - Accent6 2 2 3 2 3" xfId="11330" xr:uid="{7D83B315-08B9-4D39-965E-993265B969AE}"/>
    <cellStyle name="20% - Accent6 2 2 3 3" xfId="4961" xr:uid="{00000000-0005-0000-0000-00003B030000}"/>
    <cellStyle name="20% - Accent6 2 2 3 3 2" xfId="13403" xr:uid="{F937A342-EFEF-4273-94CE-0505921E7913}"/>
    <cellStyle name="20% - Accent6 2 2 3 4" xfId="9185" xr:uid="{7D963200-333C-429D-884C-DDA44F8EC9AD}"/>
    <cellStyle name="20% - Accent6 2 2 4" xfId="1065" xr:uid="{00000000-0005-0000-0000-00003C030000}"/>
    <cellStyle name="20% - Accent6 2 2 4 2" xfId="3296" xr:uid="{00000000-0005-0000-0000-00003D030000}"/>
    <cellStyle name="20% - Accent6 2 2 4 2 2" xfId="7519" xr:uid="{00000000-0005-0000-0000-00003E030000}"/>
    <cellStyle name="20% - Accent6 2 2 4 2 2 2" xfId="15961" xr:uid="{2BBAB3B5-8054-4DF8-932C-C500924D4161}"/>
    <cellStyle name="20% - Accent6 2 2 4 2 3" xfId="11743" xr:uid="{71F7D9B1-5A2D-48E2-92BB-78A54986626B}"/>
    <cellStyle name="20% - Accent6 2 2 4 3" xfId="5374" xr:uid="{00000000-0005-0000-0000-00003F030000}"/>
    <cellStyle name="20% - Accent6 2 2 4 3 2" xfId="13816" xr:uid="{33CF3BF7-CE7D-4B71-AE7E-2D25B97AC713}"/>
    <cellStyle name="20% - Accent6 2 2 4 4" xfId="9598" xr:uid="{23CF2FF9-84EC-4741-A765-1B244EDD8BA2}"/>
    <cellStyle name="20% - Accent6 2 2 5" xfId="1479" xr:uid="{00000000-0005-0000-0000-000040030000}"/>
    <cellStyle name="20% - Accent6 2 2 5 2" xfId="3709" xr:uid="{00000000-0005-0000-0000-000041030000}"/>
    <cellStyle name="20% - Accent6 2 2 5 2 2" xfId="7932" xr:uid="{00000000-0005-0000-0000-000042030000}"/>
    <cellStyle name="20% - Accent6 2 2 5 2 2 2" xfId="16374" xr:uid="{BC236688-B2EC-4D46-A741-FF0B708B6F71}"/>
    <cellStyle name="20% - Accent6 2 2 5 2 3" xfId="12156" xr:uid="{663591FD-0BBB-44EE-8A94-1F521B433E96}"/>
    <cellStyle name="20% - Accent6 2 2 5 3" xfId="5787" xr:uid="{00000000-0005-0000-0000-000043030000}"/>
    <cellStyle name="20% - Accent6 2 2 5 3 2" xfId="14229" xr:uid="{6A9D6E82-3CBB-4D82-971B-3F278F34C362}"/>
    <cellStyle name="20% - Accent6 2 2 5 4" xfId="10011" xr:uid="{BB8A3C16-0B6F-4850-B33B-018A39FC905A}"/>
    <cellStyle name="20% - Accent6 2 2 6" xfId="1893" xr:uid="{00000000-0005-0000-0000-000044030000}"/>
    <cellStyle name="20% - Accent6 2 2 6 2" xfId="4122" xr:uid="{00000000-0005-0000-0000-000045030000}"/>
    <cellStyle name="20% - Accent6 2 2 6 2 2" xfId="8345" xr:uid="{00000000-0005-0000-0000-000046030000}"/>
    <cellStyle name="20% - Accent6 2 2 6 2 2 2" xfId="16787" xr:uid="{622C1A18-50EA-41EA-A3E3-33E2CD3669AE}"/>
    <cellStyle name="20% - Accent6 2 2 6 2 3" xfId="12569" xr:uid="{BB92E818-FDA4-412C-A836-C13362F2F8BA}"/>
    <cellStyle name="20% - Accent6 2 2 6 3" xfId="6200" xr:uid="{00000000-0005-0000-0000-000047030000}"/>
    <cellStyle name="20% - Accent6 2 2 6 3 2" xfId="14642" xr:uid="{67D98CEA-86D4-43CF-913C-1E4173BF54B6}"/>
    <cellStyle name="20% - Accent6 2 2 6 4" xfId="10424" xr:uid="{DE627A60-08F7-473D-9981-12EBBDC2F069}"/>
    <cellStyle name="20% - Accent6 2 2 7" xfId="2306" xr:uid="{00000000-0005-0000-0000-000048030000}"/>
    <cellStyle name="20% - Accent6 2 2 7 2" xfId="6613" xr:uid="{00000000-0005-0000-0000-000049030000}"/>
    <cellStyle name="20% - Accent6 2 2 7 2 2" xfId="15055" xr:uid="{6805C23B-B0FB-4DE7-877B-6A77B08483AA}"/>
    <cellStyle name="20% - Accent6 2 2 7 3" xfId="10837" xr:uid="{C815352D-B830-4222-B48C-B4191101EA55}"/>
    <cellStyle name="20% - Accent6 2 2 8" xfId="4547" xr:uid="{00000000-0005-0000-0000-00004A030000}"/>
    <cellStyle name="20% - Accent6 2 2 8 2" xfId="12989" xr:uid="{73CE496D-8293-4E61-8DC0-200B26824BDE}"/>
    <cellStyle name="20% - Accent6 2 2 9" xfId="8771" xr:uid="{7649B2AB-B638-4086-9702-DFA0D0DCC6B9}"/>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2 2 2" xfId="15550" xr:uid="{BCD7F453-E67B-4380-A24B-D3465F1941F9}"/>
    <cellStyle name="20% - Accent6 2 3 2 2 3" xfId="11332" xr:uid="{E17DA0F4-727E-42A9-9939-E0C0796EDA67}"/>
    <cellStyle name="20% - Accent6 2 3 2 3" xfId="4963" xr:uid="{00000000-0005-0000-0000-00004F030000}"/>
    <cellStyle name="20% - Accent6 2 3 2 3 2" xfId="13405" xr:uid="{EAFAAE48-CF96-4120-ABBC-BC445797AB41}"/>
    <cellStyle name="20% - Accent6 2 3 2 4" xfId="9187" xr:uid="{28BC2E9E-88E5-46D0-9852-0E8EA4CF006C}"/>
    <cellStyle name="20% - Accent6 2 3 3" xfId="1067" xr:uid="{00000000-0005-0000-0000-000050030000}"/>
    <cellStyle name="20% - Accent6 2 3 3 2" xfId="3298" xr:uid="{00000000-0005-0000-0000-000051030000}"/>
    <cellStyle name="20% - Accent6 2 3 3 2 2" xfId="7521" xr:uid="{00000000-0005-0000-0000-000052030000}"/>
    <cellStyle name="20% - Accent6 2 3 3 2 2 2" xfId="15963" xr:uid="{DC44CD97-B4CD-4736-A51F-BB3A10F7ED7F}"/>
    <cellStyle name="20% - Accent6 2 3 3 2 3" xfId="11745" xr:uid="{A88FE404-4A7D-4019-A7E4-3F59FB5A0DC7}"/>
    <cellStyle name="20% - Accent6 2 3 3 3" xfId="5376" xr:uid="{00000000-0005-0000-0000-000053030000}"/>
    <cellStyle name="20% - Accent6 2 3 3 3 2" xfId="13818" xr:uid="{93CF14C2-45FC-474E-B8B5-CF07E3104C99}"/>
    <cellStyle name="20% - Accent6 2 3 3 4" xfId="9600" xr:uid="{0881C7CB-49A3-4829-B8C1-06486AFF9784}"/>
    <cellStyle name="20% - Accent6 2 3 4" xfId="1481" xr:uid="{00000000-0005-0000-0000-000054030000}"/>
    <cellStyle name="20% - Accent6 2 3 4 2" xfId="3711" xr:uid="{00000000-0005-0000-0000-000055030000}"/>
    <cellStyle name="20% - Accent6 2 3 4 2 2" xfId="7934" xr:uid="{00000000-0005-0000-0000-000056030000}"/>
    <cellStyle name="20% - Accent6 2 3 4 2 2 2" xfId="16376" xr:uid="{29B85326-9323-4DE2-B55F-938FA46A9555}"/>
    <cellStyle name="20% - Accent6 2 3 4 2 3" xfId="12158" xr:uid="{ACE38F9D-FB8A-4CAA-B2B6-1000428A076C}"/>
    <cellStyle name="20% - Accent6 2 3 4 3" xfId="5789" xr:uid="{00000000-0005-0000-0000-000057030000}"/>
    <cellStyle name="20% - Accent6 2 3 4 3 2" xfId="14231" xr:uid="{BF2E4945-8751-413D-8EFC-20181F5F4948}"/>
    <cellStyle name="20% - Accent6 2 3 4 4" xfId="10013" xr:uid="{1CCFEEF2-EA2D-441A-83D2-E7CB076DD7AF}"/>
    <cellStyle name="20% - Accent6 2 3 5" xfId="1895" xr:uid="{00000000-0005-0000-0000-000058030000}"/>
    <cellStyle name="20% - Accent6 2 3 5 2" xfId="4124" xr:uid="{00000000-0005-0000-0000-000059030000}"/>
    <cellStyle name="20% - Accent6 2 3 5 2 2" xfId="8347" xr:uid="{00000000-0005-0000-0000-00005A030000}"/>
    <cellStyle name="20% - Accent6 2 3 5 2 2 2" xfId="16789" xr:uid="{357CCB7D-C3B6-45FB-80AD-7CEDCB8F61EE}"/>
    <cellStyle name="20% - Accent6 2 3 5 2 3" xfId="12571" xr:uid="{FDD14279-5DBA-48EE-8305-ABD333F15D5A}"/>
    <cellStyle name="20% - Accent6 2 3 5 3" xfId="6202" xr:uid="{00000000-0005-0000-0000-00005B030000}"/>
    <cellStyle name="20% - Accent6 2 3 5 3 2" xfId="14644" xr:uid="{A0AAB993-1226-4318-B3F0-AB8DD3BAEA9F}"/>
    <cellStyle name="20% - Accent6 2 3 5 4" xfId="10426" xr:uid="{561D8160-9848-44E2-85D2-E61DA1A5B538}"/>
    <cellStyle name="20% - Accent6 2 3 6" xfId="2308" xr:uid="{00000000-0005-0000-0000-00005C030000}"/>
    <cellStyle name="20% - Accent6 2 3 6 2" xfId="6615" xr:uid="{00000000-0005-0000-0000-00005D030000}"/>
    <cellStyle name="20% - Accent6 2 3 6 2 2" xfId="15057" xr:uid="{2975E290-31F7-4550-8E98-6C1EB32F82B6}"/>
    <cellStyle name="20% - Accent6 2 3 6 3" xfId="10839" xr:uid="{903831C0-B55B-4625-80EC-FF58E7E7FDF0}"/>
    <cellStyle name="20% - Accent6 2 3 7" xfId="4549" xr:uid="{00000000-0005-0000-0000-00005E030000}"/>
    <cellStyle name="20% - Accent6 2 3 7 2" xfId="12991" xr:uid="{82AF59BC-4515-46C3-A872-399F04D01FC8}"/>
    <cellStyle name="20% - Accent6 2 3 8" xfId="8773" xr:uid="{352B324D-7572-40AD-B7BD-AF51EE2D274C}"/>
    <cellStyle name="20% - Accent6 2 4" xfId="611" xr:uid="{00000000-0005-0000-0000-00005F030000}"/>
    <cellStyle name="20% - Accent6 2 4 2" xfId="2882" xr:uid="{00000000-0005-0000-0000-000060030000}"/>
    <cellStyle name="20% - Accent6 2 4 2 2" xfId="7105" xr:uid="{00000000-0005-0000-0000-000061030000}"/>
    <cellStyle name="20% - Accent6 2 4 2 2 2" xfId="15547" xr:uid="{D68649C6-E029-412B-B760-4CAAE0115E7D}"/>
    <cellStyle name="20% - Accent6 2 4 2 3" xfId="11329" xr:uid="{2D26D949-FD86-433E-B7AB-AD9080EEC8A9}"/>
    <cellStyle name="20% - Accent6 2 4 3" xfId="4960" xr:uid="{00000000-0005-0000-0000-000062030000}"/>
    <cellStyle name="20% - Accent6 2 4 3 2" xfId="13402" xr:uid="{AEE4FC6C-35C4-42B8-BADB-D6A68C018317}"/>
    <cellStyle name="20% - Accent6 2 4 4" xfId="9184" xr:uid="{FF48DABC-14D5-4628-982D-AEA880369547}"/>
    <cellStyle name="20% - Accent6 2 5" xfId="1064" xr:uid="{00000000-0005-0000-0000-000063030000}"/>
    <cellStyle name="20% - Accent6 2 5 2" xfId="3295" xr:uid="{00000000-0005-0000-0000-000064030000}"/>
    <cellStyle name="20% - Accent6 2 5 2 2" xfId="7518" xr:uid="{00000000-0005-0000-0000-000065030000}"/>
    <cellStyle name="20% - Accent6 2 5 2 2 2" xfId="15960" xr:uid="{C7B03AFD-C1C2-4E2C-894F-FC6A39949CAB}"/>
    <cellStyle name="20% - Accent6 2 5 2 3" xfId="11742" xr:uid="{3B0BE6FE-5B54-4E0A-AB06-780F7617FA23}"/>
    <cellStyle name="20% - Accent6 2 5 3" xfId="5373" xr:uid="{00000000-0005-0000-0000-000066030000}"/>
    <cellStyle name="20% - Accent6 2 5 3 2" xfId="13815" xr:uid="{0462DB85-B079-4BB1-9594-D1479B8430A3}"/>
    <cellStyle name="20% - Accent6 2 5 4" xfId="9597" xr:uid="{FD04DE63-4D59-4C45-B260-C656731265C6}"/>
    <cellStyle name="20% - Accent6 2 6" xfId="1478" xr:uid="{00000000-0005-0000-0000-000067030000}"/>
    <cellStyle name="20% - Accent6 2 6 2" xfId="3708" xr:uid="{00000000-0005-0000-0000-000068030000}"/>
    <cellStyle name="20% - Accent6 2 6 2 2" xfId="7931" xr:uid="{00000000-0005-0000-0000-000069030000}"/>
    <cellStyle name="20% - Accent6 2 6 2 2 2" xfId="16373" xr:uid="{193D9C10-84F9-406D-82E1-AB6536DF2509}"/>
    <cellStyle name="20% - Accent6 2 6 2 3" xfId="12155" xr:uid="{0A15B39B-0B78-4E5F-9B1C-82AF6AB25D70}"/>
    <cellStyle name="20% - Accent6 2 6 3" xfId="5786" xr:uid="{00000000-0005-0000-0000-00006A030000}"/>
    <cellStyle name="20% - Accent6 2 6 3 2" xfId="14228" xr:uid="{3A2DBC1E-F0D6-499C-9776-3C093C7BE373}"/>
    <cellStyle name="20% - Accent6 2 6 4" xfId="10010" xr:uid="{C8144808-36F5-467C-A6BA-9CD3CAF865EF}"/>
    <cellStyle name="20% - Accent6 2 7" xfId="1892" xr:uid="{00000000-0005-0000-0000-00006B030000}"/>
    <cellStyle name="20% - Accent6 2 7 2" xfId="4121" xr:uid="{00000000-0005-0000-0000-00006C030000}"/>
    <cellStyle name="20% - Accent6 2 7 2 2" xfId="8344" xr:uid="{00000000-0005-0000-0000-00006D030000}"/>
    <cellStyle name="20% - Accent6 2 7 2 2 2" xfId="16786" xr:uid="{60C4E671-1F6A-45CC-A0AC-E8CF198F1F9B}"/>
    <cellStyle name="20% - Accent6 2 7 2 3" xfId="12568" xr:uid="{BA44FFED-01E5-4610-A2D8-C9C03C1EEC2B}"/>
    <cellStyle name="20% - Accent6 2 7 3" xfId="6199" xr:uid="{00000000-0005-0000-0000-00006E030000}"/>
    <cellStyle name="20% - Accent6 2 7 3 2" xfId="14641" xr:uid="{C4DA8730-9D31-4A6F-80B3-A22C4CAAC4B4}"/>
    <cellStyle name="20% - Accent6 2 7 4" xfId="10423" xr:uid="{A781B808-99ED-41FD-9F11-EE36B04A78E7}"/>
    <cellStyle name="20% - Accent6 2 8" xfId="2305" xr:uid="{00000000-0005-0000-0000-00006F030000}"/>
    <cellStyle name="20% - Accent6 2 8 2" xfId="6612" xr:uid="{00000000-0005-0000-0000-000070030000}"/>
    <cellStyle name="20% - Accent6 2 8 2 2" xfId="15054" xr:uid="{CAC955B0-3AD3-461C-B92A-172BD041F213}"/>
    <cellStyle name="20% - Accent6 2 8 3" xfId="10836" xr:uid="{02B70A2E-2317-48A9-96AE-8D1B0A84E109}"/>
    <cellStyle name="20% - Accent6 2 9" xfId="4546" xr:uid="{00000000-0005-0000-0000-000071030000}"/>
    <cellStyle name="20% - Accent6 2 9 2" xfId="12988" xr:uid="{CB273FA7-3CB3-467E-9397-A45B708AD9EB}"/>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2 2 2" xfId="15552" xr:uid="{147C9DA7-0B45-452E-BEA0-D215CA13544A}"/>
    <cellStyle name="20% - Accent6 3 2 2 2 3" xfId="11334" xr:uid="{77FFCC76-33B0-41D2-B058-72765B3F0777}"/>
    <cellStyle name="20% - Accent6 3 2 2 3" xfId="4965" xr:uid="{00000000-0005-0000-0000-000077030000}"/>
    <cellStyle name="20% - Accent6 3 2 2 3 2" xfId="13407" xr:uid="{EDBBC617-5B83-43B5-AF1D-528A23B2B5DC}"/>
    <cellStyle name="20% - Accent6 3 2 2 4" xfId="9189" xr:uid="{2FADBB04-1A17-4BAF-B284-6BF11FE49BE8}"/>
    <cellStyle name="20% - Accent6 3 2 3" xfId="1069" xr:uid="{00000000-0005-0000-0000-000078030000}"/>
    <cellStyle name="20% - Accent6 3 2 3 2" xfId="3300" xr:uid="{00000000-0005-0000-0000-000079030000}"/>
    <cellStyle name="20% - Accent6 3 2 3 2 2" xfId="7523" xr:uid="{00000000-0005-0000-0000-00007A030000}"/>
    <cellStyle name="20% - Accent6 3 2 3 2 2 2" xfId="15965" xr:uid="{22212FDD-ACB9-40A2-A6A7-0E8958692B08}"/>
    <cellStyle name="20% - Accent6 3 2 3 2 3" xfId="11747" xr:uid="{55660881-F05B-4219-8948-95F5347B8D59}"/>
    <cellStyle name="20% - Accent6 3 2 3 3" xfId="5378" xr:uid="{00000000-0005-0000-0000-00007B030000}"/>
    <cellStyle name="20% - Accent6 3 2 3 3 2" xfId="13820" xr:uid="{34620387-15ED-40E6-9305-EFA32518F608}"/>
    <cellStyle name="20% - Accent6 3 2 3 4" xfId="9602" xr:uid="{C0A9BEDB-E02B-4DB7-8FD9-AB56AB00AA31}"/>
    <cellStyle name="20% - Accent6 3 2 4" xfId="1483" xr:uid="{00000000-0005-0000-0000-00007C030000}"/>
    <cellStyle name="20% - Accent6 3 2 4 2" xfId="3713" xr:uid="{00000000-0005-0000-0000-00007D030000}"/>
    <cellStyle name="20% - Accent6 3 2 4 2 2" xfId="7936" xr:uid="{00000000-0005-0000-0000-00007E030000}"/>
    <cellStyle name="20% - Accent6 3 2 4 2 2 2" xfId="16378" xr:uid="{BE39C988-F57A-499B-84BE-8002A77466F7}"/>
    <cellStyle name="20% - Accent6 3 2 4 2 3" xfId="12160" xr:uid="{D47E2349-977F-4010-AA77-F0D7133FC453}"/>
    <cellStyle name="20% - Accent6 3 2 4 3" xfId="5791" xr:uid="{00000000-0005-0000-0000-00007F030000}"/>
    <cellStyle name="20% - Accent6 3 2 4 3 2" xfId="14233" xr:uid="{3EEF3517-3E42-42F8-8A03-7A84AF90E4F4}"/>
    <cellStyle name="20% - Accent6 3 2 4 4" xfId="10015" xr:uid="{990D341D-C3E4-4616-9EA0-8366445E9897}"/>
    <cellStyle name="20% - Accent6 3 2 5" xfId="1897" xr:uid="{00000000-0005-0000-0000-000080030000}"/>
    <cellStyle name="20% - Accent6 3 2 5 2" xfId="4126" xr:uid="{00000000-0005-0000-0000-000081030000}"/>
    <cellStyle name="20% - Accent6 3 2 5 2 2" xfId="8349" xr:uid="{00000000-0005-0000-0000-000082030000}"/>
    <cellStyle name="20% - Accent6 3 2 5 2 2 2" xfId="16791" xr:uid="{7AEF5AF9-23A2-4AF1-867C-CA83C00083C2}"/>
    <cellStyle name="20% - Accent6 3 2 5 2 3" xfId="12573" xr:uid="{A98B1010-1547-4744-8BFD-A2FC3325826D}"/>
    <cellStyle name="20% - Accent6 3 2 5 3" xfId="6204" xr:uid="{00000000-0005-0000-0000-000083030000}"/>
    <cellStyle name="20% - Accent6 3 2 5 3 2" xfId="14646" xr:uid="{0A54CBB4-1F70-4732-A55B-19015EB79BD1}"/>
    <cellStyle name="20% - Accent6 3 2 5 4" xfId="10428" xr:uid="{E267FD3D-ACAA-4A69-B658-77B9C6271991}"/>
    <cellStyle name="20% - Accent6 3 2 6" xfId="2310" xr:uid="{00000000-0005-0000-0000-000084030000}"/>
    <cellStyle name="20% - Accent6 3 2 6 2" xfId="6617" xr:uid="{00000000-0005-0000-0000-000085030000}"/>
    <cellStyle name="20% - Accent6 3 2 6 2 2" xfId="15059" xr:uid="{EE48BC6B-4AD0-46C4-9BE2-5D7EBA650449}"/>
    <cellStyle name="20% - Accent6 3 2 6 3" xfId="10841" xr:uid="{29C3D0E7-BC07-4EB9-9618-65B25901D3B9}"/>
    <cellStyle name="20% - Accent6 3 2 7" xfId="4551" xr:uid="{00000000-0005-0000-0000-000086030000}"/>
    <cellStyle name="20% - Accent6 3 2 7 2" xfId="12993" xr:uid="{308F5AC6-8B96-4D10-91D6-281383EA2801}"/>
    <cellStyle name="20% - Accent6 3 2 8" xfId="8775" xr:uid="{3D296790-5C00-4909-A5A0-BE7555436B11}"/>
    <cellStyle name="20% - Accent6 3 3" xfId="615" xr:uid="{00000000-0005-0000-0000-000087030000}"/>
    <cellStyle name="20% - Accent6 3 3 2" xfId="2886" xr:uid="{00000000-0005-0000-0000-000088030000}"/>
    <cellStyle name="20% - Accent6 3 3 2 2" xfId="7109" xr:uid="{00000000-0005-0000-0000-000089030000}"/>
    <cellStyle name="20% - Accent6 3 3 2 2 2" xfId="15551" xr:uid="{DE4D7224-5A95-4BE8-BC52-359ED01645DA}"/>
    <cellStyle name="20% - Accent6 3 3 2 3" xfId="11333" xr:uid="{1BFC76D7-746E-4670-BE8A-1F9FDC035C50}"/>
    <cellStyle name="20% - Accent6 3 3 3" xfId="4964" xr:uid="{00000000-0005-0000-0000-00008A030000}"/>
    <cellStyle name="20% - Accent6 3 3 3 2" xfId="13406" xr:uid="{5B60A8C7-6B79-4476-B2F3-235CEEA89579}"/>
    <cellStyle name="20% - Accent6 3 3 4" xfId="9188" xr:uid="{C644C97E-FA68-43E9-A663-C191CC4DF5E0}"/>
    <cellStyle name="20% - Accent6 3 4" xfId="1068" xr:uid="{00000000-0005-0000-0000-00008B030000}"/>
    <cellStyle name="20% - Accent6 3 4 2" xfId="3299" xr:uid="{00000000-0005-0000-0000-00008C030000}"/>
    <cellStyle name="20% - Accent6 3 4 2 2" xfId="7522" xr:uid="{00000000-0005-0000-0000-00008D030000}"/>
    <cellStyle name="20% - Accent6 3 4 2 2 2" xfId="15964" xr:uid="{02BBA0AD-3CDA-47D9-80C7-DB963C1E1CD2}"/>
    <cellStyle name="20% - Accent6 3 4 2 3" xfId="11746" xr:uid="{91253294-7237-43B4-921A-E6B9F08218C8}"/>
    <cellStyle name="20% - Accent6 3 4 3" xfId="5377" xr:uid="{00000000-0005-0000-0000-00008E030000}"/>
    <cellStyle name="20% - Accent6 3 4 3 2" xfId="13819" xr:uid="{5B54EE7F-C46E-4676-844E-A6A393538D45}"/>
    <cellStyle name="20% - Accent6 3 4 4" xfId="9601" xr:uid="{4D31A671-B143-476F-84F5-669144E4BCE7}"/>
    <cellStyle name="20% - Accent6 3 5" xfId="1482" xr:uid="{00000000-0005-0000-0000-00008F030000}"/>
    <cellStyle name="20% - Accent6 3 5 2" xfId="3712" xr:uid="{00000000-0005-0000-0000-000090030000}"/>
    <cellStyle name="20% - Accent6 3 5 2 2" xfId="7935" xr:uid="{00000000-0005-0000-0000-000091030000}"/>
    <cellStyle name="20% - Accent6 3 5 2 2 2" xfId="16377" xr:uid="{4B5F3BED-57D4-4BAF-9291-BB2007600C81}"/>
    <cellStyle name="20% - Accent6 3 5 2 3" xfId="12159" xr:uid="{C685279E-D966-42FF-A997-C424B63E5510}"/>
    <cellStyle name="20% - Accent6 3 5 3" xfId="5790" xr:uid="{00000000-0005-0000-0000-000092030000}"/>
    <cellStyle name="20% - Accent6 3 5 3 2" xfId="14232" xr:uid="{0D293FFD-2211-4960-ADD8-8E1477D1B4D8}"/>
    <cellStyle name="20% - Accent6 3 5 4" xfId="10014" xr:uid="{C4D7EF51-0EDF-457A-B4F1-6580B219326C}"/>
    <cellStyle name="20% - Accent6 3 6" xfId="1896" xr:uid="{00000000-0005-0000-0000-000093030000}"/>
    <cellStyle name="20% - Accent6 3 6 2" xfId="4125" xr:uid="{00000000-0005-0000-0000-000094030000}"/>
    <cellStyle name="20% - Accent6 3 6 2 2" xfId="8348" xr:uid="{00000000-0005-0000-0000-000095030000}"/>
    <cellStyle name="20% - Accent6 3 6 2 2 2" xfId="16790" xr:uid="{1A6AA29C-89B8-4979-803A-DB4519A65919}"/>
    <cellStyle name="20% - Accent6 3 6 2 3" xfId="12572" xr:uid="{2DF38F64-5D1C-4498-8D1C-13BF6650D5D9}"/>
    <cellStyle name="20% - Accent6 3 6 3" xfId="6203" xr:uid="{00000000-0005-0000-0000-000096030000}"/>
    <cellStyle name="20% - Accent6 3 6 3 2" xfId="14645" xr:uid="{EEE643BA-3C62-4C9D-BEC0-1434E9D13088}"/>
    <cellStyle name="20% - Accent6 3 6 4" xfId="10427" xr:uid="{FEE7E4A9-39DB-4D23-97BC-53F664114450}"/>
    <cellStyle name="20% - Accent6 3 7" xfId="2309" xr:uid="{00000000-0005-0000-0000-000097030000}"/>
    <cellStyle name="20% - Accent6 3 7 2" xfId="6616" xr:uid="{00000000-0005-0000-0000-000098030000}"/>
    <cellStyle name="20% - Accent6 3 7 2 2" xfId="15058" xr:uid="{851B5F3A-CE5C-4D38-928C-D252C4898046}"/>
    <cellStyle name="20% - Accent6 3 7 3" xfId="10840" xr:uid="{2CB008D0-6326-43A3-8710-810390BEDD07}"/>
    <cellStyle name="20% - Accent6 3 8" xfId="4550" xr:uid="{00000000-0005-0000-0000-000099030000}"/>
    <cellStyle name="20% - Accent6 3 8 2" xfId="12992" xr:uid="{46D39E65-1342-4894-BD7B-F572FEF433B8}"/>
    <cellStyle name="20% - Accent6 3 9" xfId="8774" xr:uid="{502A79ED-7B60-4957-8C0E-3AB4677C90BF}"/>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2 2 2" xfId="15553" xr:uid="{08F6E38E-E916-47FA-A6A0-7C2DB17490D7}"/>
    <cellStyle name="20% - Accent6 4 2 2 3" xfId="11335" xr:uid="{35F0D03A-0455-4321-BD78-C56434ABEE0F}"/>
    <cellStyle name="20% - Accent6 4 2 3" xfId="4966" xr:uid="{00000000-0005-0000-0000-00009E030000}"/>
    <cellStyle name="20% - Accent6 4 2 3 2" xfId="13408" xr:uid="{C51BC872-BE7B-4A15-956D-97326E0AB4B2}"/>
    <cellStyle name="20% - Accent6 4 2 4" xfId="9190" xr:uid="{10B1DCBA-EF4A-4DC2-889F-F1F5F6082779}"/>
    <cellStyle name="20% - Accent6 4 3" xfId="1070" xr:uid="{00000000-0005-0000-0000-00009F030000}"/>
    <cellStyle name="20% - Accent6 4 3 2" xfId="3301" xr:uid="{00000000-0005-0000-0000-0000A0030000}"/>
    <cellStyle name="20% - Accent6 4 3 2 2" xfId="7524" xr:uid="{00000000-0005-0000-0000-0000A1030000}"/>
    <cellStyle name="20% - Accent6 4 3 2 2 2" xfId="15966" xr:uid="{7E0604AE-EC33-4B5C-9070-0289CD465AB3}"/>
    <cellStyle name="20% - Accent6 4 3 2 3" xfId="11748" xr:uid="{0C8D0F3D-FBD9-46D7-946D-A96C2D068B3B}"/>
    <cellStyle name="20% - Accent6 4 3 3" xfId="5379" xr:uid="{00000000-0005-0000-0000-0000A2030000}"/>
    <cellStyle name="20% - Accent6 4 3 3 2" xfId="13821" xr:uid="{9B20F2F7-9446-4B76-A7E1-D463F5777AEA}"/>
    <cellStyle name="20% - Accent6 4 3 4" xfId="9603" xr:uid="{3B39830C-BCEB-49A3-9D44-AEC4014B7245}"/>
    <cellStyle name="20% - Accent6 4 4" xfId="1484" xr:uid="{00000000-0005-0000-0000-0000A3030000}"/>
    <cellStyle name="20% - Accent6 4 4 2" xfId="3714" xr:uid="{00000000-0005-0000-0000-0000A4030000}"/>
    <cellStyle name="20% - Accent6 4 4 2 2" xfId="7937" xr:uid="{00000000-0005-0000-0000-0000A5030000}"/>
    <cellStyle name="20% - Accent6 4 4 2 2 2" xfId="16379" xr:uid="{9AFAEA0C-4CB2-49C0-886F-6EF36485A9B6}"/>
    <cellStyle name="20% - Accent6 4 4 2 3" xfId="12161" xr:uid="{263E845B-DDA1-4359-9C19-5918A4D80072}"/>
    <cellStyle name="20% - Accent6 4 4 3" xfId="5792" xr:uid="{00000000-0005-0000-0000-0000A6030000}"/>
    <cellStyle name="20% - Accent6 4 4 3 2" xfId="14234" xr:uid="{E25FEDC9-249B-4A9E-8F93-AA4C86E95EB1}"/>
    <cellStyle name="20% - Accent6 4 4 4" xfId="10016" xr:uid="{57546A3B-C1E2-487B-A9A2-C396511A92BB}"/>
    <cellStyle name="20% - Accent6 4 5" xfId="1898" xr:uid="{00000000-0005-0000-0000-0000A7030000}"/>
    <cellStyle name="20% - Accent6 4 5 2" xfId="4127" xr:uid="{00000000-0005-0000-0000-0000A8030000}"/>
    <cellStyle name="20% - Accent6 4 5 2 2" xfId="8350" xr:uid="{00000000-0005-0000-0000-0000A9030000}"/>
    <cellStyle name="20% - Accent6 4 5 2 2 2" xfId="16792" xr:uid="{61122632-A795-427A-978C-17742202ADFF}"/>
    <cellStyle name="20% - Accent6 4 5 2 3" xfId="12574" xr:uid="{D156333B-2379-4646-AC44-535589D66C1F}"/>
    <cellStyle name="20% - Accent6 4 5 3" xfId="6205" xr:uid="{00000000-0005-0000-0000-0000AA030000}"/>
    <cellStyle name="20% - Accent6 4 5 3 2" xfId="14647" xr:uid="{2587F7FF-A6F7-45D3-AF7A-09A255B5E34F}"/>
    <cellStyle name="20% - Accent6 4 5 4" xfId="10429" xr:uid="{6A63C98C-BD89-4CA8-A31C-B2AA6BC59530}"/>
    <cellStyle name="20% - Accent6 4 6" xfId="2311" xr:uid="{00000000-0005-0000-0000-0000AB030000}"/>
    <cellStyle name="20% - Accent6 4 6 2" xfId="6618" xr:uid="{00000000-0005-0000-0000-0000AC030000}"/>
    <cellStyle name="20% - Accent6 4 6 2 2" xfId="15060" xr:uid="{745A8351-99B7-4A5D-B623-8459DDE6D609}"/>
    <cellStyle name="20% - Accent6 4 6 3" xfId="10842" xr:uid="{290EFBD3-3416-4C2D-A35A-CA79A14B7C80}"/>
    <cellStyle name="20% - Accent6 4 7" xfId="4552" xr:uid="{00000000-0005-0000-0000-0000AD030000}"/>
    <cellStyle name="20% - Accent6 4 7 2" xfId="12994" xr:uid="{D2B4F809-3CD1-42F8-A55A-CDAD625EBA49}"/>
    <cellStyle name="20% - Accent6 4 8" xfId="8776" xr:uid="{C9B523C5-0B54-488D-98DC-A2A95040ADC0}"/>
    <cellStyle name="20% - Accent6 5" xfId="610" xr:uid="{00000000-0005-0000-0000-0000AE030000}"/>
    <cellStyle name="20% - Accent6 5 2" xfId="2881" xr:uid="{00000000-0005-0000-0000-0000AF030000}"/>
    <cellStyle name="20% - Accent6 5 2 2" xfId="7104" xr:uid="{00000000-0005-0000-0000-0000B0030000}"/>
    <cellStyle name="20% - Accent6 5 2 2 2" xfId="15546" xr:uid="{083FAB96-5A18-4B3A-9F85-14DAE05F8AEA}"/>
    <cellStyle name="20% - Accent6 5 2 3" xfId="11328" xr:uid="{A281B1F8-B346-4108-B70B-FDFA3D2264EA}"/>
    <cellStyle name="20% - Accent6 5 3" xfId="4959" xr:uid="{00000000-0005-0000-0000-0000B1030000}"/>
    <cellStyle name="20% - Accent6 5 3 2" xfId="13401" xr:uid="{85A4C892-F80D-41E3-83F6-E68FACD92988}"/>
    <cellStyle name="20% - Accent6 5 4" xfId="9183" xr:uid="{3B51F541-3D74-4D17-8CE5-2B46FA589D14}"/>
    <cellStyle name="20% - Accent6 6" xfId="1063" xr:uid="{00000000-0005-0000-0000-0000B2030000}"/>
    <cellStyle name="20% - Accent6 6 2" xfId="3294" xr:uid="{00000000-0005-0000-0000-0000B3030000}"/>
    <cellStyle name="20% - Accent6 6 2 2" xfId="7517" xr:uid="{00000000-0005-0000-0000-0000B4030000}"/>
    <cellStyle name="20% - Accent6 6 2 2 2" xfId="15959" xr:uid="{B993457E-84F1-473B-9D9B-2733A0CA2DEE}"/>
    <cellStyle name="20% - Accent6 6 2 3" xfId="11741" xr:uid="{CA46E924-8D0B-49B3-86BB-F878090A8281}"/>
    <cellStyle name="20% - Accent6 6 3" xfId="5372" xr:uid="{00000000-0005-0000-0000-0000B5030000}"/>
    <cellStyle name="20% - Accent6 6 3 2" xfId="13814" xr:uid="{59C86FBB-7E53-43F8-9D9A-A389D0A66B83}"/>
    <cellStyle name="20% - Accent6 6 4" xfId="9596" xr:uid="{1A33A267-359C-4AE3-8B9E-F92C43CD53D6}"/>
    <cellStyle name="20% - Accent6 7" xfId="1477" xr:uid="{00000000-0005-0000-0000-0000B6030000}"/>
    <cellStyle name="20% - Accent6 7 2" xfId="3707" xr:uid="{00000000-0005-0000-0000-0000B7030000}"/>
    <cellStyle name="20% - Accent6 7 2 2" xfId="7930" xr:uid="{00000000-0005-0000-0000-0000B8030000}"/>
    <cellStyle name="20% - Accent6 7 2 2 2" xfId="16372" xr:uid="{87652486-1E77-4C8E-9211-A93D4B01DE69}"/>
    <cellStyle name="20% - Accent6 7 2 3" xfId="12154" xr:uid="{4B428E53-CEC7-48C3-91DB-1F3D14AD68AD}"/>
    <cellStyle name="20% - Accent6 7 3" xfId="5785" xr:uid="{00000000-0005-0000-0000-0000B9030000}"/>
    <cellStyle name="20% - Accent6 7 3 2" xfId="14227" xr:uid="{0FCBE2E0-8B02-4A9A-99B3-14764B5ADF90}"/>
    <cellStyle name="20% - Accent6 7 4" xfId="10009" xr:uid="{8031468A-20D3-421A-9509-860A27388302}"/>
    <cellStyle name="20% - Accent6 8" xfId="1891" xr:uid="{00000000-0005-0000-0000-0000BA030000}"/>
    <cellStyle name="20% - Accent6 8 2" xfId="4120" xr:uid="{00000000-0005-0000-0000-0000BB030000}"/>
    <cellStyle name="20% - Accent6 8 2 2" xfId="8343" xr:uid="{00000000-0005-0000-0000-0000BC030000}"/>
    <cellStyle name="20% - Accent6 8 2 2 2" xfId="16785" xr:uid="{CA07B2E7-1597-474B-8183-4A85E9CBF504}"/>
    <cellStyle name="20% - Accent6 8 2 3" xfId="12567" xr:uid="{46F8832B-F644-4322-9E0E-EF766F611BAA}"/>
    <cellStyle name="20% - Accent6 8 3" xfId="6198" xr:uid="{00000000-0005-0000-0000-0000BD030000}"/>
    <cellStyle name="20% - Accent6 8 3 2" xfId="14640" xr:uid="{9B35B648-2059-4BBC-A181-CD59A5A4BE7C}"/>
    <cellStyle name="20% - Accent6 8 4" xfId="10422" xr:uid="{8DCE30E0-05EB-47AE-88A3-341BA5FF3B57}"/>
    <cellStyle name="20% - Accent6 9" xfId="2304" xr:uid="{00000000-0005-0000-0000-0000BE030000}"/>
    <cellStyle name="20% - Accent6 9 2" xfId="6611" xr:uid="{00000000-0005-0000-0000-0000BF030000}"/>
    <cellStyle name="20% - Accent6 9 2 2" xfId="15053" xr:uid="{7448791D-9B85-408D-80D5-F40A4F1B40DE}"/>
    <cellStyle name="20% - Accent6 9 3" xfId="10835" xr:uid="{6101F97A-B1E4-4DCA-B41E-6CC82E13475F}"/>
    <cellStyle name="40% - Accent1" xfId="49" builtinId="31" customBuiltin="1"/>
    <cellStyle name="40% - Accent1 10" xfId="4553" xr:uid="{00000000-0005-0000-0000-0000C1030000}"/>
    <cellStyle name="40% - Accent1 10 2" xfId="12995" xr:uid="{8BDEA92C-CCCF-4F9D-979B-51BD43FC7CD0}"/>
    <cellStyle name="40% - Accent1 11" xfId="8777" xr:uid="{050E8ED7-B5AC-48A6-B932-7D36F34DDDBB}"/>
    <cellStyle name="40% - Accent1 2" xfId="50" xr:uid="{00000000-0005-0000-0000-0000C2030000}"/>
    <cellStyle name="40% - Accent1 2 10" xfId="8778" xr:uid="{BDAC01E2-9B8D-41E1-984C-878303E69F13}"/>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2 2 2" xfId="15557" xr:uid="{27E36337-BE8F-4208-8D5C-FAF0085ECDF0}"/>
    <cellStyle name="40% - Accent1 2 2 2 2 2 3" xfId="11339" xr:uid="{364BD33E-5F70-4FBE-93CD-9E1142D64FF4}"/>
    <cellStyle name="40% - Accent1 2 2 2 2 3" xfId="4970" xr:uid="{00000000-0005-0000-0000-0000C8030000}"/>
    <cellStyle name="40% - Accent1 2 2 2 2 3 2" xfId="13412" xr:uid="{FDCC1786-E3DD-4D00-BCD0-FE391A42E037}"/>
    <cellStyle name="40% - Accent1 2 2 2 2 4" xfId="9194" xr:uid="{97F26562-969C-43AF-8B71-311838DA243D}"/>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2 2 2" xfId="15970" xr:uid="{B6F5CD06-C869-4514-87F1-A99CC9CDC2E1}"/>
    <cellStyle name="40% - Accent1 2 2 2 3 2 3" xfId="11752" xr:uid="{8EDFE805-357F-4514-B88F-BB2CE5451269}"/>
    <cellStyle name="40% - Accent1 2 2 2 3 3" xfId="5383" xr:uid="{00000000-0005-0000-0000-0000CC030000}"/>
    <cellStyle name="40% - Accent1 2 2 2 3 3 2" xfId="13825" xr:uid="{1C361C85-99BA-48FA-B77F-CDBC60C22888}"/>
    <cellStyle name="40% - Accent1 2 2 2 3 4" xfId="9607" xr:uid="{6FAD4A8E-B1B8-4B2A-8663-A795A3CEC881}"/>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2 2 2" xfId="16383" xr:uid="{D0AFFF99-28E2-40B4-A8BC-E80FA3842597}"/>
    <cellStyle name="40% - Accent1 2 2 2 4 2 3" xfId="12165" xr:uid="{A222641A-AA68-4836-B6DD-857EA221EF04}"/>
    <cellStyle name="40% - Accent1 2 2 2 4 3" xfId="5796" xr:uid="{00000000-0005-0000-0000-0000D0030000}"/>
    <cellStyle name="40% - Accent1 2 2 2 4 3 2" xfId="14238" xr:uid="{07888E8F-C3F9-41D9-8254-D35908E4447F}"/>
    <cellStyle name="40% - Accent1 2 2 2 4 4" xfId="10020" xr:uid="{80D03463-4785-43B3-BB19-9EE5390CF657}"/>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2 2 2" xfId="16796" xr:uid="{548ABDC6-9668-47BC-A314-5B00FB1EDD55}"/>
    <cellStyle name="40% - Accent1 2 2 2 5 2 3" xfId="12578" xr:uid="{7E387CA4-73EC-4E12-AE57-AE44C3B1749C}"/>
    <cellStyle name="40% - Accent1 2 2 2 5 3" xfId="6209" xr:uid="{00000000-0005-0000-0000-0000D4030000}"/>
    <cellStyle name="40% - Accent1 2 2 2 5 3 2" xfId="14651" xr:uid="{FEF7C5D0-8E50-4097-BF09-9EC74FE0DAD8}"/>
    <cellStyle name="40% - Accent1 2 2 2 5 4" xfId="10433" xr:uid="{EAF3079A-7173-4B9E-A013-A273867AFC6D}"/>
    <cellStyle name="40% - Accent1 2 2 2 6" xfId="2315" xr:uid="{00000000-0005-0000-0000-0000D5030000}"/>
    <cellStyle name="40% - Accent1 2 2 2 6 2" xfId="6622" xr:uid="{00000000-0005-0000-0000-0000D6030000}"/>
    <cellStyle name="40% - Accent1 2 2 2 6 2 2" xfId="15064" xr:uid="{BDD2180A-6BAA-4C02-8073-340FE4F7ED43}"/>
    <cellStyle name="40% - Accent1 2 2 2 6 3" xfId="10846" xr:uid="{9DC12397-AAC0-418D-BF7E-15F81ECBC47A}"/>
    <cellStyle name="40% - Accent1 2 2 2 7" xfId="4556" xr:uid="{00000000-0005-0000-0000-0000D7030000}"/>
    <cellStyle name="40% - Accent1 2 2 2 7 2" xfId="12998" xr:uid="{936B3551-5E02-4F6D-9BCA-24C2C5692C80}"/>
    <cellStyle name="40% - Accent1 2 2 2 8" xfId="8780" xr:uid="{7432BB9A-F6E8-49DF-8E68-416F3F3180DE}"/>
    <cellStyle name="40% - Accent1 2 2 3" xfId="620" xr:uid="{00000000-0005-0000-0000-0000D8030000}"/>
    <cellStyle name="40% - Accent1 2 2 3 2" xfId="2891" xr:uid="{00000000-0005-0000-0000-0000D9030000}"/>
    <cellStyle name="40% - Accent1 2 2 3 2 2" xfId="7114" xr:uid="{00000000-0005-0000-0000-0000DA030000}"/>
    <cellStyle name="40% - Accent1 2 2 3 2 2 2" xfId="15556" xr:uid="{46E4842B-55F2-4973-8BFE-36E299CCC246}"/>
    <cellStyle name="40% - Accent1 2 2 3 2 3" xfId="11338" xr:uid="{90247BA4-2F60-4890-B0A7-6DCDB61250DC}"/>
    <cellStyle name="40% - Accent1 2 2 3 3" xfId="4969" xr:uid="{00000000-0005-0000-0000-0000DB030000}"/>
    <cellStyle name="40% - Accent1 2 2 3 3 2" xfId="13411" xr:uid="{E7F92A16-7F95-42B8-A99E-A58533518E5A}"/>
    <cellStyle name="40% - Accent1 2 2 3 4" xfId="9193" xr:uid="{5311DD50-62FD-45F0-A25F-FF6587135997}"/>
    <cellStyle name="40% - Accent1 2 2 4" xfId="1073" xr:uid="{00000000-0005-0000-0000-0000DC030000}"/>
    <cellStyle name="40% - Accent1 2 2 4 2" xfId="3304" xr:uid="{00000000-0005-0000-0000-0000DD030000}"/>
    <cellStyle name="40% - Accent1 2 2 4 2 2" xfId="7527" xr:uid="{00000000-0005-0000-0000-0000DE030000}"/>
    <cellStyle name="40% - Accent1 2 2 4 2 2 2" xfId="15969" xr:uid="{56CF3C9E-7AEA-409B-BC88-5A898F81E329}"/>
    <cellStyle name="40% - Accent1 2 2 4 2 3" xfId="11751" xr:uid="{ED88C5CF-1490-4DFB-B966-73505BBE7FC9}"/>
    <cellStyle name="40% - Accent1 2 2 4 3" xfId="5382" xr:uid="{00000000-0005-0000-0000-0000DF030000}"/>
    <cellStyle name="40% - Accent1 2 2 4 3 2" xfId="13824" xr:uid="{F697601C-A393-49D1-B3A5-150EDA53BFDB}"/>
    <cellStyle name="40% - Accent1 2 2 4 4" xfId="9606" xr:uid="{4AC44CD6-BC1E-47FB-B842-EE27FF8C1E6D}"/>
    <cellStyle name="40% - Accent1 2 2 5" xfId="1487" xr:uid="{00000000-0005-0000-0000-0000E0030000}"/>
    <cellStyle name="40% - Accent1 2 2 5 2" xfId="3717" xr:uid="{00000000-0005-0000-0000-0000E1030000}"/>
    <cellStyle name="40% - Accent1 2 2 5 2 2" xfId="7940" xr:uid="{00000000-0005-0000-0000-0000E2030000}"/>
    <cellStyle name="40% - Accent1 2 2 5 2 2 2" xfId="16382" xr:uid="{C77CD7BE-83F0-4987-87E9-BB7C490BFEB0}"/>
    <cellStyle name="40% - Accent1 2 2 5 2 3" xfId="12164" xr:uid="{E769770E-F883-4FBF-981B-BAEAB25D18C9}"/>
    <cellStyle name="40% - Accent1 2 2 5 3" xfId="5795" xr:uid="{00000000-0005-0000-0000-0000E3030000}"/>
    <cellStyle name="40% - Accent1 2 2 5 3 2" xfId="14237" xr:uid="{8243441E-41C4-4773-8D7F-0E97D302F572}"/>
    <cellStyle name="40% - Accent1 2 2 5 4" xfId="10019" xr:uid="{C2364818-7FDA-4826-B9D3-23AA04710726}"/>
    <cellStyle name="40% - Accent1 2 2 6" xfId="1901" xr:uid="{00000000-0005-0000-0000-0000E4030000}"/>
    <cellStyle name="40% - Accent1 2 2 6 2" xfId="4130" xr:uid="{00000000-0005-0000-0000-0000E5030000}"/>
    <cellStyle name="40% - Accent1 2 2 6 2 2" xfId="8353" xr:uid="{00000000-0005-0000-0000-0000E6030000}"/>
    <cellStyle name="40% - Accent1 2 2 6 2 2 2" xfId="16795" xr:uid="{B7AD6D56-ED0F-48AF-BED9-3440C36D57C1}"/>
    <cellStyle name="40% - Accent1 2 2 6 2 3" xfId="12577" xr:uid="{89A5BDEF-830B-429F-B130-76EB4AAE7D8D}"/>
    <cellStyle name="40% - Accent1 2 2 6 3" xfId="6208" xr:uid="{00000000-0005-0000-0000-0000E7030000}"/>
    <cellStyle name="40% - Accent1 2 2 6 3 2" xfId="14650" xr:uid="{7FE2F29B-DF1D-4AC6-BEB5-CA99459D382F}"/>
    <cellStyle name="40% - Accent1 2 2 6 4" xfId="10432" xr:uid="{004EEA37-8C25-4C6C-954B-46D853FCD60B}"/>
    <cellStyle name="40% - Accent1 2 2 7" xfId="2314" xr:uid="{00000000-0005-0000-0000-0000E8030000}"/>
    <cellStyle name="40% - Accent1 2 2 7 2" xfId="6621" xr:uid="{00000000-0005-0000-0000-0000E9030000}"/>
    <cellStyle name="40% - Accent1 2 2 7 2 2" xfId="15063" xr:uid="{4CDA17B7-CFCD-4C8D-ACDA-C10832E03454}"/>
    <cellStyle name="40% - Accent1 2 2 7 3" xfId="10845" xr:uid="{E5EDAE2E-A660-46CC-B062-FD60A8DCA895}"/>
    <cellStyle name="40% - Accent1 2 2 8" xfId="4555" xr:uid="{00000000-0005-0000-0000-0000EA030000}"/>
    <cellStyle name="40% - Accent1 2 2 8 2" xfId="12997" xr:uid="{E35AE6B6-D68C-4D10-A993-7F3285307809}"/>
    <cellStyle name="40% - Accent1 2 2 9" xfId="8779" xr:uid="{3CEF06B5-9B63-4266-8094-6ABEEEA433E8}"/>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2 2 2" xfId="15558" xr:uid="{130ED1F6-8ECE-4291-B1EC-835F33BD7BC8}"/>
    <cellStyle name="40% - Accent1 2 3 2 2 3" xfId="11340" xr:uid="{1E336905-A3EB-4639-818B-2BACADECEC8A}"/>
    <cellStyle name="40% - Accent1 2 3 2 3" xfId="4971" xr:uid="{00000000-0005-0000-0000-0000EF030000}"/>
    <cellStyle name="40% - Accent1 2 3 2 3 2" xfId="13413" xr:uid="{E7CC5C75-1E6F-42BC-AE89-5F7BD2FF5AB2}"/>
    <cellStyle name="40% - Accent1 2 3 2 4" xfId="9195" xr:uid="{EC9A3968-199A-4FA5-B152-F1ED9A09BF3B}"/>
    <cellStyle name="40% - Accent1 2 3 3" xfId="1075" xr:uid="{00000000-0005-0000-0000-0000F0030000}"/>
    <cellStyle name="40% - Accent1 2 3 3 2" xfId="3306" xr:uid="{00000000-0005-0000-0000-0000F1030000}"/>
    <cellStyle name="40% - Accent1 2 3 3 2 2" xfId="7529" xr:uid="{00000000-0005-0000-0000-0000F2030000}"/>
    <cellStyle name="40% - Accent1 2 3 3 2 2 2" xfId="15971" xr:uid="{5C51ED2C-41BF-4571-B8D4-BE3B4459124D}"/>
    <cellStyle name="40% - Accent1 2 3 3 2 3" xfId="11753" xr:uid="{F3803BD7-F5EF-4B1D-9011-49A19EA3AD97}"/>
    <cellStyle name="40% - Accent1 2 3 3 3" xfId="5384" xr:uid="{00000000-0005-0000-0000-0000F3030000}"/>
    <cellStyle name="40% - Accent1 2 3 3 3 2" xfId="13826" xr:uid="{070F7CD1-87E0-4FEC-8214-B24674BB0950}"/>
    <cellStyle name="40% - Accent1 2 3 3 4" xfId="9608" xr:uid="{F038E0DE-95FC-4239-9BF5-1180B84D5949}"/>
    <cellStyle name="40% - Accent1 2 3 4" xfId="1489" xr:uid="{00000000-0005-0000-0000-0000F4030000}"/>
    <cellStyle name="40% - Accent1 2 3 4 2" xfId="3719" xr:uid="{00000000-0005-0000-0000-0000F5030000}"/>
    <cellStyle name="40% - Accent1 2 3 4 2 2" xfId="7942" xr:uid="{00000000-0005-0000-0000-0000F6030000}"/>
    <cellStyle name="40% - Accent1 2 3 4 2 2 2" xfId="16384" xr:uid="{8CE5D02F-94F8-494F-98AC-8EDC063B6B2C}"/>
    <cellStyle name="40% - Accent1 2 3 4 2 3" xfId="12166" xr:uid="{2D9E9FD3-6352-41F7-BA31-2E934431747C}"/>
    <cellStyle name="40% - Accent1 2 3 4 3" xfId="5797" xr:uid="{00000000-0005-0000-0000-0000F7030000}"/>
    <cellStyle name="40% - Accent1 2 3 4 3 2" xfId="14239" xr:uid="{47F19FC4-AFE2-44D7-AC09-D5A150017C5E}"/>
    <cellStyle name="40% - Accent1 2 3 4 4" xfId="10021" xr:uid="{0BF877F9-B6F4-416E-A45C-9A8B52A1FBA2}"/>
    <cellStyle name="40% - Accent1 2 3 5" xfId="1903" xr:uid="{00000000-0005-0000-0000-0000F8030000}"/>
    <cellStyle name="40% - Accent1 2 3 5 2" xfId="4132" xr:uid="{00000000-0005-0000-0000-0000F9030000}"/>
    <cellStyle name="40% - Accent1 2 3 5 2 2" xfId="8355" xr:uid="{00000000-0005-0000-0000-0000FA030000}"/>
    <cellStyle name="40% - Accent1 2 3 5 2 2 2" xfId="16797" xr:uid="{9175DF7B-7E47-4AE3-87F9-2192F2BFA9EA}"/>
    <cellStyle name="40% - Accent1 2 3 5 2 3" xfId="12579" xr:uid="{17BF1ABB-FAC8-4DEC-B423-1BBF7BC2B101}"/>
    <cellStyle name="40% - Accent1 2 3 5 3" xfId="6210" xr:uid="{00000000-0005-0000-0000-0000FB030000}"/>
    <cellStyle name="40% - Accent1 2 3 5 3 2" xfId="14652" xr:uid="{A6965498-6E14-43CF-A5B3-237AFC7A366C}"/>
    <cellStyle name="40% - Accent1 2 3 5 4" xfId="10434" xr:uid="{E8471B0B-10DC-4447-8595-CCE6301F057B}"/>
    <cellStyle name="40% - Accent1 2 3 6" xfId="2316" xr:uid="{00000000-0005-0000-0000-0000FC030000}"/>
    <cellStyle name="40% - Accent1 2 3 6 2" xfId="6623" xr:uid="{00000000-0005-0000-0000-0000FD030000}"/>
    <cellStyle name="40% - Accent1 2 3 6 2 2" xfId="15065" xr:uid="{DB824ACD-6E76-4AFF-B950-342052F1214C}"/>
    <cellStyle name="40% - Accent1 2 3 6 3" xfId="10847" xr:uid="{038573A5-BC64-4E91-8411-9702326AFABC}"/>
    <cellStyle name="40% - Accent1 2 3 7" xfId="4557" xr:uid="{00000000-0005-0000-0000-0000FE030000}"/>
    <cellStyle name="40% - Accent1 2 3 7 2" xfId="12999" xr:uid="{57FD72AC-65B6-4B48-9116-834458CC3229}"/>
    <cellStyle name="40% - Accent1 2 3 8" xfId="8781" xr:uid="{168D9D28-2A6C-4E65-A10F-A2DCB8EBB09D}"/>
    <cellStyle name="40% - Accent1 2 4" xfId="619" xr:uid="{00000000-0005-0000-0000-0000FF030000}"/>
    <cellStyle name="40% - Accent1 2 4 2" xfId="2890" xr:uid="{00000000-0005-0000-0000-000000040000}"/>
    <cellStyle name="40% - Accent1 2 4 2 2" xfId="7113" xr:uid="{00000000-0005-0000-0000-000001040000}"/>
    <cellStyle name="40% - Accent1 2 4 2 2 2" xfId="15555" xr:uid="{EA02FE70-D805-453A-9F00-EB31608D25D9}"/>
    <cellStyle name="40% - Accent1 2 4 2 3" xfId="11337" xr:uid="{F34F88C9-B995-4338-8ED4-E3A22F5D7963}"/>
    <cellStyle name="40% - Accent1 2 4 3" xfId="4968" xr:uid="{00000000-0005-0000-0000-000002040000}"/>
    <cellStyle name="40% - Accent1 2 4 3 2" xfId="13410" xr:uid="{55F9CAE9-AD53-4694-8098-C792945DD12E}"/>
    <cellStyle name="40% - Accent1 2 4 4" xfId="9192" xr:uid="{03344B67-61DA-4CB0-913E-BADF62C97F81}"/>
    <cellStyle name="40% - Accent1 2 5" xfId="1072" xr:uid="{00000000-0005-0000-0000-000003040000}"/>
    <cellStyle name="40% - Accent1 2 5 2" xfId="3303" xr:uid="{00000000-0005-0000-0000-000004040000}"/>
    <cellStyle name="40% - Accent1 2 5 2 2" xfId="7526" xr:uid="{00000000-0005-0000-0000-000005040000}"/>
    <cellStyle name="40% - Accent1 2 5 2 2 2" xfId="15968" xr:uid="{7DCF3DA4-0819-4370-B58A-2D8B42B952F9}"/>
    <cellStyle name="40% - Accent1 2 5 2 3" xfId="11750" xr:uid="{C4728B5B-C370-4827-9090-64A57F04C1B0}"/>
    <cellStyle name="40% - Accent1 2 5 3" xfId="5381" xr:uid="{00000000-0005-0000-0000-000006040000}"/>
    <cellStyle name="40% - Accent1 2 5 3 2" xfId="13823" xr:uid="{0D83CFFD-E97B-48F9-9495-FC8E54CC3B86}"/>
    <cellStyle name="40% - Accent1 2 5 4" xfId="9605" xr:uid="{1B2A28A7-8248-4650-B1E9-6F7EAE23257B}"/>
    <cellStyle name="40% - Accent1 2 6" xfId="1486" xr:uid="{00000000-0005-0000-0000-000007040000}"/>
    <cellStyle name="40% - Accent1 2 6 2" xfId="3716" xr:uid="{00000000-0005-0000-0000-000008040000}"/>
    <cellStyle name="40% - Accent1 2 6 2 2" xfId="7939" xr:uid="{00000000-0005-0000-0000-000009040000}"/>
    <cellStyle name="40% - Accent1 2 6 2 2 2" xfId="16381" xr:uid="{AB69DD5C-E7BA-417E-9B09-0B9939B8579B}"/>
    <cellStyle name="40% - Accent1 2 6 2 3" xfId="12163" xr:uid="{6F343826-A46B-497B-A34C-04D6EDE3D956}"/>
    <cellStyle name="40% - Accent1 2 6 3" xfId="5794" xr:uid="{00000000-0005-0000-0000-00000A040000}"/>
    <cellStyle name="40% - Accent1 2 6 3 2" xfId="14236" xr:uid="{81C46FB5-44AB-4A2D-97A3-FA8A419F6B31}"/>
    <cellStyle name="40% - Accent1 2 6 4" xfId="10018" xr:uid="{83A35907-69F0-457D-A024-6C8550034BF2}"/>
    <cellStyle name="40% - Accent1 2 7" xfId="1900" xr:uid="{00000000-0005-0000-0000-00000B040000}"/>
    <cellStyle name="40% - Accent1 2 7 2" xfId="4129" xr:uid="{00000000-0005-0000-0000-00000C040000}"/>
    <cellStyle name="40% - Accent1 2 7 2 2" xfId="8352" xr:uid="{00000000-0005-0000-0000-00000D040000}"/>
    <cellStyle name="40% - Accent1 2 7 2 2 2" xfId="16794" xr:uid="{4851E80F-0159-4003-A8F6-C2BCFC43E056}"/>
    <cellStyle name="40% - Accent1 2 7 2 3" xfId="12576" xr:uid="{05752C46-66F5-4734-BA2F-A68C1BF7E18C}"/>
    <cellStyle name="40% - Accent1 2 7 3" xfId="6207" xr:uid="{00000000-0005-0000-0000-00000E040000}"/>
    <cellStyle name="40% - Accent1 2 7 3 2" xfId="14649" xr:uid="{58FF9565-8A06-4457-937F-767B0908C3D2}"/>
    <cellStyle name="40% - Accent1 2 7 4" xfId="10431" xr:uid="{CF6F0453-DD40-4EBC-B19A-5CC59D255E56}"/>
    <cellStyle name="40% - Accent1 2 8" xfId="2313" xr:uid="{00000000-0005-0000-0000-00000F040000}"/>
    <cellStyle name="40% - Accent1 2 8 2" xfId="6620" xr:uid="{00000000-0005-0000-0000-000010040000}"/>
    <cellStyle name="40% - Accent1 2 8 2 2" xfId="15062" xr:uid="{106A8D39-66E9-418B-B0C7-F0FBFB2DC7E4}"/>
    <cellStyle name="40% - Accent1 2 8 3" xfId="10844" xr:uid="{D460925F-BF97-4D80-BB41-FDDF747DC977}"/>
    <cellStyle name="40% - Accent1 2 9" xfId="4554" xr:uid="{00000000-0005-0000-0000-000011040000}"/>
    <cellStyle name="40% - Accent1 2 9 2" xfId="12996" xr:uid="{567B6C50-62DC-4C5B-956D-97EC80DE8FC5}"/>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2 2 2" xfId="15560" xr:uid="{EB7D0E5D-7DDC-4242-B0BB-155F6BA286E1}"/>
    <cellStyle name="40% - Accent1 3 2 2 2 3" xfId="11342" xr:uid="{75B19376-84DE-4026-84DA-ED029A6F154C}"/>
    <cellStyle name="40% - Accent1 3 2 2 3" xfId="4973" xr:uid="{00000000-0005-0000-0000-000017040000}"/>
    <cellStyle name="40% - Accent1 3 2 2 3 2" xfId="13415" xr:uid="{7DE22857-04FC-4FED-A5E4-D9080B8B0E8B}"/>
    <cellStyle name="40% - Accent1 3 2 2 4" xfId="9197" xr:uid="{0B69F4F6-94E4-4A36-B613-E9472555C517}"/>
    <cellStyle name="40% - Accent1 3 2 3" xfId="1077" xr:uid="{00000000-0005-0000-0000-000018040000}"/>
    <cellStyle name="40% - Accent1 3 2 3 2" xfId="3308" xr:uid="{00000000-0005-0000-0000-000019040000}"/>
    <cellStyle name="40% - Accent1 3 2 3 2 2" xfId="7531" xr:uid="{00000000-0005-0000-0000-00001A040000}"/>
    <cellStyle name="40% - Accent1 3 2 3 2 2 2" xfId="15973" xr:uid="{BCABBDF4-C0D6-4B90-8213-F1FD1E540DFB}"/>
    <cellStyle name="40% - Accent1 3 2 3 2 3" xfId="11755" xr:uid="{0BE362A0-1603-4238-BA37-87D43082A693}"/>
    <cellStyle name="40% - Accent1 3 2 3 3" xfId="5386" xr:uid="{00000000-0005-0000-0000-00001B040000}"/>
    <cellStyle name="40% - Accent1 3 2 3 3 2" xfId="13828" xr:uid="{C695516F-4EFF-44B8-8F18-EA825DF672AF}"/>
    <cellStyle name="40% - Accent1 3 2 3 4" xfId="9610" xr:uid="{F8BD2DE5-B4A5-4DF3-94E2-E1E132BBBADD}"/>
    <cellStyle name="40% - Accent1 3 2 4" xfId="1491" xr:uid="{00000000-0005-0000-0000-00001C040000}"/>
    <cellStyle name="40% - Accent1 3 2 4 2" xfId="3721" xr:uid="{00000000-0005-0000-0000-00001D040000}"/>
    <cellStyle name="40% - Accent1 3 2 4 2 2" xfId="7944" xr:uid="{00000000-0005-0000-0000-00001E040000}"/>
    <cellStyle name="40% - Accent1 3 2 4 2 2 2" xfId="16386" xr:uid="{B1AE2F86-6A2F-4174-B107-A728CF17DF38}"/>
    <cellStyle name="40% - Accent1 3 2 4 2 3" xfId="12168" xr:uid="{A9159FFC-6235-4F6C-967B-6AFD027F4A7B}"/>
    <cellStyle name="40% - Accent1 3 2 4 3" xfId="5799" xr:uid="{00000000-0005-0000-0000-00001F040000}"/>
    <cellStyle name="40% - Accent1 3 2 4 3 2" xfId="14241" xr:uid="{B55D65E7-B473-4EB0-AB9A-D00E0061D737}"/>
    <cellStyle name="40% - Accent1 3 2 4 4" xfId="10023" xr:uid="{4ED633C3-CA83-465E-BF75-A95B382A0662}"/>
    <cellStyle name="40% - Accent1 3 2 5" xfId="1905" xr:uid="{00000000-0005-0000-0000-000020040000}"/>
    <cellStyle name="40% - Accent1 3 2 5 2" xfId="4134" xr:uid="{00000000-0005-0000-0000-000021040000}"/>
    <cellStyle name="40% - Accent1 3 2 5 2 2" xfId="8357" xr:uid="{00000000-0005-0000-0000-000022040000}"/>
    <cellStyle name="40% - Accent1 3 2 5 2 2 2" xfId="16799" xr:uid="{C8995122-1771-450A-81FE-D226A73B375A}"/>
    <cellStyle name="40% - Accent1 3 2 5 2 3" xfId="12581" xr:uid="{D0AE0281-0007-4CD5-AF5C-CD0A89FA2A96}"/>
    <cellStyle name="40% - Accent1 3 2 5 3" xfId="6212" xr:uid="{00000000-0005-0000-0000-000023040000}"/>
    <cellStyle name="40% - Accent1 3 2 5 3 2" xfId="14654" xr:uid="{6302A179-E3A2-4514-A84B-C57D8BFDA4F5}"/>
    <cellStyle name="40% - Accent1 3 2 5 4" xfId="10436" xr:uid="{ED6BE671-1EFD-49E7-9D3A-B1B60CA88EC1}"/>
    <cellStyle name="40% - Accent1 3 2 6" xfId="2318" xr:uid="{00000000-0005-0000-0000-000024040000}"/>
    <cellStyle name="40% - Accent1 3 2 6 2" xfId="6625" xr:uid="{00000000-0005-0000-0000-000025040000}"/>
    <cellStyle name="40% - Accent1 3 2 6 2 2" xfId="15067" xr:uid="{5DD0C95F-9E1C-4AA7-8637-C1379B8D29DF}"/>
    <cellStyle name="40% - Accent1 3 2 6 3" xfId="10849" xr:uid="{A00988F1-C621-4F23-A312-B7388FA1624D}"/>
    <cellStyle name="40% - Accent1 3 2 7" xfId="4559" xr:uid="{00000000-0005-0000-0000-000026040000}"/>
    <cellStyle name="40% - Accent1 3 2 7 2" xfId="13001" xr:uid="{7B4AC6A8-23C7-4A80-9FD2-C1E6A34808C5}"/>
    <cellStyle name="40% - Accent1 3 2 8" xfId="8783" xr:uid="{588B12FA-5C74-498C-AF05-A5BA7101303E}"/>
    <cellStyle name="40% - Accent1 3 3" xfId="623" xr:uid="{00000000-0005-0000-0000-000027040000}"/>
    <cellStyle name="40% - Accent1 3 3 2" xfId="2894" xr:uid="{00000000-0005-0000-0000-000028040000}"/>
    <cellStyle name="40% - Accent1 3 3 2 2" xfId="7117" xr:uid="{00000000-0005-0000-0000-000029040000}"/>
    <cellStyle name="40% - Accent1 3 3 2 2 2" xfId="15559" xr:uid="{7CBC37AD-00B7-498A-B6C3-3FC7BDA7A448}"/>
    <cellStyle name="40% - Accent1 3 3 2 3" xfId="11341" xr:uid="{D47D46EB-E2F8-4674-B1B0-1C9C8E56B17D}"/>
    <cellStyle name="40% - Accent1 3 3 3" xfId="4972" xr:uid="{00000000-0005-0000-0000-00002A040000}"/>
    <cellStyle name="40% - Accent1 3 3 3 2" xfId="13414" xr:uid="{4051E617-3B21-4318-A6C5-0092D47EA52A}"/>
    <cellStyle name="40% - Accent1 3 3 4" xfId="9196" xr:uid="{DF8F06CE-090D-406C-A7AF-150C3CABDD69}"/>
    <cellStyle name="40% - Accent1 3 4" xfId="1076" xr:uid="{00000000-0005-0000-0000-00002B040000}"/>
    <cellStyle name="40% - Accent1 3 4 2" xfId="3307" xr:uid="{00000000-0005-0000-0000-00002C040000}"/>
    <cellStyle name="40% - Accent1 3 4 2 2" xfId="7530" xr:uid="{00000000-0005-0000-0000-00002D040000}"/>
    <cellStyle name="40% - Accent1 3 4 2 2 2" xfId="15972" xr:uid="{5AC9F554-E620-447E-8297-CCC312B10D13}"/>
    <cellStyle name="40% - Accent1 3 4 2 3" xfId="11754" xr:uid="{5CBF6B5A-67B2-40B1-A63C-9D311827EA2B}"/>
    <cellStyle name="40% - Accent1 3 4 3" xfId="5385" xr:uid="{00000000-0005-0000-0000-00002E040000}"/>
    <cellStyle name="40% - Accent1 3 4 3 2" xfId="13827" xr:uid="{281D6571-AB45-4CCA-B145-C25A6637507E}"/>
    <cellStyle name="40% - Accent1 3 4 4" xfId="9609" xr:uid="{DC033FCB-C889-496A-A5AB-7607809F7674}"/>
    <cellStyle name="40% - Accent1 3 5" xfId="1490" xr:uid="{00000000-0005-0000-0000-00002F040000}"/>
    <cellStyle name="40% - Accent1 3 5 2" xfId="3720" xr:uid="{00000000-0005-0000-0000-000030040000}"/>
    <cellStyle name="40% - Accent1 3 5 2 2" xfId="7943" xr:uid="{00000000-0005-0000-0000-000031040000}"/>
    <cellStyle name="40% - Accent1 3 5 2 2 2" xfId="16385" xr:uid="{E5DD8788-654E-425A-B486-367842576F7E}"/>
    <cellStyle name="40% - Accent1 3 5 2 3" xfId="12167" xr:uid="{E751F003-F6C7-40B6-9380-521AF9459308}"/>
    <cellStyle name="40% - Accent1 3 5 3" xfId="5798" xr:uid="{00000000-0005-0000-0000-000032040000}"/>
    <cellStyle name="40% - Accent1 3 5 3 2" xfId="14240" xr:uid="{FFEF366E-9D81-4953-BE71-F7EE1D194574}"/>
    <cellStyle name="40% - Accent1 3 5 4" xfId="10022" xr:uid="{7AD089C5-B13D-4600-9451-AFF24A626757}"/>
    <cellStyle name="40% - Accent1 3 6" xfId="1904" xr:uid="{00000000-0005-0000-0000-000033040000}"/>
    <cellStyle name="40% - Accent1 3 6 2" xfId="4133" xr:uid="{00000000-0005-0000-0000-000034040000}"/>
    <cellStyle name="40% - Accent1 3 6 2 2" xfId="8356" xr:uid="{00000000-0005-0000-0000-000035040000}"/>
    <cellStyle name="40% - Accent1 3 6 2 2 2" xfId="16798" xr:uid="{BFF9ABDA-1427-48CE-943C-BF7596477905}"/>
    <cellStyle name="40% - Accent1 3 6 2 3" xfId="12580" xr:uid="{2767DBB4-002C-4FC4-AAA6-A6C3A4E5022D}"/>
    <cellStyle name="40% - Accent1 3 6 3" xfId="6211" xr:uid="{00000000-0005-0000-0000-000036040000}"/>
    <cellStyle name="40% - Accent1 3 6 3 2" xfId="14653" xr:uid="{51ED9931-0C82-427F-A041-45A36FD6FBE7}"/>
    <cellStyle name="40% - Accent1 3 6 4" xfId="10435" xr:uid="{1037096F-7532-42EA-BE71-DE085266078B}"/>
    <cellStyle name="40% - Accent1 3 7" xfId="2317" xr:uid="{00000000-0005-0000-0000-000037040000}"/>
    <cellStyle name="40% - Accent1 3 7 2" xfId="6624" xr:uid="{00000000-0005-0000-0000-000038040000}"/>
    <cellStyle name="40% - Accent1 3 7 2 2" xfId="15066" xr:uid="{5B71DEC1-9875-45E2-8729-0A45530490BF}"/>
    <cellStyle name="40% - Accent1 3 7 3" xfId="10848" xr:uid="{50AF1A7D-CA23-4F29-8C55-B470CADE09A5}"/>
    <cellStyle name="40% - Accent1 3 8" xfId="4558" xr:uid="{00000000-0005-0000-0000-000039040000}"/>
    <cellStyle name="40% - Accent1 3 8 2" xfId="13000" xr:uid="{181B50D4-47FC-494F-9040-4B3CB4DED9BE}"/>
    <cellStyle name="40% - Accent1 3 9" xfId="8782" xr:uid="{09761B30-0A69-4491-9A4E-73D88F55D6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2 2 2" xfId="15561" xr:uid="{0AECDC15-A7C7-4B31-BEB4-776B64129AD4}"/>
    <cellStyle name="40% - Accent1 4 2 2 3" xfId="11343" xr:uid="{F9D1A580-4A44-4422-8890-42AFBD9EFC22}"/>
    <cellStyle name="40% - Accent1 4 2 3" xfId="4974" xr:uid="{00000000-0005-0000-0000-00003E040000}"/>
    <cellStyle name="40% - Accent1 4 2 3 2" xfId="13416" xr:uid="{1157FC87-044B-478F-9A46-33CB2CCEAC15}"/>
    <cellStyle name="40% - Accent1 4 2 4" xfId="9198" xr:uid="{E6F85839-4B23-4872-97F0-B90709B67E54}"/>
    <cellStyle name="40% - Accent1 4 3" xfId="1078" xr:uid="{00000000-0005-0000-0000-00003F040000}"/>
    <cellStyle name="40% - Accent1 4 3 2" xfId="3309" xr:uid="{00000000-0005-0000-0000-000040040000}"/>
    <cellStyle name="40% - Accent1 4 3 2 2" xfId="7532" xr:uid="{00000000-0005-0000-0000-000041040000}"/>
    <cellStyle name="40% - Accent1 4 3 2 2 2" xfId="15974" xr:uid="{422C9192-C0C1-4ADC-B70F-BACCD43E78B3}"/>
    <cellStyle name="40% - Accent1 4 3 2 3" xfId="11756" xr:uid="{532C6962-2C18-4447-AB86-0BE2C5A739D4}"/>
    <cellStyle name="40% - Accent1 4 3 3" xfId="5387" xr:uid="{00000000-0005-0000-0000-000042040000}"/>
    <cellStyle name="40% - Accent1 4 3 3 2" xfId="13829" xr:uid="{FC034863-1EBA-4D60-BB55-AE27C3C23582}"/>
    <cellStyle name="40% - Accent1 4 3 4" xfId="9611" xr:uid="{223D565D-1249-425E-B921-D971C0BCB6FA}"/>
    <cellStyle name="40% - Accent1 4 4" xfId="1492" xr:uid="{00000000-0005-0000-0000-000043040000}"/>
    <cellStyle name="40% - Accent1 4 4 2" xfId="3722" xr:uid="{00000000-0005-0000-0000-000044040000}"/>
    <cellStyle name="40% - Accent1 4 4 2 2" xfId="7945" xr:uid="{00000000-0005-0000-0000-000045040000}"/>
    <cellStyle name="40% - Accent1 4 4 2 2 2" xfId="16387" xr:uid="{C28297FE-0CE5-47DE-A659-C167798685D6}"/>
    <cellStyle name="40% - Accent1 4 4 2 3" xfId="12169" xr:uid="{E8519922-639C-446F-B44C-2EDBEE686CFA}"/>
    <cellStyle name="40% - Accent1 4 4 3" xfId="5800" xr:uid="{00000000-0005-0000-0000-000046040000}"/>
    <cellStyle name="40% - Accent1 4 4 3 2" xfId="14242" xr:uid="{9DD77D05-0619-4152-BB7B-1D1FA2EBBC64}"/>
    <cellStyle name="40% - Accent1 4 4 4" xfId="10024" xr:uid="{05DC7F41-61E7-4B6B-A2CD-52F5E6AB1B32}"/>
    <cellStyle name="40% - Accent1 4 5" xfId="1906" xr:uid="{00000000-0005-0000-0000-000047040000}"/>
    <cellStyle name="40% - Accent1 4 5 2" xfId="4135" xr:uid="{00000000-0005-0000-0000-000048040000}"/>
    <cellStyle name="40% - Accent1 4 5 2 2" xfId="8358" xr:uid="{00000000-0005-0000-0000-000049040000}"/>
    <cellStyle name="40% - Accent1 4 5 2 2 2" xfId="16800" xr:uid="{727E1238-3B64-4127-AA97-A85F359DA637}"/>
    <cellStyle name="40% - Accent1 4 5 2 3" xfId="12582" xr:uid="{48BA3695-BA60-4128-A2CE-D793FBBDDA19}"/>
    <cellStyle name="40% - Accent1 4 5 3" xfId="6213" xr:uid="{00000000-0005-0000-0000-00004A040000}"/>
    <cellStyle name="40% - Accent1 4 5 3 2" xfId="14655" xr:uid="{E987481F-9D97-4A05-9261-5777E85D768C}"/>
    <cellStyle name="40% - Accent1 4 5 4" xfId="10437" xr:uid="{9531898D-04C5-4A60-92BA-88FA403A3ACD}"/>
    <cellStyle name="40% - Accent1 4 6" xfId="2319" xr:uid="{00000000-0005-0000-0000-00004B040000}"/>
    <cellStyle name="40% - Accent1 4 6 2" xfId="6626" xr:uid="{00000000-0005-0000-0000-00004C040000}"/>
    <cellStyle name="40% - Accent1 4 6 2 2" xfId="15068" xr:uid="{FACAEE13-47B1-4021-B354-9F7BE91EBC6D}"/>
    <cellStyle name="40% - Accent1 4 6 3" xfId="10850" xr:uid="{E00BDD64-4284-43B2-88E2-5327EC85753C}"/>
    <cellStyle name="40% - Accent1 4 7" xfId="4560" xr:uid="{00000000-0005-0000-0000-00004D040000}"/>
    <cellStyle name="40% - Accent1 4 7 2" xfId="13002" xr:uid="{CD765417-0A0B-4C94-A9A1-DE6EC85B7E76}"/>
    <cellStyle name="40% - Accent1 4 8" xfId="8784" xr:uid="{5FF3793B-60CB-44ED-BB39-7D3E159F22C8}"/>
    <cellStyle name="40% - Accent1 5" xfId="618" xr:uid="{00000000-0005-0000-0000-00004E040000}"/>
    <cellStyle name="40% - Accent1 5 2" xfId="2889" xr:uid="{00000000-0005-0000-0000-00004F040000}"/>
    <cellStyle name="40% - Accent1 5 2 2" xfId="7112" xr:uid="{00000000-0005-0000-0000-000050040000}"/>
    <cellStyle name="40% - Accent1 5 2 2 2" xfId="15554" xr:uid="{8C34AAED-1832-4EC4-B420-74CE89D9BFD4}"/>
    <cellStyle name="40% - Accent1 5 2 3" xfId="11336" xr:uid="{A5BE0CD6-F8C8-4EAB-9543-0E72E02B13F3}"/>
    <cellStyle name="40% - Accent1 5 3" xfId="4967" xr:uid="{00000000-0005-0000-0000-000051040000}"/>
    <cellStyle name="40% - Accent1 5 3 2" xfId="13409" xr:uid="{E297360C-1B20-4BE0-BD9D-029BD8B98FC4}"/>
    <cellStyle name="40% - Accent1 5 4" xfId="9191" xr:uid="{C30191D2-5F7C-4A7A-817B-0B89740AB2CC}"/>
    <cellStyle name="40% - Accent1 6" xfId="1071" xr:uid="{00000000-0005-0000-0000-000052040000}"/>
    <cellStyle name="40% - Accent1 6 2" xfId="3302" xr:uid="{00000000-0005-0000-0000-000053040000}"/>
    <cellStyle name="40% - Accent1 6 2 2" xfId="7525" xr:uid="{00000000-0005-0000-0000-000054040000}"/>
    <cellStyle name="40% - Accent1 6 2 2 2" xfId="15967" xr:uid="{835F4C4A-75D3-48FE-9F5A-034C8EA829FA}"/>
    <cellStyle name="40% - Accent1 6 2 3" xfId="11749" xr:uid="{BDD15FDA-ED46-495E-A8D9-59CE877BC59E}"/>
    <cellStyle name="40% - Accent1 6 3" xfId="5380" xr:uid="{00000000-0005-0000-0000-000055040000}"/>
    <cellStyle name="40% - Accent1 6 3 2" xfId="13822" xr:uid="{F4B9CD79-0D4B-4BA7-8DDB-8C2D6BE85A2C}"/>
    <cellStyle name="40% - Accent1 6 4" xfId="9604" xr:uid="{7D6DFE56-85DE-4523-81CF-BE2524228F21}"/>
    <cellStyle name="40% - Accent1 7" xfId="1485" xr:uid="{00000000-0005-0000-0000-000056040000}"/>
    <cellStyle name="40% - Accent1 7 2" xfId="3715" xr:uid="{00000000-0005-0000-0000-000057040000}"/>
    <cellStyle name="40% - Accent1 7 2 2" xfId="7938" xr:uid="{00000000-0005-0000-0000-000058040000}"/>
    <cellStyle name="40% - Accent1 7 2 2 2" xfId="16380" xr:uid="{B07508FB-39FC-4F7E-8E31-994E647FBC65}"/>
    <cellStyle name="40% - Accent1 7 2 3" xfId="12162" xr:uid="{B621E4B1-51ED-47F3-A20B-F381E69DCECB}"/>
    <cellStyle name="40% - Accent1 7 3" xfId="5793" xr:uid="{00000000-0005-0000-0000-000059040000}"/>
    <cellStyle name="40% - Accent1 7 3 2" xfId="14235" xr:uid="{3A11D14E-66C2-47D1-89FA-19398786FD48}"/>
    <cellStyle name="40% - Accent1 7 4" xfId="10017" xr:uid="{6F3CB879-1452-4EE8-B980-1EA135C5E715}"/>
    <cellStyle name="40% - Accent1 8" xfId="1899" xr:uid="{00000000-0005-0000-0000-00005A040000}"/>
    <cellStyle name="40% - Accent1 8 2" xfId="4128" xr:uid="{00000000-0005-0000-0000-00005B040000}"/>
    <cellStyle name="40% - Accent1 8 2 2" xfId="8351" xr:uid="{00000000-0005-0000-0000-00005C040000}"/>
    <cellStyle name="40% - Accent1 8 2 2 2" xfId="16793" xr:uid="{CD732A53-23E7-4331-B317-BD2BC6B54B4D}"/>
    <cellStyle name="40% - Accent1 8 2 3" xfId="12575" xr:uid="{51822747-6BB8-49BB-86E4-1B8D3D633E13}"/>
    <cellStyle name="40% - Accent1 8 3" xfId="6206" xr:uid="{00000000-0005-0000-0000-00005D040000}"/>
    <cellStyle name="40% - Accent1 8 3 2" xfId="14648" xr:uid="{CD8A92E5-18DE-4FEC-968B-8C80A69FEA5B}"/>
    <cellStyle name="40% - Accent1 8 4" xfId="10430" xr:uid="{D00C6117-266C-434A-937B-1B80D595E48A}"/>
    <cellStyle name="40% - Accent1 9" xfId="2312" xr:uid="{00000000-0005-0000-0000-00005E040000}"/>
    <cellStyle name="40% - Accent1 9 2" xfId="6619" xr:uid="{00000000-0005-0000-0000-00005F040000}"/>
    <cellStyle name="40% - Accent1 9 2 2" xfId="15061" xr:uid="{FB4BF12A-10AD-4D00-A2C7-0A3C023C15D2}"/>
    <cellStyle name="40% - Accent1 9 3" xfId="10843" xr:uid="{CAC6D059-3823-4A38-941B-046E1FD8CAC6}"/>
    <cellStyle name="40% - Accent2" xfId="57" builtinId="35" customBuiltin="1"/>
    <cellStyle name="40% - Accent2 10" xfId="4561" xr:uid="{00000000-0005-0000-0000-000061040000}"/>
    <cellStyle name="40% - Accent2 10 2" xfId="13003" xr:uid="{5550C62C-268D-469B-91AC-8BDA5BC113CF}"/>
    <cellStyle name="40% - Accent2 11" xfId="8785" xr:uid="{75803FA4-09EE-4737-9584-6A41F9BDDCEB}"/>
    <cellStyle name="40% - Accent2 2" xfId="58" xr:uid="{00000000-0005-0000-0000-000062040000}"/>
    <cellStyle name="40% - Accent2 2 10" xfId="8786" xr:uid="{0065FDDA-F4D2-4165-BFEE-EB2BF943F225}"/>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2 2 2" xfId="15565" xr:uid="{C735851F-D92A-4BA9-A2CE-F87A6CAB4627}"/>
    <cellStyle name="40% - Accent2 2 2 2 2 2 3" xfId="11347" xr:uid="{D37002B1-E849-49D7-BA9B-393935AA2A5B}"/>
    <cellStyle name="40% - Accent2 2 2 2 2 3" xfId="4978" xr:uid="{00000000-0005-0000-0000-000068040000}"/>
    <cellStyle name="40% - Accent2 2 2 2 2 3 2" xfId="13420" xr:uid="{3E56F29D-89E1-41F0-8F5F-73F91EC7C3F7}"/>
    <cellStyle name="40% - Accent2 2 2 2 2 4" xfId="9202" xr:uid="{201D19B1-B4BE-44B3-A666-54E55CA73E3C}"/>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2 2 2" xfId="15978" xr:uid="{3D41F9C3-F4C7-4159-A34E-B9BA6F4A1D10}"/>
    <cellStyle name="40% - Accent2 2 2 2 3 2 3" xfId="11760" xr:uid="{E8F76AFC-CD30-443C-9608-4AF327242E33}"/>
    <cellStyle name="40% - Accent2 2 2 2 3 3" xfId="5391" xr:uid="{00000000-0005-0000-0000-00006C040000}"/>
    <cellStyle name="40% - Accent2 2 2 2 3 3 2" xfId="13833" xr:uid="{6527471D-DFF6-4515-A375-B521BD885A6B}"/>
    <cellStyle name="40% - Accent2 2 2 2 3 4" xfId="9615" xr:uid="{568D34D4-409C-465D-A49C-AF4BF486F246}"/>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2 2 2" xfId="16391" xr:uid="{BD7B54B9-E313-4061-9208-8F20D165C1DF}"/>
    <cellStyle name="40% - Accent2 2 2 2 4 2 3" xfId="12173" xr:uid="{EEB7CD80-7FE1-484A-BF26-97C29511EB89}"/>
    <cellStyle name="40% - Accent2 2 2 2 4 3" xfId="5804" xr:uid="{00000000-0005-0000-0000-000070040000}"/>
    <cellStyle name="40% - Accent2 2 2 2 4 3 2" xfId="14246" xr:uid="{072A8EE8-1256-4431-A1EA-0CF31BC3CD94}"/>
    <cellStyle name="40% - Accent2 2 2 2 4 4" xfId="10028" xr:uid="{185C9559-137E-4ED3-890F-F9CA78F759F7}"/>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2 2 2" xfId="16804" xr:uid="{15526A4E-CE86-4F62-976B-A4E1776EC107}"/>
    <cellStyle name="40% - Accent2 2 2 2 5 2 3" xfId="12586" xr:uid="{B72E4D6E-93CD-494F-80D4-67E0592F7B3B}"/>
    <cellStyle name="40% - Accent2 2 2 2 5 3" xfId="6217" xr:uid="{00000000-0005-0000-0000-000074040000}"/>
    <cellStyle name="40% - Accent2 2 2 2 5 3 2" xfId="14659" xr:uid="{AA1D47C3-3FA2-4BCF-B4E7-5337EE7BEDAD}"/>
    <cellStyle name="40% - Accent2 2 2 2 5 4" xfId="10441" xr:uid="{B40BF17A-581E-4766-B65D-7DC76130C691}"/>
    <cellStyle name="40% - Accent2 2 2 2 6" xfId="2323" xr:uid="{00000000-0005-0000-0000-000075040000}"/>
    <cellStyle name="40% - Accent2 2 2 2 6 2" xfId="6630" xr:uid="{00000000-0005-0000-0000-000076040000}"/>
    <cellStyle name="40% - Accent2 2 2 2 6 2 2" xfId="15072" xr:uid="{2692B0DE-C5B6-416E-AE2D-9E4035227073}"/>
    <cellStyle name="40% - Accent2 2 2 2 6 3" xfId="10854" xr:uid="{889D1B6C-F956-47A3-9B1E-321903C2F405}"/>
    <cellStyle name="40% - Accent2 2 2 2 7" xfId="4564" xr:uid="{00000000-0005-0000-0000-000077040000}"/>
    <cellStyle name="40% - Accent2 2 2 2 7 2" xfId="13006" xr:uid="{C417701D-F862-4993-91AB-369D6E3FE78D}"/>
    <cellStyle name="40% - Accent2 2 2 2 8" xfId="8788" xr:uid="{4C7D3FB4-EF9F-4291-9557-5AF693AF69D4}"/>
    <cellStyle name="40% - Accent2 2 2 3" xfId="628" xr:uid="{00000000-0005-0000-0000-000078040000}"/>
    <cellStyle name="40% - Accent2 2 2 3 2" xfId="2899" xr:uid="{00000000-0005-0000-0000-000079040000}"/>
    <cellStyle name="40% - Accent2 2 2 3 2 2" xfId="7122" xr:uid="{00000000-0005-0000-0000-00007A040000}"/>
    <cellStyle name="40% - Accent2 2 2 3 2 2 2" xfId="15564" xr:uid="{962DC5EC-3A75-4BA2-ACC0-3735D2A1E16E}"/>
    <cellStyle name="40% - Accent2 2 2 3 2 3" xfId="11346" xr:uid="{919440AE-0092-4977-9747-3F46EA9BC0AB}"/>
    <cellStyle name="40% - Accent2 2 2 3 3" xfId="4977" xr:uid="{00000000-0005-0000-0000-00007B040000}"/>
    <cellStyle name="40% - Accent2 2 2 3 3 2" xfId="13419" xr:uid="{9FA958D8-AB99-44D5-BCFF-7BDFC7E767DD}"/>
    <cellStyle name="40% - Accent2 2 2 3 4" xfId="9201" xr:uid="{D8012E49-AC4E-4419-B9F1-50BFBC6CDF7E}"/>
    <cellStyle name="40% - Accent2 2 2 4" xfId="1081" xr:uid="{00000000-0005-0000-0000-00007C040000}"/>
    <cellStyle name="40% - Accent2 2 2 4 2" xfId="3312" xr:uid="{00000000-0005-0000-0000-00007D040000}"/>
    <cellStyle name="40% - Accent2 2 2 4 2 2" xfId="7535" xr:uid="{00000000-0005-0000-0000-00007E040000}"/>
    <cellStyle name="40% - Accent2 2 2 4 2 2 2" xfId="15977" xr:uid="{E565FADC-1210-4922-BAC1-2323E6AC6C42}"/>
    <cellStyle name="40% - Accent2 2 2 4 2 3" xfId="11759" xr:uid="{BE7D6064-F489-4424-BEC2-F10AD4BFDD03}"/>
    <cellStyle name="40% - Accent2 2 2 4 3" xfId="5390" xr:uid="{00000000-0005-0000-0000-00007F040000}"/>
    <cellStyle name="40% - Accent2 2 2 4 3 2" xfId="13832" xr:uid="{34EE6C14-D2B4-4826-BE6F-803352B4E407}"/>
    <cellStyle name="40% - Accent2 2 2 4 4" xfId="9614" xr:uid="{DCEF2826-70F4-4E41-BC69-56FBFD76B5C3}"/>
    <cellStyle name="40% - Accent2 2 2 5" xfId="1495" xr:uid="{00000000-0005-0000-0000-000080040000}"/>
    <cellStyle name="40% - Accent2 2 2 5 2" xfId="3725" xr:uid="{00000000-0005-0000-0000-000081040000}"/>
    <cellStyle name="40% - Accent2 2 2 5 2 2" xfId="7948" xr:uid="{00000000-0005-0000-0000-000082040000}"/>
    <cellStyle name="40% - Accent2 2 2 5 2 2 2" xfId="16390" xr:uid="{811F4DB8-CD45-41DE-9728-C30BD20F5558}"/>
    <cellStyle name="40% - Accent2 2 2 5 2 3" xfId="12172" xr:uid="{D3C8EB83-9697-4261-99EB-74E09D214D64}"/>
    <cellStyle name="40% - Accent2 2 2 5 3" xfId="5803" xr:uid="{00000000-0005-0000-0000-000083040000}"/>
    <cellStyle name="40% - Accent2 2 2 5 3 2" xfId="14245" xr:uid="{ACDE38EE-BA0C-4E86-AD7C-FAC955B1D2E1}"/>
    <cellStyle name="40% - Accent2 2 2 5 4" xfId="10027" xr:uid="{F2CAF06C-CB0A-4DA5-9119-CD7EC2DB727D}"/>
    <cellStyle name="40% - Accent2 2 2 6" xfId="1909" xr:uid="{00000000-0005-0000-0000-000084040000}"/>
    <cellStyle name="40% - Accent2 2 2 6 2" xfId="4138" xr:uid="{00000000-0005-0000-0000-000085040000}"/>
    <cellStyle name="40% - Accent2 2 2 6 2 2" xfId="8361" xr:uid="{00000000-0005-0000-0000-000086040000}"/>
    <cellStyle name="40% - Accent2 2 2 6 2 2 2" xfId="16803" xr:uid="{250FACF7-06B3-4645-9F9B-94CE3FF85280}"/>
    <cellStyle name="40% - Accent2 2 2 6 2 3" xfId="12585" xr:uid="{CF73890D-5D56-445E-A54C-F980D7113C5D}"/>
    <cellStyle name="40% - Accent2 2 2 6 3" xfId="6216" xr:uid="{00000000-0005-0000-0000-000087040000}"/>
    <cellStyle name="40% - Accent2 2 2 6 3 2" xfId="14658" xr:uid="{BCD4BA31-4DBA-4574-B8C0-47D7B3B6403F}"/>
    <cellStyle name="40% - Accent2 2 2 6 4" xfId="10440" xr:uid="{AE176E1F-BB74-4A89-B533-D761E88ED29D}"/>
    <cellStyle name="40% - Accent2 2 2 7" xfId="2322" xr:uid="{00000000-0005-0000-0000-000088040000}"/>
    <cellStyle name="40% - Accent2 2 2 7 2" xfId="6629" xr:uid="{00000000-0005-0000-0000-000089040000}"/>
    <cellStyle name="40% - Accent2 2 2 7 2 2" xfId="15071" xr:uid="{F30216A5-0748-48D6-8212-531C20C8EF81}"/>
    <cellStyle name="40% - Accent2 2 2 7 3" xfId="10853" xr:uid="{5E0D3AFF-88B8-4F0A-A1E3-49B24AD423DB}"/>
    <cellStyle name="40% - Accent2 2 2 8" xfId="4563" xr:uid="{00000000-0005-0000-0000-00008A040000}"/>
    <cellStyle name="40% - Accent2 2 2 8 2" xfId="13005" xr:uid="{AA6D23F0-674C-49A7-9256-931086E043C7}"/>
    <cellStyle name="40% - Accent2 2 2 9" xfId="8787" xr:uid="{D3A45D1A-726D-4BDD-B1F5-E53C61DE34B8}"/>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2 2 2" xfId="15566" xr:uid="{62726BD6-77AB-4613-9B97-886B8E748751}"/>
    <cellStyle name="40% - Accent2 2 3 2 2 3" xfId="11348" xr:uid="{857F5064-D42F-4DE3-BCDC-518F259AF81A}"/>
    <cellStyle name="40% - Accent2 2 3 2 3" xfId="4979" xr:uid="{00000000-0005-0000-0000-00008F040000}"/>
    <cellStyle name="40% - Accent2 2 3 2 3 2" xfId="13421" xr:uid="{AA56AD96-A365-4832-B028-4B92097A8535}"/>
    <cellStyle name="40% - Accent2 2 3 2 4" xfId="9203" xr:uid="{15BC53D9-16AE-4640-80A1-9BAFFC953C24}"/>
    <cellStyle name="40% - Accent2 2 3 3" xfId="1083" xr:uid="{00000000-0005-0000-0000-000090040000}"/>
    <cellStyle name="40% - Accent2 2 3 3 2" xfId="3314" xr:uid="{00000000-0005-0000-0000-000091040000}"/>
    <cellStyle name="40% - Accent2 2 3 3 2 2" xfId="7537" xr:uid="{00000000-0005-0000-0000-000092040000}"/>
    <cellStyle name="40% - Accent2 2 3 3 2 2 2" xfId="15979" xr:uid="{4FB34B12-A298-404A-A83C-5CE1880DF974}"/>
    <cellStyle name="40% - Accent2 2 3 3 2 3" xfId="11761" xr:uid="{297F63D0-C991-40DF-9D45-82593D955F74}"/>
    <cellStyle name="40% - Accent2 2 3 3 3" xfId="5392" xr:uid="{00000000-0005-0000-0000-000093040000}"/>
    <cellStyle name="40% - Accent2 2 3 3 3 2" xfId="13834" xr:uid="{8025CD24-87BE-41D1-9042-8B77CA7E4A9B}"/>
    <cellStyle name="40% - Accent2 2 3 3 4" xfId="9616" xr:uid="{DED00758-D2E2-4F25-8EB4-07B781D214B6}"/>
    <cellStyle name="40% - Accent2 2 3 4" xfId="1497" xr:uid="{00000000-0005-0000-0000-000094040000}"/>
    <cellStyle name="40% - Accent2 2 3 4 2" xfId="3727" xr:uid="{00000000-0005-0000-0000-000095040000}"/>
    <cellStyle name="40% - Accent2 2 3 4 2 2" xfId="7950" xr:uid="{00000000-0005-0000-0000-000096040000}"/>
    <cellStyle name="40% - Accent2 2 3 4 2 2 2" xfId="16392" xr:uid="{00744D66-538F-41A0-BDCF-282113B0C649}"/>
    <cellStyle name="40% - Accent2 2 3 4 2 3" xfId="12174" xr:uid="{C016591E-1B8C-4767-AC91-70852E2A8EB7}"/>
    <cellStyle name="40% - Accent2 2 3 4 3" xfId="5805" xr:uid="{00000000-0005-0000-0000-000097040000}"/>
    <cellStyle name="40% - Accent2 2 3 4 3 2" xfId="14247" xr:uid="{1E11A6A0-4F34-4F96-8F41-C0F69DA53BBD}"/>
    <cellStyle name="40% - Accent2 2 3 4 4" xfId="10029" xr:uid="{EC14BDB1-D61A-42DC-8CF2-D879B5F1353A}"/>
    <cellStyle name="40% - Accent2 2 3 5" xfId="1911" xr:uid="{00000000-0005-0000-0000-000098040000}"/>
    <cellStyle name="40% - Accent2 2 3 5 2" xfId="4140" xr:uid="{00000000-0005-0000-0000-000099040000}"/>
    <cellStyle name="40% - Accent2 2 3 5 2 2" xfId="8363" xr:uid="{00000000-0005-0000-0000-00009A040000}"/>
    <cellStyle name="40% - Accent2 2 3 5 2 2 2" xfId="16805" xr:uid="{04D6160A-BD7F-4011-8E2C-0B523154F7D8}"/>
    <cellStyle name="40% - Accent2 2 3 5 2 3" xfId="12587" xr:uid="{865A5397-A4C9-47CB-9BCE-A22871B37F18}"/>
    <cellStyle name="40% - Accent2 2 3 5 3" xfId="6218" xr:uid="{00000000-0005-0000-0000-00009B040000}"/>
    <cellStyle name="40% - Accent2 2 3 5 3 2" xfId="14660" xr:uid="{0887A48B-CE25-46A8-B3AA-5E4520540F92}"/>
    <cellStyle name="40% - Accent2 2 3 5 4" xfId="10442" xr:uid="{B2CBCDE7-5B39-4140-A881-53EB25F98885}"/>
    <cellStyle name="40% - Accent2 2 3 6" xfId="2324" xr:uid="{00000000-0005-0000-0000-00009C040000}"/>
    <cellStyle name="40% - Accent2 2 3 6 2" xfId="6631" xr:uid="{00000000-0005-0000-0000-00009D040000}"/>
    <cellStyle name="40% - Accent2 2 3 6 2 2" xfId="15073" xr:uid="{1C020774-1193-454F-A85E-AA7C2CAE8F84}"/>
    <cellStyle name="40% - Accent2 2 3 6 3" xfId="10855" xr:uid="{3B21F235-F790-4606-89D1-8D536330A6B8}"/>
    <cellStyle name="40% - Accent2 2 3 7" xfId="4565" xr:uid="{00000000-0005-0000-0000-00009E040000}"/>
    <cellStyle name="40% - Accent2 2 3 7 2" xfId="13007" xr:uid="{4D300E4C-3EAD-4BC0-B663-E947998BF7AA}"/>
    <cellStyle name="40% - Accent2 2 3 8" xfId="8789" xr:uid="{EA573E85-A005-4F86-92DC-DD196B21FB2F}"/>
    <cellStyle name="40% - Accent2 2 4" xfId="627" xr:uid="{00000000-0005-0000-0000-00009F040000}"/>
    <cellStyle name="40% - Accent2 2 4 2" xfId="2898" xr:uid="{00000000-0005-0000-0000-0000A0040000}"/>
    <cellStyle name="40% - Accent2 2 4 2 2" xfId="7121" xr:uid="{00000000-0005-0000-0000-0000A1040000}"/>
    <cellStyle name="40% - Accent2 2 4 2 2 2" xfId="15563" xr:uid="{A84A8148-B489-45C9-A6EE-5240C9B47593}"/>
    <cellStyle name="40% - Accent2 2 4 2 3" xfId="11345" xr:uid="{A6A9359F-B1FA-4126-A67A-EBBA8B876777}"/>
    <cellStyle name="40% - Accent2 2 4 3" xfId="4976" xr:uid="{00000000-0005-0000-0000-0000A2040000}"/>
    <cellStyle name="40% - Accent2 2 4 3 2" xfId="13418" xr:uid="{43966939-BA5D-46C6-B83A-5A4C2990BDAD}"/>
    <cellStyle name="40% - Accent2 2 4 4" xfId="9200" xr:uid="{A2354E1A-5DDC-4141-B241-BBD1B271E090}"/>
    <cellStyle name="40% - Accent2 2 5" xfId="1080" xr:uid="{00000000-0005-0000-0000-0000A3040000}"/>
    <cellStyle name="40% - Accent2 2 5 2" xfId="3311" xr:uid="{00000000-0005-0000-0000-0000A4040000}"/>
    <cellStyle name="40% - Accent2 2 5 2 2" xfId="7534" xr:uid="{00000000-0005-0000-0000-0000A5040000}"/>
    <cellStyle name="40% - Accent2 2 5 2 2 2" xfId="15976" xr:uid="{BC45B603-F568-4D5A-93B6-462D2868D9DB}"/>
    <cellStyle name="40% - Accent2 2 5 2 3" xfId="11758" xr:uid="{85E4CAE3-5E96-43B4-B13A-E5F0113C3A0E}"/>
    <cellStyle name="40% - Accent2 2 5 3" xfId="5389" xr:uid="{00000000-0005-0000-0000-0000A6040000}"/>
    <cellStyle name="40% - Accent2 2 5 3 2" xfId="13831" xr:uid="{4F41137F-C807-4FC6-804A-DE62B0B83119}"/>
    <cellStyle name="40% - Accent2 2 5 4" xfId="9613" xr:uid="{1ED1F1F5-10CD-4028-8D62-A49FA59BDE34}"/>
    <cellStyle name="40% - Accent2 2 6" xfId="1494" xr:uid="{00000000-0005-0000-0000-0000A7040000}"/>
    <cellStyle name="40% - Accent2 2 6 2" xfId="3724" xr:uid="{00000000-0005-0000-0000-0000A8040000}"/>
    <cellStyle name="40% - Accent2 2 6 2 2" xfId="7947" xr:uid="{00000000-0005-0000-0000-0000A9040000}"/>
    <cellStyle name="40% - Accent2 2 6 2 2 2" xfId="16389" xr:uid="{C9415740-042F-4812-B973-714564A844D0}"/>
    <cellStyle name="40% - Accent2 2 6 2 3" xfId="12171" xr:uid="{3502A78A-CC8B-47E1-A6DA-AF1867BA22D0}"/>
    <cellStyle name="40% - Accent2 2 6 3" xfId="5802" xr:uid="{00000000-0005-0000-0000-0000AA040000}"/>
    <cellStyle name="40% - Accent2 2 6 3 2" xfId="14244" xr:uid="{3F16AA35-4621-4DE9-99B2-C6AA2CF6D822}"/>
    <cellStyle name="40% - Accent2 2 6 4" xfId="10026" xr:uid="{C909FD1F-EA6D-42D5-B258-87ACD84DADFF}"/>
    <cellStyle name="40% - Accent2 2 7" xfId="1908" xr:uid="{00000000-0005-0000-0000-0000AB040000}"/>
    <cellStyle name="40% - Accent2 2 7 2" xfId="4137" xr:uid="{00000000-0005-0000-0000-0000AC040000}"/>
    <cellStyle name="40% - Accent2 2 7 2 2" xfId="8360" xr:uid="{00000000-0005-0000-0000-0000AD040000}"/>
    <cellStyle name="40% - Accent2 2 7 2 2 2" xfId="16802" xr:uid="{4F9AB893-C799-4C17-A4FF-D0F01151273C}"/>
    <cellStyle name="40% - Accent2 2 7 2 3" xfId="12584" xr:uid="{7E64BE79-0E86-44C3-8B19-B25B6954BE09}"/>
    <cellStyle name="40% - Accent2 2 7 3" xfId="6215" xr:uid="{00000000-0005-0000-0000-0000AE040000}"/>
    <cellStyle name="40% - Accent2 2 7 3 2" xfId="14657" xr:uid="{9535A071-47FB-4D07-8576-B75D689918BE}"/>
    <cellStyle name="40% - Accent2 2 7 4" xfId="10439" xr:uid="{260437E2-7916-482B-961A-971C26ABD67C}"/>
    <cellStyle name="40% - Accent2 2 8" xfId="2321" xr:uid="{00000000-0005-0000-0000-0000AF040000}"/>
    <cellStyle name="40% - Accent2 2 8 2" xfId="6628" xr:uid="{00000000-0005-0000-0000-0000B0040000}"/>
    <cellStyle name="40% - Accent2 2 8 2 2" xfId="15070" xr:uid="{501A9602-6522-4B4D-A0A8-FA0CC8FB7D2A}"/>
    <cellStyle name="40% - Accent2 2 8 3" xfId="10852" xr:uid="{CCDA2D8F-F9DE-4F49-B269-F4CCFA5E1C2F}"/>
    <cellStyle name="40% - Accent2 2 9" xfId="4562" xr:uid="{00000000-0005-0000-0000-0000B1040000}"/>
    <cellStyle name="40% - Accent2 2 9 2" xfId="13004" xr:uid="{7A0E1448-CD1A-4B12-843E-9D925007B9F7}"/>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2 2 2" xfId="15568" xr:uid="{6680E600-5F9D-4C4F-BA3B-AB0A26241180}"/>
    <cellStyle name="40% - Accent2 3 2 2 2 3" xfId="11350" xr:uid="{F8BA2BAC-6298-46E2-8E51-CD2ED4759EBB}"/>
    <cellStyle name="40% - Accent2 3 2 2 3" xfId="4981" xr:uid="{00000000-0005-0000-0000-0000B7040000}"/>
    <cellStyle name="40% - Accent2 3 2 2 3 2" xfId="13423" xr:uid="{E1A64296-9F3D-40E2-9D1C-E095DEB5B526}"/>
    <cellStyle name="40% - Accent2 3 2 2 4" xfId="9205" xr:uid="{7254D2A0-CB59-477B-8F7E-11855E06F749}"/>
    <cellStyle name="40% - Accent2 3 2 3" xfId="1085" xr:uid="{00000000-0005-0000-0000-0000B8040000}"/>
    <cellStyle name="40% - Accent2 3 2 3 2" xfId="3316" xr:uid="{00000000-0005-0000-0000-0000B9040000}"/>
    <cellStyle name="40% - Accent2 3 2 3 2 2" xfId="7539" xr:uid="{00000000-0005-0000-0000-0000BA040000}"/>
    <cellStyle name="40% - Accent2 3 2 3 2 2 2" xfId="15981" xr:uid="{7FE034EA-0098-460F-9206-58EF03A93BB5}"/>
    <cellStyle name="40% - Accent2 3 2 3 2 3" xfId="11763" xr:uid="{EE46B2BC-487E-4D7A-93D0-056A7F8F9964}"/>
    <cellStyle name="40% - Accent2 3 2 3 3" xfId="5394" xr:uid="{00000000-0005-0000-0000-0000BB040000}"/>
    <cellStyle name="40% - Accent2 3 2 3 3 2" xfId="13836" xr:uid="{43C99517-D63F-487D-8899-CABF8AA8738A}"/>
    <cellStyle name="40% - Accent2 3 2 3 4" xfId="9618" xr:uid="{779F7B76-23E0-4F89-9F0A-9175D59B9F67}"/>
    <cellStyle name="40% - Accent2 3 2 4" xfId="1499" xr:uid="{00000000-0005-0000-0000-0000BC040000}"/>
    <cellStyle name="40% - Accent2 3 2 4 2" xfId="3729" xr:uid="{00000000-0005-0000-0000-0000BD040000}"/>
    <cellStyle name="40% - Accent2 3 2 4 2 2" xfId="7952" xr:uid="{00000000-0005-0000-0000-0000BE040000}"/>
    <cellStyle name="40% - Accent2 3 2 4 2 2 2" xfId="16394" xr:uid="{052FBCB7-FAD6-4BC5-8A1A-78FD395290E1}"/>
    <cellStyle name="40% - Accent2 3 2 4 2 3" xfId="12176" xr:uid="{23956B37-0C70-44FC-A059-D4D3233C6320}"/>
    <cellStyle name="40% - Accent2 3 2 4 3" xfId="5807" xr:uid="{00000000-0005-0000-0000-0000BF040000}"/>
    <cellStyle name="40% - Accent2 3 2 4 3 2" xfId="14249" xr:uid="{F02EECA7-4476-453D-A911-5EF06D389CE4}"/>
    <cellStyle name="40% - Accent2 3 2 4 4" xfId="10031" xr:uid="{4A97A5FC-BCA3-48B1-AAC7-EEFF44A31E41}"/>
    <cellStyle name="40% - Accent2 3 2 5" xfId="1913" xr:uid="{00000000-0005-0000-0000-0000C0040000}"/>
    <cellStyle name="40% - Accent2 3 2 5 2" xfId="4142" xr:uid="{00000000-0005-0000-0000-0000C1040000}"/>
    <cellStyle name="40% - Accent2 3 2 5 2 2" xfId="8365" xr:uid="{00000000-0005-0000-0000-0000C2040000}"/>
    <cellStyle name="40% - Accent2 3 2 5 2 2 2" xfId="16807" xr:uid="{3E33CF46-18AD-4CA7-B70F-96B444A83631}"/>
    <cellStyle name="40% - Accent2 3 2 5 2 3" xfId="12589" xr:uid="{2598A753-E8CB-4610-8D48-D1F4FC72C31C}"/>
    <cellStyle name="40% - Accent2 3 2 5 3" xfId="6220" xr:uid="{00000000-0005-0000-0000-0000C3040000}"/>
    <cellStyle name="40% - Accent2 3 2 5 3 2" xfId="14662" xr:uid="{616D8BEA-8F3C-4E8F-8EFC-CE32191247F7}"/>
    <cellStyle name="40% - Accent2 3 2 5 4" xfId="10444" xr:uid="{09FF0170-0332-4353-B3E0-B3768634B748}"/>
    <cellStyle name="40% - Accent2 3 2 6" xfId="2326" xr:uid="{00000000-0005-0000-0000-0000C4040000}"/>
    <cellStyle name="40% - Accent2 3 2 6 2" xfId="6633" xr:uid="{00000000-0005-0000-0000-0000C5040000}"/>
    <cellStyle name="40% - Accent2 3 2 6 2 2" xfId="15075" xr:uid="{C1512EE9-701B-49EA-9119-D08C0A5E63CA}"/>
    <cellStyle name="40% - Accent2 3 2 6 3" xfId="10857" xr:uid="{7124434C-1C8D-4583-8C05-CBC05B647419}"/>
    <cellStyle name="40% - Accent2 3 2 7" xfId="4567" xr:uid="{00000000-0005-0000-0000-0000C6040000}"/>
    <cellStyle name="40% - Accent2 3 2 7 2" xfId="13009" xr:uid="{77858D22-09DF-4327-9F4A-49AB8F7F955B}"/>
    <cellStyle name="40% - Accent2 3 2 8" xfId="8791" xr:uid="{4C5E4E3B-A8CC-4632-B1DF-D8CB14F2CE9E}"/>
    <cellStyle name="40% - Accent2 3 3" xfId="631" xr:uid="{00000000-0005-0000-0000-0000C7040000}"/>
    <cellStyle name="40% - Accent2 3 3 2" xfId="2902" xr:uid="{00000000-0005-0000-0000-0000C8040000}"/>
    <cellStyle name="40% - Accent2 3 3 2 2" xfId="7125" xr:uid="{00000000-0005-0000-0000-0000C9040000}"/>
    <cellStyle name="40% - Accent2 3 3 2 2 2" xfId="15567" xr:uid="{C6A009BE-21E9-461A-8B61-0F1DD4C0BBA5}"/>
    <cellStyle name="40% - Accent2 3 3 2 3" xfId="11349" xr:uid="{97093332-D215-46CC-9E15-36333CA8D108}"/>
    <cellStyle name="40% - Accent2 3 3 3" xfId="4980" xr:uid="{00000000-0005-0000-0000-0000CA040000}"/>
    <cellStyle name="40% - Accent2 3 3 3 2" xfId="13422" xr:uid="{C8F6280F-06A9-4D21-B9BB-71B6597E90B3}"/>
    <cellStyle name="40% - Accent2 3 3 4" xfId="9204" xr:uid="{BDF053B3-4565-484F-A978-D2E506D45302}"/>
    <cellStyle name="40% - Accent2 3 4" xfId="1084" xr:uid="{00000000-0005-0000-0000-0000CB040000}"/>
    <cellStyle name="40% - Accent2 3 4 2" xfId="3315" xr:uid="{00000000-0005-0000-0000-0000CC040000}"/>
    <cellStyle name="40% - Accent2 3 4 2 2" xfId="7538" xr:uid="{00000000-0005-0000-0000-0000CD040000}"/>
    <cellStyle name="40% - Accent2 3 4 2 2 2" xfId="15980" xr:uid="{4EFA3C72-2D64-44D2-8146-3F28BB62901B}"/>
    <cellStyle name="40% - Accent2 3 4 2 3" xfId="11762" xr:uid="{981B42AE-0F0F-49C2-9F47-A4C9C1C68905}"/>
    <cellStyle name="40% - Accent2 3 4 3" xfId="5393" xr:uid="{00000000-0005-0000-0000-0000CE040000}"/>
    <cellStyle name="40% - Accent2 3 4 3 2" xfId="13835" xr:uid="{1C487285-53C4-40C3-9DF3-EEACAB4E2212}"/>
    <cellStyle name="40% - Accent2 3 4 4" xfId="9617" xr:uid="{F1366ED4-0BFB-41E9-B91E-F0B2768D639B}"/>
    <cellStyle name="40% - Accent2 3 5" xfId="1498" xr:uid="{00000000-0005-0000-0000-0000CF040000}"/>
    <cellStyle name="40% - Accent2 3 5 2" xfId="3728" xr:uid="{00000000-0005-0000-0000-0000D0040000}"/>
    <cellStyle name="40% - Accent2 3 5 2 2" xfId="7951" xr:uid="{00000000-0005-0000-0000-0000D1040000}"/>
    <cellStyle name="40% - Accent2 3 5 2 2 2" xfId="16393" xr:uid="{9C4549BE-2FAF-47C2-BBB6-431670FAD6C4}"/>
    <cellStyle name="40% - Accent2 3 5 2 3" xfId="12175" xr:uid="{61B0B7B6-5F4B-4F00-A0B5-E64CFA5732B8}"/>
    <cellStyle name="40% - Accent2 3 5 3" xfId="5806" xr:uid="{00000000-0005-0000-0000-0000D2040000}"/>
    <cellStyle name="40% - Accent2 3 5 3 2" xfId="14248" xr:uid="{92EE5EC0-2457-4BC8-904E-67C608924657}"/>
    <cellStyle name="40% - Accent2 3 5 4" xfId="10030" xr:uid="{79BDFDE5-80A9-444B-BF82-D3AAFA981243}"/>
    <cellStyle name="40% - Accent2 3 6" xfId="1912" xr:uid="{00000000-0005-0000-0000-0000D3040000}"/>
    <cellStyle name="40% - Accent2 3 6 2" xfId="4141" xr:uid="{00000000-0005-0000-0000-0000D4040000}"/>
    <cellStyle name="40% - Accent2 3 6 2 2" xfId="8364" xr:uid="{00000000-0005-0000-0000-0000D5040000}"/>
    <cellStyle name="40% - Accent2 3 6 2 2 2" xfId="16806" xr:uid="{9E4C372F-4926-4AF2-829E-3C517DB78645}"/>
    <cellStyle name="40% - Accent2 3 6 2 3" xfId="12588" xr:uid="{B38CEFAA-17AD-4657-9CCD-2184D9AFEE08}"/>
    <cellStyle name="40% - Accent2 3 6 3" xfId="6219" xr:uid="{00000000-0005-0000-0000-0000D6040000}"/>
    <cellStyle name="40% - Accent2 3 6 3 2" xfId="14661" xr:uid="{ABB6971B-13E7-46AE-9177-350F371440C3}"/>
    <cellStyle name="40% - Accent2 3 6 4" xfId="10443" xr:uid="{BE942BFB-FF25-4091-83C6-824B1589A869}"/>
    <cellStyle name="40% - Accent2 3 7" xfId="2325" xr:uid="{00000000-0005-0000-0000-0000D7040000}"/>
    <cellStyle name="40% - Accent2 3 7 2" xfId="6632" xr:uid="{00000000-0005-0000-0000-0000D8040000}"/>
    <cellStyle name="40% - Accent2 3 7 2 2" xfId="15074" xr:uid="{C5A8A495-DB2E-4DA0-8B10-BE669A4A9C20}"/>
    <cellStyle name="40% - Accent2 3 7 3" xfId="10856" xr:uid="{09C703F9-D7B0-45A8-BEC2-FBD40C27C7EE}"/>
    <cellStyle name="40% - Accent2 3 8" xfId="4566" xr:uid="{00000000-0005-0000-0000-0000D9040000}"/>
    <cellStyle name="40% - Accent2 3 8 2" xfId="13008" xr:uid="{8238985D-6F66-4668-A2EC-57B10131A244}"/>
    <cellStyle name="40% - Accent2 3 9" xfId="8790" xr:uid="{A3BD69DE-6167-4A65-BF82-33173D741C87}"/>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2 2 2" xfId="15569" xr:uid="{F4D632C2-74A4-49BA-8F75-E6152E399B01}"/>
    <cellStyle name="40% - Accent2 4 2 2 3" xfId="11351" xr:uid="{2D9A7182-EB56-4160-8EB0-14DEE2E15935}"/>
    <cellStyle name="40% - Accent2 4 2 3" xfId="4982" xr:uid="{00000000-0005-0000-0000-0000DE040000}"/>
    <cellStyle name="40% - Accent2 4 2 3 2" xfId="13424" xr:uid="{7C00900B-3E85-404A-89FE-FF9BCF7F7283}"/>
    <cellStyle name="40% - Accent2 4 2 4" xfId="9206" xr:uid="{B8A265D1-9312-43E5-B90D-4FFFAC54A945}"/>
    <cellStyle name="40% - Accent2 4 3" xfId="1086" xr:uid="{00000000-0005-0000-0000-0000DF040000}"/>
    <cellStyle name="40% - Accent2 4 3 2" xfId="3317" xr:uid="{00000000-0005-0000-0000-0000E0040000}"/>
    <cellStyle name="40% - Accent2 4 3 2 2" xfId="7540" xr:uid="{00000000-0005-0000-0000-0000E1040000}"/>
    <cellStyle name="40% - Accent2 4 3 2 2 2" xfId="15982" xr:uid="{DF0B667C-04E3-46FD-B926-F6DF325E6E52}"/>
    <cellStyle name="40% - Accent2 4 3 2 3" xfId="11764" xr:uid="{572CCB8C-8308-4100-895E-07C514E0867C}"/>
    <cellStyle name="40% - Accent2 4 3 3" xfId="5395" xr:uid="{00000000-0005-0000-0000-0000E2040000}"/>
    <cellStyle name="40% - Accent2 4 3 3 2" xfId="13837" xr:uid="{98558201-6022-48EF-85E8-C364D1FDE209}"/>
    <cellStyle name="40% - Accent2 4 3 4" xfId="9619" xr:uid="{F9C26E84-C16A-4F0E-B73F-B9A47E46FA1F}"/>
    <cellStyle name="40% - Accent2 4 4" xfId="1500" xr:uid="{00000000-0005-0000-0000-0000E3040000}"/>
    <cellStyle name="40% - Accent2 4 4 2" xfId="3730" xr:uid="{00000000-0005-0000-0000-0000E4040000}"/>
    <cellStyle name="40% - Accent2 4 4 2 2" xfId="7953" xr:uid="{00000000-0005-0000-0000-0000E5040000}"/>
    <cellStyle name="40% - Accent2 4 4 2 2 2" xfId="16395" xr:uid="{EC554494-E888-4745-8C9B-0B2ED3958B6F}"/>
    <cellStyle name="40% - Accent2 4 4 2 3" xfId="12177" xr:uid="{FA9506A1-0FEA-4A83-975C-D4E9AF1B6F97}"/>
    <cellStyle name="40% - Accent2 4 4 3" xfId="5808" xr:uid="{00000000-0005-0000-0000-0000E6040000}"/>
    <cellStyle name="40% - Accent2 4 4 3 2" xfId="14250" xr:uid="{4DE21069-AF84-4F0B-B6DE-6630DCEECC66}"/>
    <cellStyle name="40% - Accent2 4 4 4" xfId="10032" xr:uid="{AF2BE37E-9388-43A4-B25B-AEDEC4EC7A8D}"/>
    <cellStyle name="40% - Accent2 4 5" xfId="1914" xr:uid="{00000000-0005-0000-0000-0000E7040000}"/>
    <cellStyle name="40% - Accent2 4 5 2" xfId="4143" xr:uid="{00000000-0005-0000-0000-0000E8040000}"/>
    <cellStyle name="40% - Accent2 4 5 2 2" xfId="8366" xr:uid="{00000000-0005-0000-0000-0000E9040000}"/>
    <cellStyle name="40% - Accent2 4 5 2 2 2" xfId="16808" xr:uid="{978F435C-6FEC-42E0-802C-8B91EF320E16}"/>
    <cellStyle name="40% - Accent2 4 5 2 3" xfId="12590" xr:uid="{856AAA3C-B18B-4045-A0AE-BBB82CE48C1E}"/>
    <cellStyle name="40% - Accent2 4 5 3" xfId="6221" xr:uid="{00000000-0005-0000-0000-0000EA040000}"/>
    <cellStyle name="40% - Accent2 4 5 3 2" xfId="14663" xr:uid="{76B1AD10-0018-468E-AE6A-561093646CFB}"/>
    <cellStyle name="40% - Accent2 4 5 4" xfId="10445" xr:uid="{6D8420C1-F7A0-45EE-AE56-8EA5E4406DDC}"/>
    <cellStyle name="40% - Accent2 4 6" xfId="2327" xr:uid="{00000000-0005-0000-0000-0000EB040000}"/>
    <cellStyle name="40% - Accent2 4 6 2" xfId="6634" xr:uid="{00000000-0005-0000-0000-0000EC040000}"/>
    <cellStyle name="40% - Accent2 4 6 2 2" xfId="15076" xr:uid="{BBBC2E0C-080C-4866-A092-374F749A2301}"/>
    <cellStyle name="40% - Accent2 4 6 3" xfId="10858" xr:uid="{AF3EB309-92EA-4920-8A91-5DBECF67D854}"/>
    <cellStyle name="40% - Accent2 4 7" xfId="4568" xr:uid="{00000000-0005-0000-0000-0000ED040000}"/>
    <cellStyle name="40% - Accent2 4 7 2" xfId="13010" xr:uid="{BFFFE310-CC7F-407A-BDB8-A511B8CCBCA9}"/>
    <cellStyle name="40% - Accent2 4 8" xfId="8792" xr:uid="{4B0AD0CA-414E-4B8B-9887-4F041AEB3FCC}"/>
    <cellStyle name="40% - Accent2 5" xfId="626" xr:uid="{00000000-0005-0000-0000-0000EE040000}"/>
    <cellStyle name="40% - Accent2 5 2" xfId="2897" xr:uid="{00000000-0005-0000-0000-0000EF040000}"/>
    <cellStyle name="40% - Accent2 5 2 2" xfId="7120" xr:uid="{00000000-0005-0000-0000-0000F0040000}"/>
    <cellStyle name="40% - Accent2 5 2 2 2" xfId="15562" xr:uid="{4B57365D-2B7B-4D44-8FEC-A17882E22F31}"/>
    <cellStyle name="40% - Accent2 5 2 3" xfId="11344" xr:uid="{AA42122E-6B86-4AF0-AD59-A4D28A0736B5}"/>
    <cellStyle name="40% - Accent2 5 3" xfId="4975" xr:uid="{00000000-0005-0000-0000-0000F1040000}"/>
    <cellStyle name="40% - Accent2 5 3 2" xfId="13417" xr:uid="{2F319DE1-56DA-4D51-A763-441F5B7E98AA}"/>
    <cellStyle name="40% - Accent2 5 4" xfId="9199" xr:uid="{891DC963-A98D-4956-9796-417413C24155}"/>
    <cellStyle name="40% - Accent2 6" xfId="1079" xr:uid="{00000000-0005-0000-0000-0000F2040000}"/>
    <cellStyle name="40% - Accent2 6 2" xfId="3310" xr:uid="{00000000-0005-0000-0000-0000F3040000}"/>
    <cellStyle name="40% - Accent2 6 2 2" xfId="7533" xr:uid="{00000000-0005-0000-0000-0000F4040000}"/>
    <cellStyle name="40% - Accent2 6 2 2 2" xfId="15975" xr:uid="{07C3A8FF-9BD4-469E-BDDB-9F23BF181905}"/>
    <cellStyle name="40% - Accent2 6 2 3" xfId="11757" xr:uid="{6E53307E-E511-4B83-88C4-75719977DE52}"/>
    <cellStyle name="40% - Accent2 6 3" xfId="5388" xr:uid="{00000000-0005-0000-0000-0000F5040000}"/>
    <cellStyle name="40% - Accent2 6 3 2" xfId="13830" xr:uid="{1CFF44D9-0F83-4627-9590-24DBD6E39BF7}"/>
    <cellStyle name="40% - Accent2 6 4" xfId="9612" xr:uid="{CE7BD938-3480-4DB8-A28B-42E0BEA9EE4D}"/>
    <cellStyle name="40% - Accent2 7" xfId="1493" xr:uid="{00000000-0005-0000-0000-0000F6040000}"/>
    <cellStyle name="40% - Accent2 7 2" xfId="3723" xr:uid="{00000000-0005-0000-0000-0000F7040000}"/>
    <cellStyle name="40% - Accent2 7 2 2" xfId="7946" xr:uid="{00000000-0005-0000-0000-0000F8040000}"/>
    <cellStyle name="40% - Accent2 7 2 2 2" xfId="16388" xr:uid="{68E2603B-0DFF-4C01-A074-024ADA86F6E1}"/>
    <cellStyle name="40% - Accent2 7 2 3" xfId="12170" xr:uid="{DAF520D9-71AA-4072-A496-EA4192C096B4}"/>
    <cellStyle name="40% - Accent2 7 3" xfId="5801" xr:uid="{00000000-0005-0000-0000-0000F9040000}"/>
    <cellStyle name="40% - Accent2 7 3 2" xfId="14243" xr:uid="{F1380B1C-6DC0-42E3-BA1D-5F0D14FEA897}"/>
    <cellStyle name="40% - Accent2 7 4" xfId="10025" xr:uid="{308DA888-CE5C-42B5-8D14-8997FC9C9B3C}"/>
    <cellStyle name="40% - Accent2 8" xfId="1907" xr:uid="{00000000-0005-0000-0000-0000FA040000}"/>
    <cellStyle name="40% - Accent2 8 2" xfId="4136" xr:uid="{00000000-0005-0000-0000-0000FB040000}"/>
    <cellStyle name="40% - Accent2 8 2 2" xfId="8359" xr:uid="{00000000-0005-0000-0000-0000FC040000}"/>
    <cellStyle name="40% - Accent2 8 2 2 2" xfId="16801" xr:uid="{E62E3AE4-0A71-410C-9A95-E8BC0CF2EEB2}"/>
    <cellStyle name="40% - Accent2 8 2 3" xfId="12583" xr:uid="{DC20CE89-BB3B-4FA6-8D35-054EF5D11D03}"/>
    <cellStyle name="40% - Accent2 8 3" xfId="6214" xr:uid="{00000000-0005-0000-0000-0000FD040000}"/>
    <cellStyle name="40% - Accent2 8 3 2" xfId="14656" xr:uid="{69867C60-CCBD-4EAB-A836-F07C7C949019}"/>
    <cellStyle name="40% - Accent2 8 4" xfId="10438" xr:uid="{9D391949-B565-49C5-AB6C-01FC20562AD7}"/>
    <cellStyle name="40% - Accent2 9" xfId="2320" xr:uid="{00000000-0005-0000-0000-0000FE040000}"/>
    <cellStyle name="40% - Accent2 9 2" xfId="6627" xr:uid="{00000000-0005-0000-0000-0000FF040000}"/>
    <cellStyle name="40% - Accent2 9 2 2" xfId="15069" xr:uid="{DF4E8DE5-0F83-4752-9522-F4388C9762FD}"/>
    <cellStyle name="40% - Accent2 9 3" xfId="10851" xr:uid="{D1891069-DE2A-42EF-8C74-FD7651A8C0B4}"/>
    <cellStyle name="40% - Accent3" xfId="65" builtinId="39" customBuiltin="1"/>
    <cellStyle name="40% - Accent3 10" xfId="4569" xr:uid="{00000000-0005-0000-0000-000001050000}"/>
    <cellStyle name="40% - Accent3 10 2" xfId="13011" xr:uid="{E939E0FB-BB24-48F0-8F48-7AF46B792C2E}"/>
    <cellStyle name="40% - Accent3 11" xfId="8793" xr:uid="{ABF8DD1E-8779-4610-8BB0-4A0D3ED1C3D5}"/>
    <cellStyle name="40% - Accent3 2" xfId="66" xr:uid="{00000000-0005-0000-0000-000002050000}"/>
    <cellStyle name="40% - Accent3 2 10" xfId="8794" xr:uid="{EFF93640-5957-4594-91B3-4380B1014488}"/>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2 2 2" xfId="15573" xr:uid="{789AFE39-633E-4CEF-8ED7-198FA13DFB74}"/>
    <cellStyle name="40% - Accent3 2 2 2 2 2 3" xfId="11355" xr:uid="{B2F5E129-0C19-4083-B7D2-5E179BF0057E}"/>
    <cellStyle name="40% - Accent3 2 2 2 2 3" xfId="4986" xr:uid="{00000000-0005-0000-0000-000008050000}"/>
    <cellStyle name="40% - Accent3 2 2 2 2 3 2" xfId="13428" xr:uid="{BDC58455-F6EE-4E33-ACF0-7AC595D3E2AD}"/>
    <cellStyle name="40% - Accent3 2 2 2 2 4" xfId="9210" xr:uid="{A77CC6D4-44EF-4C8C-AA44-6C036BDAFD2F}"/>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2 2 2" xfId="15986" xr:uid="{BF4495E1-DA7F-4D2C-B55A-2314AEB655F4}"/>
    <cellStyle name="40% - Accent3 2 2 2 3 2 3" xfId="11768" xr:uid="{F3C92783-2A46-48B3-B562-AB33ABE54A05}"/>
    <cellStyle name="40% - Accent3 2 2 2 3 3" xfId="5399" xr:uid="{00000000-0005-0000-0000-00000C050000}"/>
    <cellStyle name="40% - Accent3 2 2 2 3 3 2" xfId="13841" xr:uid="{1D468A67-1112-427D-BC9C-B3E918A66FBD}"/>
    <cellStyle name="40% - Accent3 2 2 2 3 4" xfId="9623" xr:uid="{696F3F80-58CF-4738-A766-ECB0B24F44AB}"/>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2 2 2" xfId="16399" xr:uid="{BC23FB0C-580E-4CCF-BFC7-09CB853531E0}"/>
    <cellStyle name="40% - Accent3 2 2 2 4 2 3" xfId="12181" xr:uid="{EFE05720-A182-41D3-B580-89EE2BBC0EBA}"/>
    <cellStyle name="40% - Accent3 2 2 2 4 3" xfId="5812" xr:uid="{00000000-0005-0000-0000-000010050000}"/>
    <cellStyle name="40% - Accent3 2 2 2 4 3 2" xfId="14254" xr:uid="{97D849F6-C45D-4838-87CE-656D9BAEB548}"/>
    <cellStyle name="40% - Accent3 2 2 2 4 4" xfId="10036" xr:uid="{03EBD1E7-7C61-40AE-B036-2246E5775D2F}"/>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2 2 2" xfId="16812" xr:uid="{0D43FD2A-6E1F-4233-B396-30EBDEE5A972}"/>
    <cellStyle name="40% - Accent3 2 2 2 5 2 3" xfId="12594" xr:uid="{38DC9128-C53E-4A50-B1F9-D4703CAE5907}"/>
    <cellStyle name="40% - Accent3 2 2 2 5 3" xfId="6225" xr:uid="{00000000-0005-0000-0000-000014050000}"/>
    <cellStyle name="40% - Accent3 2 2 2 5 3 2" xfId="14667" xr:uid="{2BE53B93-3D48-44B6-8B4C-BF744B6F7F92}"/>
    <cellStyle name="40% - Accent3 2 2 2 5 4" xfId="10449" xr:uid="{016F12C3-C5FB-4AF0-A428-C84F334909AC}"/>
    <cellStyle name="40% - Accent3 2 2 2 6" xfId="2331" xr:uid="{00000000-0005-0000-0000-000015050000}"/>
    <cellStyle name="40% - Accent3 2 2 2 6 2" xfId="6638" xr:uid="{00000000-0005-0000-0000-000016050000}"/>
    <cellStyle name="40% - Accent3 2 2 2 6 2 2" xfId="15080" xr:uid="{D1B8B24D-EA21-4D73-A0B9-E76ABA7CB2FB}"/>
    <cellStyle name="40% - Accent3 2 2 2 6 3" xfId="10862" xr:uid="{651AA880-86B8-4699-8A3A-2B490E5B3429}"/>
    <cellStyle name="40% - Accent3 2 2 2 7" xfId="4572" xr:uid="{00000000-0005-0000-0000-000017050000}"/>
    <cellStyle name="40% - Accent3 2 2 2 7 2" xfId="13014" xr:uid="{94DE0CFF-2EC0-4ABA-A159-09040265B85A}"/>
    <cellStyle name="40% - Accent3 2 2 2 8" xfId="8796" xr:uid="{6E511D28-0727-405A-9379-98E8010099C5}"/>
    <cellStyle name="40% - Accent3 2 2 3" xfId="636" xr:uid="{00000000-0005-0000-0000-000018050000}"/>
    <cellStyle name="40% - Accent3 2 2 3 2" xfId="2907" xr:uid="{00000000-0005-0000-0000-000019050000}"/>
    <cellStyle name="40% - Accent3 2 2 3 2 2" xfId="7130" xr:uid="{00000000-0005-0000-0000-00001A050000}"/>
    <cellStyle name="40% - Accent3 2 2 3 2 2 2" xfId="15572" xr:uid="{11BF8136-9067-4742-AF06-8491B0D6738D}"/>
    <cellStyle name="40% - Accent3 2 2 3 2 3" xfId="11354" xr:uid="{B12AADAB-FF74-456A-BC76-3C6F958A3BE9}"/>
    <cellStyle name="40% - Accent3 2 2 3 3" xfId="4985" xr:uid="{00000000-0005-0000-0000-00001B050000}"/>
    <cellStyle name="40% - Accent3 2 2 3 3 2" xfId="13427" xr:uid="{613AB750-8BE7-416B-BCC8-95B75D61FC36}"/>
    <cellStyle name="40% - Accent3 2 2 3 4" xfId="9209" xr:uid="{BE729E23-4900-428F-B973-1A6660C4F0D5}"/>
    <cellStyle name="40% - Accent3 2 2 4" xfId="1089" xr:uid="{00000000-0005-0000-0000-00001C050000}"/>
    <cellStyle name="40% - Accent3 2 2 4 2" xfId="3320" xr:uid="{00000000-0005-0000-0000-00001D050000}"/>
    <cellStyle name="40% - Accent3 2 2 4 2 2" xfId="7543" xr:uid="{00000000-0005-0000-0000-00001E050000}"/>
    <cellStyle name="40% - Accent3 2 2 4 2 2 2" xfId="15985" xr:uid="{554831A8-7443-4CA5-9F65-7C5AA043B015}"/>
    <cellStyle name="40% - Accent3 2 2 4 2 3" xfId="11767" xr:uid="{E5AA3D53-34ED-47B4-810F-5EEC844E0A8C}"/>
    <cellStyle name="40% - Accent3 2 2 4 3" xfId="5398" xr:uid="{00000000-0005-0000-0000-00001F050000}"/>
    <cellStyle name="40% - Accent3 2 2 4 3 2" xfId="13840" xr:uid="{9429BED4-9A07-449C-BEA4-490D65D1F59A}"/>
    <cellStyle name="40% - Accent3 2 2 4 4" xfId="9622" xr:uid="{C44C4574-9A3D-4476-BE84-D844E0F5E7DB}"/>
    <cellStyle name="40% - Accent3 2 2 5" xfId="1503" xr:uid="{00000000-0005-0000-0000-000020050000}"/>
    <cellStyle name="40% - Accent3 2 2 5 2" xfId="3733" xr:uid="{00000000-0005-0000-0000-000021050000}"/>
    <cellStyle name="40% - Accent3 2 2 5 2 2" xfId="7956" xr:uid="{00000000-0005-0000-0000-000022050000}"/>
    <cellStyle name="40% - Accent3 2 2 5 2 2 2" xfId="16398" xr:uid="{2E04F8CF-50FD-4A33-8962-ABF71B3A7A29}"/>
    <cellStyle name="40% - Accent3 2 2 5 2 3" xfId="12180" xr:uid="{B10D580E-D869-4794-BBE9-06E1FD6187E3}"/>
    <cellStyle name="40% - Accent3 2 2 5 3" xfId="5811" xr:uid="{00000000-0005-0000-0000-000023050000}"/>
    <cellStyle name="40% - Accent3 2 2 5 3 2" xfId="14253" xr:uid="{41B9F2FB-57C0-4C2B-A6A6-C1FCF999E43E}"/>
    <cellStyle name="40% - Accent3 2 2 5 4" xfId="10035" xr:uid="{E614B4FA-A6DE-43BD-A0DC-EF06745BF70D}"/>
    <cellStyle name="40% - Accent3 2 2 6" xfId="1917" xr:uid="{00000000-0005-0000-0000-000024050000}"/>
    <cellStyle name="40% - Accent3 2 2 6 2" xfId="4146" xr:uid="{00000000-0005-0000-0000-000025050000}"/>
    <cellStyle name="40% - Accent3 2 2 6 2 2" xfId="8369" xr:uid="{00000000-0005-0000-0000-000026050000}"/>
    <cellStyle name="40% - Accent3 2 2 6 2 2 2" xfId="16811" xr:uid="{3B024DFD-0FCB-4EA3-B159-E3F812DDD91F}"/>
    <cellStyle name="40% - Accent3 2 2 6 2 3" xfId="12593" xr:uid="{98808319-F571-4243-A17F-D060B94C8C5E}"/>
    <cellStyle name="40% - Accent3 2 2 6 3" xfId="6224" xr:uid="{00000000-0005-0000-0000-000027050000}"/>
    <cellStyle name="40% - Accent3 2 2 6 3 2" xfId="14666" xr:uid="{11B25806-4AEA-4220-98D5-64BB4815CE57}"/>
    <cellStyle name="40% - Accent3 2 2 6 4" xfId="10448" xr:uid="{FF86990D-1E6F-453A-8268-C1C22DA1983A}"/>
    <cellStyle name="40% - Accent3 2 2 7" xfId="2330" xr:uid="{00000000-0005-0000-0000-000028050000}"/>
    <cellStyle name="40% - Accent3 2 2 7 2" xfId="6637" xr:uid="{00000000-0005-0000-0000-000029050000}"/>
    <cellStyle name="40% - Accent3 2 2 7 2 2" xfId="15079" xr:uid="{E8F0558A-6498-42A5-A56A-BCF5FDC90036}"/>
    <cellStyle name="40% - Accent3 2 2 7 3" xfId="10861" xr:uid="{242050C7-C36E-4DB5-BD52-EFBE74B2E50B}"/>
    <cellStyle name="40% - Accent3 2 2 8" xfId="4571" xr:uid="{00000000-0005-0000-0000-00002A050000}"/>
    <cellStyle name="40% - Accent3 2 2 8 2" xfId="13013" xr:uid="{4C56192B-9716-49EA-AFFD-18F08ED4575E}"/>
    <cellStyle name="40% - Accent3 2 2 9" xfId="8795" xr:uid="{1AF28A46-67DC-46AF-88A1-D5A0D548F094}"/>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2 2 2" xfId="15574" xr:uid="{BE2ED182-CFBE-494F-A3CD-B430661AF6DA}"/>
    <cellStyle name="40% - Accent3 2 3 2 2 3" xfId="11356" xr:uid="{73D6297D-889B-4ACB-AD41-A059A95B1AD8}"/>
    <cellStyle name="40% - Accent3 2 3 2 3" xfId="4987" xr:uid="{00000000-0005-0000-0000-00002F050000}"/>
    <cellStyle name="40% - Accent3 2 3 2 3 2" xfId="13429" xr:uid="{837C36B4-8FFD-47BF-BEAC-E1CE85C33930}"/>
    <cellStyle name="40% - Accent3 2 3 2 4" xfId="9211" xr:uid="{DE41B63A-3074-40CC-9E52-0CB1EF22CE73}"/>
    <cellStyle name="40% - Accent3 2 3 3" xfId="1091" xr:uid="{00000000-0005-0000-0000-000030050000}"/>
    <cellStyle name="40% - Accent3 2 3 3 2" xfId="3322" xr:uid="{00000000-0005-0000-0000-000031050000}"/>
    <cellStyle name="40% - Accent3 2 3 3 2 2" xfId="7545" xr:uid="{00000000-0005-0000-0000-000032050000}"/>
    <cellStyle name="40% - Accent3 2 3 3 2 2 2" xfId="15987" xr:uid="{3ED99C84-52C2-40D9-9452-8040D1C8D18D}"/>
    <cellStyle name="40% - Accent3 2 3 3 2 3" xfId="11769" xr:uid="{50963EA2-65D6-48BC-A3C6-CAEA4DC430D0}"/>
    <cellStyle name="40% - Accent3 2 3 3 3" xfId="5400" xr:uid="{00000000-0005-0000-0000-000033050000}"/>
    <cellStyle name="40% - Accent3 2 3 3 3 2" xfId="13842" xr:uid="{A04CE404-67B7-49DD-BADE-383504C9513C}"/>
    <cellStyle name="40% - Accent3 2 3 3 4" xfId="9624" xr:uid="{77371A70-7841-413A-847F-2C0E75EAAFB8}"/>
    <cellStyle name="40% - Accent3 2 3 4" xfId="1505" xr:uid="{00000000-0005-0000-0000-000034050000}"/>
    <cellStyle name="40% - Accent3 2 3 4 2" xfId="3735" xr:uid="{00000000-0005-0000-0000-000035050000}"/>
    <cellStyle name="40% - Accent3 2 3 4 2 2" xfId="7958" xr:uid="{00000000-0005-0000-0000-000036050000}"/>
    <cellStyle name="40% - Accent3 2 3 4 2 2 2" xfId="16400" xr:uid="{01468F90-6B9F-4C25-BC28-81F3586CD15E}"/>
    <cellStyle name="40% - Accent3 2 3 4 2 3" xfId="12182" xr:uid="{43B7B5C9-721B-438F-923A-CF7B68809A4E}"/>
    <cellStyle name="40% - Accent3 2 3 4 3" xfId="5813" xr:uid="{00000000-0005-0000-0000-000037050000}"/>
    <cellStyle name="40% - Accent3 2 3 4 3 2" xfId="14255" xr:uid="{667D7485-A896-40CA-9CE4-715D3D5BCEF4}"/>
    <cellStyle name="40% - Accent3 2 3 4 4" xfId="10037" xr:uid="{AFB73DFE-F0A1-46DC-B9DE-58DEC6764054}"/>
    <cellStyle name="40% - Accent3 2 3 5" xfId="1919" xr:uid="{00000000-0005-0000-0000-000038050000}"/>
    <cellStyle name="40% - Accent3 2 3 5 2" xfId="4148" xr:uid="{00000000-0005-0000-0000-000039050000}"/>
    <cellStyle name="40% - Accent3 2 3 5 2 2" xfId="8371" xr:uid="{00000000-0005-0000-0000-00003A050000}"/>
    <cellStyle name="40% - Accent3 2 3 5 2 2 2" xfId="16813" xr:uid="{57BF7016-3D22-480C-AC1F-614AA8B04F07}"/>
    <cellStyle name="40% - Accent3 2 3 5 2 3" xfId="12595" xr:uid="{D26453BD-F737-4978-A7D7-256FD5CD6C96}"/>
    <cellStyle name="40% - Accent3 2 3 5 3" xfId="6226" xr:uid="{00000000-0005-0000-0000-00003B050000}"/>
    <cellStyle name="40% - Accent3 2 3 5 3 2" xfId="14668" xr:uid="{4B8A4D24-776F-4E79-A2E5-1E2DE36C621C}"/>
    <cellStyle name="40% - Accent3 2 3 5 4" xfId="10450" xr:uid="{B97D6F38-8232-408C-AD9A-5A2054C576D3}"/>
    <cellStyle name="40% - Accent3 2 3 6" xfId="2332" xr:uid="{00000000-0005-0000-0000-00003C050000}"/>
    <cellStyle name="40% - Accent3 2 3 6 2" xfId="6639" xr:uid="{00000000-0005-0000-0000-00003D050000}"/>
    <cellStyle name="40% - Accent3 2 3 6 2 2" xfId="15081" xr:uid="{A0581B5B-B891-41A1-A21A-47F6532D9A75}"/>
    <cellStyle name="40% - Accent3 2 3 6 3" xfId="10863" xr:uid="{1DDAE1C5-4206-4997-B463-3B439C341C18}"/>
    <cellStyle name="40% - Accent3 2 3 7" xfId="4573" xr:uid="{00000000-0005-0000-0000-00003E050000}"/>
    <cellStyle name="40% - Accent3 2 3 7 2" xfId="13015" xr:uid="{185D9635-1C9B-406E-8EC7-53AB9C47B501}"/>
    <cellStyle name="40% - Accent3 2 3 8" xfId="8797" xr:uid="{246D0D0C-228A-4BDA-AAEC-BFC01BCDAA06}"/>
    <cellStyle name="40% - Accent3 2 4" xfId="635" xr:uid="{00000000-0005-0000-0000-00003F050000}"/>
    <cellStyle name="40% - Accent3 2 4 2" xfId="2906" xr:uid="{00000000-0005-0000-0000-000040050000}"/>
    <cellStyle name="40% - Accent3 2 4 2 2" xfId="7129" xr:uid="{00000000-0005-0000-0000-000041050000}"/>
    <cellStyle name="40% - Accent3 2 4 2 2 2" xfId="15571" xr:uid="{00EBB76C-E9E7-4329-8E11-52085D666292}"/>
    <cellStyle name="40% - Accent3 2 4 2 3" xfId="11353" xr:uid="{E87727FB-65FF-4E6D-8BA5-32DE8559E245}"/>
    <cellStyle name="40% - Accent3 2 4 3" xfId="4984" xr:uid="{00000000-0005-0000-0000-000042050000}"/>
    <cellStyle name="40% - Accent3 2 4 3 2" xfId="13426" xr:uid="{4210DC5C-553C-4797-A17F-0317812B9BCC}"/>
    <cellStyle name="40% - Accent3 2 4 4" xfId="9208" xr:uid="{AE88DE3B-1E29-4ABD-824F-B3AFA2AF0634}"/>
    <cellStyle name="40% - Accent3 2 5" xfId="1088" xr:uid="{00000000-0005-0000-0000-000043050000}"/>
    <cellStyle name="40% - Accent3 2 5 2" xfId="3319" xr:uid="{00000000-0005-0000-0000-000044050000}"/>
    <cellStyle name="40% - Accent3 2 5 2 2" xfId="7542" xr:uid="{00000000-0005-0000-0000-000045050000}"/>
    <cellStyle name="40% - Accent3 2 5 2 2 2" xfId="15984" xr:uid="{67FDDC08-05E7-423C-B169-F5BA397DE6BB}"/>
    <cellStyle name="40% - Accent3 2 5 2 3" xfId="11766" xr:uid="{2710F1CE-3A5E-48B7-9235-E67761D2AE38}"/>
    <cellStyle name="40% - Accent3 2 5 3" xfId="5397" xr:uid="{00000000-0005-0000-0000-000046050000}"/>
    <cellStyle name="40% - Accent3 2 5 3 2" xfId="13839" xr:uid="{5DB1D8F9-9431-409B-A74E-FBB6D37144FB}"/>
    <cellStyle name="40% - Accent3 2 5 4" xfId="9621" xr:uid="{5799BDA7-DD20-4B56-8799-CD9DBE706A34}"/>
    <cellStyle name="40% - Accent3 2 6" xfId="1502" xr:uid="{00000000-0005-0000-0000-000047050000}"/>
    <cellStyle name="40% - Accent3 2 6 2" xfId="3732" xr:uid="{00000000-0005-0000-0000-000048050000}"/>
    <cellStyle name="40% - Accent3 2 6 2 2" xfId="7955" xr:uid="{00000000-0005-0000-0000-000049050000}"/>
    <cellStyle name="40% - Accent3 2 6 2 2 2" xfId="16397" xr:uid="{5B63100F-8B6D-45F6-8CDE-6E6090A2C940}"/>
    <cellStyle name="40% - Accent3 2 6 2 3" xfId="12179" xr:uid="{E4301785-0B8A-4D53-874B-CEE0E1ECD2A6}"/>
    <cellStyle name="40% - Accent3 2 6 3" xfId="5810" xr:uid="{00000000-0005-0000-0000-00004A050000}"/>
    <cellStyle name="40% - Accent3 2 6 3 2" xfId="14252" xr:uid="{223F58B5-B111-462F-86E1-801A999D520F}"/>
    <cellStyle name="40% - Accent3 2 6 4" xfId="10034" xr:uid="{63B06FA8-A4D5-4C88-BE1D-9E0EC559ACEB}"/>
    <cellStyle name="40% - Accent3 2 7" xfId="1916" xr:uid="{00000000-0005-0000-0000-00004B050000}"/>
    <cellStyle name="40% - Accent3 2 7 2" xfId="4145" xr:uid="{00000000-0005-0000-0000-00004C050000}"/>
    <cellStyle name="40% - Accent3 2 7 2 2" xfId="8368" xr:uid="{00000000-0005-0000-0000-00004D050000}"/>
    <cellStyle name="40% - Accent3 2 7 2 2 2" xfId="16810" xr:uid="{E06F6C70-479E-4A2E-96AF-18839937B32F}"/>
    <cellStyle name="40% - Accent3 2 7 2 3" xfId="12592" xr:uid="{1AFB8C5D-91ED-497F-BF62-130AD9EC7D28}"/>
    <cellStyle name="40% - Accent3 2 7 3" xfId="6223" xr:uid="{00000000-0005-0000-0000-00004E050000}"/>
    <cellStyle name="40% - Accent3 2 7 3 2" xfId="14665" xr:uid="{6CEE6729-5915-4392-AA70-2C1F1F760E7B}"/>
    <cellStyle name="40% - Accent3 2 7 4" xfId="10447" xr:uid="{89316BAC-03F5-4F40-94E1-8F6456DDF89B}"/>
    <cellStyle name="40% - Accent3 2 8" xfId="2329" xr:uid="{00000000-0005-0000-0000-00004F050000}"/>
    <cellStyle name="40% - Accent3 2 8 2" xfId="6636" xr:uid="{00000000-0005-0000-0000-000050050000}"/>
    <cellStyle name="40% - Accent3 2 8 2 2" xfId="15078" xr:uid="{6E693C52-C1E8-41BE-BBB4-F74159BEE0DB}"/>
    <cellStyle name="40% - Accent3 2 8 3" xfId="10860" xr:uid="{042AF9AE-FDB0-4C61-AC1D-827C3235320F}"/>
    <cellStyle name="40% - Accent3 2 9" xfId="4570" xr:uid="{00000000-0005-0000-0000-000051050000}"/>
    <cellStyle name="40% - Accent3 2 9 2" xfId="13012" xr:uid="{D3891EE7-B3A2-46E7-961A-F1DBB29BA573}"/>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2 2 2" xfId="15576" xr:uid="{4FF9304F-320E-4407-A6AF-7670312B7FB6}"/>
    <cellStyle name="40% - Accent3 3 2 2 2 3" xfId="11358" xr:uid="{81428072-7EC4-4549-B2B9-317F5B0471C2}"/>
    <cellStyle name="40% - Accent3 3 2 2 3" xfId="4989" xr:uid="{00000000-0005-0000-0000-000057050000}"/>
    <cellStyle name="40% - Accent3 3 2 2 3 2" xfId="13431" xr:uid="{DE4B88EA-2A30-4C3F-8019-8B682AC59BCB}"/>
    <cellStyle name="40% - Accent3 3 2 2 4" xfId="9213" xr:uid="{E25EB4A9-EF3C-4CF4-92F0-158D1809F471}"/>
    <cellStyle name="40% - Accent3 3 2 3" xfId="1093" xr:uid="{00000000-0005-0000-0000-000058050000}"/>
    <cellStyle name="40% - Accent3 3 2 3 2" xfId="3324" xr:uid="{00000000-0005-0000-0000-000059050000}"/>
    <cellStyle name="40% - Accent3 3 2 3 2 2" xfId="7547" xr:uid="{00000000-0005-0000-0000-00005A050000}"/>
    <cellStyle name="40% - Accent3 3 2 3 2 2 2" xfId="15989" xr:uid="{B22603A7-42F0-4541-9ABD-A57D48D901A6}"/>
    <cellStyle name="40% - Accent3 3 2 3 2 3" xfId="11771" xr:uid="{5689C57C-DCB2-4482-BC90-0BE58D45D768}"/>
    <cellStyle name="40% - Accent3 3 2 3 3" xfId="5402" xr:uid="{00000000-0005-0000-0000-00005B050000}"/>
    <cellStyle name="40% - Accent3 3 2 3 3 2" xfId="13844" xr:uid="{3DB728A1-6BEC-4F8C-837E-AF5B57A1C6FE}"/>
    <cellStyle name="40% - Accent3 3 2 3 4" xfId="9626" xr:uid="{DC1ABF8F-A050-4066-B03F-707248DE7EF2}"/>
    <cellStyle name="40% - Accent3 3 2 4" xfId="1507" xr:uid="{00000000-0005-0000-0000-00005C050000}"/>
    <cellStyle name="40% - Accent3 3 2 4 2" xfId="3737" xr:uid="{00000000-0005-0000-0000-00005D050000}"/>
    <cellStyle name="40% - Accent3 3 2 4 2 2" xfId="7960" xr:uid="{00000000-0005-0000-0000-00005E050000}"/>
    <cellStyle name="40% - Accent3 3 2 4 2 2 2" xfId="16402" xr:uid="{986FA56E-28E9-4669-BC5C-9B7F151D1261}"/>
    <cellStyle name="40% - Accent3 3 2 4 2 3" xfId="12184" xr:uid="{6C87484B-8F52-4846-8831-200D1E6F0A11}"/>
    <cellStyle name="40% - Accent3 3 2 4 3" xfId="5815" xr:uid="{00000000-0005-0000-0000-00005F050000}"/>
    <cellStyle name="40% - Accent3 3 2 4 3 2" xfId="14257" xr:uid="{B9E61AE3-3756-4B29-AFE7-0E190A2012DA}"/>
    <cellStyle name="40% - Accent3 3 2 4 4" xfId="10039" xr:uid="{E9A42ECF-EF7B-451C-927E-EC334133E402}"/>
    <cellStyle name="40% - Accent3 3 2 5" xfId="1921" xr:uid="{00000000-0005-0000-0000-000060050000}"/>
    <cellStyle name="40% - Accent3 3 2 5 2" xfId="4150" xr:uid="{00000000-0005-0000-0000-000061050000}"/>
    <cellStyle name="40% - Accent3 3 2 5 2 2" xfId="8373" xr:uid="{00000000-0005-0000-0000-000062050000}"/>
    <cellStyle name="40% - Accent3 3 2 5 2 2 2" xfId="16815" xr:uid="{EF429222-8E17-4E50-A520-9A1CF1235AF4}"/>
    <cellStyle name="40% - Accent3 3 2 5 2 3" xfId="12597" xr:uid="{FD23251E-C5A9-4534-974D-AA06769A2492}"/>
    <cellStyle name="40% - Accent3 3 2 5 3" xfId="6228" xr:uid="{00000000-0005-0000-0000-000063050000}"/>
    <cellStyle name="40% - Accent3 3 2 5 3 2" xfId="14670" xr:uid="{3D9F377B-4D91-4D48-A214-1717A1F74C64}"/>
    <cellStyle name="40% - Accent3 3 2 5 4" xfId="10452" xr:uid="{F6930F9F-F1E4-4835-96DD-5EA466D92D75}"/>
    <cellStyle name="40% - Accent3 3 2 6" xfId="2334" xr:uid="{00000000-0005-0000-0000-000064050000}"/>
    <cellStyle name="40% - Accent3 3 2 6 2" xfId="6641" xr:uid="{00000000-0005-0000-0000-000065050000}"/>
    <cellStyle name="40% - Accent3 3 2 6 2 2" xfId="15083" xr:uid="{A3027ED5-C022-4718-AA52-FCF4DCF11FE1}"/>
    <cellStyle name="40% - Accent3 3 2 6 3" xfId="10865" xr:uid="{2BBC9CE5-45E5-4F60-B2AF-DAB509AAA899}"/>
    <cellStyle name="40% - Accent3 3 2 7" xfId="4575" xr:uid="{00000000-0005-0000-0000-000066050000}"/>
    <cellStyle name="40% - Accent3 3 2 7 2" xfId="13017" xr:uid="{B8A8EE4C-26EB-4263-B459-EC3410BAD0F7}"/>
    <cellStyle name="40% - Accent3 3 2 8" xfId="8799" xr:uid="{6FCE2761-F3AE-48AB-8A3A-9536D7C9A536}"/>
    <cellStyle name="40% - Accent3 3 3" xfId="639" xr:uid="{00000000-0005-0000-0000-000067050000}"/>
    <cellStyle name="40% - Accent3 3 3 2" xfId="2910" xr:uid="{00000000-0005-0000-0000-000068050000}"/>
    <cellStyle name="40% - Accent3 3 3 2 2" xfId="7133" xr:uid="{00000000-0005-0000-0000-000069050000}"/>
    <cellStyle name="40% - Accent3 3 3 2 2 2" xfId="15575" xr:uid="{793F626D-EAE4-4C6A-9FA1-CB177E463390}"/>
    <cellStyle name="40% - Accent3 3 3 2 3" xfId="11357" xr:uid="{00A6EB46-A334-443C-B381-E28D58D158FC}"/>
    <cellStyle name="40% - Accent3 3 3 3" xfId="4988" xr:uid="{00000000-0005-0000-0000-00006A050000}"/>
    <cellStyle name="40% - Accent3 3 3 3 2" xfId="13430" xr:uid="{6949BB94-CC30-4B44-80AA-156706E77C0B}"/>
    <cellStyle name="40% - Accent3 3 3 4" xfId="9212" xr:uid="{2C7CD54C-A09E-4D88-AB71-72E7B6C248C3}"/>
    <cellStyle name="40% - Accent3 3 4" xfId="1092" xr:uid="{00000000-0005-0000-0000-00006B050000}"/>
    <cellStyle name="40% - Accent3 3 4 2" xfId="3323" xr:uid="{00000000-0005-0000-0000-00006C050000}"/>
    <cellStyle name="40% - Accent3 3 4 2 2" xfId="7546" xr:uid="{00000000-0005-0000-0000-00006D050000}"/>
    <cellStyle name="40% - Accent3 3 4 2 2 2" xfId="15988" xr:uid="{1CA9FDCE-0FCC-4ABD-9190-069FD3775115}"/>
    <cellStyle name="40% - Accent3 3 4 2 3" xfId="11770" xr:uid="{B0EE2563-2D66-447A-A2B1-7CE3460CB3F6}"/>
    <cellStyle name="40% - Accent3 3 4 3" xfId="5401" xr:uid="{00000000-0005-0000-0000-00006E050000}"/>
    <cellStyle name="40% - Accent3 3 4 3 2" xfId="13843" xr:uid="{5E2EA511-03EC-4CAC-A47E-B79E54FE74E5}"/>
    <cellStyle name="40% - Accent3 3 4 4" xfId="9625" xr:uid="{75A1C844-BA64-4694-B01F-ECDF2E9CE6FC}"/>
    <cellStyle name="40% - Accent3 3 5" xfId="1506" xr:uid="{00000000-0005-0000-0000-00006F050000}"/>
    <cellStyle name="40% - Accent3 3 5 2" xfId="3736" xr:uid="{00000000-0005-0000-0000-000070050000}"/>
    <cellStyle name="40% - Accent3 3 5 2 2" xfId="7959" xr:uid="{00000000-0005-0000-0000-000071050000}"/>
    <cellStyle name="40% - Accent3 3 5 2 2 2" xfId="16401" xr:uid="{7DFB115B-F4F0-4A98-92D8-94F1C841254D}"/>
    <cellStyle name="40% - Accent3 3 5 2 3" xfId="12183" xr:uid="{E46D6263-9502-4A8A-9339-79F5FD60A4BF}"/>
    <cellStyle name="40% - Accent3 3 5 3" xfId="5814" xr:uid="{00000000-0005-0000-0000-000072050000}"/>
    <cellStyle name="40% - Accent3 3 5 3 2" xfId="14256" xr:uid="{83906A9B-94DB-440F-8C65-901585B9AF56}"/>
    <cellStyle name="40% - Accent3 3 5 4" xfId="10038" xr:uid="{55308673-810D-4CBE-80FB-AFB30D8BCA41}"/>
    <cellStyle name="40% - Accent3 3 6" xfId="1920" xr:uid="{00000000-0005-0000-0000-000073050000}"/>
    <cellStyle name="40% - Accent3 3 6 2" xfId="4149" xr:uid="{00000000-0005-0000-0000-000074050000}"/>
    <cellStyle name="40% - Accent3 3 6 2 2" xfId="8372" xr:uid="{00000000-0005-0000-0000-000075050000}"/>
    <cellStyle name="40% - Accent3 3 6 2 2 2" xfId="16814" xr:uid="{CD4BB314-7FC2-4174-9162-D983208BC405}"/>
    <cellStyle name="40% - Accent3 3 6 2 3" xfId="12596" xr:uid="{1A5922F9-BC3F-4B02-88AA-94AEA34C9870}"/>
    <cellStyle name="40% - Accent3 3 6 3" xfId="6227" xr:uid="{00000000-0005-0000-0000-000076050000}"/>
    <cellStyle name="40% - Accent3 3 6 3 2" xfId="14669" xr:uid="{CA99D157-F7D6-4EBF-B894-4FF7DDAD558F}"/>
    <cellStyle name="40% - Accent3 3 6 4" xfId="10451" xr:uid="{15ABCC79-BEA1-4526-ACA0-8B2427950398}"/>
    <cellStyle name="40% - Accent3 3 7" xfId="2333" xr:uid="{00000000-0005-0000-0000-000077050000}"/>
    <cellStyle name="40% - Accent3 3 7 2" xfId="6640" xr:uid="{00000000-0005-0000-0000-000078050000}"/>
    <cellStyle name="40% - Accent3 3 7 2 2" xfId="15082" xr:uid="{1FE53D89-0266-437F-9035-910FF6BFCD05}"/>
    <cellStyle name="40% - Accent3 3 7 3" xfId="10864" xr:uid="{BBF4A03C-09E7-481A-8078-932A1DDB08E4}"/>
    <cellStyle name="40% - Accent3 3 8" xfId="4574" xr:uid="{00000000-0005-0000-0000-000079050000}"/>
    <cellStyle name="40% - Accent3 3 8 2" xfId="13016" xr:uid="{28B79260-BD6B-4D37-BADA-63BCBD93196A}"/>
    <cellStyle name="40% - Accent3 3 9" xfId="8798" xr:uid="{705FD104-A051-4288-A44E-82E39A6A303F}"/>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2 2 2" xfId="15577" xr:uid="{C39B968A-F4C2-4744-844F-F388C2E65EFB}"/>
    <cellStyle name="40% - Accent3 4 2 2 3" xfId="11359" xr:uid="{64D93552-AAF9-4191-AA8F-873AAD77D029}"/>
    <cellStyle name="40% - Accent3 4 2 3" xfId="4990" xr:uid="{00000000-0005-0000-0000-00007E050000}"/>
    <cellStyle name="40% - Accent3 4 2 3 2" xfId="13432" xr:uid="{33299700-7396-45D4-98F5-388989A6BCC2}"/>
    <cellStyle name="40% - Accent3 4 2 4" xfId="9214" xr:uid="{C1959E7A-084D-4154-9756-376A0E0DE4D8}"/>
    <cellStyle name="40% - Accent3 4 3" xfId="1094" xr:uid="{00000000-0005-0000-0000-00007F050000}"/>
    <cellStyle name="40% - Accent3 4 3 2" xfId="3325" xr:uid="{00000000-0005-0000-0000-000080050000}"/>
    <cellStyle name="40% - Accent3 4 3 2 2" xfId="7548" xr:uid="{00000000-0005-0000-0000-000081050000}"/>
    <cellStyle name="40% - Accent3 4 3 2 2 2" xfId="15990" xr:uid="{74B7B49E-CF16-453B-87BC-30A277FD1C26}"/>
    <cellStyle name="40% - Accent3 4 3 2 3" xfId="11772" xr:uid="{98BAF09B-FA33-4B72-8663-06B998E56333}"/>
    <cellStyle name="40% - Accent3 4 3 3" xfId="5403" xr:uid="{00000000-0005-0000-0000-000082050000}"/>
    <cellStyle name="40% - Accent3 4 3 3 2" xfId="13845" xr:uid="{ADD63BF6-C777-409F-9599-854A72B369B7}"/>
    <cellStyle name="40% - Accent3 4 3 4" xfId="9627" xr:uid="{DA7DF95C-EAA9-411A-AA01-C837A1B9C8F4}"/>
    <cellStyle name="40% - Accent3 4 4" xfId="1508" xr:uid="{00000000-0005-0000-0000-000083050000}"/>
    <cellStyle name="40% - Accent3 4 4 2" xfId="3738" xr:uid="{00000000-0005-0000-0000-000084050000}"/>
    <cellStyle name="40% - Accent3 4 4 2 2" xfId="7961" xr:uid="{00000000-0005-0000-0000-000085050000}"/>
    <cellStyle name="40% - Accent3 4 4 2 2 2" xfId="16403" xr:uid="{D995D3F7-2ABB-4783-91E8-6D3F85932CD0}"/>
    <cellStyle name="40% - Accent3 4 4 2 3" xfId="12185" xr:uid="{0B70EA2B-E664-49C7-858B-AA20E4AAC535}"/>
    <cellStyle name="40% - Accent3 4 4 3" xfId="5816" xr:uid="{00000000-0005-0000-0000-000086050000}"/>
    <cellStyle name="40% - Accent3 4 4 3 2" xfId="14258" xr:uid="{B017A230-56A1-401A-AB3D-7F5026EB4134}"/>
    <cellStyle name="40% - Accent3 4 4 4" xfId="10040" xr:uid="{342361A2-D1BF-424D-B466-C9CF52E38A59}"/>
    <cellStyle name="40% - Accent3 4 5" xfId="1922" xr:uid="{00000000-0005-0000-0000-000087050000}"/>
    <cellStyle name="40% - Accent3 4 5 2" xfId="4151" xr:uid="{00000000-0005-0000-0000-000088050000}"/>
    <cellStyle name="40% - Accent3 4 5 2 2" xfId="8374" xr:uid="{00000000-0005-0000-0000-000089050000}"/>
    <cellStyle name="40% - Accent3 4 5 2 2 2" xfId="16816" xr:uid="{2112DCC3-498F-4564-8BEB-B2F59075A015}"/>
    <cellStyle name="40% - Accent3 4 5 2 3" xfId="12598" xr:uid="{2D64863F-BEDD-47D4-8B00-CAD9F6D0B213}"/>
    <cellStyle name="40% - Accent3 4 5 3" xfId="6229" xr:uid="{00000000-0005-0000-0000-00008A050000}"/>
    <cellStyle name="40% - Accent3 4 5 3 2" xfId="14671" xr:uid="{848B29DD-B55F-4395-8FA3-3813255FBCC4}"/>
    <cellStyle name="40% - Accent3 4 5 4" xfId="10453" xr:uid="{D4B19E8D-C39C-49BE-B466-66365160634D}"/>
    <cellStyle name="40% - Accent3 4 6" xfId="2335" xr:uid="{00000000-0005-0000-0000-00008B050000}"/>
    <cellStyle name="40% - Accent3 4 6 2" xfId="6642" xr:uid="{00000000-0005-0000-0000-00008C050000}"/>
    <cellStyle name="40% - Accent3 4 6 2 2" xfId="15084" xr:uid="{508A5BA0-F190-4835-B0C2-B13CCAC8CA17}"/>
    <cellStyle name="40% - Accent3 4 6 3" xfId="10866" xr:uid="{6A74D19E-7546-4713-BDFB-CCA70A71A8AE}"/>
    <cellStyle name="40% - Accent3 4 7" xfId="4576" xr:uid="{00000000-0005-0000-0000-00008D050000}"/>
    <cellStyle name="40% - Accent3 4 7 2" xfId="13018" xr:uid="{C21B3524-4C6A-4C33-A55F-303DDC8FD982}"/>
    <cellStyle name="40% - Accent3 4 8" xfId="8800" xr:uid="{3C88A630-96EF-438C-9A7C-542B233253C7}"/>
    <cellStyle name="40% - Accent3 5" xfId="634" xr:uid="{00000000-0005-0000-0000-00008E050000}"/>
    <cellStyle name="40% - Accent3 5 2" xfId="2905" xr:uid="{00000000-0005-0000-0000-00008F050000}"/>
    <cellStyle name="40% - Accent3 5 2 2" xfId="7128" xr:uid="{00000000-0005-0000-0000-000090050000}"/>
    <cellStyle name="40% - Accent3 5 2 2 2" xfId="15570" xr:uid="{EB644AC2-59F6-4218-92A9-932F0D58C04E}"/>
    <cellStyle name="40% - Accent3 5 2 3" xfId="11352" xr:uid="{656EE1E5-53C7-4EF9-BECD-63CD477C065A}"/>
    <cellStyle name="40% - Accent3 5 3" xfId="4983" xr:uid="{00000000-0005-0000-0000-000091050000}"/>
    <cellStyle name="40% - Accent3 5 3 2" xfId="13425" xr:uid="{D4C7D6D8-4490-4B08-80C6-7AA7082E0CB7}"/>
    <cellStyle name="40% - Accent3 5 4" xfId="9207" xr:uid="{59416F89-5A78-4FA5-AC52-DD30E7645480}"/>
    <cellStyle name="40% - Accent3 6" xfId="1087" xr:uid="{00000000-0005-0000-0000-000092050000}"/>
    <cellStyle name="40% - Accent3 6 2" xfId="3318" xr:uid="{00000000-0005-0000-0000-000093050000}"/>
    <cellStyle name="40% - Accent3 6 2 2" xfId="7541" xr:uid="{00000000-0005-0000-0000-000094050000}"/>
    <cellStyle name="40% - Accent3 6 2 2 2" xfId="15983" xr:uid="{D72F7493-68B9-43F2-85F7-EB71EBE5826D}"/>
    <cellStyle name="40% - Accent3 6 2 3" xfId="11765" xr:uid="{C9E5315E-094B-40B2-A08C-31F654D735D9}"/>
    <cellStyle name="40% - Accent3 6 3" xfId="5396" xr:uid="{00000000-0005-0000-0000-000095050000}"/>
    <cellStyle name="40% - Accent3 6 3 2" xfId="13838" xr:uid="{3F1E8CDA-9E5A-4AFD-9823-9F5D212B59B9}"/>
    <cellStyle name="40% - Accent3 6 4" xfId="9620" xr:uid="{5A830D0D-C58F-49F2-88D7-C90C37FCB5C1}"/>
    <cellStyle name="40% - Accent3 7" xfId="1501" xr:uid="{00000000-0005-0000-0000-000096050000}"/>
    <cellStyle name="40% - Accent3 7 2" xfId="3731" xr:uid="{00000000-0005-0000-0000-000097050000}"/>
    <cellStyle name="40% - Accent3 7 2 2" xfId="7954" xr:uid="{00000000-0005-0000-0000-000098050000}"/>
    <cellStyle name="40% - Accent3 7 2 2 2" xfId="16396" xr:uid="{6F48FEAC-5D7E-470D-AD3C-E1B4E587F8A1}"/>
    <cellStyle name="40% - Accent3 7 2 3" xfId="12178" xr:uid="{0E518525-A80D-4BA5-93DF-F66682FA855C}"/>
    <cellStyle name="40% - Accent3 7 3" xfId="5809" xr:uid="{00000000-0005-0000-0000-000099050000}"/>
    <cellStyle name="40% - Accent3 7 3 2" xfId="14251" xr:uid="{6140B0FA-F12D-4EFD-9D4D-1D7775A3D0AF}"/>
    <cellStyle name="40% - Accent3 7 4" xfId="10033" xr:uid="{2999DE64-10F8-4619-87DE-F19B62E6CCFA}"/>
    <cellStyle name="40% - Accent3 8" xfId="1915" xr:uid="{00000000-0005-0000-0000-00009A050000}"/>
    <cellStyle name="40% - Accent3 8 2" xfId="4144" xr:uid="{00000000-0005-0000-0000-00009B050000}"/>
    <cellStyle name="40% - Accent3 8 2 2" xfId="8367" xr:uid="{00000000-0005-0000-0000-00009C050000}"/>
    <cellStyle name="40% - Accent3 8 2 2 2" xfId="16809" xr:uid="{4D7F035A-560F-4D3F-9E56-4F25CE9D81BA}"/>
    <cellStyle name="40% - Accent3 8 2 3" xfId="12591" xr:uid="{E91287FE-1CA3-4706-ACC3-58E743780771}"/>
    <cellStyle name="40% - Accent3 8 3" xfId="6222" xr:uid="{00000000-0005-0000-0000-00009D050000}"/>
    <cellStyle name="40% - Accent3 8 3 2" xfId="14664" xr:uid="{4513193C-0352-4267-9538-4888EFCD6E01}"/>
    <cellStyle name="40% - Accent3 8 4" xfId="10446" xr:uid="{67921614-2537-4555-A7FC-3788AFFDAA33}"/>
    <cellStyle name="40% - Accent3 9" xfId="2328" xr:uid="{00000000-0005-0000-0000-00009E050000}"/>
    <cellStyle name="40% - Accent3 9 2" xfId="6635" xr:uid="{00000000-0005-0000-0000-00009F050000}"/>
    <cellStyle name="40% - Accent3 9 2 2" xfId="15077" xr:uid="{BA05160B-A509-4A9C-9360-89F452A47E86}"/>
    <cellStyle name="40% - Accent3 9 3" xfId="10859" xr:uid="{32BC7575-FAC5-484A-B78A-4582E3E8688D}"/>
    <cellStyle name="40% - Accent4" xfId="73" builtinId="43" customBuiltin="1"/>
    <cellStyle name="40% - Accent4 10" xfId="4577" xr:uid="{00000000-0005-0000-0000-0000A1050000}"/>
    <cellStyle name="40% - Accent4 10 2" xfId="13019" xr:uid="{737BF2BD-3AD5-40BB-A9E4-2242FC868500}"/>
    <cellStyle name="40% - Accent4 11" xfId="8801" xr:uid="{6BEFB65D-F424-4EC7-869A-CE8320B70DCF}"/>
    <cellStyle name="40% - Accent4 2" xfId="74" xr:uid="{00000000-0005-0000-0000-0000A2050000}"/>
    <cellStyle name="40% - Accent4 2 10" xfId="8802" xr:uid="{BB1F0A8D-F702-4060-BCC7-4BFAD9BB84AC}"/>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2 2 2" xfId="15581" xr:uid="{C77AE35E-1533-4B9C-BA4A-B2496B9AB52B}"/>
    <cellStyle name="40% - Accent4 2 2 2 2 2 3" xfId="11363" xr:uid="{85CA7E84-0EEC-4231-AED9-FE61B1F87B5D}"/>
    <cellStyle name="40% - Accent4 2 2 2 2 3" xfId="4994" xr:uid="{00000000-0005-0000-0000-0000A8050000}"/>
    <cellStyle name="40% - Accent4 2 2 2 2 3 2" xfId="13436" xr:uid="{FEA216D8-B845-4D8B-B7A4-4B87CC3A1525}"/>
    <cellStyle name="40% - Accent4 2 2 2 2 4" xfId="9218" xr:uid="{62C03A77-6BE6-406D-8487-76C1EEE30E1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2 2 2" xfId="15994" xr:uid="{5EC5E6AB-C371-4620-BF18-87B8F6415115}"/>
    <cellStyle name="40% - Accent4 2 2 2 3 2 3" xfId="11776" xr:uid="{7F991C4E-98E2-4428-880C-82F22109A40B}"/>
    <cellStyle name="40% - Accent4 2 2 2 3 3" xfId="5407" xr:uid="{00000000-0005-0000-0000-0000AC050000}"/>
    <cellStyle name="40% - Accent4 2 2 2 3 3 2" xfId="13849" xr:uid="{67D44066-81D9-4C7D-A67B-4FA9F06ABEC3}"/>
    <cellStyle name="40% - Accent4 2 2 2 3 4" xfId="9631" xr:uid="{ECD67B77-79A0-467B-9884-5214DF7D2715}"/>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2 2 2" xfId="16407" xr:uid="{FDD08425-BF45-4E41-8007-B9A34479FC49}"/>
    <cellStyle name="40% - Accent4 2 2 2 4 2 3" xfId="12189" xr:uid="{B4D7AE81-DE12-4290-A672-A589E4846908}"/>
    <cellStyle name="40% - Accent4 2 2 2 4 3" xfId="5820" xr:uid="{00000000-0005-0000-0000-0000B0050000}"/>
    <cellStyle name="40% - Accent4 2 2 2 4 3 2" xfId="14262" xr:uid="{772C45FD-6F61-41E5-9700-57E36CDAC1C7}"/>
    <cellStyle name="40% - Accent4 2 2 2 4 4" xfId="10044" xr:uid="{FF2945FF-9F02-41F7-843B-6DC77C444DA5}"/>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2 2 2" xfId="16820" xr:uid="{5B897FB7-611E-4B7C-8106-C6430158D797}"/>
    <cellStyle name="40% - Accent4 2 2 2 5 2 3" xfId="12602" xr:uid="{7E8116B9-BB8E-445F-BA87-7BBC46A54352}"/>
    <cellStyle name="40% - Accent4 2 2 2 5 3" xfId="6233" xr:uid="{00000000-0005-0000-0000-0000B4050000}"/>
    <cellStyle name="40% - Accent4 2 2 2 5 3 2" xfId="14675" xr:uid="{676DE7A7-9365-4D25-9B83-6B3E3789C468}"/>
    <cellStyle name="40% - Accent4 2 2 2 5 4" xfId="10457" xr:uid="{932430BF-64BC-445F-A946-61134CD89FAF}"/>
    <cellStyle name="40% - Accent4 2 2 2 6" xfId="2339" xr:uid="{00000000-0005-0000-0000-0000B5050000}"/>
    <cellStyle name="40% - Accent4 2 2 2 6 2" xfId="6646" xr:uid="{00000000-0005-0000-0000-0000B6050000}"/>
    <cellStyle name="40% - Accent4 2 2 2 6 2 2" xfId="15088" xr:uid="{4076F731-3367-4975-A72B-2B14874A047B}"/>
    <cellStyle name="40% - Accent4 2 2 2 6 3" xfId="10870" xr:uid="{9365985B-7D21-48F7-A14A-110E5C47DA15}"/>
    <cellStyle name="40% - Accent4 2 2 2 7" xfId="4580" xr:uid="{00000000-0005-0000-0000-0000B7050000}"/>
    <cellStyle name="40% - Accent4 2 2 2 7 2" xfId="13022" xr:uid="{B612F63C-8F04-49C3-AB08-F09D94463DD5}"/>
    <cellStyle name="40% - Accent4 2 2 2 8" xfId="8804" xr:uid="{3B189173-ABD0-4821-9076-8330FA3EFFB9}"/>
    <cellStyle name="40% - Accent4 2 2 3" xfId="644" xr:uid="{00000000-0005-0000-0000-0000B8050000}"/>
    <cellStyle name="40% - Accent4 2 2 3 2" xfId="2915" xr:uid="{00000000-0005-0000-0000-0000B9050000}"/>
    <cellStyle name="40% - Accent4 2 2 3 2 2" xfId="7138" xr:uid="{00000000-0005-0000-0000-0000BA050000}"/>
    <cellStyle name="40% - Accent4 2 2 3 2 2 2" xfId="15580" xr:uid="{683D2F0A-C801-4059-BDC5-43E6B84F331D}"/>
    <cellStyle name="40% - Accent4 2 2 3 2 3" xfId="11362" xr:uid="{0A944F10-44DC-4555-8AE3-1178D1E0DBDD}"/>
    <cellStyle name="40% - Accent4 2 2 3 3" xfId="4993" xr:uid="{00000000-0005-0000-0000-0000BB050000}"/>
    <cellStyle name="40% - Accent4 2 2 3 3 2" xfId="13435" xr:uid="{F26A22A0-424D-45BC-BCB2-5A9BBBC87B97}"/>
    <cellStyle name="40% - Accent4 2 2 3 4" xfId="9217" xr:uid="{07C3CC56-4D36-4189-8AB1-DE6E3DA2B360}"/>
    <cellStyle name="40% - Accent4 2 2 4" xfId="1097" xr:uid="{00000000-0005-0000-0000-0000BC050000}"/>
    <cellStyle name="40% - Accent4 2 2 4 2" xfId="3328" xr:uid="{00000000-0005-0000-0000-0000BD050000}"/>
    <cellStyle name="40% - Accent4 2 2 4 2 2" xfId="7551" xr:uid="{00000000-0005-0000-0000-0000BE050000}"/>
    <cellStyle name="40% - Accent4 2 2 4 2 2 2" xfId="15993" xr:uid="{3CA790FF-611A-41F1-919B-8475BB73A85A}"/>
    <cellStyle name="40% - Accent4 2 2 4 2 3" xfId="11775" xr:uid="{EADE3236-64C0-47B8-9ACB-F33935F34D2A}"/>
    <cellStyle name="40% - Accent4 2 2 4 3" xfId="5406" xr:uid="{00000000-0005-0000-0000-0000BF050000}"/>
    <cellStyle name="40% - Accent4 2 2 4 3 2" xfId="13848" xr:uid="{307A9BC0-EE35-491D-8AFC-EFC2691943DB}"/>
    <cellStyle name="40% - Accent4 2 2 4 4" xfId="9630" xr:uid="{CC70289D-27DD-4C75-9216-A12D068E3FE9}"/>
    <cellStyle name="40% - Accent4 2 2 5" xfId="1511" xr:uid="{00000000-0005-0000-0000-0000C0050000}"/>
    <cellStyle name="40% - Accent4 2 2 5 2" xfId="3741" xr:uid="{00000000-0005-0000-0000-0000C1050000}"/>
    <cellStyle name="40% - Accent4 2 2 5 2 2" xfId="7964" xr:uid="{00000000-0005-0000-0000-0000C2050000}"/>
    <cellStyle name="40% - Accent4 2 2 5 2 2 2" xfId="16406" xr:uid="{AAF2791D-4527-4BCD-AE30-FDE9042A0003}"/>
    <cellStyle name="40% - Accent4 2 2 5 2 3" xfId="12188" xr:uid="{7ACF439F-511B-41A7-BEC2-1019D7F54753}"/>
    <cellStyle name="40% - Accent4 2 2 5 3" xfId="5819" xr:uid="{00000000-0005-0000-0000-0000C3050000}"/>
    <cellStyle name="40% - Accent4 2 2 5 3 2" xfId="14261" xr:uid="{9CCE9AD4-F5A4-476E-8E82-35A503E235B4}"/>
    <cellStyle name="40% - Accent4 2 2 5 4" xfId="10043" xr:uid="{55B32282-3075-426B-8CE8-3E2B859C1A15}"/>
    <cellStyle name="40% - Accent4 2 2 6" xfId="1925" xr:uid="{00000000-0005-0000-0000-0000C4050000}"/>
    <cellStyle name="40% - Accent4 2 2 6 2" xfId="4154" xr:uid="{00000000-0005-0000-0000-0000C5050000}"/>
    <cellStyle name="40% - Accent4 2 2 6 2 2" xfId="8377" xr:uid="{00000000-0005-0000-0000-0000C6050000}"/>
    <cellStyle name="40% - Accent4 2 2 6 2 2 2" xfId="16819" xr:uid="{5594D040-BCF0-4D97-8B7D-20A75E6DA24C}"/>
    <cellStyle name="40% - Accent4 2 2 6 2 3" xfId="12601" xr:uid="{E2B2080C-3D20-44F4-8598-3A8DE79E1871}"/>
    <cellStyle name="40% - Accent4 2 2 6 3" xfId="6232" xr:uid="{00000000-0005-0000-0000-0000C7050000}"/>
    <cellStyle name="40% - Accent4 2 2 6 3 2" xfId="14674" xr:uid="{018107BB-C775-40B2-BF67-7ADD8A8194AA}"/>
    <cellStyle name="40% - Accent4 2 2 6 4" xfId="10456" xr:uid="{7893383D-F74A-4896-9FD4-4F04C2D5633E}"/>
    <cellStyle name="40% - Accent4 2 2 7" xfId="2338" xr:uid="{00000000-0005-0000-0000-0000C8050000}"/>
    <cellStyle name="40% - Accent4 2 2 7 2" xfId="6645" xr:uid="{00000000-0005-0000-0000-0000C9050000}"/>
    <cellStyle name="40% - Accent4 2 2 7 2 2" xfId="15087" xr:uid="{D5B25A1F-8DBE-4040-BD96-F390A4E9122B}"/>
    <cellStyle name="40% - Accent4 2 2 7 3" xfId="10869" xr:uid="{911F04BB-DA1D-4068-B322-FF94AAB6BA50}"/>
    <cellStyle name="40% - Accent4 2 2 8" xfId="4579" xr:uid="{00000000-0005-0000-0000-0000CA050000}"/>
    <cellStyle name="40% - Accent4 2 2 8 2" xfId="13021" xr:uid="{2420DE19-B058-4183-B5D3-1CBEE2E12904}"/>
    <cellStyle name="40% - Accent4 2 2 9" xfId="8803" xr:uid="{C77025F8-1455-42D6-B243-3F73BE838FCF}"/>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2 2 2" xfId="15582" xr:uid="{8E217C29-63D2-4E61-BDBF-A07C6039C175}"/>
    <cellStyle name="40% - Accent4 2 3 2 2 3" xfId="11364" xr:uid="{7DA7EA16-6981-4011-B7F8-BE965619059A}"/>
    <cellStyle name="40% - Accent4 2 3 2 3" xfId="4995" xr:uid="{00000000-0005-0000-0000-0000CF050000}"/>
    <cellStyle name="40% - Accent4 2 3 2 3 2" xfId="13437" xr:uid="{B8CD8C5D-AD0C-41DB-A253-4E53AF19AF3C}"/>
    <cellStyle name="40% - Accent4 2 3 2 4" xfId="9219" xr:uid="{7DF260B7-E238-48FE-82ED-5C69CF365DFD}"/>
    <cellStyle name="40% - Accent4 2 3 3" xfId="1099" xr:uid="{00000000-0005-0000-0000-0000D0050000}"/>
    <cellStyle name="40% - Accent4 2 3 3 2" xfId="3330" xr:uid="{00000000-0005-0000-0000-0000D1050000}"/>
    <cellStyle name="40% - Accent4 2 3 3 2 2" xfId="7553" xr:uid="{00000000-0005-0000-0000-0000D2050000}"/>
    <cellStyle name="40% - Accent4 2 3 3 2 2 2" xfId="15995" xr:uid="{B4C57D70-76E0-4F79-B2BD-F561BC2A36BE}"/>
    <cellStyle name="40% - Accent4 2 3 3 2 3" xfId="11777" xr:uid="{75FF6AA2-D3FB-4C8F-9E34-7ED681EDD797}"/>
    <cellStyle name="40% - Accent4 2 3 3 3" xfId="5408" xr:uid="{00000000-0005-0000-0000-0000D3050000}"/>
    <cellStyle name="40% - Accent4 2 3 3 3 2" xfId="13850" xr:uid="{A7FD0ABF-3E90-484E-9F4F-7B713ED7CAEF}"/>
    <cellStyle name="40% - Accent4 2 3 3 4" xfId="9632" xr:uid="{D636AB64-622B-4165-994E-92DC0B63F98C}"/>
    <cellStyle name="40% - Accent4 2 3 4" xfId="1513" xr:uid="{00000000-0005-0000-0000-0000D4050000}"/>
    <cellStyle name="40% - Accent4 2 3 4 2" xfId="3743" xr:uid="{00000000-0005-0000-0000-0000D5050000}"/>
    <cellStyle name="40% - Accent4 2 3 4 2 2" xfId="7966" xr:uid="{00000000-0005-0000-0000-0000D6050000}"/>
    <cellStyle name="40% - Accent4 2 3 4 2 2 2" xfId="16408" xr:uid="{5B2F905C-6F39-4A93-AA9D-AA2AF5349AA3}"/>
    <cellStyle name="40% - Accent4 2 3 4 2 3" xfId="12190" xr:uid="{9813BF66-EA3C-4D23-9A90-B443545898A3}"/>
    <cellStyle name="40% - Accent4 2 3 4 3" xfId="5821" xr:uid="{00000000-0005-0000-0000-0000D7050000}"/>
    <cellStyle name="40% - Accent4 2 3 4 3 2" xfId="14263" xr:uid="{3E8218F7-6F21-4DAB-ACEE-4DD1D32AC8EC}"/>
    <cellStyle name="40% - Accent4 2 3 4 4" xfId="10045" xr:uid="{50F358F1-F354-4699-B6A5-1F9CBB04DE82}"/>
    <cellStyle name="40% - Accent4 2 3 5" xfId="1927" xr:uid="{00000000-0005-0000-0000-0000D8050000}"/>
    <cellStyle name="40% - Accent4 2 3 5 2" xfId="4156" xr:uid="{00000000-0005-0000-0000-0000D9050000}"/>
    <cellStyle name="40% - Accent4 2 3 5 2 2" xfId="8379" xr:uid="{00000000-0005-0000-0000-0000DA050000}"/>
    <cellStyle name="40% - Accent4 2 3 5 2 2 2" xfId="16821" xr:uid="{2F27666E-DB42-4320-B999-F5816CE7672E}"/>
    <cellStyle name="40% - Accent4 2 3 5 2 3" xfId="12603" xr:uid="{7C5A14DF-4AFA-4E54-A8E4-190254F77049}"/>
    <cellStyle name="40% - Accent4 2 3 5 3" xfId="6234" xr:uid="{00000000-0005-0000-0000-0000DB050000}"/>
    <cellStyle name="40% - Accent4 2 3 5 3 2" xfId="14676" xr:uid="{8400F2D4-A753-41AD-980C-2DA5C8C6BA8F}"/>
    <cellStyle name="40% - Accent4 2 3 5 4" xfId="10458" xr:uid="{E51D36E4-3BEF-45E3-9AA4-2AAE3408FAF7}"/>
    <cellStyle name="40% - Accent4 2 3 6" xfId="2340" xr:uid="{00000000-0005-0000-0000-0000DC050000}"/>
    <cellStyle name="40% - Accent4 2 3 6 2" xfId="6647" xr:uid="{00000000-0005-0000-0000-0000DD050000}"/>
    <cellStyle name="40% - Accent4 2 3 6 2 2" xfId="15089" xr:uid="{008A96D1-8D1D-46B6-B065-290F939F2729}"/>
    <cellStyle name="40% - Accent4 2 3 6 3" xfId="10871" xr:uid="{CF862BD0-4CD2-46A4-9D64-55EBC9BC79E5}"/>
    <cellStyle name="40% - Accent4 2 3 7" xfId="4581" xr:uid="{00000000-0005-0000-0000-0000DE050000}"/>
    <cellStyle name="40% - Accent4 2 3 7 2" xfId="13023" xr:uid="{DA35AA51-7A39-4C48-AEC0-0F935FF1437C}"/>
    <cellStyle name="40% - Accent4 2 3 8" xfId="8805" xr:uid="{4E8EB320-AB2C-4F93-ADEF-8F8D46A78481}"/>
    <cellStyle name="40% - Accent4 2 4" xfId="643" xr:uid="{00000000-0005-0000-0000-0000DF050000}"/>
    <cellStyle name="40% - Accent4 2 4 2" xfId="2914" xr:uid="{00000000-0005-0000-0000-0000E0050000}"/>
    <cellStyle name="40% - Accent4 2 4 2 2" xfId="7137" xr:uid="{00000000-0005-0000-0000-0000E1050000}"/>
    <cellStyle name="40% - Accent4 2 4 2 2 2" xfId="15579" xr:uid="{E55CA67E-C7B0-4422-AA52-CE4C6D1E6E05}"/>
    <cellStyle name="40% - Accent4 2 4 2 3" xfId="11361" xr:uid="{DBA5E22B-160C-425D-8608-64CEEAF38B0A}"/>
    <cellStyle name="40% - Accent4 2 4 3" xfId="4992" xr:uid="{00000000-0005-0000-0000-0000E2050000}"/>
    <cellStyle name="40% - Accent4 2 4 3 2" xfId="13434" xr:uid="{1F759CC7-6F40-4B4D-A816-A63E86D4E240}"/>
    <cellStyle name="40% - Accent4 2 4 4" xfId="9216" xr:uid="{B0791516-7787-435D-85DE-8AD22F0F201A}"/>
    <cellStyle name="40% - Accent4 2 5" xfId="1096" xr:uid="{00000000-0005-0000-0000-0000E3050000}"/>
    <cellStyle name="40% - Accent4 2 5 2" xfId="3327" xr:uid="{00000000-0005-0000-0000-0000E4050000}"/>
    <cellStyle name="40% - Accent4 2 5 2 2" xfId="7550" xr:uid="{00000000-0005-0000-0000-0000E5050000}"/>
    <cellStyle name="40% - Accent4 2 5 2 2 2" xfId="15992" xr:uid="{5E76FDE0-E8B4-4A9A-8CF6-CAC92213A0B1}"/>
    <cellStyle name="40% - Accent4 2 5 2 3" xfId="11774" xr:uid="{D87BD6B6-48EF-4B11-BF5C-4049A0D65A88}"/>
    <cellStyle name="40% - Accent4 2 5 3" xfId="5405" xr:uid="{00000000-0005-0000-0000-0000E6050000}"/>
    <cellStyle name="40% - Accent4 2 5 3 2" xfId="13847" xr:uid="{02D50022-0E63-4B30-A219-3830BB159BD4}"/>
    <cellStyle name="40% - Accent4 2 5 4" xfId="9629" xr:uid="{C5C72A14-431C-4652-941F-EB64B4DC3C7B}"/>
    <cellStyle name="40% - Accent4 2 6" xfId="1510" xr:uid="{00000000-0005-0000-0000-0000E7050000}"/>
    <cellStyle name="40% - Accent4 2 6 2" xfId="3740" xr:uid="{00000000-0005-0000-0000-0000E8050000}"/>
    <cellStyle name="40% - Accent4 2 6 2 2" xfId="7963" xr:uid="{00000000-0005-0000-0000-0000E9050000}"/>
    <cellStyle name="40% - Accent4 2 6 2 2 2" xfId="16405" xr:uid="{5D34CA0D-2203-4622-AF14-0408FD8DE13A}"/>
    <cellStyle name="40% - Accent4 2 6 2 3" xfId="12187" xr:uid="{3C2F8D4D-2CBB-4341-B282-873D0DE857D5}"/>
    <cellStyle name="40% - Accent4 2 6 3" xfId="5818" xr:uid="{00000000-0005-0000-0000-0000EA050000}"/>
    <cellStyle name="40% - Accent4 2 6 3 2" xfId="14260" xr:uid="{458DC7C2-02A4-413E-BCBD-5E3255D8F8D3}"/>
    <cellStyle name="40% - Accent4 2 6 4" xfId="10042" xr:uid="{C438DBC1-07E2-4292-8FDA-58F8C66F418E}"/>
    <cellStyle name="40% - Accent4 2 7" xfId="1924" xr:uid="{00000000-0005-0000-0000-0000EB050000}"/>
    <cellStyle name="40% - Accent4 2 7 2" xfId="4153" xr:uid="{00000000-0005-0000-0000-0000EC050000}"/>
    <cellStyle name="40% - Accent4 2 7 2 2" xfId="8376" xr:uid="{00000000-0005-0000-0000-0000ED050000}"/>
    <cellStyle name="40% - Accent4 2 7 2 2 2" xfId="16818" xr:uid="{011A420F-36A8-49C4-805D-176D1D362BAC}"/>
    <cellStyle name="40% - Accent4 2 7 2 3" xfId="12600" xr:uid="{66377A23-FFF5-43E5-B585-3878ADAB59DB}"/>
    <cellStyle name="40% - Accent4 2 7 3" xfId="6231" xr:uid="{00000000-0005-0000-0000-0000EE050000}"/>
    <cellStyle name="40% - Accent4 2 7 3 2" xfId="14673" xr:uid="{46540A25-5BB3-4AB4-9A4D-62EDC2871370}"/>
    <cellStyle name="40% - Accent4 2 7 4" xfId="10455" xr:uid="{3B9D35E8-82A7-4C90-A2D9-AD14DB68E5BB}"/>
    <cellStyle name="40% - Accent4 2 8" xfId="2337" xr:uid="{00000000-0005-0000-0000-0000EF050000}"/>
    <cellStyle name="40% - Accent4 2 8 2" xfId="6644" xr:uid="{00000000-0005-0000-0000-0000F0050000}"/>
    <cellStyle name="40% - Accent4 2 8 2 2" xfId="15086" xr:uid="{5CA1B764-FE3C-4DB1-9B0B-23C892B22779}"/>
    <cellStyle name="40% - Accent4 2 8 3" xfId="10868" xr:uid="{763676E4-C4F1-40F4-B637-62F7A40D70F2}"/>
    <cellStyle name="40% - Accent4 2 9" xfId="4578" xr:uid="{00000000-0005-0000-0000-0000F1050000}"/>
    <cellStyle name="40% - Accent4 2 9 2" xfId="13020" xr:uid="{E0819548-F990-49D6-9209-B28AE0D17D8B}"/>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2 2 2" xfId="15584" xr:uid="{D84EB1D6-1D59-4F73-833E-3FA8AD2D95DB}"/>
    <cellStyle name="40% - Accent4 3 2 2 2 3" xfId="11366" xr:uid="{F6C2F9E9-D8AC-4D26-B888-BEF3C0745AB8}"/>
    <cellStyle name="40% - Accent4 3 2 2 3" xfId="4997" xr:uid="{00000000-0005-0000-0000-0000F7050000}"/>
    <cellStyle name="40% - Accent4 3 2 2 3 2" xfId="13439" xr:uid="{66550CFD-9AEF-413E-AA60-243AC5FBEB9D}"/>
    <cellStyle name="40% - Accent4 3 2 2 4" xfId="9221" xr:uid="{37991A14-4D00-44F9-9898-BD728CF1ED82}"/>
    <cellStyle name="40% - Accent4 3 2 3" xfId="1101" xr:uid="{00000000-0005-0000-0000-0000F8050000}"/>
    <cellStyle name="40% - Accent4 3 2 3 2" xfId="3332" xr:uid="{00000000-0005-0000-0000-0000F9050000}"/>
    <cellStyle name="40% - Accent4 3 2 3 2 2" xfId="7555" xr:uid="{00000000-0005-0000-0000-0000FA050000}"/>
    <cellStyle name="40% - Accent4 3 2 3 2 2 2" xfId="15997" xr:uid="{47759FC3-1B58-4BCA-A91F-6AA8F03F532A}"/>
    <cellStyle name="40% - Accent4 3 2 3 2 3" xfId="11779" xr:uid="{0F5A12AD-28BE-442A-AEBD-4DF415014F21}"/>
    <cellStyle name="40% - Accent4 3 2 3 3" xfId="5410" xr:uid="{00000000-0005-0000-0000-0000FB050000}"/>
    <cellStyle name="40% - Accent4 3 2 3 3 2" xfId="13852" xr:uid="{B696761C-BC3B-4D9F-8B87-839B048C7796}"/>
    <cellStyle name="40% - Accent4 3 2 3 4" xfId="9634" xr:uid="{FC57A2E5-2D04-43DF-A45D-0D1F70AA5416}"/>
    <cellStyle name="40% - Accent4 3 2 4" xfId="1515" xr:uid="{00000000-0005-0000-0000-0000FC050000}"/>
    <cellStyle name="40% - Accent4 3 2 4 2" xfId="3745" xr:uid="{00000000-0005-0000-0000-0000FD050000}"/>
    <cellStyle name="40% - Accent4 3 2 4 2 2" xfId="7968" xr:uid="{00000000-0005-0000-0000-0000FE050000}"/>
    <cellStyle name="40% - Accent4 3 2 4 2 2 2" xfId="16410" xr:uid="{7484EAE9-906C-4F05-8DAB-68168998C635}"/>
    <cellStyle name="40% - Accent4 3 2 4 2 3" xfId="12192" xr:uid="{E074AFBE-C795-4AF6-BB22-827D2185E324}"/>
    <cellStyle name="40% - Accent4 3 2 4 3" xfId="5823" xr:uid="{00000000-0005-0000-0000-0000FF050000}"/>
    <cellStyle name="40% - Accent4 3 2 4 3 2" xfId="14265" xr:uid="{7C18C84A-355B-43EC-8763-C0FFFD056125}"/>
    <cellStyle name="40% - Accent4 3 2 4 4" xfId="10047" xr:uid="{376E9EFA-650E-4194-9700-32200CA714FA}"/>
    <cellStyle name="40% - Accent4 3 2 5" xfId="1929" xr:uid="{00000000-0005-0000-0000-000000060000}"/>
    <cellStyle name="40% - Accent4 3 2 5 2" xfId="4158" xr:uid="{00000000-0005-0000-0000-000001060000}"/>
    <cellStyle name="40% - Accent4 3 2 5 2 2" xfId="8381" xr:uid="{00000000-0005-0000-0000-000002060000}"/>
    <cellStyle name="40% - Accent4 3 2 5 2 2 2" xfId="16823" xr:uid="{ABF457F3-651D-4F19-A81D-6006405F7BD8}"/>
    <cellStyle name="40% - Accent4 3 2 5 2 3" xfId="12605" xr:uid="{0760015B-D724-49C2-A537-E9FE7F49C0D7}"/>
    <cellStyle name="40% - Accent4 3 2 5 3" xfId="6236" xr:uid="{00000000-0005-0000-0000-000003060000}"/>
    <cellStyle name="40% - Accent4 3 2 5 3 2" xfId="14678" xr:uid="{56D97721-5A4C-4EF7-9CA6-87CBD7620739}"/>
    <cellStyle name="40% - Accent4 3 2 5 4" xfId="10460" xr:uid="{F75505D1-78B3-4035-A2E4-742B5D52B176}"/>
    <cellStyle name="40% - Accent4 3 2 6" xfId="2342" xr:uid="{00000000-0005-0000-0000-000004060000}"/>
    <cellStyle name="40% - Accent4 3 2 6 2" xfId="6649" xr:uid="{00000000-0005-0000-0000-000005060000}"/>
    <cellStyle name="40% - Accent4 3 2 6 2 2" xfId="15091" xr:uid="{EAC4EFBD-BAD2-410D-90B2-66CCACD3FC06}"/>
    <cellStyle name="40% - Accent4 3 2 6 3" xfId="10873" xr:uid="{3DF49A74-C303-42C9-9D24-3B962BC70E76}"/>
    <cellStyle name="40% - Accent4 3 2 7" xfId="4583" xr:uid="{00000000-0005-0000-0000-000006060000}"/>
    <cellStyle name="40% - Accent4 3 2 7 2" xfId="13025" xr:uid="{77B1E70D-C977-4BEC-A6A4-C28B882BE0CC}"/>
    <cellStyle name="40% - Accent4 3 2 8" xfId="8807" xr:uid="{AB98BE8B-85D4-4518-9FA0-C41D1F5BFC97}"/>
    <cellStyle name="40% - Accent4 3 3" xfId="647" xr:uid="{00000000-0005-0000-0000-000007060000}"/>
    <cellStyle name="40% - Accent4 3 3 2" xfId="2918" xr:uid="{00000000-0005-0000-0000-000008060000}"/>
    <cellStyle name="40% - Accent4 3 3 2 2" xfId="7141" xr:uid="{00000000-0005-0000-0000-000009060000}"/>
    <cellStyle name="40% - Accent4 3 3 2 2 2" xfId="15583" xr:uid="{1843DEBB-F154-4AF8-8A22-BF4FAA5569F8}"/>
    <cellStyle name="40% - Accent4 3 3 2 3" xfId="11365" xr:uid="{DD8C5EEF-0B35-4540-9428-8F519638E538}"/>
    <cellStyle name="40% - Accent4 3 3 3" xfId="4996" xr:uid="{00000000-0005-0000-0000-00000A060000}"/>
    <cellStyle name="40% - Accent4 3 3 3 2" xfId="13438" xr:uid="{86C27515-E1E1-4F7E-ADCC-39C308490A79}"/>
    <cellStyle name="40% - Accent4 3 3 4" xfId="9220" xr:uid="{6E0EF75A-833F-4E59-8811-561B4F5EE76C}"/>
    <cellStyle name="40% - Accent4 3 4" xfId="1100" xr:uid="{00000000-0005-0000-0000-00000B060000}"/>
    <cellStyle name="40% - Accent4 3 4 2" xfId="3331" xr:uid="{00000000-0005-0000-0000-00000C060000}"/>
    <cellStyle name="40% - Accent4 3 4 2 2" xfId="7554" xr:uid="{00000000-0005-0000-0000-00000D060000}"/>
    <cellStyle name="40% - Accent4 3 4 2 2 2" xfId="15996" xr:uid="{E7835CBF-6E68-408B-B39A-34B86E6355CF}"/>
    <cellStyle name="40% - Accent4 3 4 2 3" xfId="11778" xr:uid="{34DBE085-C3CB-4BF1-B321-8B45BB11CA75}"/>
    <cellStyle name="40% - Accent4 3 4 3" xfId="5409" xr:uid="{00000000-0005-0000-0000-00000E060000}"/>
    <cellStyle name="40% - Accent4 3 4 3 2" xfId="13851" xr:uid="{470A4669-5FFF-4918-817C-0C946EE93EB7}"/>
    <cellStyle name="40% - Accent4 3 4 4" xfId="9633" xr:uid="{22442C1E-F709-4E82-9DFE-5B484FA58294}"/>
    <cellStyle name="40% - Accent4 3 5" xfId="1514" xr:uid="{00000000-0005-0000-0000-00000F060000}"/>
    <cellStyle name="40% - Accent4 3 5 2" xfId="3744" xr:uid="{00000000-0005-0000-0000-000010060000}"/>
    <cellStyle name="40% - Accent4 3 5 2 2" xfId="7967" xr:uid="{00000000-0005-0000-0000-000011060000}"/>
    <cellStyle name="40% - Accent4 3 5 2 2 2" xfId="16409" xr:uid="{393D2EC2-CBAF-45C2-8342-DEBE26F83E68}"/>
    <cellStyle name="40% - Accent4 3 5 2 3" xfId="12191" xr:uid="{46D29166-60AA-4FE4-9D2D-837381140CAE}"/>
    <cellStyle name="40% - Accent4 3 5 3" xfId="5822" xr:uid="{00000000-0005-0000-0000-000012060000}"/>
    <cellStyle name="40% - Accent4 3 5 3 2" xfId="14264" xr:uid="{6655B48E-9EEB-41C7-9D29-C9E3A52D37DE}"/>
    <cellStyle name="40% - Accent4 3 5 4" xfId="10046" xr:uid="{D8E82648-9FC4-44D4-8FBA-7A160D30339C}"/>
    <cellStyle name="40% - Accent4 3 6" xfId="1928" xr:uid="{00000000-0005-0000-0000-000013060000}"/>
    <cellStyle name="40% - Accent4 3 6 2" xfId="4157" xr:uid="{00000000-0005-0000-0000-000014060000}"/>
    <cellStyle name="40% - Accent4 3 6 2 2" xfId="8380" xr:uid="{00000000-0005-0000-0000-000015060000}"/>
    <cellStyle name="40% - Accent4 3 6 2 2 2" xfId="16822" xr:uid="{FF287A1A-2261-439F-9B55-114521D1C266}"/>
    <cellStyle name="40% - Accent4 3 6 2 3" xfId="12604" xr:uid="{29123681-3378-4C9D-B18F-1E18C333579B}"/>
    <cellStyle name="40% - Accent4 3 6 3" xfId="6235" xr:uid="{00000000-0005-0000-0000-000016060000}"/>
    <cellStyle name="40% - Accent4 3 6 3 2" xfId="14677" xr:uid="{623445F5-6F5D-4563-97EA-A3199C34661E}"/>
    <cellStyle name="40% - Accent4 3 6 4" xfId="10459" xr:uid="{9A4D785E-0AB4-46D0-8CDE-8255227F324B}"/>
    <cellStyle name="40% - Accent4 3 7" xfId="2341" xr:uid="{00000000-0005-0000-0000-000017060000}"/>
    <cellStyle name="40% - Accent4 3 7 2" xfId="6648" xr:uid="{00000000-0005-0000-0000-000018060000}"/>
    <cellStyle name="40% - Accent4 3 7 2 2" xfId="15090" xr:uid="{7EA332BF-C658-4D9C-A21F-03FEDF990A80}"/>
    <cellStyle name="40% - Accent4 3 7 3" xfId="10872" xr:uid="{7F4F0CAB-A7E9-4996-9D68-54894C0B2A06}"/>
    <cellStyle name="40% - Accent4 3 8" xfId="4582" xr:uid="{00000000-0005-0000-0000-000019060000}"/>
    <cellStyle name="40% - Accent4 3 8 2" xfId="13024" xr:uid="{375F73B1-2750-498D-A66D-B62B515EADED}"/>
    <cellStyle name="40% - Accent4 3 9" xfId="8806" xr:uid="{14701694-AF24-4A83-AC82-301630E28896}"/>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2 2 2" xfId="15585" xr:uid="{58043959-FEB3-4708-843D-C5CD8E84C37D}"/>
    <cellStyle name="40% - Accent4 4 2 2 3" xfId="11367" xr:uid="{C6CC7538-E07E-41D8-ADCA-444AF10AD61C}"/>
    <cellStyle name="40% - Accent4 4 2 3" xfId="4998" xr:uid="{00000000-0005-0000-0000-00001E060000}"/>
    <cellStyle name="40% - Accent4 4 2 3 2" xfId="13440" xr:uid="{4F4BBFED-39EE-40CD-9FAD-223BBB2CAF40}"/>
    <cellStyle name="40% - Accent4 4 2 4" xfId="9222" xr:uid="{3E8014E6-4A91-4A94-946B-91F81B80455C}"/>
    <cellStyle name="40% - Accent4 4 3" xfId="1102" xr:uid="{00000000-0005-0000-0000-00001F060000}"/>
    <cellStyle name="40% - Accent4 4 3 2" xfId="3333" xr:uid="{00000000-0005-0000-0000-000020060000}"/>
    <cellStyle name="40% - Accent4 4 3 2 2" xfId="7556" xr:uid="{00000000-0005-0000-0000-000021060000}"/>
    <cellStyle name="40% - Accent4 4 3 2 2 2" xfId="15998" xr:uid="{8B71FB46-EF42-49D9-B327-201A60C0510C}"/>
    <cellStyle name="40% - Accent4 4 3 2 3" xfId="11780" xr:uid="{3744C085-B994-4D1E-9B23-E2DB0D3E9F51}"/>
    <cellStyle name="40% - Accent4 4 3 3" xfId="5411" xr:uid="{00000000-0005-0000-0000-000022060000}"/>
    <cellStyle name="40% - Accent4 4 3 3 2" xfId="13853" xr:uid="{28344B6E-D186-400E-960F-8CF7F9BEA7BD}"/>
    <cellStyle name="40% - Accent4 4 3 4" xfId="9635" xr:uid="{D6E574A8-291A-4080-B4DE-5A430B67E0E1}"/>
    <cellStyle name="40% - Accent4 4 4" xfId="1516" xr:uid="{00000000-0005-0000-0000-000023060000}"/>
    <cellStyle name="40% - Accent4 4 4 2" xfId="3746" xr:uid="{00000000-0005-0000-0000-000024060000}"/>
    <cellStyle name="40% - Accent4 4 4 2 2" xfId="7969" xr:uid="{00000000-0005-0000-0000-000025060000}"/>
    <cellStyle name="40% - Accent4 4 4 2 2 2" xfId="16411" xr:uid="{1AA1CBBE-35BC-476E-A010-72AD434EF8A0}"/>
    <cellStyle name="40% - Accent4 4 4 2 3" xfId="12193" xr:uid="{C3313748-61BE-4984-B9CC-451B208EA743}"/>
    <cellStyle name="40% - Accent4 4 4 3" xfId="5824" xr:uid="{00000000-0005-0000-0000-000026060000}"/>
    <cellStyle name="40% - Accent4 4 4 3 2" xfId="14266" xr:uid="{EF07F330-7A86-48B1-BBA8-5E5C0F7C2EF3}"/>
    <cellStyle name="40% - Accent4 4 4 4" xfId="10048" xr:uid="{A66DAD88-D5E0-47B7-96F0-930321047D11}"/>
    <cellStyle name="40% - Accent4 4 5" xfId="1930" xr:uid="{00000000-0005-0000-0000-000027060000}"/>
    <cellStyle name="40% - Accent4 4 5 2" xfId="4159" xr:uid="{00000000-0005-0000-0000-000028060000}"/>
    <cellStyle name="40% - Accent4 4 5 2 2" xfId="8382" xr:uid="{00000000-0005-0000-0000-000029060000}"/>
    <cellStyle name="40% - Accent4 4 5 2 2 2" xfId="16824" xr:uid="{B3ADEE8B-E8E8-4D2E-9CF9-71C468D3EFF8}"/>
    <cellStyle name="40% - Accent4 4 5 2 3" xfId="12606" xr:uid="{55EE9551-B9EE-4B45-9D33-27B1AC097784}"/>
    <cellStyle name="40% - Accent4 4 5 3" xfId="6237" xr:uid="{00000000-0005-0000-0000-00002A060000}"/>
    <cellStyle name="40% - Accent4 4 5 3 2" xfId="14679" xr:uid="{BBAAEE51-C2EF-4875-A800-E0A22C46586E}"/>
    <cellStyle name="40% - Accent4 4 5 4" xfId="10461" xr:uid="{CCA24BE1-E6B8-4AB6-84E9-59CC43F5DC68}"/>
    <cellStyle name="40% - Accent4 4 6" xfId="2343" xr:uid="{00000000-0005-0000-0000-00002B060000}"/>
    <cellStyle name="40% - Accent4 4 6 2" xfId="6650" xr:uid="{00000000-0005-0000-0000-00002C060000}"/>
    <cellStyle name="40% - Accent4 4 6 2 2" xfId="15092" xr:uid="{2D4DB03B-21AB-4DD1-A719-1F467B252653}"/>
    <cellStyle name="40% - Accent4 4 6 3" xfId="10874" xr:uid="{D3E8363B-3B7E-46DD-A977-CC9FAFFF4915}"/>
    <cellStyle name="40% - Accent4 4 7" xfId="4584" xr:uid="{00000000-0005-0000-0000-00002D060000}"/>
    <cellStyle name="40% - Accent4 4 7 2" xfId="13026" xr:uid="{109AC9BC-A561-4F68-AFA7-1421AAFDFB2C}"/>
    <cellStyle name="40% - Accent4 4 8" xfId="8808" xr:uid="{E957D728-E0AC-4662-BC0F-6DE456AE3A0B}"/>
    <cellStyle name="40% - Accent4 5" xfId="642" xr:uid="{00000000-0005-0000-0000-00002E060000}"/>
    <cellStyle name="40% - Accent4 5 2" xfId="2913" xr:uid="{00000000-0005-0000-0000-00002F060000}"/>
    <cellStyle name="40% - Accent4 5 2 2" xfId="7136" xr:uid="{00000000-0005-0000-0000-000030060000}"/>
    <cellStyle name="40% - Accent4 5 2 2 2" xfId="15578" xr:uid="{CEF7D8BC-465B-476E-9D3E-138D8D0EB7E3}"/>
    <cellStyle name="40% - Accent4 5 2 3" xfId="11360" xr:uid="{FF214A1A-D97D-4E1E-808C-61BE2BFDB8A5}"/>
    <cellStyle name="40% - Accent4 5 3" xfId="4991" xr:uid="{00000000-0005-0000-0000-000031060000}"/>
    <cellStyle name="40% - Accent4 5 3 2" xfId="13433" xr:uid="{9E616207-32D6-43CB-8BED-199117BA9D55}"/>
    <cellStyle name="40% - Accent4 5 4" xfId="9215" xr:uid="{4407905C-C284-4472-A407-A205A46EC20B}"/>
    <cellStyle name="40% - Accent4 6" xfId="1095" xr:uid="{00000000-0005-0000-0000-000032060000}"/>
    <cellStyle name="40% - Accent4 6 2" xfId="3326" xr:uid="{00000000-0005-0000-0000-000033060000}"/>
    <cellStyle name="40% - Accent4 6 2 2" xfId="7549" xr:uid="{00000000-0005-0000-0000-000034060000}"/>
    <cellStyle name="40% - Accent4 6 2 2 2" xfId="15991" xr:uid="{8C6327B7-026C-4143-A9A7-3E9D61F318DF}"/>
    <cellStyle name="40% - Accent4 6 2 3" xfId="11773" xr:uid="{E985917C-5C28-41A7-B961-91EFDCBDA582}"/>
    <cellStyle name="40% - Accent4 6 3" xfId="5404" xr:uid="{00000000-0005-0000-0000-000035060000}"/>
    <cellStyle name="40% - Accent4 6 3 2" xfId="13846" xr:uid="{B3FF8213-29A5-4817-853F-1DA0B6558BAA}"/>
    <cellStyle name="40% - Accent4 6 4" xfId="9628" xr:uid="{3057986E-7A94-4D2E-A17F-E78F87B18464}"/>
    <cellStyle name="40% - Accent4 7" xfId="1509" xr:uid="{00000000-0005-0000-0000-000036060000}"/>
    <cellStyle name="40% - Accent4 7 2" xfId="3739" xr:uid="{00000000-0005-0000-0000-000037060000}"/>
    <cellStyle name="40% - Accent4 7 2 2" xfId="7962" xr:uid="{00000000-0005-0000-0000-000038060000}"/>
    <cellStyle name="40% - Accent4 7 2 2 2" xfId="16404" xr:uid="{3B520D56-7A28-427A-A142-B9A3C7CA13CE}"/>
    <cellStyle name="40% - Accent4 7 2 3" xfId="12186" xr:uid="{38361768-1061-4422-A3F2-766CF63CA089}"/>
    <cellStyle name="40% - Accent4 7 3" xfId="5817" xr:uid="{00000000-0005-0000-0000-000039060000}"/>
    <cellStyle name="40% - Accent4 7 3 2" xfId="14259" xr:uid="{85ABC881-6739-46A1-A34D-DE93E659A6F4}"/>
    <cellStyle name="40% - Accent4 7 4" xfId="10041" xr:uid="{33CB5085-DB5A-4AEB-8446-427F735D0152}"/>
    <cellStyle name="40% - Accent4 8" xfId="1923" xr:uid="{00000000-0005-0000-0000-00003A060000}"/>
    <cellStyle name="40% - Accent4 8 2" xfId="4152" xr:uid="{00000000-0005-0000-0000-00003B060000}"/>
    <cellStyle name="40% - Accent4 8 2 2" xfId="8375" xr:uid="{00000000-0005-0000-0000-00003C060000}"/>
    <cellStyle name="40% - Accent4 8 2 2 2" xfId="16817" xr:uid="{E97D968B-60B4-489A-9756-8B733A5C5D53}"/>
    <cellStyle name="40% - Accent4 8 2 3" xfId="12599" xr:uid="{01CEA1B1-46BD-44A6-AE8C-C0935BD49B7D}"/>
    <cellStyle name="40% - Accent4 8 3" xfId="6230" xr:uid="{00000000-0005-0000-0000-00003D060000}"/>
    <cellStyle name="40% - Accent4 8 3 2" xfId="14672" xr:uid="{A064E7A4-B296-4F0D-BCEE-BFBA6A1CAE49}"/>
    <cellStyle name="40% - Accent4 8 4" xfId="10454" xr:uid="{039F8EC3-2171-4A5F-B34B-8E1F91D3165D}"/>
    <cellStyle name="40% - Accent4 9" xfId="2336" xr:uid="{00000000-0005-0000-0000-00003E060000}"/>
    <cellStyle name="40% - Accent4 9 2" xfId="6643" xr:uid="{00000000-0005-0000-0000-00003F060000}"/>
    <cellStyle name="40% - Accent4 9 2 2" xfId="15085" xr:uid="{B55E2819-BEB0-45D6-A324-8C79C9DB49E1}"/>
    <cellStyle name="40% - Accent4 9 3" xfId="10867" xr:uid="{B846FCA5-E320-44EE-A6D8-FB1D20E6D404}"/>
    <cellStyle name="40% - Accent5" xfId="81" builtinId="47" customBuiltin="1"/>
    <cellStyle name="40% - Accent5 10" xfId="4585" xr:uid="{00000000-0005-0000-0000-000041060000}"/>
    <cellStyle name="40% - Accent5 10 2" xfId="13027" xr:uid="{7F5E49CB-4F0B-4321-BD71-841EBC84BE26}"/>
    <cellStyle name="40% - Accent5 11" xfId="8809" xr:uid="{E4A40AAC-F626-44FD-B4F1-7DB32AEA25BF}"/>
    <cellStyle name="40% - Accent5 2" xfId="82" xr:uid="{00000000-0005-0000-0000-000042060000}"/>
    <cellStyle name="40% - Accent5 2 10" xfId="8810" xr:uid="{CCBDAE28-ADBC-4B13-BC11-829036FC54E7}"/>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2 2 2" xfId="15589" xr:uid="{90FB9C0B-649B-4D46-83EE-0A8F751C229C}"/>
    <cellStyle name="40% - Accent5 2 2 2 2 2 3" xfId="11371" xr:uid="{AE2A2F4D-8951-4415-92DE-6004ECF1EED7}"/>
    <cellStyle name="40% - Accent5 2 2 2 2 3" xfId="5002" xr:uid="{00000000-0005-0000-0000-000048060000}"/>
    <cellStyle name="40% - Accent5 2 2 2 2 3 2" xfId="13444" xr:uid="{D0D8CFC7-5701-47C5-84CC-997BFF018C30}"/>
    <cellStyle name="40% - Accent5 2 2 2 2 4" xfId="9226" xr:uid="{D0515DC2-C378-4D81-8F6F-0DEA944FB327}"/>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2 2 2" xfId="16002" xr:uid="{602D88E2-43AC-4329-966A-24BF6EA27209}"/>
    <cellStyle name="40% - Accent5 2 2 2 3 2 3" xfId="11784" xr:uid="{1E49C8C4-64B6-4C63-84CC-5EE799056248}"/>
    <cellStyle name="40% - Accent5 2 2 2 3 3" xfId="5415" xr:uid="{00000000-0005-0000-0000-00004C060000}"/>
    <cellStyle name="40% - Accent5 2 2 2 3 3 2" xfId="13857" xr:uid="{B4407AB5-5A39-4634-A5F5-E8C59531EE59}"/>
    <cellStyle name="40% - Accent5 2 2 2 3 4" xfId="9639" xr:uid="{2D8B926E-716A-4E4C-A6D4-EC28F182B108}"/>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2 2 2" xfId="16415" xr:uid="{4534DA4A-B364-4B52-B7AD-B0FC66ADFC8E}"/>
    <cellStyle name="40% - Accent5 2 2 2 4 2 3" xfId="12197" xr:uid="{2FCBF9F4-1FF8-470E-929B-BD29CB34A7AC}"/>
    <cellStyle name="40% - Accent5 2 2 2 4 3" xfId="5828" xr:uid="{00000000-0005-0000-0000-000050060000}"/>
    <cellStyle name="40% - Accent5 2 2 2 4 3 2" xfId="14270" xr:uid="{9995D09A-52DA-42E5-A1B6-24C5BD996B20}"/>
    <cellStyle name="40% - Accent5 2 2 2 4 4" xfId="10052" xr:uid="{15BBF7C1-855A-4B5A-B798-4DD9B11586A1}"/>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2 2 2" xfId="16828" xr:uid="{B08C3F38-3EAC-43DD-ADF4-92D0AC68BE1D}"/>
    <cellStyle name="40% - Accent5 2 2 2 5 2 3" xfId="12610" xr:uid="{E3867146-5F1A-4520-A83E-68507253F23C}"/>
    <cellStyle name="40% - Accent5 2 2 2 5 3" xfId="6241" xr:uid="{00000000-0005-0000-0000-000054060000}"/>
    <cellStyle name="40% - Accent5 2 2 2 5 3 2" xfId="14683" xr:uid="{A834CDD0-2A4B-436F-9513-85842C6B2F9C}"/>
    <cellStyle name="40% - Accent5 2 2 2 5 4" xfId="10465" xr:uid="{2B0C7882-BBFD-4BE8-B741-5C9D89BFE960}"/>
    <cellStyle name="40% - Accent5 2 2 2 6" xfId="2347" xr:uid="{00000000-0005-0000-0000-000055060000}"/>
    <cellStyle name="40% - Accent5 2 2 2 6 2" xfId="6654" xr:uid="{00000000-0005-0000-0000-000056060000}"/>
    <cellStyle name="40% - Accent5 2 2 2 6 2 2" xfId="15096" xr:uid="{236B58B2-063B-4157-8841-321D214ABB8D}"/>
    <cellStyle name="40% - Accent5 2 2 2 6 3" xfId="10878" xr:uid="{8B3D591D-5635-4409-B211-7CB55DDD9C44}"/>
    <cellStyle name="40% - Accent5 2 2 2 7" xfId="4588" xr:uid="{00000000-0005-0000-0000-000057060000}"/>
    <cellStyle name="40% - Accent5 2 2 2 7 2" xfId="13030" xr:uid="{AB4EC1B0-77F5-4C30-9D11-20FE8180FBDB}"/>
    <cellStyle name="40% - Accent5 2 2 2 8" xfId="8812" xr:uid="{258D994F-50BB-4B16-A611-D705E7D8A548}"/>
    <cellStyle name="40% - Accent5 2 2 3" xfId="652" xr:uid="{00000000-0005-0000-0000-000058060000}"/>
    <cellStyle name="40% - Accent5 2 2 3 2" xfId="2923" xr:uid="{00000000-0005-0000-0000-000059060000}"/>
    <cellStyle name="40% - Accent5 2 2 3 2 2" xfId="7146" xr:uid="{00000000-0005-0000-0000-00005A060000}"/>
    <cellStyle name="40% - Accent5 2 2 3 2 2 2" xfId="15588" xr:uid="{969C8B54-6572-4FBD-9B7D-BCAD169566AD}"/>
    <cellStyle name="40% - Accent5 2 2 3 2 3" xfId="11370" xr:uid="{F908E7A9-8601-4893-A991-461CEDF5FD8E}"/>
    <cellStyle name="40% - Accent5 2 2 3 3" xfId="5001" xr:uid="{00000000-0005-0000-0000-00005B060000}"/>
    <cellStyle name="40% - Accent5 2 2 3 3 2" xfId="13443" xr:uid="{F2345E05-57FE-4846-B798-0DDE90F3A1E5}"/>
    <cellStyle name="40% - Accent5 2 2 3 4" xfId="9225" xr:uid="{5173DE59-27DB-42A2-A456-E144F5EBC4F6}"/>
    <cellStyle name="40% - Accent5 2 2 4" xfId="1105" xr:uid="{00000000-0005-0000-0000-00005C060000}"/>
    <cellStyle name="40% - Accent5 2 2 4 2" xfId="3336" xr:uid="{00000000-0005-0000-0000-00005D060000}"/>
    <cellStyle name="40% - Accent5 2 2 4 2 2" xfId="7559" xr:uid="{00000000-0005-0000-0000-00005E060000}"/>
    <cellStyle name="40% - Accent5 2 2 4 2 2 2" xfId="16001" xr:uid="{5EF15535-8B6D-49EC-9DC3-66E905124ED9}"/>
    <cellStyle name="40% - Accent5 2 2 4 2 3" xfId="11783" xr:uid="{99A7DA67-C6BC-41D4-A650-DAD0E8EC9321}"/>
    <cellStyle name="40% - Accent5 2 2 4 3" xfId="5414" xr:uid="{00000000-0005-0000-0000-00005F060000}"/>
    <cellStyle name="40% - Accent5 2 2 4 3 2" xfId="13856" xr:uid="{42C0A48D-F967-4639-8F26-8A124DB2E3D1}"/>
    <cellStyle name="40% - Accent5 2 2 4 4" xfId="9638" xr:uid="{F0BE75A3-B505-4AC5-875A-CDBFCCCEA157}"/>
    <cellStyle name="40% - Accent5 2 2 5" xfId="1519" xr:uid="{00000000-0005-0000-0000-000060060000}"/>
    <cellStyle name="40% - Accent5 2 2 5 2" xfId="3749" xr:uid="{00000000-0005-0000-0000-000061060000}"/>
    <cellStyle name="40% - Accent5 2 2 5 2 2" xfId="7972" xr:uid="{00000000-0005-0000-0000-000062060000}"/>
    <cellStyle name="40% - Accent5 2 2 5 2 2 2" xfId="16414" xr:uid="{326AA7F1-FB39-4E45-A513-71BA3664C72B}"/>
    <cellStyle name="40% - Accent5 2 2 5 2 3" xfId="12196" xr:uid="{5067563B-4E9E-4071-A53E-7197F79F1C6A}"/>
    <cellStyle name="40% - Accent5 2 2 5 3" xfId="5827" xr:uid="{00000000-0005-0000-0000-000063060000}"/>
    <cellStyle name="40% - Accent5 2 2 5 3 2" xfId="14269" xr:uid="{94A8023D-C5BA-4797-9423-A7CCBCB0DAEB}"/>
    <cellStyle name="40% - Accent5 2 2 5 4" xfId="10051" xr:uid="{C956D1F5-23C0-4CD2-8333-9B631DB5AEAF}"/>
    <cellStyle name="40% - Accent5 2 2 6" xfId="1933" xr:uid="{00000000-0005-0000-0000-000064060000}"/>
    <cellStyle name="40% - Accent5 2 2 6 2" xfId="4162" xr:uid="{00000000-0005-0000-0000-000065060000}"/>
    <cellStyle name="40% - Accent5 2 2 6 2 2" xfId="8385" xr:uid="{00000000-0005-0000-0000-000066060000}"/>
    <cellStyle name="40% - Accent5 2 2 6 2 2 2" xfId="16827" xr:uid="{A63426BA-F133-4758-8CDB-498221D8C902}"/>
    <cellStyle name="40% - Accent5 2 2 6 2 3" xfId="12609" xr:uid="{7DA6A2B7-19A0-4198-9FB7-1D666C94EEA7}"/>
    <cellStyle name="40% - Accent5 2 2 6 3" xfId="6240" xr:uid="{00000000-0005-0000-0000-000067060000}"/>
    <cellStyle name="40% - Accent5 2 2 6 3 2" xfId="14682" xr:uid="{3592D371-2896-4591-B5FD-90F31015AB13}"/>
    <cellStyle name="40% - Accent5 2 2 6 4" xfId="10464" xr:uid="{E4892056-0631-4A75-8BCF-4C4B07E59DF2}"/>
    <cellStyle name="40% - Accent5 2 2 7" xfId="2346" xr:uid="{00000000-0005-0000-0000-000068060000}"/>
    <cellStyle name="40% - Accent5 2 2 7 2" xfId="6653" xr:uid="{00000000-0005-0000-0000-000069060000}"/>
    <cellStyle name="40% - Accent5 2 2 7 2 2" xfId="15095" xr:uid="{5BA60F35-2CE7-4D12-B230-6D0DE798BDF3}"/>
    <cellStyle name="40% - Accent5 2 2 7 3" xfId="10877" xr:uid="{318470E5-963D-4358-B803-290CD38DED5C}"/>
    <cellStyle name="40% - Accent5 2 2 8" xfId="4587" xr:uid="{00000000-0005-0000-0000-00006A060000}"/>
    <cellStyle name="40% - Accent5 2 2 8 2" xfId="13029" xr:uid="{15CD94CB-8E55-4319-8818-41AD8203A5F1}"/>
    <cellStyle name="40% - Accent5 2 2 9" xfId="8811" xr:uid="{95D423BD-753B-495E-881A-FFA9BA9A0552}"/>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2 2 2" xfId="15590" xr:uid="{A22D61C0-97B4-46D8-B438-5E63A863C4F3}"/>
    <cellStyle name="40% - Accent5 2 3 2 2 3" xfId="11372" xr:uid="{BB3BB303-6257-4D31-9222-3D047EA24F0B}"/>
    <cellStyle name="40% - Accent5 2 3 2 3" xfId="5003" xr:uid="{00000000-0005-0000-0000-00006F060000}"/>
    <cellStyle name="40% - Accent5 2 3 2 3 2" xfId="13445" xr:uid="{37B06E13-99C2-4EF1-BFE5-AF7AE09EE9E2}"/>
    <cellStyle name="40% - Accent5 2 3 2 4" xfId="9227" xr:uid="{CFD2C56D-937B-4F58-852F-12ADDAD3BB41}"/>
    <cellStyle name="40% - Accent5 2 3 3" xfId="1107" xr:uid="{00000000-0005-0000-0000-000070060000}"/>
    <cellStyle name="40% - Accent5 2 3 3 2" xfId="3338" xr:uid="{00000000-0005-0000-0000-000071060000}"/>
    <cellStyle name="40% - Accent5 2 3 3 2 2" xfId="7561" xr:uid="{00000000-0005-0000-0000-000072060000}"/>
    <cellStyle name="40% - Accent5 2 3 3 2 2 2" xfId="16003" xr:uid="{A1A3A03C-113A-4C95-B409-E96F1C86ED0A}"/>
    <cellStyle name="40% - Accent5 2 3 3 2 3" xfId="11785" xr:uid="{925B78A9-EA9A-44C1-99CB-AFC05F11825D}"/>
    <cellStyle name="40% - Accent5 2 3 3 3" xfId="5416" xr:uid="{00000000-0005-0000-0000-000073060000}"/>
    <cellStyle name="40% - Accent5 2 3 3 3 2" xfId="13858" xr:uid="{3A7AFCC0-E056-472D-A4A9-B51EB8BE6467}"/>
    <cellStyle name="40% - Accent5 2 3 3 4" xfId="9640" xr:uid="{7FE93536-D60B-48FA-A1F6-36ECB33BFA13}"/>
    <cellStyle name="40% - Accent5 2 3 4" xfId="1521" xr:uid="{00000000-0005-0000-0000-000074060000}"/>
    <cellStyle name="40% - Accent5 2 3 4 2" xfId="3751" xr:uid="{00000000-0005-0000-0000-000075060000}"/>
    <cellStyle name="40% - Accent5 2 3 4 2 2" xfId="7974" xr:uid="{00000000-0005-0000-0000-000076060000}"/>
    <cellStyle name="40% - Accent5 2 3 4 2 2 2" xfId="16416" xr:uid="{38C98CA4-7197-4661-9300-82615577C7BC}"/>
    <cellStyle name="40% - Accent5 2 3 4 2 3" xfId="12198" xr:uid="{3CF15B40-28D8-4217-9513-0A4C24A5D9B2}"/>
    <cellStyle name="40% - Accent5 2 3 4 3" xfId="5829" xr:uid="{00000000-0005-0000-0000-000077060000}"/>
    <cellStyle name="40% - Accent5 2 3 4 3 2" xfId="14271" xr:uid="{9E00FBB4-E48E-4734-9C90-4704BF3327E6}"/>
    <cellStyle name="40% - Accent5 2 3 4 4" xfId="10053" xr:uid="{69FAA1CE-ECCE-44C3-A13A-E48DBCD41F52}"/>
    <cellStyle name="40% - Accent5 2 3 5" xfId="1935" xr:uid="{00000000-0005-0000-0000-000078060000}"/>
    <cellStyle name="40% - Accent5 2 3 5 2" xfId="4164" xr:uid="{00000000-0005-0000-0000-000079060000}"/>
    <cellStyle name="40% - Accent5 2 3 5 2 2" xfId="8387" xr:uid="{00000000-0005-0000-0000-00007A060000}"/>
    <cellStyle name="40% - Accent5 2 3 5 2 2 2" xfId="16829" xr:uid="{FBC0621B-BC2B-4E62-BB8E-6E815B32084E}"/>
    <cellStyle name="40% - Accent5 2 3 5 2 3" xfId="12611" xr:uid="{AE721B03-5E25-49E7-8003-EA839EB33D0E}"/>
    <cellStyle name="40% - Accent5 2 3 5 3" xfId="6242" xr:uid="{00000000-0005-0000-0000-00007B060000}"/>
    <cellStyle name="40% - Accent5 2 3 5 3 2" xfId="14684" xr:uid="{6B3140F6-3929-40D7-B165-70E60B9161EE}"/>
    <cellStyle name="40% - Accent5 2 3 5 4" xfId="10466" xr:uid="{F6F1EFF5-4051-4382-9427-A87D9BFC94DF}"/>
    <cellStyle name="40% - Accent5 2 3 6" xfId="2348" xr:uid="{00000000-0005-0000-0000-00007C060000}"/>
    <cellStyle name="40% - Accent5 2 3 6 2" xfId="6655" xr:uid="{00000000-0005-0000-0000-00007D060000}"/>
    <cellStyle name="40% - Accent5 2 3 6 2 2" xfId="15097" xr:uid="{CF82B9CC-9BE9-446F-83BB-A5DE8641FD95}"/>
    <cellStyle name="40% - Accent5 2 3 6 3" xfId="10879" xr:uid="{8474E171-0A69-4785-A9D0-279EDE415D11}"/>
    <cellStyle name="40% - Accent5 2 3 7" xfId="4589" xr:uid="{00000000-0005-0000-0000-00007E060000}"/>
    <cellStyle name="40% - Accent5 2 3 7 2" xfId="13031" xr:uid="{8E0D8E5F-9905-489C-AC49-C84A23CEA15D}"/>
    <cellStyle name="40% - Accent5 2 3 8" xfId="8813" xr:uid="{01F525D9-36F5-41A8-A6D7-B5354E8C71DF}"/>
    <cellStyle name="40% - Accent5 2 4" xfId="651" xr:uid="{00000000-0005-0000-0000-00007F060000}"/>
    <cellStyle name="40% - Accent5 2 4 2" xfId="2922" xr:uid="{00000000-0005-0000-0000-000080060000}"/>
    <cellStyle name="40% - Accent5 2 4 2 2" xfId="7145" xr:uid="{00000000-0005-0000-0000-000081060000}"/>
    <cellStyle name="40% - Accent5 2 4 2 2 2" xfId="15587" xr:uid="{00409B08-2ED6-48A3-8EF3-5FD15791901B}"/>
    <cellStyle name="40% - Accent5 2 4 2 3" xfId="11369" xr:uid="{93D3520D-647B-4265-95D2-90285B99D400}"/>
    <cellStyle name="40% - Accent5 2 4 3" xfId="5000" xr:uid="{00000000-0005-0000-0000-000082060000}"/>
    <cellStyle name="40% - Accent5 2 4 3 2" xfId="13442" xr:uid="{A93CACE8-1553-4BCB-A809-3F33AE779896}"/>
    <cellStyle name="40% - Accent5 2 4 4" xfId="9224" xr:uid="{934E0165-5A81-4B1C-9615-C08AAEB4091B}"/>
    <cellStyle name="40% - Accent5 2 5" xfId="1104" xr:uid="{00000000-0005-0000-0000-000083060000}"/>
    <cellStyle name="40% - Accent5 2 5 2" xfId="3335" xr:uid="{00000000-0005-0000-0000-000084060000}"/>
    <cellStyle name="40% - Accent5 2 5 2 2" xfId="7558" xr:uid="{00000000-0005-0000-0000-000085060000}"/>
    <cellStyle name="40% - Accent5 2 5 2 2 2" xfId="16000" xr:uid="{7A9378BF-B9E7-4FD1-AF02-44AB8B5D50B9}"/>
    <cellStyle name="40% - Accent5 2 5 2 3" xfId="11782" xr:uid="{43C4D215-2A3A-4421-9C0A-2E429998B122}"/>
    <cellStyle name="40% - Accent5 2 5 3" xfId="5413" xr:uid="{00000000-0005-0000-0000-000086060000}"/>
    <cellStyle name="40% - Accent5 2 5 3 2" xfId="13855" xr:uid="{96A867B2-4323-476D-A8D4-2D12BB206646}"/>
    <cellStyle name="40% - Accent5 2 5 4" xfId="9637" xr:uid="{3BD7B5CE-E901-4BAB-8D27-5B214F47FD1B}"/>
    <cellStyle name="40% - Accent5 2 6" xfId="1518" xr:uid="{00000000-0005-0000-0000-000087060000}"/>
    <cellStyle name="40% - Accent5 2 6 2" xfId="3748" xr:uid="{00000000-0005-0000-0000-000088060000}"/>
    <cellStyle name="40% - Accent5 2 6 2 2" xfId="7971" xr:uid="{00000000-0005-0000-0000-000089060000}"/>
    <cellStyle name="40% - Accent5 2 6 2 2 2" xfId="16413" xr:uid="{CFFE900A-58A9-4A6C-86A5-9F2605C2EC6B}"/>
    <cellStyle name="40% - Accent5 2 6 2 3" xfId="12195" xr:uid="{E93566BB-C473-4BA4-9FCC-4221BD6E63D2}"/>
    <cellStyle name="40% - Accent5 2 6 3" xfId="5826" xr:uid="{00000000-0005-0000-0000-00008A060000}"/>
    <cellStyle name="40% - Accent5 2 6 3 2" xfId="14268" xr:uid="{9F8249EF-85D8-460D-B6AE-43DC80BCB805}"/>
    <cellStyle name="40% - Accent5 2 6 4" xfId="10050" xr:uid="{FA5D70DB-8FD6-44CE-8F77-BE0BE6EB7EF3}"/>
    <cellStyle name="40% - Accent5 2 7" xfId="1932" xr:uid="{00000000-0005-0000-0000-00008B060000}"/>
    <cellStyle name="40% - Accent5 2 7 2" xfId="4161" xr:uid="{00000000-0005-0000-0000-00008C060000}"/>
    <cellStyle name="40% - Accent5 2 7 2 2" xfId="8384" xr:uid="{00000000-0005-0000-0000-00008D060000}"/>
    <cellStyle name="40% - Accent5 2 7 2 2 2" xfId="16826" xr:uid="{FEFC0BD7-9242-44BC-A638-EA67A8FCC17C}"/>
    <cellStyle name="40% - Accent5 2 7 2 3" xfId="12608" xr:uid="{7943834D-CBAF-410F-ACAC-AF841059492E}"/>
    <cellStyle name="40% - Accent5 2 7 3" xfId="6239" xr:uid="{00000000-0005-0000-0000-00008E060000}"/>
    <cellStyle name="40% - Accent5 2 7 3 2" xfId="14681" xr:uid="{5C7379A4-BEE3-4DDC-96CB-834FEE094415}"/>
    <cellStyle name="40% - Accent5 2 7 4" xfId="10463" xr:uid="{C64EB81B-7810-4977-A308-ACCA89ACE6C1}"/>
    <cellStyle name="40% - Accent5 2 8" xfId="2345" xr:uid="{00000000-0005-0000-0000-00008F060000}"/>
    <cellStyle name="40% - Accent5 2 8 2" xfId="6652" xr:uid="{00000000-0005-0000-0000-000090060000}"/>
    <cellStyle name="40% - Accent5 2 8 2 2" xfId="15094" xr:uid="{B05B88E4-C839-406E-BCBA-25F9918B6485}"/>
    <cellStyle name="40% - Accent5 2 8 3" xfId="10876" xr:uid="{1B278B9B-1DCE-4980-A795-898E6738DD79}"/>
    <cellStyle name="40% - Accent5 2 9" xfId="4586" xr:uid="{00000000-0005-0000-0000-000091060000}"/>
    <cellStyle name="40% - Accent5 2 9 2" xfId="13028" xr:uid="{2ACB8530-286C-4B12-9F8C-317B4694D386}"/>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2 2 2" xfId="15592" xr:uid="{F57CA3B6-08C2-4A54-A95F-CA36C1773291}"/>
    <cellStyle name="40% - Accent5 3 2 2 2 3" xfId="11374" xr:uid="{53CB7C7A-8DB4-4CCE-A774-87F3DB48A81D}"/>
    <cellStyle name="40% - Accent5 3 2 2 3" xfId="5005" xr:uid="{00000000-0005-0000-0000-000097060000}"/>
    <cellStyle name="40% - Accent5 3 2 2 3 2" xfId="13447" xr:uid="{901CFFCA-8858-41EE-AD49-8E064E721FE5}"/>
    <cellStyle name="40% - Accent5 3 2 2 4" xfId="9229" xr:uid="{BEE694B8-7FD0-4EEA-A60A-6C44E3A3EBBF}"/>
    <cellStyle name="40% - Accent5 3 2 3" xfId="1109" xr:uid="{00000000-0005-0000-0000-000098060000}"/>
    <cellStyle name="40% - Accent5 3 2 3 2" xfId="3340" xr:uid="{00000000-0005-0000-0000-000099060000}"/>
    <cellStyle name="40% - Accent5 3 2 3 2 2" xfId="7563" xr:uid="{00000000-0005-0000-0000-00009A060000}"/>
    <cellStyle name="40% - Accent5 3 2 3 2 2 2" xfId="16005" xr:uid="{13D63A40-2D7B-4EDB-AD9A-815D616239B6}"/>
    <cellStyle name="40% - Accent5 3 2 3 2 3" xfId="11787" xr:uid="{12D9C862-A9DB-47EF-9C3B-28226B60A845}"/>
    <cellStyle name="40% - Accent5 3 2 3 3" xfId="5418" xr:uid="{00000000-0005-0000-0000-00009B060000}"/>
    <cellStyle name="40% - Accent5 3 2 3 3 2" xfId="13860" xr:uid="{019A25EF-ABEF-4927-80F1-4573E59AA888}"/>
    <cellStyle name="40% - Accent5 3 2 3 4" xfId="9642" xr:uid="{858A9FF8-5DBB-4FE6-AC6A-BC430725BD3B}"/>
    <cellStyle name="40% - Accent5 3 2 4" xfId="1523" xr:uid="{00000000-0005-0000-0000-00009C060000}"/>
    <cellStyle name="40% - Accent5 3 2 4 2" xfId="3753" xr:uid="{00000000-0005-0000-0000-00009D060000}"/>
    <cellStyle name="40% - Accent5 3 2 4 2 2" xfId="7976" xr:uid="{00000000-0005-0000-0000-00009E060000}"/>
    <cellStyle name="40% - Accent5 3 2 4 2 2 2" xfId="16418" xr:uid="{977DDF8D-728F-491A-A530-C5D6471FE883}"/>
    <cellStyle name="40% - Accent5 3 2 4 2 3" xfId="12200" xr:uid="{6FC72A4F-27C0-4E7C-9631-5A3E43E8F165}"/>
    <cellStyle name="40% - Accent5 3 2 4 3" xfId="5831" xr:uid="{00000000-0005-0000-0000-00009F060000}"/>
    <cellStyle name="40% - Accent5 3 2 4 3 2" xfId="14273" xr:uid="{72817D74-690A-48C2-A0B0-34AFFF27EDCB}"/>
    <cellStyle name="40% - Accent5 3 2 4 4" xfId="10055" xr:uid="{00BB2FA9-DF12-4175-AE81-587DB2BB3316}"/>
    <cellStyle name="40% - Accent5 3 2 5" xfId="1937" xr:uid="{00000000-0005-0000-0000-0000A0060000}"/>
    <cellStyle name="40% - Accent5 3 2 5 2" xfId="4166" xr:uid="{00000000-0005-0000-0000-0000A1060000}"/>
    <cellStyle name="40% - Accent5 3 2 5 2 2" xfId="8389" xr:uid="{00000000-0005-0000-0000-0000A2060000}"/>
    <cellStyle name="40% - Accent5 3 2 5 2 2 2" xfId="16831" xr:uid="{B8B0CED4-D280-4742-A5A0-00420731CAF3}"/>
    <cellStyle name="40% - Accent5 3 2 5 2 3" xfId="12613" xr:uid="{99C8EBA9-330F-46BD-B555-A6CF305BDD88}"/>
    <cellStyle name="40% - Accent5 3 2 5 3" xfId="6244" xr:uid="{00000000-0005-0000-0000-0000A3060000}"/>
    <cellStyle name="40% - Accent5 3 2 5 3 2" xfId="14686" xr:uid="{2A36FDBA-3BE3-4356-8A7C-A223BD8F59D8}"/>
    <cellStyle name="40% - Accent5 3 2 5 4" xfId="10468" xr:uid="{7ADA5A42-391B-485A-8CD5-655719C54928}"/>
    <cellStyle name="40% - Accent5 3 2 6" xfId="2350" xr:uid="{00000000-0005-0000-0000-0000A4060000}"/>
    <cellStyle name="40% - Accent5 3 2 6 2" xfId="6657" xr:uid="{00000000-0005-0000-0000-0000A5060000}"/>
    <cellStyle name="40% - Accent5 3 2 6 2 2" xfId="15099" xr:uid="{049FEF03-F861-4FBD-8191-6B7E672B806C}"/>
    <cellStyle name="40% - Accent5 3 2 6 3" xfId="10881" xr:uid="{9F7EDC08-31D6-4D54-84C5-43B50D467BC3}"/>
    <cellStyle name="40% - Accent5 3 2 7" xfId="4591" xr:uid="{00000000-0005-0000-0000-0000A6060000}"/>
    <cellStyle name="40% - Accent5 3 2 7 2" xfId="13033" xr:uid="{11A03038-AB38-4DCD-B26B-BD02AED3EF1C}"/>
    <cellStyle name="40% - Accent5 3 2 8" xfId="8815" xr:uid="{A523C85D-8ED8-4A91-816B-0EC9C886A9A5}"/>
    <cellStyle name="40% - Accent5 3 3" xfId="655" xr:uid="{00000000-0005-0000-0000-0000A7060000}"/>
    <cellStyle name="40% - Accent5 3 3 2" xfId="2926" xr:uid="{00000000-0005-0000-0000-0000A8060000}"/>
    <cellStyle name="40% - Accent5 3 3 2 2" xfId="7149" xr:uid="{00000000-0005-0000-0000-0000A9060000}"/>
    <cellStyle name="40% - Accent5 3 3 2 2 2" xfId="15591" xr:uid="{1CCB27C5-6B53-4C91-96CD-3FC7C7D22ADC}"/>
    <cellStyle name="40% - Accent5 3 3 2 3" xfId="11373" xr:uid="{2A08D1C8-3C69-48CD-9678-F96E46AA5D11}"/>
    <cellStyle name="40% - Accent5 3 3 3" xfId="5004" xr:uid="{00000000-0005-0000-0000-0000AA060000}"/>
    <cellStyle name="40% - Accent5 3 3 3 2" xfId="13446" xr:uid="{7220923F-277B-4A33-AFD6-DF5854FF2C6A}"/>
    <cellStyle name="40% - Accent5 3 3 4" xfId="9228" xr:uid="{BEEF4204-DB01-4C67-AAF7-43B89C9C4DD2}"/>
    <cellStyle name="40% - Accent5 3 4" xfId="1108" xr:uid="{00000000-0005-0000-0000-0000AB060000}"/>
    <cellStyle name="40% - Accent5 3 4 2" xfId="3339" xr:uid="{00000000-0005-0000-0000-0000AC060000}"/>
    <cellStyle name="40% - Accent5 3 4 2 2" xfId="7562" xr:uid="{00000000-0005-0000-0000-0000AD060000}"/>
    <cellStyle name="40% - Accent5 3 4 2 2 2" xfId="16004" xr:uid="{9FAA3E5B-1A63-4254-B7E8-806C071574F4}"/>
    <cellStyle name="40% - Accent5 3 4 2 3" xfId="11786" xr:uid="{C6CAEC98-F727-435D-AC6C-0E8FB152D720}"/>
    <cellStyle name="40% - Accent5 3 4 3" xfId="5417" xr:uid="{00000000-0005-0000-0000-0000AE060000}"/>
    <cellStyle name="40% - Accent5 3 4 3 2" xfId="13859" xr:uid="{D8272D54-855E-4087-8D01-158B8C8434F0}"/>
    <cellStyle name="40% - Accent5 3 4 4" xfId="9641" xr:uid="{D62AC7B8-94D3-4049-B550-AAF5B3892E5A}"/>
    <cellStyle name="40% - Accent5 3 5" xfId="1522" xr:uid="{00000000-0005-0000-0000-0000AF060000}"/>
    <cellStyle name="40% - Accent5 3 5 2" xfId="3752" xr:uid="{00000000-0005-0000-0000-0000B0060000}"/>
    <cellStyle name="40% - Accent5 3 5 2 2" xfId="7975" xr:uid="{00000000-0005-0000-0000-0000B1060000}"/>
    <cellStyle name="40% - Accent5 3 5 2 2 2" xfId="16417" xr:uid="{99735656-D766-409D-8FBE-67B5B484FC28}"/>
    <cellStyle name="40% - Accent5 3 5 2 3" xfId="12199" xr:uid="{2CB5596B-6D5D-4DAC-AE02-E04615C5F7F5}"/>
    <cellStyle name="40% - Accent5 3 5 3" xfId="5830" xr:uid="{00000000-0005-0000-0000-0000B2060000}"/>
    <cellStyle name="40% - Accent5 3 5 3 2" xfId="14272" xr:uid="{2BD6C808-6FE8-46BF-BA1B-1B4E2397AA29}"/>
    <cellStyle name="40% - Accent5 3 5 4" xfId="10054" xr:uid="{3D6B8E3F-97A3-4B86-98E8-5F605BFADA69}"/>
    <cellStyle name="40% - Accent5 3 6" xfId="1936" xr:uid="{00000000-0005-0000-0000-0000B3060000}"/>
    <cellStyle name="40% - Accent5 3 6 2" xfId="4165" xr:uid="{00000000-0005-0000-0000-0000B4060000}"/>
    <cellStyle name="40% - Accent5 3 6 2 2" xfId="8388" xr:uid="{00000000-0005-0000-0000-0000B5060000}"/>
    <cellStyle name="40% - Accent5 3 6 2 2 2" xfId="16830" xr:uid="{9E965FF3-0515-4C20-8CF7-7590540C4797}"/>
    <cellStyle name="40% - Accent5 3 6 2 3" xfId="12612" xr:uid="{811BD535-A29F-441C-9B99-104E9D1F457F}"/>
    <cellStyle name="40% - Accent5 3 6 3" xfId="6243" xr:uid="{00000000-0005-0000-0000-0000B6060000}"/>
    <cellStyle name="40% - Accent5 3 6 3 2" xfId="14685" xr:uid="{1819C599-DBE9-4D56-8515-33390EEF15E5}"/>
    <cellStyle name="40% - Accent5 3 6 4" xfId="10467" xr:uid="{4DDF92C6-2223-452E-8319-237DABE59B11}"/>
    <cellStyle name="40% - Accent5 3 7" xfId="2349" xr:uid="{00000000-0005-0000-0000-0000B7060000}"/>
    <cellStyle name="40% - Accent5 3 7 2" xfId="6656" xr:uid="{00000000-0005-0000-0000-0000B8060000}"/>
    <cellStyle name="40% - Accent5 3 7 2 2" xfId="15098" xr:uid="{6656277A-1805-48B6-AB48-2AF780EA6399}"/>
    <cellStyle name="40% - Accent5 3 7 3" xfId="10880" xr:uid="{59FE7586-BAE2-4130-8BF9-E9DF9145BC34}"/>
    <cellStyle name="40% - Accent5 3 8" xfId="4590" xr:uid="{00000000-0005-0000-0000-0000B9060000}"/>
    <cellStyle name="40% - Accent5 3 8 2" xfId="13032" xr:uid="{5170C4FA-8D8B-4DCC-B79D-D3BCF3B04BE2}"/>
    <cellStyle name="40% - Accent5 3 9" xfId="8814" xr:uid="{F883CD43-FC63-49E3-8B59-03252F4D2062}"/>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2 2 2" xfId="15593" xr:uid="{51667929-849A-48DF-898C-3BFBA2273224}"/>
    <cellStyle name="40% - Accent5 4 2 2 3" xfId="11375" xr:uid="{03487CB1-48DE-44E2-B396-9BAD78B22A1E}"/>
    <cellStyle name="40% - Accent5 4 2 3" xfId="5006" xr:uid="{00000000-0005-0000-0000-0000BE060000}"/>
    <cellStyle name="40% - Accent5 4 2 3 2" xfId="13448" xr:uid="{AC889F7F-56BF-4932-9707-8CBCDE0AEC23}"/>
    <cellStyle name="40% - Accent5 4 2 4" xfId="9230" xr:uid="{712F966C-DCED-46AE-A237-9EE50CF20657}"/>
    <cellStyle name="40% - Accent5 4 3" xfId="1110" xr:uid="{00000000-0005-0000-0000-0000BF060000}"/>
    <cellStyle name="40% - Accent5 4 3 2" xfId="3341" xr:uid="{00000000-0005-0000-0000-0000C0060000}"/>
    <cellStyle name="40% - Accent5 4 3 2 2" xfId="7564" xr:uid="{00000000-0005-0000-0000-0000C1060000}"/>
    <cellStyle name="40% - Accent5 4 3 2 2 2" xfId="16006" xr:uid="{C3173BB7-AC03-448F-885C-61E3B411D483}"/>
    <cellStyle name="40% - Accent5 4 3 2 3" xfId="11788" xr:uid="{C2F5AA7A-0213-493D-A8FF-A86A41A1459D}"/>
    <cellStyle name="40% - Accent5 4 3 3" xfId="5419" xr:uid="{00000000-0005-0000-0000-0000C2060000}"/>
    <cellStyle name="40% - Accent5 4 3 3 2" xfId="13861" xr:uid="{F03F5B42-88FE-4C22-90EA-6B107B445C62}"/>
    <cellStyle name="40% - Accent5 4 3 4" xfId="9643" xr:uid="{716882C3-B1F4-4DAB-AD98-F9461C426B68}"/>
    <cellStyle name="40% - Accent5 4 4" xfId="1524" xr:uid="{00000000-0005-0000-0000-0000C3060000}"/>
    <cellStyle name="40% - Accent5 4 4 2" xfId="3754" xr:uid="{00000000-0005-0000-0000-0000C4060000}"/>
    <cellStyle name="40% - Accent5 4 4 2 2" xfId="7977" xr:uid="{00000000-0005-0000-0000-0000C5060000}"/>
    <cellStyle name="40% - Accent5 4 4 2 2 2" xfId="16419" xr:uid="{63148B95-F84B-4E75-B886-97DA1029548D}"/>
    <cellStyle name="40% - Accent5 4 4 2 3" xfId="12201" xr:uid="{A6BC9B3D-E262-4D93-96B4-9280564D5EC0}"/>
    <cellStyle name="40% - Accent5 4 4 3" xfId="5832" xr:uid="{00000000-0005-0000-0000-0000C6060000}"/>
    <cellStyle name="40% - Accent5 4 4 3 2" xfId="14274" xr:uid="{6454B0F3-9240-44DA-98B9-0DDACDE7A45D}"/>
    <cellStyle name="40% - Accent5 4 4 4" xfId="10056" xr:uid="{DB8355A4-88A9-431E-A90F-AEBDE2F04F06}"/>
    <cellStyle name="40% - Accent5 4 5" xfId="1938" xr:uid="{00000000-0005-0000-0000-0000C7060000}"/>
    <cellStyle name="40% - Accent5 4 5 2" xfId="4167" xr:uid="{00000000-0005-0000-0000-0000C8060000}"/>
    <cellStyle name="40% - Accent5 4 5 2 2" xfId="8390" xr:uid="{00000000-0005-0000-0000-0000C9060000}"/>
    <cellStyle name="40% - Accent5 4 5 2 2 2" xfId="16832" xr:uid="{9BD2FEFF-E868-40CB-914D-6B3E3532CA9F}"/>
    <cellStyle name="40% - Accent5 4 5 2 3" xfId="12614" xr:uid="{6CE315A4-A5B4-42DA-BF01-74B21A797C53}"/>
    <cellStyle name="40% - Accent5 4 5 3" xfId="6245" xr:uid="{00000000-0005-0000-0000-0000CA060000}"/>
    <cellStyle name="40% - Accent5 4 5 3 2" xfId="14687" xr:uid="{AC27E829-27F0-47E6-8876-B138418FD95A}"/>
    <cellStyle name="40% - Accent5 4 5 4" xfId="10469" xr:uid="{E8478332-7155-4775-9FBC-6831D8694EAB}"/>
    <cellStyle name="40% - Accent5 4 6" xfId="2351" xr:uid="{00000000-0005-0000-0000-0000CB060000}"/>
    <cellStyle name="40% - Accent5 4 6 2" xfId="6658" xr:uid="{00000000-0005-0000-0000-0000CC060000}"/>
    <cellStyle name="40% - Accent5 4 6 2 2" xfId="15100" xr:uid="{1ECE5313-930F-4E6A-9802-02005DB1733F}"/>
    <cellStyle name="40% - Accent5 4 6 3" xfId="10882" xr:uid="{F53DCFBE-EA90-4F1D-B19C-7E4F6DF9B29C}"/>
    <cellStyle name="40% - Accent5 4 7" xfId="4592" xr:uid="{00000000-0005-0000-0000-0000CD060000}"/>
    <cellStyle name="40% - Accent5 4 7 2" xfId="13034" xr:uid="{AAA6F933-F024-445A-B815-E662AC747335}"/>
    <cellStyle name="40% - Accent5 4 8" xfId="8816" xr:uid="{DF0827B7-4C48-4C54-882A-67F7E8ABC648}"/>
    <cellStyle name="40% - Accent5 5" xfId="650" xr:uid="{00000000-0005-0000-0000-0000CE060000}"/>
    <cellStyle name="40% - Accent5 5 2" xfId="2921" xr:uid="{00000000-0005-0000-0000-0000CF060000}"/>
    <cellStyle name="40% - Accent5 5 2 2" xfId="7144" xr:uid="{00000000-0005-0000-0000-0000D0060000}"/>
    <cellStyle name="40% - Accent5 5 2 2 2" xfId="15586" xr:uid="{915F7CFE-515D-4067-8FFA-51406965C8B9}"/>
    <cellStyle name="40% - Accent5 5 2 3" xfId="11368" xr:uid="{94956F5B-EE80-4FD3-98CC-A8B127A77114}"/>
    <cellStyle name="40% - Accent5 5 3" xfId="4999" xr:uid="{00000000-0005-0000-0000-0000D1060000}"/>
    <cellStyle name="40% - Accent5 5 3 2" xfId="13441" xr:uid="{2F1A2DE6-14F9-4BA1-B3CF-E0BB9EEEAAF1}"/>
    <cellStyle name="40% - Accent5 5 4" xfId="9223" xr:uid="{BFF41B65-C3CD-4515-A3AC-AD39450ED5C9}"/>
    <cellStyle name="40% - Accent5 6" xfId="1103" xr:uid="{00000000-0005-0000-0000-0000D2060000}"/>
    <cellStyle name="40% - Accent5 6 2" xfId="3334" xr:uid="{00000000-0005-0000-0000-0000D3060000}"/>
    <cellStyle name="40% - Accent5 6 2 2" xfId="7557" xr:uid="{00000000-0005-0000-0000-0000D4060000}"/>
    <cellStyle name="40% - Accent5 6 2 2 2" xfId="15999" xr:uid="{5F0F349E-8A1B-446A-BB3B-8A9A96A41878}"/>
    <cellStyle name="40% - Accent5 6 2 3" xfId="11781" xr:uid="{B207422C-ABDA-47AF-BC75-F93A82A14CF3}"/>
    <cellStyle name="40% - Accent5 6 3" xfId="5412" xr:uid="{00000000-0005-0000-0000-0000D5060000}"/>
    <cellStyle name="40% - Accent5 6 3 2" xfId="13854" xr:uid="{5B85C9A8-0B3E-400B-82AF-27837D60C6F9}"/>
    <cellStyle name="40% - Accent5 6 4" xfId="9636" xr:uid="{3000CE2E-0C56-4A6B-90AB-80DF80077B70}"/>
    <cellStyle name="40% - Accent5 7" xfId="1517" xr:uid="{00000000-0005-0000-0000-0000D6060000}"/>
    <cellStyle name="40% - Accent5 7 2" xfId="3747" xr:uid="{00000000-0005-0000-0000-0000D7060000}"/>
    <cellStyle name="40% - Accent5 7 2 2" xfId="7970" xr:uid="{00000000-0005-0000-0000-0000D8060000}"/>
    <cellStyle name="40% - Accent5 7 2 2 2" xfId="16412" xr:uid="{7B0FE0A8-F550-41A2-AA8D-9F4319906C33}"/>
    <cellStyle name="40% - Accent5 7 2 3" xfId="12194" xr:uid="{AC65A1C5-1E4F-4CDB-83FD-D38833D282A4}"/>
    <cellStyle name="40% - Accent5 7 3" xfId="5825" xr:uid="{00000000-0005-0000-0000-0000D9060000}"/>
    <cellStyle name="40% - Accent5 7 3 2" xfId="14267" xr:uid="{D5EF21E2-69ED-429B-B413-3432F16E10A1}"/>
    <cellStyle name="40% - Accent5 7 4" xfId="10049" xr:uid="{38F85B63-1161-498F-96EA-89388A0602FB}"/>
    <cellStyle name="40% - Accent5 8" xfId="1931" xr:uid="{00000000-0005-0000-0000-0000DA060000}"/>
    <cellStyle name="40% - Accent5 8 2" xfId="4160" xr:uid="{00000000-0005-0000-0000-0000DB060000}"/>
    <cellStyle name="40% - Accent5 8 2 2" xfId="8383" xr:uid="{00000000-0005-0000-0000-0000DC060000}"/>
    <cellStyle name="40% - Accent5 8 2 2 2" xfId="16825" xr:uid="{22361FEF-18FD-4BE3-8C42-F668D012E8C4}"/>
    <cellStyle name="40% - Accent5 8 2 3" xfId="12607" xr:uid="{1E3C7FE8-E2F9-4452-890F-CB83F8677704}"/>
    <cellStyle name="40% - Accent5 8 3" xfId="6238" xr:uid="{00000000-0005-0000-0000-0000DD060000}"/>
    <cellStyle name="40% - Accent5 8 3 2" xfId="14680" xr:uid="{22A048F1-89CB-4B98-9A1C-6E72972CCFD9}"/>
    <cellStyle name="40% - Accent5 8 4" xfId="10462" xr:uid="{6E5E281B-1DB4-494E-9D8E-BBBCA89EC385}"/>
    <cellStyle name="40% - Accent5 9" xfId="2344" xr:uid="{00000000-0005-0000-0000-0000DE060000}"/>
    <cellStyle name="40% - Accent5 9 2" xfId="6651" xr:uid="{00000000-0005-0000-0000-0000DF060000}"/>
    <cellStyle name="40% - Accent5 9 2 2" xfId="15093" xr:uid="{C562AB1D-7970-4046-A039-EF0A75FB7883}"/>
    <cellStyle name="40% - Accent5 9 3" xfId="10875" xr:uid="{53B981CB-3CBE-4A3F-B415-7EDEBFBCF38B}"/>
    <cellStyle name="40% - Accent6" xfId="89" builtinId="51" customBuiltin="1"/>
    <cellStyle name="40% - Accent6 10" xfId="4593" xr:uid="{00000000-0005-0000-0000-0000E1060000}"/>
    <cellStyle name="40% - Accent6 10 2" xfId="13035" xr:uid="{292288E9-44DB-4F12-9B16-C8BD84089648}"/>
    <cellStyle name="40% - Accent6 11" xfId="8817" xr:uid="{87736388-DFA2-4022-B0EE-EFB936F26292}"/>
    <cellStyle name="40% - Accent6 2" xfId="90" xr:uid="{00000000-0005-0000-0000-0000E2060000}"/>
    <cellStyle name="40% - Accent6 2 10" xfId="8818" xr:uid="{466B6C37-677E-4162-A2FE-EDCEEACA206E}"/>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2 2 2" xfId="15597" xr:uid="{601639F0-EAFF-494D-A980-79B614DB8233}"/>
    <cellStyle name="40% - Accent6 2 2 2 2 2 3" xfId="11379" xr:uid="{31153912-A348-4F68-AE9C-D016CA78B6A5}"/>
    <cellStyle name="40% - Accent6 2 2 2 2 3" xfId="5010" xr:uid="{00000000-0005-0000-0000-0000E8060000}"/>
    <cellStyle name="40% - Accent6 2 2 2 2 3 2" xfId="13452" xr:uid="{5F2C27A0-8FD6-4BD8-A700-ECDB6C2F3934}"/>
    <cellStyle name="40% - Accent6 2 2 2 2 4" xfId="9234" xr:uid="{7BD7FB50-4295-4E88-9AC9-7B20A5152DBB}"/>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2 2 2" xfId="16010" xr:uid="{454BA2E9-3DC3-4502-A0C8-3B9611E9FF15}"/>
    <cellStyle name="40% - Accent6 2 2 2 3 2 3" xfId="11792" xr:uid="{F37FC00E-B1B4-44C3-8DD3-54E712A7B24C}"/>
    <cellStyle name="40% - Accent6 2 2 2 3 3" xfId="5423" xr:uid="{00000000-0005-0000-0000-0000EC060000}"/>
    <cellStyle name="40% - Accent6 2 2 2 3 3 2" xfId="13865" xr:uid="{1E1D2151-79CB-4BF6-8D4C-879F90A98D76}"/>
    <cellStyle name="40% - Accent6 2 2 2 3 4" xfId="9647" xr:uid="{C64FD407-A478-4B3E-BF54-CDA23BA57D33}"/>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2 2 2" xfId="16423" xr:uid="{03F43CE8-7054-40F0-ACF6-47FB819A393B}"/>
    <cellStyle name="40% - Accent6 2 2 2 4 2 3" xfId="12205" xr:uid="{F6B5E536-1CB4-4E61-9D95-94A4821E8F2C}"/>
    <cellStyle name="40% - Accent6 2 2 2 4 3" xfId="5836" xr:uid="{00000000-0005-0000-0000-0000F0060000}"/>
    <cellStyle name="40% - Accent6 2 2 2 4 3 2" xfId="14278" xr:uid="{C87293B2-B3E9-4924-B5AC-9D585A872FC6}"/>
    <cellStyle name="40% - Accent6 2 2 2 4 4" xfId="10060" xr:uid="{EC231420-6059-4F50-B9BD-75A3660268FD}"/>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2 2 2" xfId="16836" xr:uid="{AC8C1F44-D5E7-49DD-8004-773B7E6A2856}"/>
    <cellStyle name="40% - Accent6 2 2 2 5 2 3" xfId="12618" xr:uid="{9B01CB00-6D69-4466-A8DE-5FD042FC2AE2}"/>
    <cellStyle name="40% - Accent6 2 2 2 5 3" xfId="6249" xr:uid="{00000000-0005-0000-0000-0000F4060000}"/>
    <cellStyle name="40% - Accent6 2 2 2 5 3 2" xfId="14691" xr:uid="{F0E613FF-16F9-4FBD-A2CD-223F1866C9C4}"/>
    <cellStyle name="40% - Accent6 2 2 2 5 4" xfId="10473" xr:uid="{E26E359B-AF54-4DD7-AE78-DD21A17A814E}"/>
    <cellStyle name="40% - Accent6 2 2 2 6" xfId="2355" xr:uid="{00000000-0005-0000-0000-0000F5060000}"/>
    <cellStyle name="40% - Accent6 2 2 2 6 2" xfId="6662" xr:uid="{00000000-0005-0000-0000-0000F6060000}"/>
    <cellStyle name="40% - Accent6 2 2 2 6 2 2" xfId="15104" xr:uid="{FFC12FE9-75B9-411C-A285-19D8224758D2}"/>
    <cellStyle name="40% - Accent6 2 2 2 6 3" xfId="10886" xr:uid="{42A122AF-29D1-4D6C-921B-B6DC6722B534}"/>
    <cellStyle name="40% - Accent6 2 2 2 7" xfId="4596" xr:uid="{00000000-0005-0000-0000-0000F7060000}"/>
    <cellStyle name="40% - Accent6 2 2 2 7 2" xfId="13038" xr:uid="{D1A723DF-765B-4B48-966B-DAF4779E12D0}"/>
    <cellStyle name="40% - Accent6 2 2 2 8" xfId="8820" xr:uid="{D6FFC3DE-8793-45FD-8D10-A9274AD8215B}"/>
    <cellStyle name="40% - Accent6 2 2 3" xfId="660" xr:uid="{00000000-0005-0000-0000-0000F8060000}"/>
    <cellStyle name="40% - Accent6 2 2 3 2" xfId="2931" xr:uid="{00000000-0005-0000-0000-0000F9060000}"/>
    <cellStyle name="40% - Accent6 2 2 3 2 2" xfId="7154" xr:uid="{00000000-0005-0000-0000-0000FA060000}"/>
    <cellStyle name="40% - Accent6 2 2 3 2 2 2" xfId="15596" xr:uid="{D4CE4125-1311-44F8-90EC-F58458A0B557}"/>
    <cellStyle name="40% - Accent6 2 2 3 2 3" xfId="11378" xr:uid="{DB4B8D4F-9E7A-4B96-B61A-C573F980C5FE}"/>
    <cellStyle name="40% - Accent6 2 2 3 3" xfId="5009" xr:uid="{00000000-0005-0000-0000-0000FB060000}"/>
    <cellStyle name="40% - Accent6 2 2 3 3 2" xfId="13451" xr:uid="{FF4340FB-0EB9-46EE-A2CC-38FAAC2F9A8A}"/>
    <cellStyle name="40% - Accent6 2 2 3 4" xfId="9233" xr:uid="{65E11297-F628-4D03-A94F-2EF7975DC44C}"/>
    <cellStyle name="40% - Accent6 2 2 4" xfId="1113" xr:uid="{00000000-0005-0000-0000-0000FC060000}"/>
    <cellStyle name="40% - Accent6 2 2 4 2" xfId="3344" xr:uid="{00000000-0005-0000-0000-0000FD060000}"/>
    <cellStyle name="40% - Accent6 2 2 4 2 2" xfId="7567" xr:uid="{00000000-0005-0000-0000-0000FE060000}"/>
    <cellStyle name="40% - Accent6 2 2 4 2 2 2" xfId="16009" xr:uid="{68A8FC86-BF41-4F7D-B3A5-7C428EBAA9B5}"/>
    <cellStyle name="40% - Accent6 2 2 4 2 3" xfId="11791" xr:uid="{3B2B46D4-CEA9-45FE-97B7-C224CB29AED2}"/>
    <cellStyle name="40% - Accent6 2 2 4 3" xfId="5422" xr:uid="{00000000-0005-0000-0000-0000FF060000}"/>
    <cellStyle name="40% - Accent6 2 2 4 3 2" xfId="13864" xr:uid="{3536DC6D-4CCF-4A28-98D3-A0DFB3A5F683}"/>
    <cellStyle name="40% - Accent6 2 2 4 4" xfId="9646" xr:uid="{2112FF7F-F0CC-4CE6-9316-376E5EA653BA}"/>
    <cellStyle name="40% - Accent6 2 2 5" xfId="1527" xr:uid="{00000000-0005-0000-0000-000000070000}"/>
    <cellStyle name="40% - Accent6 2 2 5 2" xfId="3757" xr:uid="{00000000-0005-0000-0000-000001070000}"/>
    <cellStyle name="40% - Accent6 2 2 5 2 2" xfId="7980" xr:uid="{00000000-0005-0000-0000-000002070000}"/>
    <cellStyle name="40% - Accent6 2 2 5 2 2 2" xfId="16422" xr:uid="{A4EA1B44-1D37-4F03-893E-617F65CC93E4}"/>
    <cellStyle name="40% - Accent6 2 2 5 2 3" xfId="12204" xr:uid="{9C9C7E03-5BDE-4DD0-BA73-4CC189D620E3}"/>
    <cellStyle name="40% - Accent6 2 2 5 3" xfId="5835" xr:uid="{00000000-0005-0000-0000-000003070000}"/>
    <cellStyle name="40% - Accent6 2 2 5 3 2" xfId="14277" xr:uid="{E6E6C500-EF94-4084-A272-2653D6319C93}"/>
    <cellStyle name="40% - Accent6 2 2 5 4" xfId="10059" xr:uid="{973CFD1C-6F48-4913-935F-4DF7D486EFD7}"/>
    <cellStyle name="40% - Accent6 2 2 6" xfId="1941" xr:uid="{00000000-0005-0000-0000-000004070000}"/>
    <cellStyle name="40% - Accent6 2 2 6 2" xfId="4170" xr:uid="{00000000-0005-0000-0000-000005070000}"/>
    <cellStyle name="40% - Accent6 2 2 6 2 2" xfId="8393" xr:uid="{00000000-0005-0000-0000-000006070000}"/>
    <cellStyle name="40% - Accent6 2 2 6 2 2 2" xfId="16835" xr:uid="{9C72F7EC-66BA-4FBE-89A3-F5FC9DE4AC76}"/>
    <cellStyle name="40% - Accent6 2 2 6 2 3" xfId="12617" xr:uid="{CB96ADFC-1B66-4EBB-B035-C0454CA917DF}"/>
    <cellStyle name="40% - Accent6 2 2 6 3" xfId="6248" xr:uid="{00000000-0005-0000-0000-000007070000}"/>
    <cellStyle name="40% - Accent6 2 2 6 3 2" xfId="14690" xr:uid="{4567F909-6F55-46C6-A94E-7B765B425E31}"/>
    <cellStyle name="40% - Accent6 2 2 6 4" xfId="10472" xr:uid="{A3E7B1FF-7FC9-461F-B46B-EF0067A9BCC8}"/>
    <cellStyle name="40% - Accent6 2 2 7" xfId="2354" xr:uid="{00000000-0005-0000-0000-000008070000}"/>
    <cellStyle name="40% - Accent6 2 2 7 2" xfId="6661" xr:uid="{00000000-0005-0000-0000-000009070000}"/>
    <cellStyle name="40% - Accent6 2 2 7 2 2" xfId="15103" xr:uid="{B88B003D-1536-4300-91FA-0C35005E1469}"/>
    <cellStyle name="40% - Accent6 2 2 7 3" xfId="10885" xr:uid="{B942D2DC-7263-4DD3-B90F-1A2FDD61E719}"/>
    <cellStyle name="40% - Accent6 2 2 8" xfId="4595" xr:uid="{00000000-0005-0000-0000-00000A070000}"/>
    <cellStyle name="40% - Accent6 2 2 8 2" xfId="13037" xr:uid="{572869BB-D33E-4BB9-BD6F-ECDE75DED54F}"/>
    <cellStyle name="40% - Accent6 2 2 9" xfId="8819" xr:uid="{79274420-106C-48BB-8813-3A0914C0401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2 2 2" xfId="15598" xr:uid="{29741AC2-4793-419D-BCB9-F9DB58A06C8D}"/>
    <cellStyle name="40% - Accent6 2 3 2 2 3" xfId="11380" xr:uid="{9F68D673-FD77-4E6E-A66E-FCEC6224187D}"/>
    <cellStyle name="40% - Accent6 2 3 2 3" xfId="5011" xr:uid="{00000000-0005-0000-0000-00000F070000}"/>
    <cellStyle name="40% - Accent6 2 3 2 3 2" xfId="13453" xr:uid="{A5C48687-A1F3-4027-BB8B-CD104303AA71}"/>
    <cellStyle name="40% - Accent6 2 3 2 4" xfId="9235" xr:uid="{1ED7F0B7-4C09-4619-8CA5-99F80F375FB7}"/>
    <cellStyle name="40% - Accent6 2 3 3" xfId="1115" xr:uid="{00000000-0005-0000-0000-000010070000}"/>
    <cellStyle name="40% - Accent6 2 3 3 2" xfId="3346" xr:uid="{00000000-0005-0000-0000-000011070000}"/>
    <cellStyle name="40% - Accent6 2 3 3 2 2" xfId="7569" xr:uid="{00000000-0005-0000-0000-000012070000}"/>
    <cellStyle name="40% - Accent6 2 3 3 2 2 2" xfId="16011" xr:uid="{075BD2F5-CE73-4BBF-B777-4E160133F6A7}"/>
    <cellStyle name="40% - Accent6 2 3 3 2 3" xfId="11793" xr:uid="{4F898A44-833E-4954-88D1-2E2754B27832}"/>
    <cellStyle name="40% - Accent6 2 3 3 3" xfId="5424" xr:uid="{00000000-0005-0000-0000-000013070000}"/>
    <cellStyle name="40% - Accent6 2 3 3 3 2" xfId="13866" xr:uid="{FC2A7EAE-FA51-4A3F-B5D4-24B9576DE497}"/>
    <cellStyle name="40% - Accent6 2 3 3 4" xfId="9648" xr:uid="{F66A7931-1B27-40D0-8C2D-815D10CAC31C}"/>
    <cellStyle name="40% - Accent6 2 3 4" xfId="1529" xr:uid="{00000000-0005-0000-0000-000014070000}"/>
    <cellStyle name="40% - Accent6 2 3 4 2" xfId="3759" xr:uid="{00000000-0005-0000-0000-000015070000}"/>
    <cellStyle name="40% - Accent6 2 3 4 2 2" xfId="7982" xr:uid="{00000000-0005-0000-0000-000016070000}"/>
    <cellStyle name="40% - Accent6 2 3 4 2 2 2" xfId="16424" xr:uid="{BDA4502A-BA26-4325-8A3B-6727CE4562A1}"/>
    <cellStyle name="40% - Accent6 2 3 4 2 3" xfId="12206" xr:uid="{B8C501D3-B4A2-4328-9302-CF0AFE387444}"/>
    <cellStyle name="40% - Accent6 2 3 4 3" xfId="5837" xr:uid="{00000000-0005-0000-0000-000017070000}"/>
    <cellStyle name="40% - Accent6 2 3 4 3 2" xfId="14279" xr:uid="{F1293B08-6787-46C4-8EED-AECA064F9626}"/>
    <cellStyle name="40% - Accent6 2 3 4 4" xfId="10061" xr:uid="{6558F84A-BD42-4A19-B45D-9FAA7C957570}"/>
    <cellStyle name="40% - Accent6 2 3 5" xfId="1943" xr:uid="{00000000-0005-0000-0000-000018070000}"/>
    <cellStyle name="40% - Accent6 2 3 5 2" xfId="4172" xr:uid="{00000000-0005-0000-0000-000019070000}"/>
    <cellStyle name="40% - Accent6 2 3 5 2 2" xfId="8395" xr:uid="{00000000-0005-0000-0000-00001A070000}"/>
    <cellStyle name="40% - Accent6 2 3 5 2 2 2" xfId="16837" xr:uid="{11096CCB-A6B9-455A-8906-18FDBB293899}"/>
    <cellStyle name="40% - Accent6 2 3 5 2 3" xfId="12619" xr:uid="{7A2F2994-8387-497C-8127-735E0B5CB754}"/>
    <cellStyle name="40% - Accent6 2 3 5 3" xfId="6250" xr:uid="{00000000-0005-0000-0000-00001B070000}"/>
    <cellStyle name="40% - Accent6 2 3 5 3 2" xfId="14692" xr:uid="{7C3900C3-6A3D-4249-85DD-248406F61083}"/>
    <cellStyle name="40% - Accent6 2 3 5 4" xfId="10474" xr:uid="{945F968B-9B90-41DF-BC07-32551D43E1BA}"/>
    <cellStyle name="40% - Accent6 2 3 6" xfId="2356" xr:uid="{00000000-0005-0000-0000-00001C070000}"/>
    <cellStyle name="40% - Accent6 2 3 6 2" xfId="6663" xr:uid="{00000000-0005-0000-0000-00001D070000}"/>
    <cellStyle name="40% - Accent6 2 3 6 2 2" xfId="15105" xr:uid="{49978017-D7C2-418D-B107-F7B5231E53E1}"/>
    <cellStyle name="40% - Accent6 2 3 6 3" xfId="10887" xr:uid="{C813E7CC-E3F5-4D6B-9591-02DEB5580AE0}"/>
    <cellStyle name="40% - Accent6 2 3 7" xfId="4597" xr:uid="{00000000-0005-0000-0000-00001E070000}"/>
    <cellStyle name="40% - Accent6 2 3 7 2" xfId="13039" xr:uid="{722B4FF7-905B-42CB-8A61-25C553C783E1}"/>
    <cellStyle name="40% - Accent6 2 3 8" xfId="8821" xr:uid="{AB755B15-FDB3-4612-B837-6D4823876BBE}"/>
    <cellStyle name="40% - Accent6 2 4" xfId="659" xr:uid="{00000000-0005-0000-0000-00001F070000}"/>
    <cellStyle name="40% - Accent6 2 4 2" xfId="2930" xr:uid="{00000000-0005-0000-0000-000020070000}"/>
    <cellStyle name="40% - Accent6 2 4 2 2" xfId="7153" xr:uid="{00000000-0005-0000-0000-000021070000}"/>
    <cellStyle name="40% - Accent6 2 4 2 2 2" xfId="15595" xr:uid="{A896040F-EB8D-4FED-9D6F-27DAB1D0F5D3}"/>
    <cellStyle name="40% - Accent6 2 4 2 3" xfId="11377" xr:uid="{5AE1C913-E4E6-4730-B633-E0277EDE337F}"/>
    <cellStyle name="40% - Accent6 2 4 3" xfId="5008" xr:uid="{00000000-0005-0000-0000-000022070000}"/>
    <cellStyle name="40% - Accent6 2 4 3 2" xfId="13450" xr:uid="{AA7C15F7-539D-4450-A30F-A53F42538FB8}"/>
    <cellStyle name="40% - Accent6 2 4 4" xfId="9232" xr:uid="{91023DF8-0630-4DCC-BE0D-78BC3F9D56D1}"/>
    <cellStyle name="40% - Accent6 2 5" xfId="1112" xr:uid="{00000000-0005-0000-0000-000023070000}"/>
    <cellStyle name="40% - Accent6 2 5 2" xfId="3343" xr:uid="{00000000-0005-0000-0000-000024070000}"/>
    <cellStyle name="40% - Accent6 2 5 2 2" xfId="7566" xr:uid="{00000000-0005-0000-0000-000025070000}"/>
    <cellStyle name="40% - Accent6 2 5 2 2 2" xfId="16008" xr:uid="{D61C29D4-8BB3-408A-B5EA-7EF2D661E19F}"/>
    <cellStyle name="40% - Accent6 2 5 2 3" xfId="11790" xr:uid="{4B0CD671-A7D5-4356-8FF5-40FB33A2C2B8}"/>
    <cellStyle name="40% - Accent6 2 5 3" xfId="5421" xr:uid="{00000000-0005-0000-0000-000026070000}"/>
    <cellStyle name="40% - Accent6 2 5 3 2" xfId="13863" xr:uid="{0EA812C7-2F5D-46AF-BD5D-D0E6876D1BCA}"/>
    <cellStyle name="40% - Accent6 2 5 4" xfId="9645" xr:uid="{5EDD7A80-7B7C-419E-A57B-832E86DBFED3}"/>
    <cellStyle name="40% - Accent6 2 6" xfId="1526" xr:uid="{00000000-0005-0000-0000-000027070000}"/>
    <cellStyle name="40% - Accent6 2 6 2" xfId="3756" xr:uid="{00000000-0005-0000-0000-000028070000}"/>
    <cellStyle name="40% - Accent6 2 6 2 2" xfId="7979" xr:uid="{00000000-0005-0000-0000-000029070000}"/>
    <cellStyle name="40% - Accent6 2 6 2 2 2" xfId="16421" xr:uid="{ABF4274F-C0EE-4FFC-83A8-8BEE19C99627}"/>
    <cellStyle name="40% - Accent6 2 6 2 3" xfId="12203" xr:uid="{3D0C203C-EFE9-414B-B294-B21EEF3C1D85}"/>
    <cellStyle name="40% - Accent6 2 6 3" xfId="5834" xr:uid="{00000000-0005-0000-0000-00002A070000}"/>
    <cellStyle name="40% - Accent6 2 6 3 2" xfId="14276" xr:uid="{358CD358-80DF-4537-B6EB-EE1984E7EC16}"/>
    <cellStyle name="40% - Accent6 2 6 4" xfId="10058" xr:uid="{7A79600B-A267-4B8F-8FBF-4D4984F9AE70}"/>
    <cellStyle name="40% - Accent6 2 7" xfId="1940" xr:uid="{00000000-0005-0000-0000-00002B070000}"/>
    <cellStyle name="40% - Accent6 2 7 2" xfId="4169" xr:uid="{00000000-0005-0000-0000-00002C070000}"/>
    <cellStyle name="40% - Accent6 2 7 2 2" xfId="8392" xr:uid="{00000000-0005-0000-0000-00002D070000}"/>
    <cellStyle name="40% - Accent6 2 7 2 2 2" xfId="16834" xr:uid="{BF112A1D-E169-4DCD-B068-525AA9E83898}"/>
    <cellStyle name="40% - Accent6 2 7 2 3" xfId="12616" xr:uid="{02016816-4505-419C-8C65-91FEB327B5D8}"/>
    <cellStyle name="40% - Accent6 2 7 3" xfId="6247" xr:uid="{00000000-0005-0000-0000-00002E070000}"/>
    <cellStyle name="40% - Accent6 2 7 3 2" xfId="14689" xr:uid="{DD8AF6A3-F433-4B08-983B-50648A6EBDF6}"/>
    <cellStyle name="40% - Accent6 2 7 4" xfId="10471" xr:uid="{A24CCFEE-77F1-45F0-A448-2671D935CA36}"/>
    <cellStyle name="40% - Accent6 2 8" xfId="2353" xr:uid="{00000000-0005-0000-0000-00002F070000}"/>
    <cellStyle name="40% - Accent6 2 8 2" xfId="6660" xr:uid="{00000000-0005-0000-0000-000030070000}"/>
    <cellStyle name="40% - Accent6 2 8 2 2" xfId="15102" xr:uid="{D507818B-5A2D-427E-94F8-E3DB46F53572}"/>
    <cellStyle name="40% - Accent6 2 8 3" xfId="10884" xr:uid="{B6A7C229-040B-44B1-99E4-A24D7D02B4B0}"/>
    <cellStyle name="40% - Accent6 2 9" xfId="4594" xr:uid="{00000000-0005-0000-0000-000031070000}"/>
    <cellStyle name="40% - Accent6 2 9 2" xfId="13036" xr:uid="{96B0AC4F-D8D0-44E3-A691-B1B4DA5C8D63}"/>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2 2 2" xfId="15600" xr:uid="{8CA4DEA8-B19B-4A4C-920D-353270556961}"/>
    <cellStyle name="40% - Accent6 3 2 2 2 3" xfId="11382" xr:uid="{7852FB7E-E378-4148-8C93-861E7A7732D4}"/>
    <cellStyle name="40% - Accent6 3 2 2 3" xfId="5013" xr:uid="{00000000-0005-0000-0000-000037070000}"/>
    <cellStyle name="40% - Accent6 3 2 2 3 2" xfId="13455" xr:uid="{624C5271-1E0B-4AEC-A9BA-A992A07B2D69}"/>
    <cellStyle name="40% - Accent6 3 2 2 4" xfId="9237" xr:uid="{BCB5E469-2026-4396-ABA6-C18E4FDFB601}"/>
    <cellStyle name="40% - Accent6 3 2 3" xfId="1117" xr:uid="{00000000-0005-0000-0000-000038070000}"/>
    <cellStyle name="40% - Accent6 3 2 3 2" xfId="3348" xr:uid="{00000000-0005-0000-0000-000039070000}"/>
    <cellStyle name="40% - Accent6 3 2 3 2 2" xfId="7571" xr:uid="{00000000-0005-0000-0000-00003A070000}"/>
    <cellStyle name="40% - Accent6 3 2 3 2 2 2" xfId="16013" xr:uid="{8E46A2C0-76CA-48FE-87BC-816F6D612984}"/>
    <cellStyle name="40% - Accent6 3 2 3 2 3" xfId="11795" xr:uid="{6A3C0052-F4A6-4D5C-BD32-C3B7B5D9CBEA}"/>
    <cellStyle name="40% - Accent6 3 2 3 3" xfId="5426" xr:uid="{00000000-0005-0000-0000-00003B070000}"/>
    <cellStyle name="40% - Accent6 3 2 3 3 2" xfId="13868" xr:uid="{6C555FA8-1E98-4649-849B-A7F2CEE6D7F2}"/>
    <cellStyle name="40% - Accent6 3 2 3 4" xfId="9650" xr:uid="{919E5F66-C124-48F3-AFE8-6558C8830BFA}"/>
    <cellStyle name="40% - Accent6 3 2 4" xfId="1531" xr:uid="{00000000-0005-0000-0000-00003C070000}"/>
    <cellStyle name="40% - Accent6 3 2 4 2" xfId="3761" xr:uid="{00000000-0005-0000-0000-00003D070000}"/>
    <cellStyle name="40% - Accent6 3 2 4 2 2" xfId="7984" xr:uid="{00000000-0005-0000-0000-00003E070000}"/>
    <cellStyle name="40% - Accent6 3 2 4 2 2 2" xfId="16426" xr:uid="{57547309-90B8-4F62-8E56-A72B277AF2A4}"/>
    <cellStyle name="40% - Accent6 3 2 4 2 3" xfId="12208" xr:uid="{F03AFEE2-51F8-41C9-9A70-9DB0FEFF79B0}"/>
    <cellStyle name="40% - Accent6 3 2 4 3" xfId="5839" xr:uid="{00000000-0005-0000-0000-00003F070000}"/>
    <cellStyle name="40% - Accent6 3 2 4 3 2" xfId="14281" xr:uid="{1B38F2EA-5FEE-45D3-A6AF-32E55AF3AFC3}"/>
    <cellStyle name="40% - Accent6 3 2 4 4" xfId="10063" xr:uid="{59C47D0B-4923-46AE-9A66-A8F80913E0C2}"/>
    <cellStyle name="40% - Accent6 3 2 5" xfId="1945" xr:uid="{00000000-0005-0000-0000-000040070000}"/>
    <cellStyle name="40% - Accent6 3 2 5 2" xfId="4174" xr:uid="{00000000-0005-0000-0000-000041070000}"/>
    <cellStyle name="40% - Accent6 3 2 5 2 2" xfId="8397" xr:uid="{00000000-0005-0000-0000-000042070000}"/>
    <cellStyle name="40% - Accent6 3 2 5 2 2 2" xfId="16839" xr:uid="{7FA3A0D3-F806-48F3-81F6-3511D16F8AC8}"/>
    <cellStyle name="40% - Accent6 3 2 5 2 3" xfId="12621" xr:uid="{432E21F8-1999-46DB-AAA4-81267A4AA4D2}"/>
    <cellStyle name="40% - Accent6 3 2 5 3" xfId="6252" xr:uid="{00000000-0005-0000-0000-000043070000}"/>
    <cellStyle name="40% - Accent6 3 2 5 3 2" xfId="14694" xr:uid="{B38CB5B6-592E-4EAA-A43F-98CB4C8BC1BF}"/>
    <cellStyle name="40% - Accent6 3 2 5 4" xfId="10476" xr:uid="{30C3A943-4842-419F-ACA4-7B6D290624B7}"/>
    <cellStyle name="40% - Accent6 3 2 6" xfId="2358" xr:uid="{00000000-0005-0000-0000-000044070000}"/>
    <cellStyle name="40% - Accent6 3 2 6 2" xfId="6665" xr:uid="{00000000-0005-0000-0000-000045070000}"/>
    <cellStyle name="40% - Accent6 3 2 6 2 2" xfId="15107" xr:uid="{9ADFC063-317B-4E62-914B-69E0338D0D6D}"/>
    <cellStyle name="40% - Accent6 3 2 6 3" xfId="10889" xr:uid="{EEDB59CD-3DEF-4352-8798-060EEE556874}"/>
    <cellStyle name="40% - Accent6 3 2 7" xfId="4599" xr:uid="{00000000-0005-0000-0000-000046070000}"/>
    <cellStyle name="40% - Accent6 3 2 7 2" xfId="13041" xr:uid="{76BCF185-D233-4677-B59C-77EA2EA24032}"/>
    <cellStyle name="40% - Accent6 3 2 8" xfId="8823" xr:uid="{80DB10AB-C761-4A88-89B5-1180AFFB0897}"/>
    <cellStyle name="40% - Accent6 3 3" xfId="663" xr:uid="{00000000-0005-0000-0000-000047070000}"/>
    <cellStyle name="40% - Accent6 3 3 2" xfId="2934" xr:uid="{00000000-0005-0000-0000-000048070000}"/>
    <cellStyle name="40% - Accent6 3 3 2 2" xfId="7157" xr:uid="{00000000-0005-0000-0000-000049070000}"/>
    <cellStyle name="40% - Accent6 3 3 2 2 2" xfId="15599" xr:uid="{1C6425BF-6DB6-4FB4-8D89-C5F12ABC79D7}"/>
    <cellStyle name="40% - Accent6 3 3 2 3" xfId="11381" xr:uid="{39877C57-7060-4217-A992-E2E901BDE523}"/>
    <cellStyle name="40% - Accent6 3 3 3" xfId="5012" xr:uid="{00000000-0005-0000-0000-00004A070000}"/>
    <cellStyle name="40% - Accent6 3 3 3 2" xfId="13454" xr:uid="{8CA71E26-EB4A-47B5-90C2-5111C849C8F2}"/>
    <cellStyle name="40% - Accent6 3 3 4" xfId="9236" xr:uid="{C9F995B7-65ED-4228-9046-9F7E8FC1D38A}"/>
    <cellStyle name="40% - Accent6 3 4" xfId="1116" xr:uid="{00000000-0005-0000-0000-00004B070000}"/>
    <cellStyle name="40% - Accent6 3 4 2" xfId="3347" xr:uid="{00000000-0005-0000-0000-00004C070000}"/>
    <cellStyle name="40% - Accent6 3 4 2 2" xfId="7570" xr:uid="{00000000-0005-0000-0000-00004D070000}"/>
    <cellStyle name="40% - Accent6 3 4 2 2 2" xfId="16012" xr:uid="{9EC31CBA-D7E5-41BD-B748-BB673E45C395}"/>
    <cellStyle name="40% - Accent6 3 4 2 3" xfId="11794" xr:uid="{93C16F43-2309-45F2-AA39-8C5310652815}"/>
    <cellStyle name="40% - Accent6 3 4 3" xfId="5425" xr:uid="{00000000-0005-0000-0000-00004E070000}"/>
    <cellStyle name="40% - Accent6 3 4 3 2" xfId="13867" xr:uid="{1D4B3766-407C-4E99-81D0-B23365607494}"/>
    <cellStyle name="40% - Accent6 3 4 4" xfId="9649" xr:uid="{D61B8330-988D-4B28-85D6-E1537D686EA5}"/>
    <cellStyle name="40% - Accent6 3 5" xfId="1530" xr:uid="{00000000-0005-0000-0000-00004F070000}"/>
    <cellStyle name="40% - Accent6 3 5 2" xfId="3760" xr:uid="{00000000-0005-0000-0000-000050070000}"/>
    <cellStyle name="40% - Accent6 3 5 2 2" xfId="7983" xr:uid="{00000000-0005-0000-0000-000051070000}"/>
    <cellStyle name="40% - Accent6 3 5 2 2 2" xfId="16425" xr:uid="{309FE6E0-9305-42B6-9E54-6E46E7DEB2CF}"/>
    <cellStyle name="40% - Accent6 3 5 2 3" xfId="12207" xr:uid="{E0A7D4AA-F5D0-43F3-B594-651712FC2F07}"/>
    <cellStyle name="40% - Accent6 3 5 3" xfId="5838" xr:uid="{00000000-0005-0000-0000-000052070000}"/>
    <cellStyle name="40% - Accent6 3 5 3 2" xfId="14280" xr:uid="{0BD12EC2-CE81-4819-9C6E-A8114FA1E907}"/>
    <cellStyle name="40% - Accent6 3 5 4" xfId="10062" xr:uid="{773482B4-0655-4D17-9298-47BA13834539}"/>
    <cellStyle name="40% - Accent6 3 6" xfId="1944" xr:uid="{00000000-0005-0000-0000-000053070000}"/>
    <cellStyle name="40% - Accent6 3 6 2" xfId="4173" xr:uid="{00000000-0005-0000-0000-000054070000}"/>
    <cellStyle name="40% - Accent6 3 6 2 2" xfId="8396" xr:uid="{00000000-0005-0000-0000-000055070000}"/>
    <cellStyle name="40% - Accent6 3 6 2 2 2" xfId="16838" xr:uid="{CFC4CC91-17C6-47CE-911B-CD84CFAC6C7B}"/>
    <cellStyle name="40% - Accent6 3 6 2 3" xfId="12620" xr:uid="{32524529-53E0-42A3-A4A1-CE3167A97D4A}"/>
    <cellStyle name="40% - Accent6 3 6 3" xfId="6251" xr:uid="{00000000-0005-0000-0000-000056070000}"/>
    <cellStyle name="40% - Accent6 3 6 3 2" xfId="14693" xr:uid="{289C666F-2092-4AF6-835B-1B84BF8BC202}"/>
    <cellStyle name="40% - Accent6 3 6 4" xfId="10475" xr:uid="{3CBA76B5-4B05-4A0C-AB69-3462DA89AD0A}"/>
    <cellStyle name="40% - Accent6 3 7" xfId="2357" xr:uid="{00000000-0005-0000-0000-000057070000}"/>
    <cellStyle name="40% - Accent6 3 7 2" xfId="6664" xr:uid="{00000000-0005-0000-0000-000058070000}"/>
    <cellStyle name="40% - Accent6 3 7 2 2" xfId="15106" xr:uid="{D37895F0-EE02-4618-803D-F734A21800DB}"/>
    <cellStyle name="40% - Accent6 3 7 3" xfId="10888" xr:uid="{3C9A91C8-E38D-4219-ADDE-7A87D04ACA7C}"/>
    <cellStyle name="40% - Accent6 3 8" xfId="4598" xr:uid="{00000000-0005-0000-0000-000059070000}"/>
    <cellStyle name="40% - Accent6 3 8 2" xfId="13040" xr:uid="{4EEFEEEB-9267-48EA-AF53-B47E96DD2FB9}"/>
    <cellStyle name="40% - Accent6 3 9" xfId="8822" xr:uid="{35C23BA7-F3F9-4118-A092-6432907D4D8D}"/>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2 2 2" xfId="15601" xr:uid="{F51D6A2B-6F2E-42E4-82BE-3EB63766AB59}"/>
    <cellStyle name="40% - Accent6 4 2 2 3" xfId="11383" xr:uid="{5E500275-3C88-4333-AD8D-174229AF998C}"/>
    <cellStyle name="40% - Accent6 4 2 3" xfId="5014" xr:uid="{00000000-0005-0000-0000-00005E070000}"/>
    <cellStyle name="40% - Accent6 4 2 3 2" xfId="13456" xr:uid="{0083DD5E-7F66-4440-B6C9-3AE502D82C50}"/>
    <cellStyle name="40% - Accent6 4 2 4" xfId="9238" xr:uid="{FA2844F7-A70A-4413-8D35-B5A4B57EB292}"/>
    <cellStyle name="40% - Accent6 4 3" xfId="1118" xr:uid="{00000000-0005-0000-0000-00005F070000}"/>
    <cellStyle name="40% - Accent6 4 3 2" xfId="3349" xr:uid="{00000000-0005-0000-0000-000060070000}"/>
    <cellStyle name="40% - Accent6 4 3 2 2" xfId="7572" xr:uid="{00000000-0005-0000-0000-000061070000}"/>
    <cellStyle name="40% - Accent6 4 3 2 2 2" xfId="16014" xr:uid="{21EF4648-4F8A-4AE0-9777-0454201FAE26}"/>
    <cellStyle name="40% - Accent6 4 3 2 3" xfId="11796" xr:uid="{BE39A3D1-5224-4789-8D98-6681A37BFCCA}"/>
    <cellStyle name="40% - Accent6 4 3 3" xfId="5427" xr:uid="{00000000-0005-0000-0000-000062070000}"/>
    <cellStyle name="40% - Accent6 4 3 3 2" xfId="13869" xr:uid="{6D3A3650-947F-4E78-BF7F-45295D283D5C}"/>
    <cellStyle name="40% - Accent6 4 3 4" xfId="9651" xr:uid="{A228CE3B-869D-4522-B5F5-B12044FDFB12}"/>
    <cellStyle name="40% - Accent6 4 4" xfId="1532" xr:uid="{00000000-0005-0000-0000-000063070000}"/>
    <cellStyle name="40% - Accent6 4 4 2" xfId="3762" xr:uid="{00000000-0005-0000-0000-000064070000}"/>
    <cellStyle name="40% - Accent6 4 4 2 2" xfId="7985" xr:uid="{00000000-0005-0000-0000-000065070000}"/>
    <cellStyle name="40% - Accent6 4 4 2 2 2" xfId="16427" xr:uid="{82A46BDF-F2F5-4D5B-9FD1-092D6BD93D3F}"/>
    <cellStyle name="40% - Accent6 4 4 2 3" xfId="12209" xr:uid="{3D105F60-68AF-4CB2-94C9-59BD8DFCF031}"/>
    <cellStyle name="40% - Accent6 4 4 3" xfId="5840" xr:uid="{00000000-0005-0000-0000-000066070000}"/>
    <cellStyle name="40% - Accent6 4 4 3 2" xfId="14282" xr:uid="{5AE96307-0956-44B7-9120-DC7251F67F25}"/>
    <cellStyle name="40% - Accent6 4 4 4" xfId="10064" xr:uid="{0B74381C-2B20-4A9F-A4B4-178F273B7171}"/>
    <cellStyle name="40% - Accent6 4 5" xfId="1946" xr:uid="{00000000-0005-0000-0000-000067070000}"/>
    <cellStyle name="40% - Accent6 4 5 2" xfId="4175" xr:uid="{00000000-0005-0000-0000-000068070000}"/>
    <cellStyle name="40% - Accent6 4 5 2 2" xfId="8398" xr:uid="{00000000-0005-0000-0000-000069070000}"/>
    <cellStyle name="40% - Accent6 4 5 2 2 2" xfId="16840" xr:uid="{ADDE81D4-5BC9-4B65-9921-43AACCED434C}"/>
    <cellStyle name="40% - Accent6 4 5 2 3" xfId="12622" xr:uid="{C0E1BBC5-30A5-4251-9559-B24C8DAFCBF8}"/>
    <cellStyle name="40% - Accent6 4 5 3" xfId="6253" xr:uid="{00000000-0005-0000-0000-00006A070000}"/>
    <cellStyle name="40% - Accent6 4 5 3 2" xfId="14695" xr:uid="{AE6C8754-846C-48CF-811C-F7CC2E9D1BCC}"/>
    <cellStyle name="40% - Accent6 4 5 4" xfId="10477" xr:uid="{61711D8F-0FF6-45E0-B62A-D87123B4D5FA}"/>
    <cellStyle name="40% - Accent6 4 6" xfId="2359" xr:uid="{00000000-0005-0000-0000-00006B070000}"/>
    <cellStyle name="40% - Accent6 4 6 2" xfId="6666" xr:uid="{00000000-0005-0000-0000-00006C070000}"/>
    <cellStyle name="40% - Accent6 4 6 2 2" xfId="15108" xr:uid="{C680CE42-91EB-4408-80AD-4F1A666D2F78}"/>
    <cellStyle name="40% - Accent6 4 6 3" xfId="10890" xr:uid="{FB095FA4-3D71-4076-A2F6-F9479E292E9C}"/>
    <cellStyle name="40% - Accent6 4 7" xfId="4600" xr:uid="{00000000-0005-0000-0000-00006D070000}"/>
    <cellStyle name="40% - Accent6 4 7 2" xfId="13042" xr:uid="{C3BB8967-0281-4B3A-8B22-4A0B34F62C0D}"/>
    <cellStyle name="40% - Accent6 4 8" xfId="8824" xr:uid="{4AABC2F6-3A4E-4532-A623-0F7A55FEC784}"/>
    <cellStyle name="40% - Accent6 5" xfId="658" xr:uid="{00000000-0005-0000-0000-00006E070000}"/>
    <cellStyle name="40% - Accent6 5 2" xfId="2929" xr:uid="{00000000-0005-0000-0000-00006F070000}"/>
    <cellStyle name="40% - Accent6 5 2 2" xfId="7152" xr:uid="{00000000-0005-0000-0000-000070070000}"/>
    <cellStyle name="40% - Accent6 5 2 2 2" xfId="15594" xr:uid="{B83DC832-ADCF-46A3-A297-63A490F1D878}"/>
    <cellStyle name="40% - Accent6 5 2 3" xfId="11376" xr:uid="{A605FBB8-85A0-49D9-88FF-F830DB4D70F1}"/>
    <cellStyle name="40% - Accent6 5 3" xfId="5007" xr:uid="{00000000-0005-0000-0000-000071070000}"/>
    <cellStyle name="40% - Accent6 5 3 2" xfId="13449" xr:uid="{B9D33BEE-AC96-471E-AD47-7A82CF43BF78}"/>
    <cellStyle name="40% - Accent6 5 4" xfId="9231" xr:uid="{ADCAA4D1-BB6F-4477-B084-67B1D1B463D8}"/>
    <cellStyle name="40% - Accent6 6" xfId="1111" xr:uid="{00000000-0005-0000-0000-000072070000}"/>
    <cellStyle name="40% - Accent6 6 2" xfId="3342" xr:uid="{00000000-0005-0000-0000-000073070000}"/>
    <cellStyle name="40% - Accent6 6 2 2" xfId="7565" xr:uid="{00000000-0005-0000-0000-000074070000}"/>
    <cellStyle name="40% - Accent6 6 2 2 2" xfId="16007" xr:uid="{7C678FB6-177C-4911-B49C-5C058547B5B3}"/>
    <cellStyle name="40% - Accent6 6 2 3" xfId="11789" xr:uid="{32E0A99A-9D9B-4A77-AEF9-8A2BD1D68C4A}"/>
    <cellStyle name="40% - Accent6 6 3" xfId="5420" xr:uid="{00000000-0005-0000-0000-000075070000}"/>
    <cellStyle name="40% - Accent6 6 3 2" xfId="13862" xr:uid="{714FBA52-4AF5-441A-AAFE-480AEFCF0474}"/>
    <cellStyle name="40% - Accent6 6 4" xfId="9644" xr:uid="{3457D562-C7E0-484D-A9B3-9210DA906D28}"/>
    <cellStyle name="40% - Accent6 7" xfId="1525" xr:uid="{00000000-0005-0000-0000-000076070000}"/>
    <cellStyle name="40% - Accent6 7 2" xfId="3755" xr:uid="{00000000-0005-0000-0000-000077070000}"/>
    <cellStyle name="40% - Accent6 7 2 2" xfId="7978" xr:uid="{00000000-0005-0000-0000-000078070000}"/>
    <cellStyle name="40% - Accent6 7 2 2 2" xfId="16420" xr:uid="{3F578FD9-A8C1-4D9C-9D27-92E07353E447}"/>
    <cellStyle name="40% - Accent6 7 2 3" xfId="12202" xr:uid="{66CD5482-7378-4139-8975-108526DE7FBD}"/>
    <cellStyle name="40% - Accent6 7 3" xfId="5833" xr:uid="{00000000-0005-0000-0000-000079070000}"/>
    <cellStyle name="40% - Accent6 7 3 2" xfId="14275" xr:uid="{FDBDA024-D96F-417C-A14C-B08D01257179}"/>
    <cellStyle name="40% - Accent6 7 4" xfId="10057" xr:uid="{4258955A-A995-4D64-8812-E082F02709F4}"/>
    <cellStyle name="40% - Accent6 8" xfId="1939" xr:uid="{00000000-0005-0000-0000-00007A070000}"/>
    <cellStyle name="40% - Accent6 8 2" xfId="4168" xr:uid="{00000000-0005-0000-0000-00007B070000}"/>
    <cellStyle name="40% - Accent6 8 2 2" xfId="8391" xr:uid="{00000000-0005-0000-0000-00007C070000}"/>
    <cellStyle name="40% - Accent6 8 2 2 2" xfId="16833" xr:uid="{FB61655E-ECAD-4DA9-B608-ECFE74E575BF}"/>
    <cellStyle name="40% - Accent6 8 2 3" xfId="12615" xr:uid="{19B3F665-AE4F-462C-90A5-E6A739A5E8A7}"/>
    <cellStyle name="40% - Accent6 8 3" xfId="6246" xr:uid="{00000000-0005-0000-0000-00007D070000}"/>
    <cellStyle name="40% - Accent6 8 3 2" xfId="14688" xr:uid="{C8CB4C5C-C7F9-436E-90DF-797143311872}"/>
    <cellStyle name="40% - Accent6 8 4" xfId="10470" xr:uid="{72C961AE-0B73-48FB-9DCC-365D286F25D2}"/>
    <cellStyle name="40% - Accent6 9" xfId="2352" xr:uid="{00000000-0005-0000-0000-00007E070000}"/>
    <cellStyle name="40% - Accent6 9 2" xfId="6659" xr:uid="{00000000-0005-0000-0000-00007F070000}"/>
    <cellStyle name="40% - Accent6 9 2 2" xfId="15101" xr:uid="{7B500AE7-3223-4EBE-B325-13524996DB62}"/>
    <cellStyle name="40% - Accent6 9 3" xfId="10883" xr:uid="{13A0700A-3F2E-4F23-98B2-3AEE9E8BB48D}"/>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0 2 2" xfId="15426" xr:uid="{990ED058-C259-4D2B-9D21-978180E9C1C2}"/>
    <cellStyle name="Comma 4 2 2 2 10 3" xfId="11208" xr:uid="{974A8627-2841-4A06-917F-0FECD79B5026}"/>
    <cellStyle name="Comma 4 2 2 2 11" xfId="4601" xr:uid="{00000000-0005-0000-0000-0000A3070000}"/>
    <cellStyle name="Comma 4 2 2 2 11 2" xfId="13043" xr:uid="{A87D9EB8-415F-4EB5-8122-B5F8D397172A}"/>
    <cellStyle name="Comma 4 2 2 2 12" xfId="8825" xr:uid="{0A49D6FD-332F-4722-93E3-F6E3F52FE19F}"/>
    <cellStyle name="Comma 4 2 2 2 2" xfId="129" xr:uid="{00000000-0005-0000-0000-0000A4070000}"/>
    <cellStyle name="Comma 4 2 2 2 2 10" xfId="4602" xr:uid="{00000000-0005-0000-0000-0000A5070000}"/>
    <cellStyle name="Comma 4 2 2 2 2 10 2" xfId="13044" xr:uid="{700074D7-FD53-48C5-AA1B-D33BE88AA51B}"/>
    <cellStyle name="Comma 4 2 2 2 2 11" xfId="8826" xr:uid="{A367DDBE-9A28-4988-A379-AE7C0CEEB4C5}"/>
    <cellStyle name="Comma 4 2 2 2 2 2" xfId="130" xr:uid="{00000000-0005-0000-0000-0000A6070000}"/>
    <cellStyle name="Comma 4 2 2 2 2 2 10" xfId="8827" xr:uid="{C16C9065-80E0-40E0-B433-41656B0449E9}"/>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2 2 2" xfId="15604" xr:uid="{98E3DBF4-B262-4652-B111-9DD398D6CE7C}"/>
    <cellStyle name="Comma 4 2 2 2 2 2 2 2 3" xfId="11386" xr:uid="{C68AFFBA-AA6B-400F-A494-4E4FE99C9DE7}"/>
    <cellStyle name="Comma 4 2 2 2 2 2 2 3" xfId="5017" xr:uid="{00000000-0005-0000-0000-0000AA070000}"/>
    <cellStyle name="Comma 4 2 2 2 2 2 2 3 2" xfId="13459" xr:uid="{5473CE64-42CB-4534-ACAD-49BA14C7CDBB}"/>
    <cellStyle name="Comma 4 2 2 2 2 2 2 4" xfId="9241" xr:uid="{D977B0EB-FE86-4971-8EA8-F29072113865}"/>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2 2 2" xfId="16017" xr:uid="{ABEFA533-80C5-4816-99BA-745ABC8313C6}"/>
    <cellStyle name="Comma 4 2 2 2 2 2 3 2 3" xfId="11799" xr:uid="{05110DB7-DD90-4D5F-8AB6-8148529CA42C}"/>
    <cellStyle name="Comma 4 2 2 2 2 2 3 3" xfId="5430" xr:uid="{00000000-0005-0000-0000-0000AE070000}"/>
    <cellStyle name="Comma 4 2 2 2 2 2 3 3 2" xfId="13872" xr:uid="{7285E524-CE31-4BAA-B3A1-0923C07E9C22}"/>
    <cellStyle name="Comma 4 2 2 2 2 2 3 4" xfId="9654" xr:uid="{92050C9C-EDAE-4BA7-B8AD-97A7FF5144C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2 2 2" xfId="16430" xr:uid="{4C088AC0-C443-41F7-8DFE-E659403A1DAC}"/>
    <cellStyle name="Comma 4 2 2 2 2 2 4 2 3" xfId="12212" xr:uid="{26DC7AF0-F20F-4664-AB25-23C2A40D6329}"/>
    <cellStyle name="Comma 4 2 2 2 2 2 4 3" xfId="5843" xr:uid="{00000000-0005-0000-0000-0000B2070000}"/>
    <cellStyle name="Comma 4 2 2 2 2 2 4 3 2" xfId="14285" xr:uid="{8DD9AE65-50D8-42E1-8FC3-4A5398E2B74F}"/>
    <cellStyle name="Comma 4 2 2 2 2 2 4 4" xfId="10067" xr:uid="{8AB95912-5353-4A9D-93AE-8AD4DE9D3686}"/>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2 2 2" xfId="16843" xr:uid="{E3759E40-BEBB-4E00-B305-17910F8A737B}"/>
    <cellStyle name="Comma 4 2 2 2 2 2 5 2 3" xfId="12625" xr:uid="{73D3BCCA-F7F2-4F7C-8686-05D225A0C36E}"/>
    <cellStyle name="Comma 4 2 2 2 2 2 5 3" xfId="6256" xr:uid="{00000000-0005-0000-0000-0000B6070000}"/>
    <cellStyle name="Comma 4 2 2 2 2 2 5 3 2" xfId="14698" xr:uid="{F7E86C11-48BD-4EA9-B929-BCEFAFE1BE30}"/>
    <cellStyle name="Comma 4 2 2 2 2 2 5 4" xfId="10480" xr:uid="{8A91EA1E-0A08-45D0-B495-17012C58B4B0}"/>
    <cellStyle name="Comma 4 2 2 2 2 2 6" xfId="2384" xr:uid="{00000000-0005-0000-0000-0000B7070000}"/>
    <cellStyle name="Comma 4 2 2 2 2 2 6 2" xfId="6669" xr:uid="{00000000-0005-0000-0000-0000B8070000}"/>
    <cellStyle name="Comma 4 2 2 2 2 2 6 2 2" xfId="15111" xr:uid="{22F52B37-D777-41E0-B534-7E172A78945E}"/>
    <cellStyle name="Comma 4 2 2 2 2 2 6 3" xfId="10893" xr:uid="{5B859930-003F-49FD-B322-9D51A533229D}"/>
    <cellStyle name="Comma 4 2 2 2 2 2 7" xfId="2379" xr:uid="{00000000-0005-0000-0000-0000B9070000}"/>
    <cellStyle name="Comma 4 2 2 2 2 2 8" xfId="2762" xr:uid="{00000000-0005-0000-0000-0000BA070000}"/>
    <cellStyle name="Comma 4 2 2 2 2 2 8 2" xfId="6986" xr:uid="{00000000-0005-0000-0000-0000BB070000}"/>
    <cellStyle name="Comma 4 2 2 2 2 2 8 2 2" xfId="15428" xr:uid="{E02B447A-58B5-4E0D-8BC0-62F8ACA8AD00}"/>
    <cellStyle name="Comma 4 2 2 2 2 2 8 3" xfId="11210" xr:uid="{B5A14363-25E5-4CC5-8DCE-E1E431D98D1C}"/>
    <cellStyle name="Comma 4 2 2 2 2 2 9" xfId="4603" xr:uid="{00000000-0005-0000-0000-0000BC070000}"/>
    <cellStyle name="Comma 4 2 2 2 2 2 9 2" xfId="13045" xr:uid="{09E8E52B-31F9-46A7-86EE-DF397C304932}"/>
    <cellStyle name="Comma 4 2 2 2 2 3" xfId="667" xr:uid="{00000000-0005-0000-0000-0000BD070000}"/>
    <cellStyle name="Comma 4 2 2 2 2 3 2" xfId="2938" xr:uid="{00000000-0005-0000-0000-0000BE070000}"/>
    <cellStyle name="Comma 4 2 2 2 2 3 2 2" xfId="7161" xr:uid="{00000000-0005-0000-0000-0000BF070000}"/>
    <cellStyle name="Comma 4 2 2 2 2 3 2 2 2" xfId="15603" xr:uid="{94356B71-B772-4155-A919-CE16EC9CEF50}"/>
    <cellStyle name="Comma 4 2 2 2 2 3 2 3" xfId="11385" xr:uid="{1C05D652-20FC-4894-9ADB-1C5C0AFEE1C3}"/>
    <cellStyle name="Comma 4 2 2 2 2 3 3" xfId="5016" xr:uid="{00000000-0005-0000-0000-0000C0070000}"/>
    <cellStyle name="Comma 4 2 2 2 2 3 3 2" xfId="13458" xr:uid="{59073417-C01E-4441-8ACC-5424D5A34E77}"/>
    <cellStyle name="Comma 4 2 2 2 2 3 4" xfId="9240" xr:uid="{E932C55A-5629-45F5-BB69-A7266D814EFF}"/>
    <cellStyle name="Comma 4 2 2 2 2 4" xfId="1120" xr:uid="{00000000-0005-0000-0000-0000C1070000}"/>
    <cellStyle name="Comma 4 2 2 2 2 4 2" xfId="3351" xr:uid="{00000000-0005-0000-0000-0000C2070000}"/>
    <cellStyle name="Comma 4 2 2 2 2 4 2 2" xfId="7574" xr:uid="{00000000-0005-0000-0000-0000C3070000}"/>
    <cellStyle name="Comma 4 2 2 2 2 4 2 2 2" xfId="16016" xr:uid="{A727B1C7-EDA6-4A0F-8955-59B616A48FB9}"/>
    <cellStyle name="Comma 4 2 2 2 2 4 2 3" xfId="11798" xr:uid="{8710D947-52F3-443E-A67C-44A4D76A8CF9}"/>
    <cellStyle name="Comma 4 2 2 2 2 4 3" xfId="5429" xr:uid="{00000000-0005-0000-0000-0000C4070000}"/>
    <cellStyle name="Comma 4 2 2 2 2 4 3 2" xfId="13871" xr:uid="{FB2E0DD0-C755-4EDB-89D5-4B0D2BAE3D26}"/>
    <cellStyle name="Comma 4 2 2 2 2 4 4" xfId="9653" xr:uid="{B5AB577E-761F-4717-8CFE-A0E5BBFFE524}"/>
    <cellStyle name="Comma 4 2 2 2 2 5" xfId="1534" xr:uid="{00000000-0005-0000-0000-0000C5070000}"/>
    <cellStyle name="Comma 4 2 2 2 2 5 2" xfId="3764" xr:uid="{00000000-0005-0000-0000-0000C6070000}"/>
    <cellStyle name="Comma 4 2 2 2 2 5 2 2" xfId="7987" xr:uid="{00000000-0005-0000-0000-0000C7070000}"/>
    <cellStyle name="Comma 4 2 2 2 2 5 2 2 2" xfId="16429" xr:uid="{C8F7527D-12DC-4A04-9D94-A0164F293BCD}"/>
    <cellStyle name="Comma 4 2 2 2 2 5 2 3" xfId="12211" xr:uid="{81564D04-2C7A-4535-A0A2-27EB74BCD4BE}"/>
    <cellStyle name="Comma 4 2 2 2 2 5 3" xfId="5842" xr:uid="{00000000-0005-0000-0000-0000C8070000}"/>
    <cellStyle name="Comma 4 2 2 2 2 5 3 2" xfId="14284" xr:uid="{F437ECD2-03DD-4D1A-8EE3-20DE06C32D80}"/>
    <cellStyle name="Comma 4 2 2 2 2 5 4" xfId="10066" xr:uid="{A77BF3D6-A8CE-492F-8D29-E7C28413A73A}"/>
    <cellStyle name="Comma 4 2 2 2 2 6" xfId="1948" xr:uid="{00000000-0005-0000-0000-0000C9070000}"/>
    <cellStyle name="Comma 4 2 2 2 2 6 2" xfId="4177" xr:uid="{00000000-0005-0000-0000-0000CA070000}"/>
    <cellStyle name="Comma 4 2 2 2 2 6 2 2" xfId="8400" xr:uid="{00000000-0005-0000-0000-0000CB070000}"/>
    <cellStyle name="Comma 4 2 2 2 2 6 2 2 2" xfId="16842" xr:uid="{3E5C65D1-2433-42D5-871D-2C35EE837F15}"/>
    <cellStyle name="Comma 4 2 2 2 2 6 2 3" xfId="12624" xr:uid="{82B0F274-43D2-4526-98ED-73A66E02C7F2}"/>
    <cellStyle name="Comma 4 2 2 2 2 6 3" xfId="6255" xr:uid="{00000000-0005-0000-0000-0000CC070000}"/>
    <cellStyle name="Comma 4 2 2 2 2 6 3 2" xfId="14697" xr:uid="{A2037D0F-83DF-41C0-9712-318B60DC240E}"/>
    <cellStyle name="Comma 4 2 2 2 2 6 4" xfId="10479" xr:uid="{B32B28C0-F7C3-43FA-92FF-39DD3AD4A8A2}"/>
    <cellStyle name="Comma 4 2 2 2 2 7" xfId="2383" xr:uid="{00000000-0005-0000-0000-0000CD070000}"/>
    <cellStyle name="Comma 4 2 2 2 2 7 2" xfId="6668" xr:uid="{00000000-0005-0000-0000-0000CE070000}"/>
    <cellStyle name="Comma 4 2 2 2 2 7 2 2" xfId="15110" xr:uid="{C7C6C792-60AA-41A9-8B8E-B04EFF7D7C47}"/>
    <cellStyle name="Comma 4 2 2 2 2 7 3" xfId="10892" xr:uid="{85DE54E3-0AC5-4110-B4ED-349610737690}"/>
    <cellStyle name="Comma 4 2 2 2 2 8" xfId="2380" xr:uid="{00000000-0005-0000-0000-0000CF070000}"/>
    <cellStyle name="Comma 4 2 2 2 2 9" xfId="2761" xr:uid="{00000000-0005-0000-0000-0000D0070000}"/>
    <cellStyle name="Comma 4 2 2 2 2 9 2" xfId="6985" xr:uid="{00000000-0005-0000-0000-0000D1070000}"/>
    <cellStyle name="Comma 4 2 2 2 2 9 2 2" xfId="15427" xr:uid="{4B0B83C0-A088-4AEF-96FF-A779638D4340}"/>
    <cellStyle name="Comma 4 2 2 2 2 9 3" xfId="11209" xr:uid="{AD45D36F-1956-48F5-B6E8-40AE4C248527}"/>
    <cellStyle name="Comma 4 2 2 2 3" xfId="131" xr:uid="{00000000-0005-0000-0000-0000D2070000}"/>
    <cellStyle name="Comma 4 2 2 2 3 10" xfId="8828" xr:uid="{B4D67657-F31E-4B7A-90DE-29B7001B59A5}"/>
    <cellStyle name="Comma 4 2 2 2 3 2" xfId="669" xr:uid="{00000000-0005-0000-0000-0000D3070000}"/>
    <cellStyle name="Comma 4 2 2 2 3 2 2" xfId="2940" xr:uid="{00000000-0005-0000-0000-0000D4070000}"/>
    <cellStyle name="Comma 4 2 2 2 3 2 2 2" xfId="7163" xr:uid="{00000000-0005-0000-0000-0000D5070000}"/>
    <cellStyle name="Comma 4 2 2 2 3 2 2 2 2" xfId="15605" xr:uid="{1D317F64-59D9-4BD4-9D65-40CEF3289C88}"/>
    <cellStyle name="Comma 4 2 2 2 3 2 2 3" xfId="11387" xr:uid="{B1C7A7F7-F34D-4F93-A43B-061D7BB77D79}"/>
    <cellStyle name="Comma 4 2 2 2 3 2 3" xfId="5018" xr:uid="{00000000-0005-0000-0000-0000D6070000}"/>
    <cellStyle name="Comma 4 2 2 2 3 2 3 2" xfId="13460" xr:uid="{8642EE43-97A3-4D72-9CA2-FD5682C02285}"/>
    <cellStyle name="Comma 4 2 2 2 3 2 4" xfId="9242" xr:uid="{35D99D5A-30EF-4396-9346-F0B74847BCAF}"/>
    <cellStyle name="Comma 4 2 2 2 3 3" xfId="1122" xr:uid="{00000000-0005-0000-0000-0000D7070000}"/>
    <cellStyle name="Comma 4 2 2 2 3 3 2" xfId="3353" xr:uid="{00000000-0005-0000-0000-0000D8070000}"/>
    <cellStyle name="Comma 4 2 2 2 3 3 2 2" xfId="7576" xr:uid="{00000000-0005-0000-0000-0000D9070000}"/>
    <cellStyle name="Comma 4 2 2 2 3 3 2 2 2" xfId="16018" xr:uid="{CAF4505D-15D1-4642-882B-12733CDF1370}"/>
    <cellStyle name="Comma 4 2 2 2 3 3 2 3" xfId="11800" xr:uid="{F03AFE9E-440B-48E5-952F-BC7DCF161247}"/>
    <cellStyle name="Comma 4 2 2 2 3 3 3" xfId="5431" xr:uid="{00000000-0005-0000-0000-0000DA070000}"/>
    <cellStyle name="Comma 4 2 2 2 3 3 3 2" xfId="13873" xr:uid="{5776AA06-C524-4CBA-8ABF-86717C4AEAE0}"/>
    <cellStyle name="Comma 4 2 2 2 3 3 4" xfId="9655" xr:uid="{BCDD7732-CCA5-40B0-BADD-9621CB81B5FD}"/>
    <cellStyle name="Comma 4 2 2 2 3 4" xfId="1536" xr:uid="{00000000-0005-0000-0000-0000DB070000}"/>
    <cellStyle name="Comma 4 2 2 2 3 4 2" xfId="3766" xr:uid="{00000000-0005-0000-0000-0000DC070000}"/>
    <cellStyle name="Comma 4 2 2 2 3 4 2 2" xfId="7989" xr:uid="{00000000-0005-0000-0000-0000DD070000}"/>
    <cellStyle name="Comma 4 2 2 2 3 4 2 2 2" xfId="16431" xr:uid="{59F00C0F-6447-4156-8BBB-DF76472009BB}"/>
    <cellStyle name="Comma 4 2 2 2 3 4 2 3" xfId="12213" xr:uid="{C591192D-733C-4638-A0C2-5BA7EE563558}"/>
    <cellStyle name="Comma 4 2 2 2 3 4 3" xfId="5844" xr:uid="{00000000-0005-0000-0000-0000DE070000}"/>
    <cellStyle name="Comma 4 2 2 2 3 4 3 2" xfId="14286" xr:uid="{4C8453AB-B0DA-4522-83FB-49AF3627A688}"/>
    <cellStyle name="Comma 4 2 2 2 3 4 4" xfId="10068" xr:uid="{79E10F60-C180-4182-BF68-C701A39CCF83}"/>
    <cellStyle name="Comma 4 2 2 2 3 5" xfId="1950" xr:uid="{00000000-0005-0000-0000-0000DF070000}"/>
    <cellStyle name="Comma 4 2 2 2 3 5 2" xfId="4179" xr:uid="{00000000-0005-0000-0000-0000E0070000}"/>
    <cellStyle name="Comma 4 2 2 2 3 5 2 2" xfId="8402" xr:uid="{00000000-0005-0000-0000-0000E1070000}"/>
    <cellStyle name="Comma 4 2 2 2 3 5 2 2 2" xfId="16844" xr:uid="{DD98B6B4-8D02-47A8-A410-F941637031C5}"/>
    <cellStyle name="Comma 4 2 2 2 3 5 2 3" xfId="12626" xr:uid="{44628BA5-BC23-442E-A53C-242D49AE0CA3}"/>
    <cellStyle name="Comma 4 2 2 2 3 5 3" xfId="6257" xr:uid="{00000000-0005-0000-0000-0000E2070000}"/>
    <cellStyle name="Comma 4 2 2 2 3 5 3 2" xfId="14699" xr:uid="{3D367EFD-65CB-4946-BAE0-B867BF52F587}"/>
    <cellStyle name="Comma 4 2 2 2 3 5 4" xfId="10481" xr:uid="{B7933FFA-0299-44B8-96CC-61C4A215F62E}"/>
    <cellStyle name="Comma 4 2 2 2 3 6" xfId="2385" xr:uid="{00000000-0005-0000-0000-0000E3070000}"/>
    <cellStyle name="Comma 4 2 2 2 3 6 2" xfId="6670" xr:uid="{00000000-0005-0000-0000-0000E4070000}"/>
    <cellStyle name="Comma 4 2 2 2 3 6 2 2" xfId="15112" xr:uid="{FC0E819C-7934-445A-9DE7-1F070882AC6A}"/>
    <cellStyle name="Comma 4 2 2 2 3 6 3" xfId="10894" xr:uid="{7D6D6B9E-66DA-4BA5-857A-54E8A915F2A9}"/>
    <cellStyle name="Comma 4 2 2 2 3 7" xfId="2378" xr:uid="{00000000-0005-0000-0000-0000E5070000}"/>
    <cellStyle name="Comma 4 2 2 2 3 8" xfId="2763" xr:uid="{00000000-0005-0000-0000-0000E6070000}"/>
    <cellStyle name="Comma 4 2 2 2 3 8 2" xfId="6987" xr:uid="{00000000-0005-0000-0000-0000E7070000}"/>
    <cellStyle name="Comma 4 2 2 2 3 8 2 2" xfId="15429" xr:uid="{CE721E9E-8B79-4F45-8E9D-9DE6E5066457}"/>
    <cellStyle name="Comma 4 2 2 2 3 8 3" xfId="11211" xr:uid="{0E4CE334-4C4B-4282-A680-FF7CBFD27330}"/>
    <cellStyle name="Comma 4 2 2 2 3 9" xfId="4604" xr:uid="{00000000-0005-0000-0000-0000E8070000}"/>
    <cellStyle name="Comma 4 2 2 2 3 9 2" xfId="13046" xr:uid="{1968FE32-E0AC-474B-A8A4-474F4E03A90D}"/>
    <cellStyle name="Comma 4 2 2 2 4" xfId="666" xr:uid="{00000000-0005-0000-0000-0000E9070000}"/>
    <cellStyle name="Comma 4 2 2 2 4 2" xfId="2937" xr:uid="{00000000-0005-0000-0000-0000EA070000}"/>
    <cellStyle name="Comma 4 2 2 2 4 2 2" xfId="7160" xr:uid="{00000000-0005-0000-0000-0000EB070000}"/>
    <cellStyle name="Comma 4 2 2 2 4 2 2 2" xfId="15602" xr:uid="{643D85D9-3D46-4D16-96B0-0BB46B75CA74}"/>
    <cellStyle name="Comma 4 2 2 2 4 2 3" xfId="11384" xr:uid="{7EB25607-23B1-4F87-BA18-9FC416F0D596}"/>
    <cellStyle name="Comma 4 2 2 2 4 3" xfId="5015" xr:uid="{00000000-0005-0000-0000-0000EC070000}"/>
    <cellStyle name="Comma 4 2 2 2 4 3 2" xfId="13457" xr:uid="{8A38333D-87BF-49F2-847C-5F24C56BCDDE}"/>
    <cellStyle name="Comma 4 2 2 2 4 4" xfId="9239" xr:uid="{8EBA9E29-2BA3-4933-AD6D-296781F8E5D1}"/>
    <cellStyle name="Comma 4 2 2 2 5" xfId="1119" xr:uid="{00000000-0005-0000-0000-0000ED070000}"/>
    <cellStyle name="Comma 4 2 2 2 5 2" xfId="3350" xr:uid="{00000000-0005-0000-0000-0000EE070000}"/>
    <cellStyle name="Comma 4 2 2 2 5 2 2" xfId="7573" xr:uid="{00000000-0005-0000-0000-0000EF070000}"/>
    <cellStyle name="Comma 4 2 2 2 5 2 2 2" xfId="16015" xr:uid="{3AA56622-946F-43F7-97D8-38B1E4F5A105}"/>
    <cellStyle name="Comma 4 2 2 2 5 2 3" xfId="11797" xr:uid="{AA1E4DF6-E52A-436B-A1F9-A165EC0FF56C}"/>
    <cellStyle name="Comma 4 2 2 2 5 3" xfId="5428" xr:uid="{00000000-0005-0000-0000-0000F0070000}"/>
    <cellStyle name="Comma 4 2 2 2 5 3 2" xfId="13870" xr:uid="{96C19B31-A612-4B5F-A988-0E41823B367F}"/>
    <cellStyle name="Comma 4 2 2 2 5 4" xfId="9652" xr:uid="{A2010C95-2DFA-4196-A5F7-145E30F70217}"/>
    <cellStyle name="Comma 4 2 2 2 6" xfId="1533" xr:uid="{00000000-0005-0000-0000-0000F1070000}"/>
    <cellStyle name="Comma 4 2 2 2 6 2" xfId="3763" xr:uid="{00000000-0005-0000-0000-0000F2070000}"/>
    <cellStyle name="Comma 4 2 2 2 6 2 2" xfId="7986" xr:uid="{00000000-0005-0000-0000-0000F3070000}"/>
    <cellStyle name="Comma 4 2 2 2 6 2 2 2" xfId="16428" xr:uid="{9B90623B-AE64-4B66-9D6C-DAB5EC5E39A8}"/>
    <cellStyle name="Comma 4 2 2 2 6 2 3" xfId="12210" xr:uid="{1C8EC851-4013-4200-864E-27BAACC4CA03}"/>
    <cellStyle name="Comma 4 2 2 2 6 3" xfId="5841" xr:uid="{00000000-0005-0000-0000-0000F4070000}"/>
    <cellStyle name="Comma 4 2 2 2 6 3 2" xfId="14283" xr:uid="{19C5FC7C-C618-470D-8673-B91315B4CB70}"/>
    <cellStyle name="Comma 4 2 2 2 6 4" xfId="10065" xr:uid="{74898E43-4480-4EAD-85A2-4D4466C4B3B4}"/>
    <cellStyle name="Comma 4 2 2 2 7" xfId="1947" xr:uid="{00000000-0005-0000-0000-0000F5070000}"/>
    <cellStyle name="Comma 4 2 2 2 7 2" xfId="4176" xr:uid="{00000000-0005-0000-0000-0000F6070000}"/>
    <cellStyle name="Comma 4 2 2 2 7 2 2" xfId="8399" xr:uid="{00000000-0005-0000-0000-0000F7070000}"/>
    <cellStyle name="Comma 4 2 2 2 7 2 2 2" xfId="16841" xr:uid="{CC43893B-69FD-4B87-BA80-3DACC01CAB09}"/>
    <cellStyle name="Comma 4 2 2 2 7 2 3" xfId="12623" xr:uid="{A43AC72E-CAF3-41A0-A2A8-B7108E7C8AE7}"/>
    <cellStyle name="Comma 4 2 2 2 7 3" xfId="6254" xr:uid="{00000000-0005-0000-0000-0000F8070000}"/>
    <cellStyle name="Comma 4 2 2 2 7 3 2" xfId="14696" xr:uid="{D53E126E-D7B2-448B-B852-8091285ADA9D}"/>
    <cellStyle name="Comma 4 2 2 2 7 4" xfId="10478" xr:uid="{C6F9B674-DAFD-4B1E-9075-14DA5A0D28DE}"/>
    <cellStyle name="Comma 4 2 2 2 8" xfId="2382" xr:uid="{00000000-0005-0000-0000-0000F9070000}"/>
    <cellStyle name="Comma 4 2 2 2 8 2" xfId="6667" xr:uid="{00000000-0005-0000-0000-0000FA070000}"/>
    <cellStyle name="Comma 4 2 2 2 8 2 2" xfId="15109" xr:uid="{FEF02209-E2C3-44AC-81A5-84604B8B15E5}"/>
    <cellStyle name="Comma 4 2 2 2 8 3" xfId="10891" xr:uid="{D2D8404E-D0E3-4A11-A372-E268BBAAC68E}"/>
    <cellStyle name="Comma 4 2 2 2 9" xfId="2381" xr:uid="{00000000-0005-0000-0000-0000FB070000}"/>
    <cellStyle name="Comma 4 2 2 3" xfId="132" xr:uid="{00000000-0005-0000-0000-0000FC070000}"/>
    <cellStyle name="Comma 4 2 2 3 10" xfId="4605" xr:uid="{00000000-0005-0000-0000-0000FD070000}"/>
    <cellStyle name="Comma 4 2 2 3 10 2" xfId="13047" xr:uid="{EA3BE520-1504-4816-84F2-CE5868132921}"/>
    <cellStyle name="Comma 4 2 2 3 11" xfId="8829" xr:uid="{AF410025-052A-4FAC-895A-6C42CE717380}"/>
    <cellStyle name="Comma 4 2 2 3 2" xfId="133" xr:uid="{00000000-0005-0000-0000-0000FE070000}"/>
    <cellStyle name="Comma 4 2 2 3 2 10" xfId="8830" xr:uid="{F0BAB350-2437-4D20-9F63-D214F6C11E7F}"/>
    <cellStyle name="Comma 4 2 2 3 2 2" xfId="671" xr:uid="{00000000-0005-0000-0000-0000FF070000}"/>
    <cellStyle name="Comma 4 2 2 3 2 2 2" xfId="2942" xr:uid="{00000000-0005-0000-0000-000000080000}"/>
    <cellStyle name="Comma 4 2 2 3 2 2 2 2" xfId="7165" xr:uid="{00000000-0005-0000-0000-000001080000}"/>
    <cellStyle name="Comma 4 2 2 3 2 2 2 2 2" xfId="15607" xr:uid="{CF85D182-5665-40B8-BBBF-AC738869A781}"/>
    <cellStyle name="Comma 4 2 2 3 2 2 2 3" xfId="11389" xr:uid="{AE7A8A9B-A94B-46CE-AF12-B24C9F2453E8}"/>
    <cellStyle name="Comma 4 2 2 3 2 2 3" xfId="5020" xr:uid="{00000000-0005-0000-0000-000002080000}"/>
    <cellStyle name="Comma 4 2 2 3 2 2 3 2" xfId="13462" xr:uid="{1D71390F-76BA-42C7-9CBF-C2F1B43A3A1F}"/>
    <cellStyle name="Comma 4 2 2 3 2 2 4" xfId="9244" xr:uid="{063C878B-E07B-4A78-99DE-D39A21C67BF1}"/>
    <cellStyle name="Comma 4 2 2 3 2 3" xfId="1124" xr:uid="{00000000-0005-0000-0000-000003080000}"/>
    <cellStyle name="Comma 4 2 2 3 2 3 2" xfId="3355" xr:uid="{00000000-0005-0000-0000-000004080000}"/>
    <cellStyle name="Comma 4 2 2 3 2 3 2 2" xfId="7578" xr:uid="{00000000-0005-0000-0000-000005080000}"/>
    <cellStyle name="Comma 4 2 2 3 2 3 2 2 2" xfId="16020" xr:uid="{6DEA76DA-EBCE-4D8B-801E-319468C0BC05}"/>
    <cellStyle name="Comma 4 2 2 3 2 3 2 3" xfId="11802" xr:uid="{3FD5A0C7-E877-4966-8802-B879828E2F9D}"/>
    <cellStyle name="Comma 4 2 2 3 2 3 3" xfId="5433" xr:uid="{00000000-0005-0000-0000-000006080000}"/>
    <cellStyle name="Comma 4 2 2 3 2 3 3 2" xfId="13875" xr:uid="{EF68E29B-C603-4D9F-9A06-7920AC3EE4AB}"/>
    <cellStyle name="Comma 4 2 2 3 2 3 4" xfId="9657" xr:uid="{49FB62EA-9D57-4A8A-8B6E-9F87B53F8B66}"/>
    <cellStyle name="Comma 4 2 2 3 2 4" xfId="1538" xr:uid="{00000000-0005-0000-0000-000007080000}"/>
    <cellStyle name="Comma 4 2 2 3 2 4 2" xfId="3768" xr:uid="{00000000-0005-0000-0000-000008080000}"/>
    <cellStyle name="Comma 4 2 2 3 2 4 2 2" xfId="7991" xr:uid="{00000000-0005-0000-0000-000009080000}"/>
    <cellStyle name="Comma 4 2 2 3 2 4 2 2 2" xfId="16433" xr:uid="{7DD27CA7-582A-42DA-A51F-D344684A19AF}"/>
    <cellStyle name="Comma 4 2 2 3 2 4 2 3" xfId="12215" xr:uid="{7AB67289-4898-4203-B9EE-FC7A0DFA1B4F}"/>
    <cellStyle name="Comma 4 2 2 3 2 4 3" xfId="5846" xr:uid="{00000000-0005-0000-0000-00000A080000}"/>
    <cellStyle name="Comma 4 2 2 3 2 4 3 2" xfId="14288" xr:uid="{427F9B03-9120-474A-9D7A-94AE3B6DAA79}"/>
    <cellStyle name="Comma 4 2 2 3 2 4 4" xfId="10070" xr:uid="{42358AA2-A4FF-4770-BEDD-ACC788527FF1}"/>
    <cellStyle name="Comma 4 2 2 3 2 5" xfId="1952" xr:uid="{00000000-0005-0000-0000-00000B080000}"/>
    <cellStyle name="Comma 4 2 2 3 2 5 2" xfId="4181" xr:uid="{00000000-0005-0000-0000-00000C080000}"/>
    <cellStyle name="Comma 4 2 2 3 2 5 2 2" xfId="8404" xr:uid="{00000000-0005-0000-0000-00000D080000}"/>
    <cellStyle name="Comma 4 2 2 3 2 5 2 2 2" xfId="16846" xr:uid="{533669EE-8520-4BB0-A8CD-B3331F9EA9F5}"/>
    <cellStyle name="Comma 4 2 2 3 2 5 2 3" xfId="12628" xr:uid="{8F06DE9D-81E9-4388-BD31-B88B86B474F2}"/>
    <cellStyle name="Comma 4 2 2 3 2 5 3" xfId="6259" xr:uid="{00000000-0005-0000-0000-00000E080000}"/>
    <cellStyle name="Comma 4 2 2 3 2 5 3 2" xfId="14701" xr:uid="{2CEBD3B7-BF98-4D60-93E5-69402ADE911E}"/>
    <cellStyle name="Comma 4 2 2 3 2 5 4" xfId="10483" xr:uid="{EE56342A-D2CA-423F-B0CC-3EB795F7CC00}"/>
    <cellStyle name="Comma 4 2 2 3 2 6" xfId="2387" xr:uid="{00000000-0005-0000-0000-00000F080000}"/>
    <cellStyle name="Comma 4 2 2 3 2 6 2" xfId="6672" xr:uid="{00000000-0005-0000-0000-000010080000}"/>
    <cellStyle name="Comma 4 2 2 3 2 6 2 2" xfId="15114" xr:uid="{B00D19B9-9D5A-4829-820F-4760151045B5}"/>
    <cellStyle name="Comma 4 2 2 3 2 6 3" xfId="10896" xr:uid="{8393AD94-09B1-4D85-BC9C-1EEE1C749E93}"/>
    <cellStyle name="Comma 4 2 2 3 2 7" xfId="2376" xr:uid="{00000000-0005-0000-0000-000011080000}"/>
    <cellStyle name="Comma 4 2 2 3 2 8" xfId="2765" xr:uid="{00000000-0005-0000-0000-000012080000}"/>
    <cellStyle name="Comma 4 2 2 3 2 8 2" xfId="6989" xr:uid="{00000000-0005-0000-0000-000013080000}"/>
    <cellStyle name="Comma 4 2 2 3 2 8 2 2" xfId="15431" xr:uid="{01E6BED9-01B8-4D5F-9F08-FC5ED275F6B1}"/>
    <cellStyle name="Comma 4 2 2 3 2 8 3" xfId="11213" xr:uid="{BD54FB74-237D-4BEC-A11D-29C5012A0790}"/>
    <cellStyle name="Comma 4 2 2 3 2 9" xfId="4606" xr:uid="{00000000-0005-0000-0000-000014080000}"/>
    <cellStyle name="Comma 4 2 2 3 2 9 2" xfId="13048" xr:uid="{EA081063-400F-4DDE-BE66-366A263C2AF0}"/>
    <cellStyle name="Comma 4 2 2 3 3" xfId="670" xr:uid="{00000000-0005-0000-0000-000015080000}"/>
    <cellStyle name="Comma 4 2 2 3 3 2" xfId="2941" xr:uid="{00000000-0005-0000-0000-000016080000}"/>
    <cellStyle name="Comma 4 2 2 3 3 2 2" xfId="7164" xr:uid="{00000000-0005-0000-0000-000017080000}"/>
    <cellStyle name="Comma 4 2 2 3 3 2 2 2" xfId="15606" xr:uid="{26AE4511-E4FC-4A0B-9508-1DEA26C33134}"/>
    <cellStyle name="Comma 4 2 2 3 3 2 3" xfId="11388" xr:uid="{669F4A50-C108-41FB-805C-0E257AF39F26}"/>
    <cellStyle name="Comma 4 2 2 3 3 3" xfId="5019" xr:uid="{00000000-0005-0000-0000-000018080000}"/>
    <cellStyle name="Comma 4 2 2 3 3 3 2" xfId="13461" xr:uid="{6652D3F2-05B5-4D68-8414-D50E626A070D}"/>
    <cellStyle name="Comma 4 2 2 3 3 4" xfId="9243" xr:uid="{2EA06DB6-6396-489B-94A3-19ABCD3ED333}"/>
    <cellStyle name="Comma 4 2 2 3 4" xfId="1123" xr:uid="{00000000-0005-0000-0000-000019080000}"/>
    <cellStyle name="Comma 4 2 2 3 4 2" xfId="3354" xr:uid="{00000000-0005-0000-0000-00001A080000}"/>
    <cellStyle name="Comma 4 2 2 3 4 2 2" xfId="7577" xr:uid="{00000000-0005-0000-0000-00001B080000}"/>
    <cellStyle name="Comma 4 2 2 3 4 2 2 2" xfId="16019" xr:uid="{3BDD3F9F-9C15-4279-8925-110C1C7962FE}"/>
    <cellStyle name="Comma 4 2 2 3 4 2 3" xfId="11801" xr:uid="{8150FE41-04D3-40DF-9671-F568E78212B7}"/>
    <cellStyle name="Comma 4 2 2 3 4 3" xfId="5432" xr:uid="{00000000-0005-0000-0000-00001C080000}"/>
    <cellStyle name="Comma 4 2 2 3 4 3 2" xfId="13874" xr:uid="{DCCDC090-30EF-4C2D-9D45-6C43CD50455F}"/>
    <cellStyle name="Comma 4 2 2 3 4 4" xfId="9656" xr:uid="{92E8521C-CD95-4F16-A832-1167A5F279E8}"/>
    <cellStyle name="Comma 4 2 2 3 5" xfId="1537" xr:uid="{00000000-0005-0000-0000-00001D080000}"/>
    <cellStyle name="Comma 4 2 2 3 5 2" xfId="3767" xr:uid="{00000000-0005-0000-0000-00001E080000}"/>
    <cellStyle name="Comma 4 2 2 3 5 2 2" xfId="7990" xr:uid="{00000000-0005-0000-0000-00001F080000}"/>
    <cellStyle name="Comma 4 2 2 3 5 2 2 2" xfId="16432" xr:uid="{4BF15D10-6785-4925-AF5E-C0D8A3A2B1AF}"/>
    <cellStyle name="Comma 4 2 2 3 5 2 3" xfId="12214" xr:uid="{F22483E5-8B41-49BF-9FC9-4E65F061E2E9}"/>
    <cellStyle name="Comma 4 2 2 3 5 3" xfId="5845" xr:uid="{00000000-0005-0000-0000-000020080000}"/>
    <cellStyle name="Comma 4 2 2 3 5 3 2" xfId="14287" xr:uid="{222259FA-E694-4B4A-86CE-F386AD3AAD8F}"/>
    <cellStyle name="Comma 4 2 2 3 5 4" xfId="10069" xr:uid="{1623F25E-E41E-4747-9E7D-99649459A990}"/>
    <cellStyle name="Comma 4 2 2 3 6" xfId="1951" xr:uid="{00000000-0005-0000-0000-000021080000}"/>
    <cellStyle name="Comma 4 2 2 3 6 2" xfId="4180" xr:uid="{00000000-0005-0000-0000-000022080000}"/>
    <cellStyle name="Comma 4 2 2 3 6 2 2" xfId="8403" xr:uid="{00000000-0005-0000-0000-000023080000}"/>
    <cellStyle name="Comma 4 2 2 3 6 2 2 2" xfId="16845" xr:uid="{D87021E9-86FC-4EF9-9C92-3AD9CD21B655}"/>
    <cellStyle name="Comma 4 2 2 3 6 2 3" xfId="12627" xr:uid="{493BF177-D669-467A-AFF1-ABF58E714C79}"/>
    <cellStyle name="Comma 4 2 2 3 6 3" xfId="6258" xr:uid="{00000000-0005-0000-0000-000024080000}"/>
    <cellStyle name="Comma 4 2 2 3 6 3 2" xfId="14700" xr:uid="{8F097A48-9387-4EC6-967E-C80F2BC739D2}"/>
    <cellStyle name="Comma 4 2 2 3 6 4" xfId="10482" xr:uid="{4E20721E-1D5A-4F6D-B835-FE18227B521F}"/>
    <cellStyle name="Comma 4 2 2 3 7" xfId="2386" xr:uid="{00000000-0005-0000-0000-000025080000}"/>
    <cellStyle name="Comma 4 2 2 3 7 2" xfId="6671" xr:uid="{00000000-0005-0000-0000-000026080000}"/>
    <cellStyle name="Comma 4 2 2 3 7 2 2" xfId="15113" xr:uid="{A06B48AE-6E57-4962-BE38-79D37785FE23}"/>
    <cellStyle name="Comma 4 2 2 3 7 3" xfId="10895" xr:uid="{F6DBDF52-F1A7-4811-A5CE-6784C6594D39}"/>
    <cellStyle name="Comma 4 2 2 3 8" xfId="2377" xr:uid="{00000000-0005-0000-0000-000027080000}"/>
    <cellStyle name="Comma 4 2 2 3 9" xfId="2764" xr:uid="{00000000-0005-0000-0000-000028080000}"/>
    <cellStyle name="Comma 4 2 2 3 9 2" xfId="6988" xr:uid="{00000000-0005-0000-0000-000029080000}"/>
    <cellStyle name="Comma 4 2 2 3 9 2 2" xfId="15430" xr:uid="{CEDA06D6-6FB8-483F-B79D-5C9D0DEBF317}"/>
    <cellStyle name="Comma 4 2 2 3 9 3" xfId="11212" xr:uid="{9DE54A9F-2FD0-4D1C-9532-6CCAB99B55FD}"/>
    <cellStyle name="Comma 4 2 2 4" xfId="134" xr:uid="{00000000-0005-0000-0000-00002A080000}"/>
    <cellStyle name="Comma 4 2 2 4 10" xfId="8831" xr:uid="{F7F2362C-0FE1-411F-93B6-BA6798ED5F86}"/>
    <cellStyle name="Comma 4 2 2 4 2" xfId="672" xr:uid="{00000000-0005-0000-0000-00002B080000}"/>
    <cellStyle name="Comma 4 2 2 4 2 2" xfId="2943" xr:uid="{00000000-0005-0000-0000-00002C080000}"/>
    <cellStyle name="Comma 4 2 2 4 2 2 2" xfId="7166" xr:uid="{00000000-0005-0000-0000-00002D080000}"/>
    <cellStyle name="Comma 4 2 2 4 2 2 2 2" xfId="15608" xr:uid="{1D859FAB-9434-481F-81F6-6F79A52BBD3F}"/>
    <cellStyle name="Comma 4 2 2 4 2 2 3" xfId="11390" xr:uid="{82E8D427-9127-492C-B906-7CF11B5ED094}"/>
    <cellStyle name="Comma 4 2 2 4 2 3" xfId="5021" xr:uid="{00000000-0005-0000-0000-00002E080000}"/>
    <cellStyle name="Comma 4 2 2 4 2 3 2" xfId="13463" xr:uid="{F67E4A23-CEBB-4947-B86F-929BD6623157}"/>
    <cellStyle name="Comma 4 2 2 4 2 4" xfId="9245" xr:uid="{CB9EA49A-D13B-4117-A350-302710C6440F}"/>
    <cellStyle name="Comma 4 2 2 4 3" xfId="1125" xr:uid="{00000000-0005-0000-0000-00002F080000}"/>
    <cellStyle name="Comma 4 2 2 4 3 2" xfId="3356" xr:uid="{00000000-0005-0000-0000-000030080000}"/>
    <cellStyle name="Comma 4 2 2 4 3 2 2" xfId="7579" xr:uid="{00000000-0005-0000-0000-000031080000}"/>
    <cellStyle name="Comma 4 2 2 4 3 2 2 2" xfId="16021" xr:uid="{C174C6EB-1C45-48F5-945D-685E6DB1912E}"/>
    <cellStyle name="Comma 4 2 2 4 3 2 3" xfId="11803" xr:uid="{8B2A5E0F-A5CB-4AD9-91E7-2C25684E1407}"/>
    <cellStyle name="Comma 4 2 2 4 3 3" xfId="5434" xr:uid="{00000000-0005-0000-0000-000032080000}"/>
    <cellStyle name="Comma 4 2 2 4 3 3 2" xfId="13876" xr:uid="{2A9FC629-9BFB-43F9-9BE0-071BF982FE40}"/>
    <cellStyle name="Comma 4 2 2 4 3 4" xfId="9658" xr:uid="{58AE3DEC-94FC-46FA-ADD5-DE71E52FA7A6}"/>
    <cellStyle name="Comma 4 2 2 4 4" xfId="1539" xr:uid="{00000000-0005-0000-0000-000033080000}"/>
    <cellStyle name="Comma 4 2 2 4 4 2" xfId="3769" xr:uid="{00000000-0005-0000-0000-000034080000}"/>
    <cellStyle name="Comma 4 2 2 4 4 2 2" xfId="7992" xr:uid="{00000000-0005-0000-0000-000035080000}"/>
    <cellStyle name="Comma 4 2 2 4 4 2 2 2" xfId="16434" xr:uid="{9A5FE25F-CF64-4166-8EC8-8F9C155472EB}"/>
    <cellStyle name="Comma 4 2 2 4 4 2 3" xfId="12216" xr:uid="{A57F303E-4AF0-4330-A312-E8A3B07DE45C}"/>
    <cellStyle name="Comma 4 2 2 4 4 3" xfId="5847" xr:uid="{00000000-0005-0000-0000-000036080000}"/>
    <cellStyle name="Comma 4 2 2 4 4 3 2" xfId="14289" xr:uid="{3B918F0C-FD5A-4209-A5F3-0DD6E9339994}"/>
    <cellStyle name="Comma 4 2 2 4 4 4" xfId="10071" xr:uid="{581C7ECE-4E34-44E1-8CD2-6084515EBE30}"/>
    <cellStyle name="Comma 4 2 2 4 5" xfId="1953" xr:uid="{00000000-0005-0000-0000-000037080000}"/>
    <cellStyle name="Comma 4 2 2 4 5 2" xfId="4182" xr:uid="{00000000-0005-0000-0000-000038080000}"/>
    <cellStyle name="Comma 4 2 2 4 5 2 2" xfId="8405" xr:uid="{00000000-0005-0000-0000-000039080000}"/>
    <cellStyle name="Comma 4 2 2 4 5 2 2 2" xfId="16847" xr:uid="{09F4D8D5-858A-4E12-BF0E-C7D220487E1A}"/>
    <cellStyle name="Comma 4 2 2 4 5 2 3" xfId="12629" xr:uid="{341F3964-B8F8-4F36-B673-72EC922EA30D}"/>
    <cellStyle name="Comma 4 2 2 4 5 3" xfId="6260" xr:uid="{00000000-0005-0000-0000-00003A080000}"/>
    <cellStyle name="Comma 4 2 2 4 5 3 2" xfId="14702" xr:uid="{DDA9A228-A139-4863-97C7-F31E271A9201}"/>
    <cellStyle name="Comma 4 2 2 4 5 4" xfId="10484" xr:uid="{B928349B-BBA4-4162-91F0-04CA71490687}"/>
    <cellStyle name="Comma 4 2 2 4 6" xfId="2388" xr:uid="{00000000-0005-0000-0000-00003B080000}"/>
    <cellStyle name="Comma 4 2 2 4 6 2" xfId="6673" xr:uid="{00000000-0005-0000-0000-00003C080000}"/>
    <cellStyle name="Comma 4 2 2 4 6 2 2" xfId="15115" xr:uid="{91F8227C-BCC1-4959-9856-020D4F11ABA3}"/>
    <cellStyle name="Comma 4 2 2 4 6 3" xfId="10897" xr:uid="{5FF582EC-E19B-4259-8695-F740E4411F8A}"/>
    <cellStyle name="Comma 4 2 2 4 7" xfId="2375" xr:uid="{00000000-0005-0000-0000-00003D080000}"/>
    <cellStyle name="Comma 4 2 2 4 8" xfId="2766" xr:uid="{00000000-0005-0000-0000-00003E080000}"/>
    <cellStyle name="Comma 4 2 2 4 8 2" xfId="6990" xr:uid="{00000000-0005-0000-0000-00003F080000}"/>
    <cellStyle name="Comma 4 2 2 4 8 2 2" xfId="15432" xr:uid="{DE32B77F-266B-44FB-BB61-6D84573FB2E3}"/>
    <cellStyle name="Comma 4 2 2 4 8 3" xfId="11214" xr:uid="{3C164090-ACFC-4E93-87A0-78D7BB68A120}"/>
    <cellStyle name="Comma 4 2 2 4 9" xfId="4607" xr:uid="{00000000-0005-0000-0000-000040080000}"/>
    <cellStyle name="Comma 4 2 2 4 9 2" xfId="13049" xr:uid="{4CE8F5A8-E0BD-44C5-8E97-60991C12CBCB}"/>
    <cellStyle name="Comma 4 2 2 5" xfId="135" xr:uid="{00000000-0005-0000-0000-000041080000}"/>
    <cellStyle name="Comma 4 2 2 5 10" xfId="8832" xr:uid="{1934EA63-7DEF-476A-A377-E73AF26F86F3}"/>
    <cellStyle name="Comma 4 2 2 5 2" xfId="673" xr:uid="{00000000-0005-0000-0000-000042080000}"/>
    <cellStyle name="Comma 4 2 2 5 2 2" xfId="2944" xr:uid="{00000000-0005-0000-0000-000043080000}"/>
    <cellStyle name="Comma 4 2 2 5 2 2 2" xfId="7167" xr:uid="{00000000-0005-0000-0000-000044080000}"/>
    <cellStyle name="Comma 4 2 2 5 2 2 2 2" xfId="15609" xr:uid="{858E0011-FE97-4B67-95C0-1A9699214DBE}"/>
    <cellStyle name="Comma 4 2 2 5 2 2 3" xfId="11391" xr:uid="{6C67196A-C9BE-4C0B-85A3-195C068D97F0}"/>
    <cellStyle name="Comma 4 2 2 5 2 3" xfId="5022" xr:uid="{00000000-0005-0000-0000-000045080000}"/>
    <cellStyle name="Comma 4 2 2 5 2 3 2" xfId="13464" xr:uid="{9D1A5529-582F-42FE-9352-0ADF4BBCA0CA}"/>
    <cellStyle name="Comma 4 2 2 5 2 4" xfId="9246" xr:uid="{64C2C31B-D9C4-47EC-AAEE-01424C3D82D5}"/>
    <cellStyle name="Comma 4 2 2 5 3" xfId="1126" xr:uid="{00000000-0005-0000-0000-000046080000}"/>
    <cellStyle name="Comma 4 2 2 5 3 2" xfId="3357" xr:uid="{00000000-0005-0000-0000-000047080000}"/>
    <cellStyle name="Comma 4 2 2 5 3 2 2" xfId="7580" xr:uid="{00000000-0005-0000-0000-000048080000}"/>
    <cellStyle name="Comma 4 2 2 5 3 2 2 2" xfId="16022" xr:uid="{3EC8E020-2951-4909-9703-AACC6F77A169}"/>
    <cellStyle name="Comma 4 2 2 5 3 2 3" xfId="11804" xr:uid="{10D424E4-2097-4B1E-ABDE-E6C3348A7E96}"/>
    <cellStyle name="Comma 4 2 2 5 3 3" xfId="5435" xr:uid="{00000000-0005-0000-0000-000049080000}"/>
    <cellStyle name="Comma 4 2 2 5 3 3 2" xfId="13877" xr:uid="{9DB10DB3-51AE-46E6-9611-12511A5EC820}"/>
    <cellStyle name="Comma 4 2 2 5 3 4" xfId="9659" xr:uid="{40A2D13D-718D-4E1F-AE70-8F36E95FE65F}"/>
    <cellStyle name="Comma 4 2 2 5 4" xfId="1540" xr:uid="{00000000-0005-0000-0000-00004A080000}"/>
    <cellStyle name="Comma 4 2 2 5 4 2" xfId="3770" xr:uid="{00000000-0005-0000-0000-00004B080000}"/>
    <cellStyle name="Comma 4 2 2 5 4 2 2" xfId="7993" xr:uid="{00000000-0005-0000-0000-00004C080000}"/>
    <cellStyle name="Comma 4 2 2 5 4 2 2 2" xfId="16435" xr:uid="{802A05D4-BE49-420A-BBF2-CDE141F16687}"/>
    <cellStyle name="Comma 4 2 2 5 4 2 3" xfId="12217" xr:uid="{8DA60E95-7574-43BB-85BD-29A29B955B9A}"/>
    <cellStyle name="Comma 4 2 2 5 4 3" xfId="5848" xr:uid="{00000000-0005-0000-0000-00004D080000}"/>
    <cellStyle name="Comma 4 2 2 5 4 3 2" xfId="14290" xr:uid="{64F94A71-F134-49FF-8CF4-174647DEF8F9}"/>
    <cellStyle name="Comma 4 2 2 5 4 4" xfId="10072" xr:uid="{5B118211-9848-4BE5-967D-F36664F3BA11}"/>
    <cellStyle name="Comma 4 2 2 5 5" xfId="1954" xr:uid="{00000000-0005-0000-0000-00004E080000}"/>
    <cellStyle name="Comma 4 2 2 5 5 2" xfId="4183" xr:uid="{00000000-0005-0000-0000-00004F080000}"/>
    <cellStyle name="Comma 4 2 2 5 5 2 2" xfId="8406" xr:uid="{00000000-0005-0000-0000-000050080000}"/>
    <cellStyle name="Comma 4 2 2 5 5 2 2 2" xfId="16848" xr:uid="{0A6C3CF5-9CC3-4DD8-9C9B-2CFA7122EB0A}"/>
    <cellStyle name="Comma 4 2 2 5 5 2 3" xfId="12630" xr:uid="{91973721-F081-437D-A331-2CE63AF6F9DF}"/>
    <cellStyle name="Comma 4 2 2 5 5 3" xfId="6261" xr:uid="{00000000-0005-0000-0000-000051080000}"/>
    <cellStyle name="Comma 4 2 2 5 5 3 2" xfId="14703" xr:uid="{576F8433-CA25-4EA7-A169-E04A67F58223}"/>
    <cellStyle name="Comma 4 2 2 5 5 4" xfId="10485" xr:uid="{35F95645-3128-4E41-BC79-9B9589573F7E}"/>
    <cellStyle name="Comma 4 2 2 5 6" xfId="2389" xr:uid="{00000000-0005-0000-0000-000052080000}"/>
    <cellStyle name="Comma 4 2 2 5 6 2" xfId="6674" xr:uid="{00000000-0005-0000-0000-000053080000}"/>
    <cellStyle name="Comma 4 2 2 5 6 2 2" xfId="15116" xr:uid="{6933CE03-3DF4-487A-9F92-EE937326893D}"/>
    <cellStyle name="Comma 4 2 2 5 6 3" xfId="10898" xr:uid="{84FB0857-21C3-40D2-A359-B2780DAAD2BC}"/>
    <cellStyle name="Comma 4 2 2 5 7" xfId="2374" xr:uid="{00000000-0005-0000-0000-000054080000}"/>
    <cellStyle name="Comma 4 2 2 5 8" xfId="2767" xr:uid="{00000000-0005-0000-0000-000055080000}"/>
    <cellStyle name="Comma 4 2 2 5 8 2" xfId="6991" xr:uid="{00000000-0005-0000-0000-000056080000}"/>
    <cellStyle name="Comma 4 2 2 5 8 2 2" xfId="15433" xr:uid="{2CFC40F9-8225-43BD-8409-3D441A3C98A7}"/>
    <cellStyle name="Comma 4 2 2 5 8 3" xfId="11215" xr:uid="{C6010837-E6D6-496C-B683-1C46E8F8E211}"/>
    <cellStyle name="Comma 4 2 2 5 9" xfId="4608" xr:uid="{00000000-0005-0000-0000-000057080000}"/>
    <cellStyle name="Comma 4 2 2 5 9 2" xfId="13050" xr:uid="{1E610743-FD85-469F-9F77-FB762E47184A}"/>
    <cellStyle name="Comma 4 2 3" xfId="136" xr:uid="{00000000-0005-0000-0000-000058080000}"/>
    <cellStyle name="Comma 4 2 3 10" xfId="2768" xr:uid="{00000000-0005-0000-0000-000059080000}"/>
    <cellStyle name="Comma 4 2 3 10 2" xfId="6992" xr:uid="{00000000-0005-0000-0000-00005A080000}"/>
    <cellStyle name="Comma 4 2 3 10 2 2" xfId="15434" xr:uid="{CE5549DE-4883-4096-8D24-6653799C5AC3}"/>
    <cellStyle name="Comma 4 2 3 10 3" xfId="11216" xr:uid="{3A128205-BE0C-4271-8B3E-5BA9139D0353}"/>
    <cellStyle name="Comma 4 2 3 11" xfId="4609" xr:uid="{00000000-0005-0000-0000-00005B080000}"/>
    <cellStyle name="Comma 4 2 3 11 2" xfId="13051" xr:uid="{464CC76D-FAB0-4584-A5BB-14730DC839B5}"/>
    <cellStyle name="Comma 4 2 3 12" xfId="8833" xr:uid="{30A33972-BD8C-42D3-94FA-DDDA23F0DDD3}"/>
    <cellStyle name="Comma 4 2 3 2" xfId="137" xr:uid="{00000000-0005-0000-0000-00005C080000}"/>
    <cellStyle name="Comma 4 2 3 2 10" xfId="4610" xr:uid="{00000000-0005-0000-0000-00005D080000}"/>
    <cellStyle name="Comma 4 2 3 2 10 2" xfId="13052" xr:uid="{FB920970-8B22-4C15-9C6A-99F703966DEA}"/>
    <cellStyle name="Comma 4 2 3 2 11" xfId="8834" xr:uid="{1330EEA9-ECC5-4462-A2E4-1333FF0F2B2F}"/>
    <cellStyle name="Comma 4 2 3 2 2" xfId="138" xr:uid="{00000000-0005-0000-0000-00005E080000}"/>
    <cellStyle name="Comma 4 2 3 2 2 10" xfId="8835" xr:uid="{F9FEBE1A-3F25-49C1-B491-3CF43752C40D}"/>
    <cellStyle name="Comma 4 2 3 2 2 2" xfId="676" xr:uid="{00000000-0005-0000-0000-00005F080000}"/>
    <cellStyle name="Comma 4 2 3 2 2 2 2" xfId="2947" xr:uid="{00000000-0005-0000-0000-000060080000}"/>
    <cellStyle name="Comma 4 2 3 2 2 2 2 2" xfId="7170" xr:uid="{00000000-0005-0000-0000-000061080000}"/>
    <cellStyle name="Comma 4 2 3 2 2 2 2 2 2" xfId="15612" xr:uid="{76050800-C35F-4139-B4DC-9D74B96EE9F8}"/>
    <cellStyle name="Comma 4 2 3 2 2 2 2 3" xfId="11394" xr:uid="{EBAE5873-221C-4FA2-9615-6F4CEFF1AB59}"/>
    <cellStyle name="Comma 4 2 3 2 2 2 3" xfId="5025" xr:uid="{00000000-0005-0000-0000-000062080000}"/>
    <cellStyle name="Comma 4 2 3 2 2 2 3 2" xfId="13467" xr:uid="{FFA2D1FA-1431-42B5-B482-6DF1D8E07EB9}"/>
    <cellStyle name="Comma 4 2 3 2 2 2 4" xfId="9249" xr:uid="{3300B7C5-9967-44BA-8B5B-88673E5EA618}"/>
    <cellStyle name="Comma 4 2 3 2 2 3" xfId="1129" xr:uid="{00000000-0005-0000-0000-000063080000}"/>
    <cellStyle name="Comma 4 2 3 2 2 3 2" xfId="3360" xr:uid="{00000000-0005-0000-0000-000064080000}"/>
    <cellStyle name="Comma 4 2 3 2 2 3 2 2" xfId="7583" xr:uid="{00000000-0005-0000-0000-000065080000}"/>
    <cellStyle name="Comma 4 2 3 2 2 3 2 2 2" xfId="16025" xr:uid="{06869B93-7633-420B-BDAB-DB98D80B4A05}"/>
    <cellStyle name="Comma 4 2 3 2 2 3 2 3" xfId="11807" xr:uid="{6B43C996-2202-408E-8195-AD1A387075C8}"/>
    <cellStyle name="Comma 4 2 3 2 2 3 3" xfId="5438" xr:uid="{00000000-0005-0000-0000-000066080000}"/>
    <cellStyle name="Comma 4 2 3 2 2 3 3 2" xfId="13880" xr:uid="{E01C002D-ECD9-4BB5-9011-DF416FE87798}"/>
    <cellStyle name="Comma 4 2 3 2 2 3 4" xfId="9662" xr:uid="{B4CF0EC6-8485-4704-A684-8A68B16F653E}"/>
    <cellStyle name="Comma 4 2 3 2 2 4" xfId="1543" xr:uid="{00000000-0005-0000-0000-000067080000}"/>
    <cellStyle name="Comma 4 2 3 2 2 4 2" xfId="3773" xr:uid="{00000000-0005-0000-0000-000068080000}"/>
    <cellStyle name="Comma 4 2 3 2 2 4 2 2" xfId="7996" xr:uid="{00000000-0005-0000-0000-000069080000}"/>
    <cellStyle name="Comma 4 2 3 2 2 4 2 2 2" xfId="16438" xr:uid="{C62FB81D-0A59-4606-9691-29F2BC68395C}"/>
    <cellStyle name="Comma 4 2 3 2 2 4 2 3" xfId="12220" xr:uid="{8FEE717E-8CA3-47C8-9352-38A9032B8F1E}"/>
    <cellStyle name="Comma 4 2 3 2 2 4 3" xfId="5851" xr:uid="{00000000-0005-0000-0000-00006A080000}"/>
    <cellStyle name="Comma 4 2 3 2 2 4 3 2" xfId="14293" xr:uid="{ABE8A926-4A3D-4AEC-8080-A1B8C1EF52EE}"/>
    <cellStyle name="Comma 4 2 3 2 2 4 4" xfId="10075" xr:uid="{84B55094-32DF-49A9-AF34-86D4A52369A8}"/>
    <cellStyle name="Comma 4 2 3 2 2 5" xfId="1957" xr:uid="{00000000-0005-0000-0000-00006B080000}"/>
    <cellStyle name="Comma 4 2 3 2 2 5 2" xfId="4186" xr:uid="{00000000-0005-0000-0000-00006C080000}"/>
    <cellStyle name="Comma 4 2 3 2 2 5 2 2" xfId="8409" xr:uid="{00000000-0005-0000-0000-00006D080000}"/>
    <cellStyle name="Comma 4 2 3 2 2 5 2 2 2" xfId="16851" xr:uid="{B83487AC-5794-4E42-A371-94A189769743}"/>
    <cellStyle name="Comma 4 2 3 2 2 5 2 3" xfId="12633" xr:uid="{9B9CCBAC-33F4-48F5-821A-D8728710BD10}"/>
    <cellStyle name="Comma 4 2 3 2 2 5 3" xfId="6264" xr:uid="{00000000-0005-0000-0000-00006E080000}"/>
    <cellStyle name="Comma 4 2 3 2 2 5 3 2" xfId="14706" xr:uid="{6ACE0D4F-DFC6-497D-821D-DFFDF357B2B2}"/>
    <cellStyle name="Comma 4 2 3 2 2 5 4" xfId="10488" xr:uid="{15A972A6-0A57-466F-B095-E9CC749BE802}"/>
    <cellStyle name="Comma 4 2 3 2 2 6" xfId="2392" xr:uid="{00000000-0005-0000-0000-00006F080000}"/>
    <cellStyle name="Comma 4 2 3 2 2 6 2" xfId="6677" xr:uid="{00000000-0005-0000-0000-000070080000}"/>
    <cellStyle name="Comma 4 2 3 2 2 6 2 2" xfId="15119" xr:uid="{0AA61331-855D-4DC2-9356-783E339D69E2}"/>
    <cellStyle name="Comma 4 2 3 2 2 6 3" xfId="10901" xr:uid="{319E2DBD-4015-4C24-A7A2-0E5430D533DC}"/>
    <cellStyle name="Comma 4 2 3 2 2 7" xfId="2371" xr:uid="{00000000-0005-0000-0000-000071080000}"/>
    <cellStyle name="Comma 4 2 3 2 2 8" xfId="2770" xr:uid="{00000000-0005-0000-0000-000072080000}"/>
    <cellStyle name="Comma 4 2 3 2 2 8 2" xfId="6994" xr:uid="{00000000-0005-0000-0000-000073080000}"/>
    <cellStyle name="Comma 4 2 3 2 2 8 2 2" xfId="15436" xr:uid="{067906B5-27DE-4E90-9D0C-1A2C94112F56}"/>
    <cellStyle name="Comma 4 2 3 2 2 8 3" xfId="11218" xr:uid="{F313EFDE-FDF0-46A4-8851-83C9CD469D54}"/>
    <cellStyle name="Comma 4 2 3 2 2 9" xfId="4611" xr:uid="{00000000-0005-0000-0000-000074080000}"/>
    <cellStyle name="Comma 4 2 3 2 2 9 2" xfId="13053" xr:uid="{54C1FBDA-407C-4FC3-9B13-1DF4E6CCA18B}"/>
    <cellStyle name="Comma 4 2 3 2 3" xfId="675" xr:uid="{00000000-0005-0000-0000-000075080000}"/>
    <cellStyle name="Comma 4 2 3 2 3 2" xfId="2946" xr:uid="{00000000-0005-0000-0000-000076080000}"/>
    <cellStyle name="Comma 4 2 3 2 3 2 2" xfId="7169" xr:uid="{00000000-0005-0000-0000-000077080000}"/>
    <cellStyle name="Comma 4 2 3 2 3 2 2 2" xfId="15611" xr:uid="{07CD1687-3663-484B-B311-5320467E5BDD}"/>
    <cellStyle name="Comma 4 2 3 2 3 2 3" xfId="11393" xr:uid="{520636BD-508C-4D52-8A39-BD2065051AE5}"/>
    <cellStyle name="Comma 4 2 3 2 3 3" xfId="5024" xr:uid="{00000000-0005-0000-0000-000078080000}"/>
    <cellStyle name="Comma 4 2 3 2 3 3 2" xfId="13466" xr:uid="{8161044E-AB90-4B22-90D4-9B2032353FD2}"/>
    <cellStyle name="Comma 4 2 3 2 3 4" xfId="9248" xr:uid="{4630F556-CFE0-49E0-823D-E3691FE0456A}"/>
    <cellStyle name="Comma 4 2 3 2 4" xfId="1128" xr:uid="{00000000-0005-0000-0000-000079080000}"/>
    <cellStyle name="Comma 4 2 3 2 4 2" xfId="3359" xr:uid="{00000000-0005-0000-0000-00007A080000}"/>
    <cellStyle name="Comma 4 2 3 2 4 2 2" xfId="7582" xr:uid="{00000000-0005-0000-0000-00007B080000}"/>
    <cellStyle name="Comma 4 2 3 2 4 2 2 2" xfId="16024" xr:uid="{F80E4E50-6931-4B40-9E5F-341A23E32B12}"/>
    <cellStyle name="Comma 4 2 3 2 4 2 3" xfId="11806" xr:uid="{1EC0A66C-43F5-41BF-9459-485195D0B982}"/>
    <cellStyle name="Comma 4 2 3 2 4 3" xfId="5437" xr:uid="{00000000-0005-0000-0000-00007C080000}"/>
    <cellStyle name="Comma 4 2 3 2 4 3 2" xfId="13879" xr:uid="{222952E3-E693-435E-9FB8-881978B6040F}"/>
    <cellStyle name="Comma 4 2 3 2 4 4" xfId="9661" xr:uid="{D73B1BA9-1EB6-4457-A99C-931DA7CC0FB0}"/>
    <cellStyle name="Comma 4 2 3 2 5" xfId="1542" xr:uid="{00000000-0005-0000-0000-00007D080000}"/>
    <cellStyle name="Comma 4 2 3 2 5 2" xfId="3772" xr:uid="{00000000-0005-0000-0000-00007E080000}"/>
    <cellStyle name="Comma 4 2 3 2 5 2 2" xfId="7995" xr:uid="{00000000-0005-0000-0000-00007F080000}"/>
    <cellStyle name="Comma 4 2 3 2 5 2 2 2" xfId="16437" xr:uid="{00A90DF2-1287-498C-90D4-368164730E58}"/>
    <cellStyle name="Comma 4 2 3 2 5 2 3" xfId="12219" xr:uid="{1A80E80C-5D09-4722-9BA8-1702C40AF63B}"/>
    <cellStyle name="Comma 4 2 3 2 5 3" xfId="5850" xr:uid="{00000000-0005-0000-0000-000080080000}"/>
    <cellStyle name="Comma 4 2 3 2 5 3 2" xfId="14292" xr:uid="{B1833257-D647-4BEC-8DC0-B70B4D6AEF6B}"/>
    <cellStyle name="Comma 4 2 3 2 5 4" xfId="10074" xr:uid="{4ED7ED95-0E2D-4E0D-853E-D5081DC23DA8}"/>
    <cellStyle name="Comma 4 2 3 2 6" xfId="1956" xr:uid="{00000000-0005-0000-0000-000081080000}"/>
    <cellStyle name="Comma 4 2 3 2 6 2" xfId="4185" xr:uid="{00000000-0005-0000-0000-000082080000}"/>
    <cellStyle name="Comma 4 2 3 2 6 2 2" xfId="8408" xr:uid="{00000000-0005-0000-0000-000083080000}"/>
    <cellStyle name="Comma 4 2 3 2 6 2 2 2" xfId="16850" xr:uid="{093939EA-9CE6-463F-9959-8C26BC76340B}"/>
    <cellStyle name="Comma 4 2 3 2 6 2 3" xfId="12632" xr:uid="{F73F3EB4-CCB2-469C-8F41-1A1A212E3A84}"/>
    <cellStyle name="Comma 4 2 3 2 6 3" xfId="6263" xr:uid="{00000000-0005-0000-0000-000084080000}"/>
    <cellStyle name="Comma 4 2 3 2 6 3 2" xfId="14705" xr:uid="{8553965D-F9E2-4086-997F-9C3D99BCE31C}"/>
    <cellStyle name="Comma 4 2 3 2 6 4" xfId="10487" xr:uid="{DAF21355-1DC0-4E4E-AC95-F95546952E91}"/>
    <cellStyle name="Comma 4 2 3 2 7" xfId="2391" xr:uid="{00000000-0005-0000-0000-000085080000}"/>
    <cellStyle name="Comma 4 2 3 2 7 2" xfId="6676" xr:uid="{00000000-0005-0000-0000-000086080000}"/>
    <cellStyle name="Comma 4 2 3 2 7 2 2" xfId="15118" xr:uid="{D4FCEF85-594B-49AC-95FC-DD3D0980F9AA}"/>
    <cellStyle name="Comma 4 2 3 2 7 3" xfId="10900" xr:uid="{273A83EF-B16A-4DEA-B9EF-AD8BAE856DBA}"/>
    <cellStyle name="Comma 4 2 3 2 8" xfId="2372" xr:uid="{00000000-0005-0000-0000-000087080000}"/>
    <cellStyle name="Comma 4 2 3 2 9" xfId="2769" xr:uid="{00000000-0005-0000-0000-000088080000}"/>
    <cellStyle name="Comma 4 2 3 2 9 2" xfId="6993" xr:uid="{00000000-0005-0000-0000-000089080000}"/>
    <cellStyle name="Comma 4 2 3 2 9 2 2" xfId="15435" xr:uid="{D9797173-BDEB-401B-9C49-71FD39FAA0AE}"/>
    <cellStyle name="Comma 4 2 3 2 9 3" xfId="11217" xr:uid="{76D4FDC1-9804-4280-AF08-3D974D0E2C14}"/>
    <cellStyle name="Comma 4 2 3 3" xfId="139" xr:uid="{00000000-0005-0000-0000-00008A080000}"/>
    <cellStyle name="Comma 4 2 3 3 10" xfId="8836" xr:uid="{A7C17AD0-C5A0-4B0C-84F8-0296D86569A1}"/>
    <cellStyle name="Comma 4 2 3 3 2" xfId="677" xr:uid="{00000000-0005-0000-0000-00008B080000}"/>
    <cellStyle name="Comma 4 2 3 3 2 2" xfId="2948" xr:uid="{00000000-0005-0000-0000-00008C080000}"/>
    <cellStyle name="Comma 4 2 3 3 2 2 2" xfId="7171" xr:uid="{00000000-0005-0000-0000-00008D080000}"/>
    <cellStyle name="Comma 4 2 3 3 2 2 2 2" xfId="15613" xr:uid="{FA6FA06F-36E3-438D-8735-AF136E8EEC0F}"/>
    <cellStyle name="Comma 4 2 3 3 2 2 3" xfId="11395" xr:uid="{76C50023-F283-43CB-A395-B0A9E017F710}"/>
    <cellStyle name="Comma 4 2 3 3 2 3" xfId="5026" xr:uid="{00000000-0005-0000-0000-00008E080000}"/>
    <cellStyle name="Comma 4 2 3 3 2 3 2" xfId="13468" xr:uid="{A73971B3-7848-4B9A-B324-16A26891CDFB}"/>
    <cellStyle name="Comma 4 2 3 3 2 4" xfId="9250" xr:uid="{C1AF9162-58AD-49C6-B3DE-316E621B74AF}"/>
    <cellStyle name="Comma 4 2 3 3 3" xfId="1130" xr:uid="{00000000-0005-0000-0000-00008F080000}"/>
    <cellStyle name="Comma 4 2 3 3 3 2" xfId="3361" xr:uid="{00000000-0005-0000-0000-000090080000}"/>
    <cellStyle name="Comma 4 2 3 3 3 2 2" xfId="7584" xr:uid="{00000000-0005-0000-0000-000091080000}"/>
    <cellStyle name="Comma 4 2 3 3 3 2 2 2" xfId="16026" xr:uid="{8EB8CB4F-B126-4A2F-BF61-741EF72C3E32}"/>
    <cellStyle name="Comma 4 2 3 3 3 2 3" xfId="11808" xr:uid="{4D7DE9D3-B64B-42A1-A88D-964863263941}"/>
    <cellStyle name="Comma 4 2 3 3 3 3" xfId="5439" xr:uid="{00000000-0005-0000-0000-000092080000}"/>
    <cellStyle name="Comma 4 2 3 3 3 3 2" xfId="13881" xr:uid="{E332250B-226F-4D99-81CB-BF559E09B18C}"/>
    <cellStyle name="Comma 4 2 3 3 3 4" xfId="9663" xr:uid="{ED191B2D-1522-44C0-BE8D-B27EC52B8A63}"/>
    <cellStyle name="Comma 4 2 3 3 4" xfId="1544" xr:uid="{00000000-0005-0000-0000-000093080000}"/>
    <cellStyle name="Comma 4 2 3 3 4 2" xfId="3774" xr:uid="{00000000-0005-0000-0000-000094080000}"/>
    <cellStyle name="Comma 4 2 3 3 4 2 2" xfId="7997" xr:uid="{00000000-0005-0000-0000-000095080000}"/>
    <cellStyle name="Comma 4 2 3 3 4 2 2 2" xfId="16439" xr:uid="{07B17DCB-329D-4383-B102-D7A522BE0024}"/>
    <cellStyle name="Comma 4 2 3 3 4 2 3" xfId="12221" xr:uid="{688829C6-3927-4CF0-9314-D135CE89E5BB}"/>
    <cellStyle name="Comma 4 2 3 3 4 3" xfId="5852" xr:uid="{00000000-0005-0000-0000-000096080000}"/>
    <cellStyle name="Comma 4 2 3 3 4 3 2" xfId="14294" xr:uid="{10539D73-89A7-460C-B43E-543707D42C10}"/>
    <cellStyle name="Comma 4 2 3 3 4 4" xfId="10076" xr:uid="{E71E0836-91FF-4CD9-B684-CEC697279ACB}"/>
    <cellStyle name="Comma 4 2 3 3 5" xfId="1958" xr:uid="{00000000-0005-0000-0000-000097080000}"/>
    <cellStyle name="Comma 4 2 3 3 5 2" xfId="4187" xr:uid="{00000000-0005-0000-0000-000098080000}"/>
    <cellStyle name="Comma 4 2 3 3 5 2 2" xfId="8410" xr:uid="{00000000-0005-0000-0000-000099080000}"/>
    <cellStyle name="Comma 4 2 3 3 5 2 2 2" xfId="16852" xr:uid="{115B9A8A-DCD3-49A1-B127-5A6D51AEBE8D}"/>
    <cellStyle name="Comma 4 2 3 3 5 2 3" xfId="12634" xr:uid="{39BAFF67-2470-44FE-902F-5A89AA482B45}"/>
    <cellStyle name="Comma 4 2 3 3 5 3" xfId="6265" xr:uid="{00000000-0005-0000-0000-00009A080000}"/>
    <cellStyle name="Comma 4 2 3 3 5 3 2" xfId="14707" xr:uid="{553CE04E-179E-4D87-BBAB-1337C288633C}"/>
    <cellStyle name="Comma 4 2 3 3 5 4" xfId="10489" xr:uid="{F89E341D-F160-4469-B853-69D6D5727899}"/>
    <cellStyle name="Comma 4 2 3 3 6" xfId="2393" xr:uid="{00000000-0005-0000-0000-00009B080000}"/>
    <cellStyle name="Comma 4 2 3 3 6 2" xfId="6678" xr:uid="{00000000-0005-0000-0000-00009C080000}"/>
    <cellStyle name="Comma 4 2 3 3 6 2 2" xfId="15120" xr:uid="{74D2BC87-C062-43E8-826D-22F5E6BA6EB8}"/>
    <cellStyle name="Comma 4 2 3 3 6 3" xfId="10902" xr:uid="{CE6B6D14-E4E7-4CC1-9469-FE0488985B58}"/>
    <cellStyle name="Comma 4 2 3 3 7" xfId="2370" xr:uid="{00000000-0005-0000-0000-00009D080000}"/>
    <cellStyle name="Comma 4 2 3 3 8" xfId="2771" xr:uid="{00000000-0005-0000-0000-00009E080000}"/>
    <cellStyle name="Comma 4 2 3 3 8 2" xfId="6995" xr:uid="{00000000-0005-0000-0000-00009F080000}"/>
    <cellStyle name="Comma 4 2 3 3 8 2 2" xfId="15437" xr:uid="{B23E5AA9-13DE-4DF3-979C-007C005C2A31}"/>
    <cellStyle name="Comma 4 2 3 3 8 3" xfId="11219" xr:uid="{BE573695-0A89-4D24-9B04-EAEDCC3602C5}"/>
    <cellStyle name="Comma 4 2 3 3 9" xfId="4612" xr:uid="{00000000-0005-0000-0000-0000A0080000}"/>
    <cellStyle name="Comma 4 2 3 3 9 2" xfId="13054" xr:uid="{B30BE85C-4E93-4A94-8699-D91968BC39A6}"/>
    <cellStyle name="Comma 4 2 3 4" xfId="674" xr:uid="{00000000-0005-0000-0000-0000A1080000}"/>
    <cellStyle name="Comma 4 2 3 4 2" xfId="2945" xr:uid="{00000000-0005-0000-0000-0000A2080000}"/>
    <cellStyle name="Comma 4 2 3 4 2 2" xfId="7168" xr:uid="{00000000-0005-0000-0000-0000A3080000}"/>
    <cellStyle name="Comma 4 2 3 4 2 2 2" xfId="15610" xr:uid="{989B2910-FF62-4DF3-BCE3-D91CBC8D1F0B}"/>
    <cellStyle name="Comma 4 2 3 4 2 3" xfId="11392" xr:uid="{241D2CC1-ED55-4D00-B120-F6B5C0638DA4}"/>
    <cellStyle name="Comma 4 2 3 4 3" xfId="5023" xr:uid="{00000000-0005-0000-0000-0000A4080000}"/>
    <cellStyle name="Comma 4 2 3 4 3 2" xfId="13465" xr:uid="{BBA6D0EE-0B0C-4350-9D54-BA0814396FFC}"/>
    <cellStyle name="Comma 4 2 3 4 4" xfId="9247" xr:uid="{542719CD-9C5F-47C1-BCB9-19A19E1BE2B7}"/>
    <cellStyle name="Comma 4 2 3 5" xfId="1127" xr:uid="{00000000-0005-0000-0000-0000A5080000}"/>
    <cellStyle name="Comma 4 2 3 5 2" xfId="3358" xr:uid="{00000000-0005-0000-0000-0000A6080000}"/>
    <cellStyle name="Comma 4 2 3 5 2 2" xfId="7581" xr:uid="{00000000-0005-0000-0000-0000A7080000}"/>
    <cellStyle name="Comma 4 2 3 5 2 2 2" xfId="16023" xr:uid="{7474602E-160C-4244-852A-C8DA4E14886F}"/>
    <cellStyle name="Comma 4 2 3 5 2 3" xfId="11805" xr:uid="{4954F6D9-5C85-460F-8CDB-2DBD8DA18E3A}"/>
    <cellStyle name="Comma 4 2 3 5 3" xfId="5436" xr:uid="{00000000-0005-0000-0000-0000A8080000}"/>
    <cellStyle name="Comma 4 2 3 5 3 2" xfId="13878" xr:uid="{868B3B8B-04F5-44C7-A061-7E2A519F2EB1}"/>
    <cellStyle name="Comma 4 2 3 5 4" xfId="9660" xr:uid="{36796B7E-841E-4828-A295-244BA5B0E0BB}"/>
    <cellStyle name="Comma 4 2 3 6" xfId="1541" xr:uid="{00000000-0005-0000-0000-0000A9080000}"/>
    <cellStyle name="Comma 4 2 3 6 2" xfId="3771" xr:uid="{00000000-0005-0000-0000-0000AA080000}"/>
    <cellStyle name="Comma 4 2 3 6 2 2" xfId="7994" xr:uid="{00000000-0005-0000-0000-0000AB080000}"/>
    <cellStyle name="Comma 4 2 3 6 2 2 2" xfId="16436" xr:uid="{EED17A88-B82C-4843-B4F8-523AE217763D}"/>
    <cellStyle name="Comma 4 2 3 6 2 3" xfId="12218" xr:uid="{EFD30193-71DE-44B3-B2CA-D20344A9EBC7}"/>
    <cellStyle name="Comma 4 2 3 6 3" xfId="5849" xr:uid="{00000000-0005-0000-0000-0000AC080000}"/>
    <cellStyle name="Comma 4 2 3 6 3 2" xfId="14291" xr:uid="{72D39B59-6181-4B99-B015-CB2A1908E5AA}"/>
    <cellStyle name="Comma 4 2 3 6 4" xfId="10073" xr:uid="{CC251B1F-3CB8-4CE3-B08F-9EFFF89CA96A}"/>
    <cellStyle name="Comma 4 2 3 7" xfId="1955" xr:uid="{00000000-0005-0000-0000-0000AD080000}"/>
    <cellStyle name="Comma 4 2 3 7 2" xfId="4184" xr:uid="{00000000-0005-0000-0000-0000AE080000}"/>
    <cellStyle name="Comma 4 2 3 7 2 2" xfId="8407" xr:uid="{00000000-0005-0000-0000-0000AF080000}"/>
    <cellStyle name="Comma 4 2 3 7 2 2 2" xfId="16849" xr:uid="{6E890E47-D7B4-4FAD-A88F-DEEC5B3A2367}"/>
    <cellStyle name="Comma 4 2 3 7 2 3" xfId="12631" xr:uid="{AA75300A-C531-494F-8A75-62563703382A}"/>
    <cellStyle name="Comma 4 2 3 7 3" xfId="6262" xr:uid="{00000000-0005-0000-0000-0000B0080000}"/>
    <cellStyle name="Comma 4 2 3 7 3 2" xfId="14704" xr:uid="{FE99EE52-5A05-4CDA-B05E-89E474DAC1B9}"/>
    <cellStyle name="Comma 4 2 3 7 4" xfId="10486" xr:uid="{46C51E4A-7A14-4845-BE81-B6C84A969D01}"/>
    <cellStyle name="Comma 4 2 3 8" xfId="2390" xr:uid="{00000000-0005-0000-0000-0000B1080000}"/>
    <cellStyle name="Comma 4 2 3 8 2" xfId="6675" xr:uid="{00000000-0005-0000-0000-0000B2080000}"/>
    <cellStyle name="Comma 4 2 3 8 2 2" xfId="15117" xr:uid="{B7058D13-1689-48BB-94D8-05BE11D8AA68}"/>
    <cellStyle name="Comma 4 2 3 8 3" xfId="10899" xr:uid="{1F01CB41-7C7F-436E-8CAD-EA096AF5EA37}"/>
    <cellStyle name="Comma 4 2 3 9" xfId="2373" xr:uid="{00000000-0005-0000-0000-0000B3080000}"/>
    <cellStyle name="Comma 4 2 4" xfId="140" xr:uid="{00000000-0005-0000-0000-0000B4080000}"/>
    <cellStyle name="Comma 4 2 4 10" xfId="4613" xr:uid="{00000000-0005-0000-0000-0000B5080000}"/>
    <cellStyle name="Comma 4 2 4 10 2" xfId="13055" xr:uid="{6F89EA3E-75D3-4882-9A92-30275069696E}"/>
    <cellStyle name="Comma 4 2 4 11" xfId="8837" xr:uid="{0435CAD6-30F3-47A3-B731-CE21638167F0}"/>
    <cellStyle name="Comma 4 2 4 2" xfId="141" xr:uid="{00000000-0005-0000-0000-0000B6080000}"/>
    <cellStyle name="Comma 4 2 4 2 10" xfId="8838" xr:uid="{F9E23157-B687-4F1D-95CB-E3FC1CC64971}"/>
    <cellStyle name="Comma 4 2 4 2 2" xfId="679" xr:uid="{00000000-0005-0000-0000-0000B7080000}"/>
    <cellStyle name="Comma 4 2 4 2 2 2" xfId="2950" xr:uid="{00000000-0005-0000-0000-0000B8080000}"/>
    <cellStyle name="Comma 4 2 4 2 2 2 2" xfId="7173" xr:uid="{00000000-0005-0000-0000-0000B9080000}"/>
    <cellStyle name="Comma 4 2 4 2 2 2 2 2" xfId="15615" xr:uid="{1050CD6B-95F8-4A3F-A052-4887A9B2A6C6}"/>
    <cellStyle name="Comma 4 2 4 2 2 2 3" xfId="11397" xr:uid="{4ACD50D5-70AF-4745-9699-C161CD199556}"/>
    <cellStyle name="Comma 4 2 4 2 2 3" xfId="5028" xr:uid="{00000000-0005-0000-0000-0000BA080000}"/>
    <cellStyle name="Comma 4 2 4 2 2 3 2" xfId="13470" xr:uid="{CD0B4FB4-7B0C-43EA-9676-79860840EC71}"/>
    <cellStyle name="Comma 4 2 4 2 2 4" xfId="9252" xr:uid="{D2251461-88B6-46BF-8261-F87710CA7E1A}"/>
    <cellStyle name="Comma 4 2 4 2 3" xfId="1132" xr:uid="{00000000-0005-0000-0000-0000BB080000}"/>
    <cellStyle name="Comma 4 2 4 2 3 2" xfId="3363" xr:uid="{00000000-0005-0000-0000-0000BC080000}"/>
    <cellStyle name="Comma 4 2 4 2 3 2 2" xfId="7586" xr:uid="{00000000-0005-0000-0000-0000BD080000}"/>
    <cellStyle name="Comma 4 2 4 2 3 2 2 2" xfId="16028" xr:uid="{44B72C86-5BEB-49CD-9243-14D75331DBAB}"/>
    <cellStyle name="Comma 4 2 4 2 3 2 3" xfId="11810" xr:uid="{F4B7496C-DDB3-42E8-9C5E-9B5105526B91}"/>
    <cellStyle name="Comma 4 2 4 2 3 3" xfId="5441" xr:uid="{00000000-0005-0000-0000-0000BE080000}"/>
    <cellStyle name="Comma 4 2 4 2 3 3 2" xfId="13883" xr:uid="{D6237CA9-E911-4FA3-8C37-F01545CBFF90}"/>
    <cellStyle name="Comma 4 2 4 2 3 4" xfId="9665" xr:uid="{F1158563-F746-474A-84EC-1CB4D3915CB1}"/>
    <cellStyle name="Comma 4 2 4 2 4" xfId="1546" xr:uid="{00000000-0005-0000-0000-0000BF080000}"/>
    <cellStyle name="Comma 4 2 4 2 4 2" xfId="3776" xr:uid="{00000000-0005-0000-0000-0000C0080000}"/>
    <cellStyle name="Comma 4 2 4 2 4 2 2" xfId="7999" xr:uid="{00000000-0005-0000-0000-0000C1080000}"/>
    <cellStyle name="Comma 4 2 4 2 4 2 2 2" xfId="16441" xr:uid="{3A7DEFF7-DDF8-4A4E-893C-4B16F36770AA}"/>
    <cellStyle name="Comma 4 2 4 2 4 2 3" xfId="12223" xr:uid="{675CF57B-D394-4658-803C-1274046826E6}"/>
    <cellStyle name="Comma 4 2 4 2 4 3" xfId="5854" xr:uid="{00000000-0005-0000-0000-0000C2080000}"/>
    <cellStyle name="Comma 4 2 4 2 4 3 2" xfId="14296" xr:uid="{45A4B7E8-965B-4D4E-84BB-478FFD8D747E}"/>
    <cellStyle name="Comma 4 2 4 2 4 4" xfId="10078" xr:uid="{2193C05A-B7F1-462F-B6B3-421C05362042}"/>
    <cellStyle name="Comma 4 2 4 2 5" xfId="1960" xr:uid="{00000000-0005-0000-0000-0000C3080000}"/>
    <cellStyle name="Comma 4 2 4 2 5 2" xfId="4189" xr:uid="{00000000-0005-0000-0000-0000C4080000}"/>
    <cellStyle name="Comma 4 2 4 2 5 2 2" xfId="8412" xr:uid="{00000000-0005-0000-0000-0000C5080000}"/>
    <cellStyle name="Comma 4 2 4 2 5 2 2 2" xfId="16854" xr:uid="{EE81A9DE-2ACE-407E-A234-B3C4F0129669}"/>
    <cellStyle name="Comma 4 2 4 2 5 2 3" xfId="12636" xr:uid="{273F0A38-DB5D-497B-9544-C764DE8E57F1}"/>
    <cellStyle name="Comma 4 2 4 2 5 3" xfId="6267" xr:uid="{00000000-0005-0000-0000-0000C6080000}"/>
    <cellStyle name="Comma 4 2 4 2 5 3 2" xfId="14709" xr:uid="{732401C8-B8BA-483F-8E63-B7BD555CB252}"/>
    <cellStyle name="Comma 4 2 4 2 5 4" xfId="10491" xr:uid="{F1608C0C-0FA2-44AD-9529-2CC9320C7DCA}"/>
    <cellStyle name="Comma 4 2 4 2 6" xfId="2395" xr:uid="{00000000-0005-0000-0000-0000C7080000}"/>
    <cellStyle name="Comma 4 2 4 2 6 2" xfId="6680" xr:uid="{00000000-0005-0000-0000-0000C8080000}"/>
    <cellStyle name="Comma 4 2 4 2 6 2 2" xfId="15122" xr:uid="{CB61BE62-5371-459B-ADD9-9EFFD8AA3EFA}"/>
    <cellStyle name="Comma 4 2 4 2 6 3" xfId="10904" xr:uid="{10D6A616-2A75-46C5-A833-2260B063A967}"/>
    <cellStyle name="Comma 4 2 4 2 7" xfId="2368" xr:uid="{00000000-0005-0000-0000-0000C9080000}"/>
    <cellStyle name="Comma 4 2 4 2 8" xfId="2773" xr:uid="{00000000-0005-0000-0000-0000CA080000}"/>
    <cellStyle name="Comma 4 2 4 2 8 2" xfId="6997" xr:uid="{00000000-0005-0000-0000-0000CB080000}"/>
    <cellStyle name="Comma 4 2 4 2 8 2 2" xfId="15439" xr:uid="{FEA4E6F8-8393-4B0F-AD5A-EF12D48013D9}"/>
    <cellStyle name="Comma 4 2 4 2 8 3" xfId="11221" xr:uid="{F14F70B2-6A7C-445B-A6B4-2892E4FF7C96}"/>
    <cellStyle name="Comma 4 2 4 2 9" xfId="4614" xr:uid="{00000000-0005-0000-0000-0000CC080000}"/>
    <cellStyle name="Comma 4 2 4 2 9 2" xfId="13056" xr:uid="{06684C10-CE03-4EAC-88F8-3D5A89E59EC6}"/>
    <cellStyle name="Comma 4 2 4 3" xfId="678" xr:uid="{00000000-0005-0000-0000-0000CD080000}"/>
    <cellStyle name="Comma 4 2 4 3 2" xfId="2949" xr:uid="{00000000-0005-0000-0000-0000CE080000}"/>
    <cellStyle name="Comma 4 2 4 3 2 2" xfId="7172" xr:uid="{00000000-0005-0000-0000-0000CF080000}"/>
    <cellStyle name="Comma 4 2 4 3 2 2 2" xfId="15614" xr:uid="{D0F71E0B-A183-4FF7-9192-7D64BC1C0DC3}"/>
    <cellStyle name="Comma 4 2 4 3 2 3" xfId="11396" xr:uid="{2FD0F114-9FAD-47F6-81DC-41A3A6590409}"/>
    <cellStyle name="Comma 4 2 4 3 3" xfId="5027" xr:uid="{00000000-0005-0000-0000-0000D0080000}"/>
    <cellStyle name="Comma 4 2 4 3 3 2" xfId="13469" xr:uid="{652A9FF7-9A85-47A0-8FC4-CE81AF66DC93}"/>
    <cellStyle name="Comma 4 2 4 3 4" xfId="9251" xr:uid="{3CDFDF05-0ECE-41CE-9D7F-F51566B91569}"/>
    <cellStyle name="Comma 4 2 4 4" xfId="1131" xr:uid="{00000000-0005-0000-0000-0000D1080000}"/>
    <cellStyle name="Comma 4 2 4 4 2" xfId="3362" xr:uid="{00000000-0005-0000-0000-0000D2080000}"/>
    <cellStyle name="Comma 4 2 4 4 2 2" xfId="7585" xr:uid="{00000000-0005-0000-0000-0000D3080000}"/>
    <cellStyle name="Comma 4 2 4 4 2 2 2" xfId="16027" xr:uid="{6DE3CCC6-2239-4A54-9A48-77633FC02D89}"/>
    <cellStyle name="Comma 4 2 4 4 2 3" xfId="11809" xr:uid="{1D11D4B1-8E28-4794-9B84-7CEEE55EA269}"/>
    <cellStyle name="Comma 4 2 4 4 3" xfId="5440" xr:uid="{00000000-0005-0000-0000-0000D4080000}"/>
    <cellStyle name="Comma 4 2 4 4 3 2" xfId="13882" xr:uid="{3D14F1F4-18B6-4E38-A02F-37C45D9FDC69}"/>
    <cellStyle name="Comma 4 2 4 4 4" xfId="9664" xr:uid="{087AB141-F206-47E7-87F2-D89D88A23FA3}"/>
    <cellStyle name="Comma 4 2 4 5" xfId="1545" xr:uid="{00000000-0005-0000-0000-0000D5080000}"/>
    <cellStyle name="Comma 4 2 4 5 2" xfId="3775" xr:uid="{00000000-0005-0000-0000-0000D6080000}"/>
    <cellStyle name="Comma 4 2 4 5 2 2" xfId="7998" xr:uid="{00000000-0005-0000-0000-0000D7080000}"/>
    <cellStyle name="Comma 4 2 4 5 2 2 2" xfId="16440" xr:uid="{E0448038-2511-4E4F-BE03-1A61161ED0E4}"/>
    <cellStyle name="Comma 4 2 4 5 2 3" xfId="12222" xr:uid="{F4E2C70C-DB00-45B8-B7C9-754A251D90BC}"/>
    <cellStyle name="Comma 4 2 4 5 3" xfId="5853" xr:uid="{00000000-0005-0000-0000-0000D8080000}"/>
    <cellStyle name="Comma 4 2 4 5 3 2" xfId="14295" xr:uid="{73DBA48C-FA0B-4792-8DF8-3AD743FE2E7F}"/>
    <cellStyle name="Comma 4 2 4 5 4" xfId="10077" xr:uid="{3A6C9083-A14E-4062-9807-2C2A74D6DAD3}"/>
    <cellStyle name="Comma 4 2 4 6" xfId="1959" xr:uid="{00000000-0005-0000-0000-0000D9080000}"/>
    <cellStyle name="Comma 4 2 4 6 2" xfId="4188" xr:uid="{00000000-0005-0000-0000-0000DA080000}"/>
    <cellStyle name="Comma 4 2 4 6 2 2" xfId="8411" xr:uid="{00000000-0005-0000-0000-0000DB080000}"/>
    <cellStyle name="Comma 4 2 4 6 2 2 2" xfId="16853" xr:uid="{01824F4A-F317-4924-B471-5A4B8C7534BC}"/>
    <cellStyle name="Comma 4 2 4 6 2 3" xfId="12635" xr:uid="{85817EE8-C93F-4C73-93E1-8B8835E96E37}"/>
    <cellStyle name="Comma 4 2 4 6 3" xfId="6266" xr:uid="{00000000-0005-0000-0000-0000DC080000}"/>
    <cellStyle name="Comma 4 2 4 6 3 2" xfId="14708" xr:uid="{5B1731F7-96DA-4D0F-99B3-5F26936B8ED0}"/>
    <cellStyle name="Comma 4 2 4 6 4" xfId="10490" xr:uid="{0DF37C7E-34FD-422C-AE18-4610C6E43C85}"/>
    <cellStyle name="Comma 4 2 4 7" xfId="2394" xr:uid="{00000000-0005-0000-0000-0000DD080000}"/>
    <cellStyle name="Comma 4 2 4 7 2" xfId="6679" xr:uid="{00000000-0005-0000-0000-0000DE080000}"/>
    <cellStyle name="Comma 4 2 4 7 2 2" xfId="15121" xr:uid="{43D4A389-DACA-4406-819D-129DFCB550ED}"/>
    <cellStyle name="Comma 4 2 4 7 3" xfId="10903" xr:uid="{786A98BA-8C22-4D8F-B8F6-7B7D4F9B0A9F}"/>
    <cellStyle name="Comma 4 2 4 8" xfId="2369" xr:uid="{00000000-0005-0000-0000-0000DF080000}"/>
    <cellStyle name="Comma 4 2 4 9" xfId="2772" xr:uid="{00000000-0005-0000-0000-0000E0080000}"/>
    <cellStyle name="Comma 4 2 4 9 2" xfId="6996" xr:uid="{00000000-0005-0000-0000-0000E1080000}"/>
    <cellStyle name="Comma 4 2 4 9 2 2" xfId="15438" xr:uid="{690E612E-EDBE-46E6-A5E9-7B92139600E8}"/>
    <cellStyle name="Comma 4 2 4 9 3" xfId="11220" xr:uid="{6207AD08-8503-49F9-9C18-DB66198214AF}"/>
    <cellStyle name="Comma 4 2 5" xfId="142" xr:uid="{00000000-0005-0000-0000-0000E2080000}"/>
    <cellStyle name="Comma 4 2 5 10" xfId="8839" xr:uid="{925557DF-EF4D-47CC-AA56-B7AB033EED96}"/>
    <cellStyle name="Comma 4 2 5 2" xfId="680" xr:uid="{00000000-0005-0000-0000-0000E3080000}"/>
    <cellStyle name="Comma 4 2 5 2 2" xfId="2951" xr:uid="{00000000-0005-0000-0000-0000E4080000}"/>
    <cellStyle name="Comma 4 2 5 2 2 2" xfId="7174" xr:uid="{00000000-0005-0000-0000-0000E5080000}"/>
    <cellStyle name="Comma 4 2 5 2 2 2 2" xfId="15616" xr:uid="{1DA2FAB4-B9EC-486D-B5F3-665FFD8EF3D2}"/>
    <cellStyle name="Comma 4 2 5 2 2 3" xfId="11398" xr:uid="{2A59AE5E-C8BB-4920-92D2-B620D7673066}"/>
    <cellStyle name="Comma 4 2 5 2 3" xfId="5029" xr:uid="{00000000-0005-0000-0000-0000E6080000}"/>
    <cellStyle name="Comma 4 2 5 2 3 2" xfId="13471" xr:uid="{35A53106-C004-4086-90B1-0488E4043EC5}"/>
    <cellStyle name="Comma 4 2 5 2 4" xfId="9253" xr:uid="{71CBF417-5F7F-4C80-A592-DFD7B1C600AD}"/>
    <cellStyle name="Comma 4 2 5 3" xfId="1133" xr:uid="{00000000-0005-0000-0000-0000E7080000}"/>
    <cellStyle name="Comma 4 2 5 3 2" xfId="3364" xr:uid="{00000000-0005-0000-0000-0000E8080000}"/>
    <cellStyle name="Comma 4 2 5 3 2 2" xfId="7587" xr:uid="{00000000-0005-0000-0000-0000E9080000}"/>
    <cellStyle name="Comma 4 2 5 3 2 2 2" xfId="16029" xr:uid="{E5053F70-9C01-49BA-9FB1-DC557DE34549}"/>
    <cellStyle name="Comma 4 2 5 3 2 3" xfId="11811" xr:uid="{BB30AF73-6BB4-49C2-9409-33AF69FB9BF1}"/>
    <cellStyle name="Comma 4 2 5 3 3" xfId="5442" xr:uid="{00000000-0005-0000-0000-0000EA080000}"/>
    <cellStyle name="Comma 4 2 5 3 3 2" xfId="13884" xr:uid="{F138F32C-89DD-43C1-A120-9F107139A4A4}"/>
    <cellStyle name="Comma 4 2 5 3 4" xfId="9666" xr:uid="{095657F4-D908-4CFE-B5AF-78DD9747D390}"/>
    <cellStyle name="Comma 4 2 5 4" xfId="1547" xr:uid="{00000000-0005-0000-0000-0000EB080000}"/>
    <cellStyle name="Comma 4 2 5 4 2" xfId="3777" xr:uid="{00000000-0005-0000-0000-0000EC080000}"/>
    <cellStyle name="Comma 4 2 5 4 2 2" xfId="8000" xr:uid="{00000000-0005-0000-0000-0000ED080000}"/>
    <cellStyle name="Comma 4 2 5 4 2 2 2" xfId="16442" xr:uid="{7496402B-41E6-4A54-AE36-A8810486AAE2}"/>
    <cellStyle name="Comma 4 2 5 4 2 3" xfId="12224" xr:uid="{FBA8E306-9A47-49D4-AA7F-1E404EDF7FCE}"/>
    <cellStyle name="Comma 4 2 5 4 3" xfId="5855" xr:uid="{00000000-0005-0000-0000-0000EE080000}"/>
    <cellStyle name="Comma 4 2 5 4 3 2" xfId="14297" xr:uid="{22E8F63B-20BF-4BF7-9649-00A18591F4A3}"/>
    <cellStyle name="Comma 4 2 5 4 4" xfId="10079" xr:uid="{5125E79C-76EF-412D-8160-DE95F5B000AB}"/>
    <cellStyle name="Comma 4 2 5 5" xfId="1961" xr:uid="{00000000-0005-0000-0000-0000EF080000}"/>
    <cellStyle name="Comma 4 2 5 5 2" xfId="4190" xr:uid="{00000000-0005-0000-0000-0000F0080000}"/>
    <cellStyle name="Comma 4 2 5 5 2 2" xfId="8413" xr:uid="{00000000-0005-0000-0000-0000F1080000}"/>
    <cellStyle name="Comma 4 2 5 5 2 2 2" xfId="16855" xr:uid="{71834D4B-83C8-4AE9-9CD9-0D70C0043B06}"/>
    <cellStyle name="Comma 4 2 5 5 2 3" xfId="12637" xr:uid="{FB5F1F8B-0A89-41BC-B507-758CF10BB0D8}"/>
    <cellStyle name="Comma 4 2 5 5 3" xfId="6268" xr:uid="{00000000-0005-0000-0000-0000F2080000}"/>
    <cellStyle name="Comma 4 2 5 5 3 2" xfId="14710" xr:uid="{DDB1F2C9-B426-49CE-8F71-881747D160F6}"/>
    <cellStyle name="Comma 4 2 5 5 4" xfId="10492" xr:uid="{19AAF173-84F0-433C-984C-B5370FA90545}"/>
    <cellStyle name="Comma 4 2 5 6" xfId="2396" xr:uid="{00000000-0005-0000-0000-0000F3080000}"/>
    <cellStyle name="Comma 4 2 5 6 2" xfId="6681" xr:uid="{00000000-0005-0000-0000-0000F4080000}"/>
    <cellStyle name="Comma 4 2 5 6 2 2" xfId="15123" xr:uid="{5F9E33C4-B715-4541-A9F1-2B466B04FF2C}"/>
    <cellStyle name="Comma 4 2 5 6 3" xfId="10905" xr:uid="{BB310D7D-DAC5-460E-994F-B000D50A0B7E}"/>
    <cellStyle name="Comma 4 2 5 7" xfId="2367" xr:uid="{00000000-0005-0000-0000-0000F5080000}"/>
    <cellStyle name="Comma 4 2 5 8" xfId="2774" xr:uid="{00000000-0005-0000-0000-0000F6080000}"/>
    <cellStyle name="Comma 4 2 5 8 2" xfId="6998" xr:uid="{00000000-0005-0000-0000-0000F7080000}"/>
    <cellStyle name="Comma 4 2 5 8 2 2" xfId="15440" xr:uid="{07E0AEFD-DF10-40F2-984A-CF4B0ACA29F1}"/>
    <cellStyle name="Comma 4 2 5 8 3" xfId="11222" xr:uid="{512C0FAB-565D-420C-83B1-FAEFD84E6483}"/>
    <cellStyle name="Comma 4 2 5 9" xfId="4615" xr:uid="{00000000-0005-0000-0000-0000F8080000}"/>
    <cellStyle name="Comma 4 2 5 9 2" xfId="13057" xr:uid="{B5F9E610-308C-4EA2-9050-4C284763EF74}"/>
    <cellStyle name="Comma 4 2 6" xfId="143" xr:uid="{00000000-0005-0000-0000-0000F9080000}"/>
    <cellStyle name="Comma 4 2 6 10" xfId="8840" xr:uid="{FB9C8516-E766-49AA-9239-96DA87C445B2}"/>
    <cellStyle name="Comma 4 2 6 2" xfId="681" xr:uid="{00000000-0005-0000-0000-0000FA080000}"/>
    <cellStyle name="Comma 4 2 6 2 2" xfId="2952" xr:uid="{00000000-0005-0000-0000-0000FB080000}"/>
    <cellStyle name="Comma 4 2 6 2 2 2" xfId="7175" xr:uid="{00000000-0005-0000-0000-0000FC080000}"/>
    <cellStyle name="Comma 4 2 6 2 2 2 2" xfId="15617" xr:uid="{0FD2ED0D-FE6A-4DDB-9B6C-F577BDE85EDD}"/>
    <cellStyle name="Comma 4 2 6 2 2 3" xfId="11399" xr:uid="{B4327397-961C-460A-81F1-32DBD73C1DC7}"/>
    <cellStyle name="Comma 4 2 6 2 3" xfId="5030" xr:uid="{00000000-0005-0000-0000-0000FD080000}"/>
    <cellStyle name="Comma 4 2 6 2 3 2" xfId="13472" xr:uid="{B74E7323-0FFA-4877-903B-AA853B86E0BE}"/>
    <cellStyle name="Comma 4 2 6 2 4" xfId="9254" xr:uid="{3D85A27F-D901-4392-B77F-9072E7042400}"/>
    <cellStyle name="Comma 4 2 6 3" xfId="1134" xr:uid="{00000000-0005-0000-0000-0000FE080000}"/>
    <cellStyle name="Comma 4 2 6 3 2" xfId="3365" xr:uid="{00000000-0005-0000-0000-0000FF080000}"/>
    <cellStyle name="Comma 4 2 6 3 2 2" xfId="7588" xr:uid="{00000000-0005-0000-0000-000000090000}"/>
    <cellStyle name="Comma 4 2 6 3 2 2 2" xfId="16030" xr:uid="{DB1791FE-DE9A-47C7-9F0D-5012027F588C}"/>
    <cellStyle name="Comma 4 2 6 3 2 3" xfId="11812" xr:uid="{4FCD4824-476C-4368-9949-FDA4FCE7E7E6}"/>
    <cellStyle name="Comma 4 2 6 3 3" xfId="5443" xr:uid="{00000000-0005-0000-0000-000001090000}"/>
    <cellStyle name="Comma 4 2 6 3 3 2" xfId="13885" xr:uid="{9BEC7086-728B-473B-96C8-A022F238BC81}"/>
    <cellStyle name="Comma 4 2 6 3 4" xfId="9667" xr:uid="{B5151F87-F13A-4B8C-9683-AA42605B4D23}"/>
    <cellStyle name="Comma 4 2 6 4" xfId="1548" xr:uid="{00000000-0005-0000-0000-000002090000}"/>
    <cellStyle name="Comma 4 2 6 4 2" xfId="3778" xr:uid="{00000000-0005-0000-0000-000003090000}"/>
    <cellStyle name="Comma 4 2 6 4 2 2" xfId="8001" xr:uid="{00000000-0005-0000-0000-000004090000}"/>
    <cellStyle name="Comma 4 2 6 4 2 2 2" xfId="16443" xr:uid="{6F9643F3-EE1D-4F6D-9338-7214AA5F1B27}"/>
    <cellStyle name="Comma 4 2 6 4 2 3" xfId="12225" xr:uid="{DD2F7081-7B19-44E9-A0E6-E9AAA83342E3}"/>
    <cellStyle name="Comma 4 2 6 4 3" xfId="5856" xr:uid="{00000000-0005-0000-0000-000005090000}"/>
    <cellStyle name="Comma 4 2 6 4 3 2" xfId="14298" xr:uid="{F911CB19-CA49-403F-8476-022C91BC80D2}"/>
    <cellStyle name="Comma 4 2 6 4 4" xfId="10080" xr:uid="{82FDA2C5-8220-4332-BCE5-F0555AC13039}"/>
    <cellStyle name="Comma 4 2 6 5" xfId="1962" xr:uid="{00000000-0005-0000-0000-000006090000}"/>
    <cellStyle name="Comma 4 2 6 5 2" xfId="4191" xr:uid="{00000000-0005-0000-0000-000007090000}"/>
    <cellStyle name="Comma 4 2 6 5 2 2" xfId="8414" xr:uid="{00000000-0005-0000-0000-000008090000}"/>
    <cellStyle name="Comma 4 2 6 5 2 2 2" xfId="16856" xr:uid="{2F4EE243-B030-4DED-BBDE-7D1846198196}"/>
    <cellStyle name="Comma 4 2 6 5 2 3" xfId="12638" xr:uid="{1D67B79F-309F-4CB0-A3B8-1DEE24B574E3}"/>
    <cellStyle name="Comma 4 2 6 5 3" xfId="6269" xr:uid="{00000000-0005-0000-0000-000009090000}"/>
    <cellStyle name="Comma 4 2 6 5 3 2" xfId="14711" xr:uid="{2E859434-2A91-4C52-BA85-C3F80F7C1ADE}"/>
    <cellStyle name="Comma 4 2 6 5 4" xfId="10493" xr:uid="{D537A01E-9DFE-48AA-92D7-A51E7FE106A0}"/>
    <cellStyle name="Comma 4 2 6 6" xfId="2397" xr:uid="{00000000-0005-0000-0000-00000A090000}"/>
    <cellStyle name="Comma 4 2 6 6 2" xfId="6682" xr:uid="{00000000-0005-0000-0000-00000B090000}"/>
    <cellStyle name="Comma 4 2 6 6 2 2" xfId="15124" xr:uid="{36B15010-EC2C-4190-98C7-FAB507234A89}"/>
    <cellStyle name="Comma 4 2 6 6 3" xfId="10906" xr:uid="{09897304-2963-4EDC-AE21-9C37CF3350B4}"/>
    <cellStyle name="Comma 4 2 6 7" xfId="2366" xr:uid="{00000000-0005-0000-0000-00000C090000}"/>
    <cellStyle name="Comma 4 2 6 8" xfId="2775" xr:uid="{00000000-0005-0000-0000-00000D090000}"/>
    <cellStyle name="Comma 4 2 6 8 2" xfId="6999" xr:uid="{00000000-0005-0000-0000-00000E090000}"/>
    <cellStyle name="Comma 4 2 6 8 2 2" xfId="15441" xr:uid="{F8B1773E-54C2-4D9E-A643-BC1E21185C49}"/>
    <cellStyle name="Comma 4 2 6 8 3" xfId="11223" xr:uid="{CE38BDE4-77AF-44C4-84C0-B44C156EC155}"/>
    <cellStyle name="Comma 4 2 6 9" xfId="4616" xr:uid="{00000000-0005-0000-0000-00000F090000}"/>
    <cellStyle name="Comma 4 2 6 9 2" xfId="13058" xr:uid="{CFE3D1D7-1965-4547-8FCA-1960D50EA8A6}"/>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0 2 2" xfId="15442" xr:uid="{068BE98A-F5CA-4BD2-BB31-E9C9391F6486}"/>
    <cellStyle name="Comma 4 3 2 10 3" xfId="11224" xr:uid="{3CCA9E35-2C24-4A3D-8E62-77DEC35410DE}"/>
    <cellStyle name="Comma 4 3 2 11" xfId="4617" xr:uid="{00000000-0005-0000-0000-000014090000}"/>
    <cellStyle name="Comma 4 3 2 11 2" xfId="13059" xr:uid="{442546A0-C7F2-4111-959A-EB2AF21D958F}"/>
    <cellStyle name="Comma 4 3 2 12" xfId="8841" xr:uid="{39601CBE-ED00-401C-B951-A702FFE5BB85}"/>
    <cellStyle name="Comma 4 3 2 2" xfId="146" xr:uid="{00000000-0005-0000-0000-000015090000}"/>
    <cellStyle name="Comma 4 3 2 2 10" xfId="4618" xr:uid="{00000000-0005-0000-0000-000016090000}"/>
    <cellStyle name="Comma 4 3 2 2 10 2" xfId="13060" xr:uid="{3163E292-0E10-4EC8-B002-B348ED6413EA}"/>
    <cellStyle name="Comma 4 3 2 2 11" xfId="8842" xr:uid="{80377DA6-6258-4F1E-8A10-C9E4D79F933F}"/>
    <cellStyle name="Comma 4 3 2 2 2" xfId="147" xr:uid="{00000000-0005-0000-0000-000017090000}"/>
    <cellStyle name="Comma 4 3 2 2 2 10" xfId="8843" xr:uid="{56CC3416-A034-4175-B1E5-ACE5BE2EB449}"/>
    <cellStyle name="Comma 4 3 2 2 2 2" xfId="684" xr:uid="{00000000-0005-0000-0000-000018090000}"/>
    <cellStyle name="Comma 4 3 2 2 2 2 2" xfId="2955" xr:uid="{00000000-0005-0000-0000-000019090000}"/>
    <cellStyle name="Comma 4 3 2 2 2 2 2 2" xfId="7178" xr:uid="{00000000-0005-0000-0000-00001A090000}"/>
    <cellStyle name="Comma 4 3 2 2 2 2 2 2 2" xfId="15620" xr:uid="{FD01B3A8-CAA7-430A-9DBE-F96E3F0259F9}"/>
    <cellStyle name="Comma 4 3 2 2 2 2 2 3" xfId="11402" xr:uid="{ED211EC9-80D7-4521-ADCB-A08C021F9C99}"/>
    <cellStyle name="Comma 4 3 2 2 2 2 3" xfId="5033" xr:uid="{00000000-0005-0000-0000-00001B090000}"/>
    <cellStyle name="Comma 4 3 2 2 2 2 3 2" xfId="13475" xr:uid="{008E43C1-7C91-4351-B603-ED3D9C1C44BE}"/>
    <cellStyle name="Comma 4 3 2 2 2 2 4" xfId="9257" xr:uid="{951CCFC8-5365-4EB8-8CBE-8DB2DCE96746}"/>
    <cellStyle name="Comma 4 3 2 2 2 3" xfId="1137" xr:uid="{00000000-0005-0000-0000-00001C090000}"/>
    <cellStyle name="Comma 4 3 2 2 2 3 2" xfId="3368" xr:uid="{00000000-0005-0000-0000-00001D090000}"/>
    <cellStyle name="Comma 4 3 2 2 2 3 2 2" xfId="7591" xr:uid="{00000000-0005-0000-0000-00001E090000}"/>
    <cellStyle name="Comma 4 3 2 2 2 3 2 2 2" xfId="16033" xr:uid="{3BFB87DC-DB38-45AA-96D6-3EFB837C177F}"/>
    <cellStyle name="Comma 4 3 2 2 2 3 2 3" xfId="11815" xr:uid="{626CCBA0-A2AB-4551-A2BE-96B490C0D82F}"/>
    <cellStyle name="Comma 4 3 2 2 2 3 3" xfId="5446" xr:uid="{00000000-0005-0000-0000-00001F090000}"/>
    <cellStyle name="Comma 4 3 2 2 2 3 3 2" xfId="13888" xr:uid="{71F220C0-419D-4238-98B8-C764B3B75252}"/>
    <cellStyle name="Comma 4 3 2 2 2 3 4" xfId="9670" xr:uid="{F34D142F-9F6D-4F8A-8DDF-422DE751A74F}"/>
    <cellStyle name="Comma 4 3 2 2 2 4" xfId="1551" xr:uid="{00000000-0005-0000-0000-000020090000}"/>
    <cellStyle name="Comma 4 3 2 2 2 4 2" xfId="3781" xr:uid="{00000000-0005-0000-0000-000021090000}"/>
    <cellStyle name="Comma 4 3 2 2 2 4 2 2" xfId="8004" xr:uid="{00000000-0005-0000-0000-000022090000}"/>
    <cellStyle name="Comma 4 3 2 2 2 4 2 2 2" xfId="16446" xr:uid="{EBB83112-77A7-484F-BC72-A1632461399B}"/>
    <cellStyle name="Comma 4 3 2 2 2 4 2 3" xfId="12228" xr:uid="{80828E28-F3EB-4EEE-84F0-08AAF5EC17AC}"/>
    <cellStyle name="Comma 4 3 2 2 2 4 3" xfId="5859" xr:uid="{00000000-0005-0000-0000-000023090000}"/>
    <cellStyle name="Comma 4 3 2 2 2 4 3 2" xfId="14301" xr:uid="{87777488-DFAE-4838-BFCA-3EC08D150873}"/>
    <cellStyle name="Comma 4 3 2 2 2 4 4" xfId="10083" xr:uid="{206FE3A9-751E-4675-97C6-6CA057D8F7F5}"/>
    <cellStyle name="Comma 4 3 2 2 2 5" xfId="1965" xr:uid="{00000000-0005-0000-0000-000024090000}"/>
    <cellStyle name="Comma 4 3 2 2 2 5 2" xfId="4194" xr:uid="{00000000-0005-0000-0000-000025090000}"/>
    <cellStyle name="Comma 4 3 2 2 2 5 2 2" xfId="8417" xr:uid="{00000000-0005-0000-0000-000026090000}"/>
    <cellStyle name="Comma 4 3 2 2 2 5 2 2 2" xfId="16859" xr:uid="{A396F9D4-8E3C-4F8C-AFFF-909490426C05}"/>
    <cellStyle name="Comma 4 3 2 2 2 5 2 3" xfId="12641" xr:uid="{76788B99-86B4-4046-87BF-303952A57F4C}"/>
    <cellStyle name="Comma 4 3 2 2 2 5 3" xfId="6272" xr:uid="{00000000-0005-0000-0000-000027090000}"/>
    <cellStyle name="Comma 4 3 2 2 2 5 3 2" xfId="14714" xr:uid="{65BA2BB3-31E7-4250-925E-0D8EE7624DCA}"/>
    <cellStyle name="Comma 4 3 2 2 2 5 4" xfId="10496" xr:uid="{6B50ECCA-4BF5-44EB-BCD4-9EB49B4BF672}"/>
    <cellStyle name="Comma 4 3 2 2 2 6" xfId="2400" xr:uid="{00000000-0005-0000-0000-000028090000}"/>
    <cellStyle name="Comma 4 3 2 2 2 6 2" xfId="6685" xr:uid="{00000000-0005-0000-0000-000029090000}"/>
    <cellStyle name="Comma 4 3 2 2 2 6 2 2" xfId="15127" xr:uid="{13A2C8E4-E768-42DE-AD24-0493142B6315}"/>
    <cellStyle name="Comma 4 3 2 2 2 6 3" xfId="10909" xr:uid="{54DF6F94-ADAB-46FC-A35F-FCADD8F33DEB}"/>
    <cellStyle name="Comma 4 3 2 2 2 7" xfId="2363" xr:uid="{00000000-0005-0000-0000-00002A090000}"/>
    <cellStyle name="Comma 4 3 2 2 2 8" xfId="2778" xr:uid="{00000000-0005-0000-0000-00002B090000}"/>
    <cellStyle name="Comma 4 3 2 2 2 8 2" xfId="7002" xr:uid="{00000000-0005-0000-0000-00002C090000}"/>
    <cellStyle name="Comma 4 3 2 2 2 8 2 2" xfId="15444" xr:uid="{8DA4BEF4-F8C0-4335-9185-C20A7CEFE6CF}"/>
    <cellStyle name="Comma 4 3 2 2 2 8 3" xfId="11226" xr:uid="{87782E86-ACBB-4993-973A-9C121E08EEE4}"/>
    <cellStyle name="Comma 4 3 2 2 2 9" xfId="4619" xr:uid="{00000000-0005-0000-0000-00002D090000}"/>
    <cellStyle name="Comma 4 3 2 2 2 9 2" xfId="13061" xr:uid="{03CA6119-CE7F-4ADE-9450-18A4C7FDDED7}"/>
    <cellStyle name="Comma 4 3 2 2 3" xfId="683" xr:uid="{00000000-0005-0000-0000-00002E090000}"/>
    <cellStyle name="Comma 4 3 2 2 3 2" xfId="2954" xr:uid="{00000000-0005-0000-0000-00002F090000}"/>
    <cellStyle name="Comma 4 3 2 2 3 2 2" xfId="7177" xr:uid="{00000000-0005-0000-0000-000030090000}"/>
    <cellStyle name="Comma 4 3 2 2 3 2 2 2" xfId="15619" xr:uid="{9944C4E3-9516-45FA-838E-D26430D63A59}"/>
    <cellStyle name="Comma 4 3 2 2 3 2 3" xfId="11401" xr:uid="{01895793-4420-43E1-B278-4C2A937FB1D0}"/>
    <cellStyle name="Comma 4 3 2 2 3 3" xfId="5032" xr:uid="{00000000-0005-0000-0000-000031090000}"/>
    <cellStyle name="Comma 4 3 2 2 3 3 2" xfId="13474" xr:uid="{3D1E4C78-9DFA-41FE-AFA3-A6BF6FD57306}"/>
    <cellStyle name="Comma 4 3 2 2 3 4" xfId="9256" xr:uid="{84935F38-C6BC-4831-A8A9-101EF8C652B7}"/>
    <cellStyle name="Comma 4 3 2 2 4" xfId="1136" xr:uid="{00000000-0005-0000-0000-000032090000}"/>
    <cellStyle name="Comma 4 3 2 2 4 2" xfId="3367" xr:uid="{00000000-0005-0000-0000-000033090000}"/>
    <cellStyle name="Comma 4 3 2 2 4 2 2" xfId="7590" xr:uid="{00000000-0005-0000-0000-000034090000}"/>
    <cellStyle name="Comma 4 3 2 2 4 2 2 2" xfId="16032" xr:uid="{706A8C1C-1515-47D1-8BFA-02D48CF4736B}"/>
    <cellStyle name="Comma 4 3 2 2 4 2 3" xfId="11814" xr:uid="{135FFD45-0A1B-4367-B560-661027EE44AD}"/>
    <cellStyle name="Comma 4 3 2 2 4 3" xfId="5445" xr:uid="{00000000-0005-0000-0000-000035090000}"/>
    <cellStyle name="Comma 4 3 2 2 4 3 2" xfId="13887" xr:uid="{ABCE8847-FD3C-4799-ACA0-2D8AB83EE9FC}"/>
    <cellStyle name="Comma 4 3 2 2 4 4" xfId="9669" xr:uid="{9F7795CC-DC6F-400C-B4F7-FB9200853BDC}"/>
    <cellStyle name="Comma 4 3 2 2 5" xfId="1550" xr:uid="{00000000-0005-0000-0000-000036090000}"/>
    <cellStyle name="Comma 4 3 2 2 5 2" xfId="3780" xr:uid="{00000000-0005-0000-0000-000037090000}"/>
    <cellStyle name="Comma 4 3 2 2 5 2 2" xfId="8003" xr:uid="{00000000-0005-0000-0000-000038090000}"/>
    <cellStyle name="Comma 4 3 2 2 5 2 2 2" xfId="16445" xr:uid="{EF04DA30-5341-465F-B6A9-936324F6BADC}"/>
    <cellStyle name="Comma 4 3 2 2 5 2 3" xfId="12227" xr:uid="{07ACA554-75E0-4620-88BF-FB7993AA093B}"/>
    <cellStyle name="Comma 4 3 2 2 5 3" xfId="5858" xr:uid="{00000000-0005-0000-0000-000039090000}"/>
    <cellStyle name="Comma 4 3 2 2 5 3 2" xfId="14300" xr:uid="{3E91210F-4AE2-49B2-9982-00FA5AFA70F5}"/>
    <cellStyle name="Comma 4 3 2 2 5 4" xfId="10082" xr:uid="{ECF8F211-BBBF-4732-B78C-2B6385CA0636}"/>
    <cellStyle name="Comma 4 3 2 2 6" xfId="1964" xr:uid="{00000000-0005-0000-0000-00003A090000}"/>
    <cellStyle name="Comma 4 3 2 2 6 2" xfId="4193" xr:uid="{00000000-0005-0000-0000-00003B090000}"/>
    <cellStyle name="Comma 4 3 2 2 6 2 2" xfId="8416" xr:uid="{00000000-0005-0000-0000-00003C090000}"/>
    <cellStyle name="Comma 4 3 2 2 6 2 2 2" xfId="16858" xr:uid="{F5D60FF3-0900-4064-974B-2F2BF0D234A4}"/>
    <cellStyle name="Comma 4 3 2 2 6 2 3" xfId="12640" xr:uid="{0E339A44-C9B4-43D5-B43D-EFF49C27EC2C}"/>
    <cellStyle name="Comma 4 3 2 2 6 3" xfId="6271" xr:uid="{00000000-0005-0000-0000-00003D090000}"/>
    <cellStyle name="Comma 4 3 2 2 6 3 2" xfId="14713" xr:uid="{1D7E57F9-0BE9-404C-9FD0-A1C91B61182E}"/>
    <cellStyle name="Comma 4 3 2 2 6 4" xfId="10495" xr:uid="{796F1750-5563-459B-B679-6D3ADACBB65E}"/>
    <cellStyle name="Comma 4 3 2 2 7" xfId="2399" xr:uid="{00000000-0005-0000-0000-00003E090000}"/>
    <cellStyle name="Comma 4 3 2 2 7 2" xfId="6684" xr:uid="{00000000-0005-0000-0000-00003F090000}"/>
    <cellStyle name="Comma 4 3 2 2 7 2 2" xfId="15126" xr:uid="{346511B6-AD9F-4069-9EDA-8ACC5ECB1E78}"/>
    <cellStyle name="Comma 4 3 2 2 7 3" xfId="10908" xr:uid="{EDE61768-B7A0-437C-9987-7F404A843220}"/>
    <cellStyle name="Comma 4 3 2 2 8" xfId="2364" xr:uid="{00000000-0005-0000-0000-000040090000}"/>
    <cellStyle name="Comma 4 3 2 2 9" xfId="2777" xr:uid="{00000000-0005-0000-0000-000041090000}"/>
    <cellStyle name="Comma 4 3 2 2 9 2" xfId="7001" xr:uid="{00000000-0005-0000-0000-000042090000}"/>
    <cellStyle name="Comma 4 3 2 2 9 2 2" xfId="15443" xr:uid="{E69931D1-0D0D-4CF4-A716-9EEC26C06A97}"/>
    <cellStyle name="Comma 4 3 2 2 9 3" xfId="11225" xr:uid="{5CF08A02-8204-4DD6-B09F-26B3CB2B5E29}"/>
    <cellStyle name="Comma 4 3 2 3" xfId="148" xr:uid="{00000000-0005-0000-0000-000043090000}"/>
    <cellStyle name="Comma 4 3 2 3 10" xfId="8844" xr:uid="{80D7CE08-06D6-47D1-A2D1-D8F26E9E2285}"/>
    <cellStyle name="Comma 4 3 2 3 2" xfId="685" xr:uid="{00000000-0005-0000-0000-000044090000}"/>
    <cellStyle name="Comma 4 3 2 3 2 2" xfId="2956" xr:uid="{00000000-0005-0000-0000-000045090000}"/>
    <cellStyle name="Comma 4 3 2 3 2 2 2" xfId="7179" xr:uid="{00000000-0005-0000-0000-000046090000}"/>
    <cellStyle name="Comma 4 3 2 3 2 2 2 2" xfId="15621" xr:uid="{F46E4C37-DD41-435B-A8B2-8D2BFD4C863E}"/>
    <cellStyle name="Comma 4 3 2 3 2 2 3" xfId="11403" xr:uid="{56E576C8-EDFD-4505-B747-6CE495CC311C}"/>
    <cellStyle name="Comma 4 3 2 3 2 3" xfId="5034" xr:uid="{00000000-0005-0000-0000-000047090000}"/>
    <cellStyle name="Comma 4 3 2 3 2 3 2" xfId="13476" xr:uid="{CD6C3500-3802-45BC-BA7A-16739D124981}"/>
    <cellStyle name="Comma 4 3 2 3 2 4" xfId="9258" xr:uid="{5EB80F29-AE4E-4587-8431-EDF92CB08CBD}"/>
    <cellStyle name="Comma 4 3 2 3 3" xfId="1138" xr:uid="{00000000-0005-0000-0000-000048090000}"/>
    <cellStyle name="Comma 4 3 2 3 3 2" xfId="3369" xr:uid="{00000000-0005-0000-0000-000049090000}"/>
    <cellStyle name="Comma 4 3 2 3 3 2 2" xfId="7592" xr:uid="{00000000-0005-0000-0000-00004A090000}"/>
    <cellStyle name="Comma 4 3 2 3 3 2 2 2" xfId="16034" xr:uid="{212319B2-130C-406F-864B-29531D329D49}"/>
    <cellStyle name="Comma 4 3 2 3 3 2 3" xfId="11816" xr:uid="{0A122D23-19D1-46EA-8835-F61E6C0DA5D5}"/>
    <cellStyle name="Comma 4 3 2 3 3 3" xfId="5447" xr:uid="{00000000-0005-0000-0000-00004B090000}"/>
    <cellStyle name="Comma 4 3 2 3 3 3 2" xfId="13889" xr:uid="{98A907A0-B70D-4E11-873A-47AB8D419952}"/>
    <cellStyle name="Comma 4 3 2 3 3 4" xfId="9671" xr:uid="{0E062A6B-61DA-419F-B422-9D3A40B853F1}"/>
    <cellStyle name="Comma 4 3 2 3 4" xfId="1552" xr:uid="{00000000-0005-0000-0000-00004C090000}"/>
    <cellStyle name="Comma 4 3 2 3 4 2" xfId="3782" xr:uid="{00000000-0005-0000-0000-00004D090000}"/>
    <cellStyle name="Comma 4 3 2 3 4 2 2" xfId="8005" xr:uid="{00000000-0005-0000-0000-00004E090000}"/>
    <cellStyle name="Comma 4 3 2 3 4 2 2 2" xfId="16447" xr:uid="{0E74B3B9-8C21-4D0E-AA9D-65AE6A1A1892}"/>
    <cellStyle name="Comma 4 3 2 3 4 2 3" xfId="12229" xr:uid="{8B213EAA-58E2-49DB-8568-EE20A0FF3AA0}"/>
    <cellStyle name="Comma 4 3 2 3 4 3" xfId="5860" xr:uid="{00000000-0005-0000-0000-00004F090000}"/>
    <cellStyle name="Comma 4 3 2 3 4 3 2" xfId="14302" xr:uid="{A0A8B599-3AFA-4E2E-8551-1284333303E2}"/>
    <cellStyle name="Comma 4 3 2 3 4 4" xfId="10084" xr:uid="{CC98A602-0312-4D42-B9BD-F4F7618BE6D4}"/>
    <cellStyle name="Comma 4 3 2 3 5" xfId="1966" xr:uid="{00000000-0005-0000-0000-000050090000}"/>
    <cellStyle name="Comma 4 3 2 3 5 2" xfId="4195" xr:uid="{00000000-0005-0000-0000-000051090000}"/>
    <cellStyle name="Comma 4 3 2 3 5 2 2" xfId="8418" xr:uid="{00000000-0005-0000-0000-000052090000}"/>
    <cellStyle name="Comma 4 3 2 3 5 2 2 2" xfId="16860" xr:uid="{840E1282-ECA3-4EA2-B3D1-FC854D97AF71}"/>
    <cellStyle name="Comma 4 3 2 3 5 2 3" xfId="12642" xr:uid="{F7940FBD-4FB0-47E8-A571-803B0D9356B3}"/>
    <cellStyle name="Comma 4 3 2 3 5 3" xfId="6273" xr:uid="{00000000-0005-0000-0000-000053090000}"/>
    <cellStyle name="Comma 4 3 2 3 5 3 2" xfId="14715" xr:uid="{64AF110D-3EA8-423D-BD2C-D11FE84ED1BD}"/>
    <cellStyle name="Comma 4 3 2 3 5 4" xfId="10497" xr:uid="{8E05F77B-7A37-4049-BA1F-9C061D5AE7AC}"/>
    <cellStyle name="Comma 4 3 2 3 6" xfId="2401" xr:uid="{00000000-0005-0000-0000-000054090000}"/>
    <cellStyle name="Comma 4 3 2 3 6 2" xfId="6686" xr:uid="{00000000-0005-0000-0000-000055090000}"/>
    <cellStyle name="Comma 4 3 2 3 6 2 2" xfId="15128" xr:uid="{73D31E14-A7CB-4D37-847D-618257EDF425}"/>
    <cellStyle name="Comma 4 3 2 3 6 3" xfId="10910" xr:uid="{182249B2-8EA1-4871-A9B3-05ECD2E353B6}"/>
    <cellStyle name="Comma 4 3 2 3 7" xfId="2362" xr:uid="{00000000-0005-0000-0000-000056090000}"/>
    <cellStyle name="Comma 4 3 2 3 8" xfId="2779" xr:uid="{00000000-0005-0000-0000-000057090000}"/>
    <cellStyle name="Comma 4 3 2 3 8 2" xfId="7003" xr:uid="{00000000-0005-0000-0000-000058090000}"/>
    <cellStyle name="Comma 4 3 2 3 8 2 2" xfId="15445" xr:uid="{567ED55D-85E9-4CB1-B5F2-5C2A6A4EE4B3}"/>
    <cellStyle name="Comma 4 3 2 3 8 3" xfId="11227" xr:uid="{7A271B88-8EBC-4E46-A8A9-97F06C2945EE}"/>
    <cellStyle name="Comma 4 3 2 3 9" xfId="4620" xr:uid="{00000000-0005-0000-0000-000059090000}"/>
    <cellStyle name="Comma 4 3 2 3 9 2" xfId="13062" xr:uid="{AF3D0FE8-1EE0-4C75-8280-E871E6A5A749}"/>
    <cellStyle name="Comma 4 3 2 4" xfId="682" xr:uid="{00000000-0005-0000-0000-00005A090000}"/>
    <cellStyle name="Comma 4 3 2 4 2" xfId="2953" xr:uid="{00000000-0005-0000-0000-00005B090000}"/>
    <cellStyle name="Comma 4 3 2 4 2 2" xfId="7176" xr:uid="{00000000-0005-0000-0000-00005C090000}"/>
    <cellStyle name="Comma 4 3 2 4 2 2 2" xfId="15618" xr:uid="{34EC0BAA-0218-4334-97EE-3C7661A56E61}"/>
    <cellStyle name="Comma 4 3 2 4 2 3" xfId="11400" xr:uid="{483D21EC-F2FE-4756-A108-F4AD997AA3AB}"/>
    <cellStyle name="Comma 4 3 2 4 3" xfId="5031" xr:uid="{00000000-0005-0000-0000-00005D090000}"/>
    <cellStyle name="Comma 4 3 2 4 3 2" xfId="13473" xr:uid="{BD932FDF-9930-477E-9DA0-03212AE677A5}"/>
    <cellStyle name="Comma 4 3 2 4 4" xfId="9255" xr:uid="{D219F709-C029-4FFD-B38F-416137199710}"/>
    <cellStyle name="Comma 4 3 2 5" xfId="1135" xr:uid="{00000000-0005-0000-0000-00005E090000}"/>
    <cellStyle name="Comma 4 3 2 5 2" xfId="3366" xr:uid="{00000000-0005-0000-0000-00005F090000}"/>
    <cellStyle name="Comma 4 3 2 5 2 2" xfId="7589" xr:uid="{00000000-0005-0000-0000-000060090000}"/>
    <cellStyle name="Comma 4 3 2 5 2 2 2" xfId="16031" xr:uid="{E545F493-B38F-44F0-8F96-8EC1094E8C20}"/>
    <cellStyle name="Comma 4 3 2 5 2 3" xfId="11813" xr:uid="{6B441BFF-A9FB-4CBC-85DF-9660B0F1A451}"/>
    <cellStyle name="Comma 4 3 2 5 3" xfId="5444" xr:uid="{00000000-0005-0000-0000-000061090000}"/>
    <cellStyle name="Comma 4 3 2 5 3 2" xfId="13886" xr:uid="{88FD3983-0A26-4BD6-BF65-0F0586185176}"/>
    <cellStyle name="Comma 4 3 2 5 4" xfId="9668" xr:uid="{C2C96D0E-2F93-4904-9C61-5EB7EC5D9A37}"/>
    <cellStyle name="Comma 4 3 2 6" xfId="1549" xr:uid="{00000000-0005-0000-0000-000062090000}"/>
    <cellStyle name="Comma 4 3 2 6 2" xfId="3779" xr:uid="{00000000-0005-0000-0000-000063090000}"/>
    <cellStyle name="Comma 4 3 2 6 2 2" xfId="8002" xr:uid="{00000000-0005-0000-0000-000064090000}"/>
    <cellStyle name="Comma 4 3 2 6 2 2 2" xfId="16444" xr:uid="{5EFB0396-163A-43A7-8834-CD001A113D44}"/>
    <cellStyle name="Comma 4 3 2 6 2 3" xfId="12226" xr:uid="{7D88EE80-E503-43CF-AFAD-E7ED52506749}"/>
    <cellStyle name="Comma 4 3 2 6 3" xfId="5857" xr:uid="{00000000-0005-0000-0000-000065090000}"/>
    <cellStyle name="Comma 4 3 2 6 3 2" xfId="14299" xr:uid="{52D7930B-47EA-4FBF-B522-7CC4C4D6FE8F}"/>
    <cellStyle name="Comma 4 3 2 6 4" xfId="10081" xr:uid="{6FBB92AF-7853-48E1-81D0-04BEC95D31EE}"/>
    <cellStyle name="Comma 4 3 2 7" xfId="1963" xr:uid="{00000000-0005-0000-0000-000066090000}"/>
    <cellStyle name="Comma 4 3 2 7 2" xfId="4192" xr:uid="{00000000-0005-0000-0000-000067090000}"/>
    <cellStyle name="Comma 4 3 2 7 2 2" xfId="8415" xr:uid="{00000000-0005-0000-0000-000068090000}"/>
    <cellStyle name="Comma 4 3 2 7 2 2 2" xfId="16857" xr:uid="{B8F6066B-D4E6-43E8-B0B3-120DBACCD007}"/>
    <cellStyle name="Comma 4 3 2 7 2 3" xfId="12639" xr:uid="{8264ED42-845D-4367-810A-3D2F20B16FCA}"/>
    <cellStyle name="Comma 4 3 2 7 3" xfId="6270" xr:uid="{00000000-0005-0000-0000-000069090000}"/>
    <cellStyle name="Comma 4 3 2 7 3 2" xfId="14712" xr:uid="{C1DE604A-F639-454D-BDD1-439F3A515BA2}"/>
    <cellStyle name="Comma 4 3 2 7 4" xfId="10494" xr:uid="{50DFF87C-9C5F-43C4-8429-802428479191}"/>
    <cellStyle name="Comma 4 3 2 8" xfId="2398" xr:uid="{00000000-0005-0000-0000-00006A090000}"/>
    <cellStyle name="Comma 4 3 2 8 2" xfId="6683" xr:uid="{00000000-0005-0000-0000-00006B090000}"/>
    <cellStyle name="Comma 4 3 2 8 2 2" xfId="15125" xr:uid="{CF20A361-E2A9-4842-877E-D9C38DA43513}"/>
    <cellStyle name="Comma 4 3 2 8 3" xfId="10907" xr:uid="{5966F6A0-8C92-4D4F-82E3-799ED1081CD9}"/>
    <cellStyle name="Comma 4 3 2 9" xfId="2365" xr:uid="{00000000-0005-0000-0000-00006C090000}"/>
    <cellStyle name="Comma 4 3 3" xfId="149" xr:uid="{00000000-0005-0000-0000-00006D090000}"/>
    <cellStyle name="Comma 4 3 3 10" xfId="4621" xr:uid="{00000000-0005-0000-0000-00006E090000}"/>
    <cellStyle name="Comma 4 3 3 10 2" xfId="13063" xr:uid="{CF456AEE-5006-49F0-A306-F9C8FB53D671}"/>
    <cellStyle name="Comma 4 3 3 11" xfId="8845" xr:uid="{910D50AB-0650-4C6D-BF64-D3AC01E6A0D0}"/>
    <cellStyle name="Comma 4 3 3 2" xfId="150" xr:uid="{00000000-0005-0000-0000-00006F090000}"/>
    <cellStyle name="Comma 4 3 3 2 10" xfId="8846" xr:uid="{D4022630-B35D-41F4-9380-654FECB804CA}"/>
    <cellStyle name="Comma 4 3 3 2 2" xfId="687" xr:uid="{00000000-0005-0000-0000-000070090000}"/>
    <cellStyle name="Comma 4 3 3 2 2 2" xfId="2958" xr:uid="{00000000-0005-0000-0000-000071090000}"/>
    <cellStyle name="Comma 4 3 3 2 2 2 2" xfId="7181" xr:uid="{00000000-0005-0000-0000-000072090000}"/>
    <cellStyle name="Comma 4 3 3 2 2 2 2 2" xfId="15623" xr:uid="{686620B0-497F-42C0-8802-0D11DE1722E0}"/>
    <cellStyle name="Comma 4 3 3 2 2 2 3" xfId="11405" xr:uid="{999F411D-C7E2-46FE-9EA3-AF46B2DCA3C3}"/>
    <cellStyle name="Comma 4 3 3 2 2 3" xfId="5036" xr:uid="{00000000-0005-0000-0000-000073090000}"/>
    <cellStyle name="Comma 4 3 3 2 2 3 2" xfId="13478" xr:uid="{93F09273-7FA4-4B2E-90CA-43A2D7E0AAB1}"/>
    <cellStyle name="Comma 4 3 3 2 2 4" xfId="9260" xr:uid="{2D3BA4A2-5D16-4E06-B0EB-E1E15CE6C1DE}"/>
    <cellStyle name="Comma 4 3 3 2 3" xfId="1140" xr:uid="{00000000-0005-0000-0000-000074090000}"/>
    <cellStyle name="Comma 4 3 3 2 3 2" xfId="3371" xr:uid="{00000000-0005-0000-0000-000075090000}"/>
    <cellStyle name="Comma 4 3 3 2 3 2 2" xfId="7594" xr:uid="{00000000-0005-0000-0000-000076090000}"/>
    <cellStyle name="Comma 4 3 3 2 3 2 2 2" xfId="16036" xr:uid="{94250C03-BC74-48D2-A6EA-E4963B20BAF3}"/>
    <cellStyle name="Comma 4 3 3 2 3 2 3" xfId="11818" xr:uid="{69C409BD-F753-4C59-91CF-7E7793604159}"/>
    <cellStyle name="Comma 4 3 3 2 3 3" xfId="5449" xr:uid="{00000000-0005-0000-0000-000077090000}"/>
    <cellStyle name="Comma 4 3 3 2 3 3 2" xfId="13891" xr:uid="{C0655A18-9159-480B-856C-63A96C85EDFE}"/>
    <cellStyle name="Comma 4 3 3 2 3 4" xfId="9673" xr:uid="{6F15BA28-E255-424D-B0D5-4774496ED373}"/>
    <cellStyle name="Comma 4 3 3 2 4" xfId="1554" xr:uid="{00000000-0005-0000-0000-000078090000}"/>
    <cellStyle name="Comma 4 3 3 2 4 2" xfId="3784" xr:uid="{00000000-0005-0000-0000-000079090000}"/>
    <cellStyle name="Comma 4 3 3 2 4 2 2" xfId="8007" xr:uid="{00000000-0005-0000-0000-00007A090000}"/>
    <cellStyle name="Comma 4 3 3 2 4 2 2 2" xfId="16449" xr:uid="{3DC5D7BC-F7F1-49D0-859A-A92EDC9DA104}"/>
    <cellStyle name="Comma 4 3 3 2 4 2 3" xfId="12231" xr:uid="{BBA9A834-4A5C-4577-8738-32E241276AA3}"/>
    <cellStyle name="Comma 4 3 3 2 4 3" xfId="5862" xr:uid="{00000000-0005-0000-0000-00007B090000}"/>
    <cellStyle name="Comma 4 3 3 2 4 3 2" xfId="14304" xr:uid="{B9A31328-AE06-430E-8331-5A904ABF583A}"/>
    <cellStyle name="Comma 4 3 3 2 4 4" xfId="10086" xr:uid="{658EB20F-539A-4E3F-95C3-2D498A1C5C7C}"/>
    <cellStyle name="Comma 4 3 3 2 5" xfId="1968" xr:uid="{00000000-0005-0000-0000-00007C090000}"/>
    <cellStyle name="Comma 4 3 3 2 5 2" xfId="4197" xr:uid="{00000000-0005-0000-0000-00007D090000}"/>
    <cellStyle name="Comma 4 3 3 2 5 2 2" xfId="8420" xr:uid="{00000000-0005-0000-0000-00007E090000}"/>
    <cellStyle name="Comma 4 3 3 2 5 2 2 2" xfId="16862" xr:uid="{915B5D03-9E49-48E5-8B94-BF37753F4B72}"/>
    <cellStyle name="Comma 4 3 3 2 5 2 3" xfId="12644" xr:uid="{08B94A8C-8944-4810-8FBB-B4A30A8945E3}"/>
    <cellStyle name="Comma 4 3 3 2 5 3" xfId="6275" xr:uid="{00000000-0005-0000-0000-00007F090000}"/>
    <cellStyle name="Comma 4 3 3 2 5 3 2" xfId="14717" xr:uid="{686744BB-BC0E-49D9-92B0-1DC70ECFD865}"/>
    <cellStyle name="Comma 4 3 3 2 5 4" xfId="10499" xr:uid="{ADFD7653-225A-4035-8BB2-D98CD181BB7C}"/>
    <cellStyle name="Comma 4 3 3 2 6" xfId="2403" xr:uid="{00000000-0005-0000-0000-000080090000}"/>
    <cellStyle name="Comma 4 3 3 2 6 2" xfId="6688" xr:uid="{00000000-0005-0000-0000-000081090000}"/>
    <cellStyle name="Comma 4 3 3 2 6 2 2" xfId="15130" xr:uid="{4CE9E2FF-F2E6-4E54-839C-EE744963BF13}"/>
    <cellStyle name="Comma 4 3 3 2 6 3" xfId="10912" xr:uid="{FD77CA32-8797-4F92-B005-71A120A50CC4}"/>
    <cellStyle name="Comma 4 3 3 2 7" xfId="2360" xr:uid="{00000000-0005-0000-0000-000082090000}"/>
    <cellStyle name="Comma 4 3 3 2 8" xfId="2781" xr:uid="{00000000-0005-0000-0000-000083090000}"/>
    <cellStyle name="Comma 4 3 3 2 8 2" xfId="7005" xr:uid="{00000000-0005-0000-0000-000084090000}"/>
    <cellStyle name="Comma 4 3 3 2 8 2 2" xfId="15447" xr:uid="{D9F81917-60E5-4069-A22B-D4BAFD5B6609}"/>
    <cellStyle name="Comma 4 3 3 2 8 3" xfId="11229" xr:uid="{C1F9B315-705F-4E7A-AE4F-DAF630C0988E}"/>
    <cellStyle name="Comma 4 3 3 2 9" xfId="4622" xr:uid="{00000000-0005-0000-0000-000085090000}"/>
    <cellStyle name="Comma 4 3 3 2 9 2" xfId="13064" xr:uid="{C6E7A313-BF21-4BCD-919D-482FFF34FC5E}"/>
    <cellStyle name="Comma 4 3 3 3" xfId="686" xr:uid="{00000000-0005-0000-0000-000086090000}"/>
    <cellStyle name="Comma 4 3 3 3 2" xfId="2957" xr:uid="{00000000-0005-0000-0000-000087090000}"/>
    <cellStyle name="Comma 4 3 3 3 2 2" xfId="7180" xr:uid="{00000000-0005-0000-0000-000088090000}"/>
    <cellStyle name="Comma 4 3 3 3 2 2 2" xfId="15622" xr:uid="{25629DB2-00FA-48A0-A28C-EEB978CE43E6}"/>
    <cellStyle name="Comma 4 3 3 3 2 3" xfId="11404" xr:uid="{5564A0B2-4D86-4410-A0ED-EC720C6D72F4}"/>
    <cellStyle name="Comma 4 3 3 3 3" xfId="5035" xr:uid="{00000000-0005-0000-0000-000089090000}"/>
    <cellStyle name="Comma 4 3 3 3 3 2" xfId="13477" xr:uid="{1F0680A2-86FE-4EE1-B8BE-C6B961FB9875}"/>
    <cellStyle name="Comma 4 3 3 3 4" xfId="9259" xr:uid="{ADC99A01-3F05-4A6B-A144-466A1EE1A253}"/>
    <cellStyle name="Comma 4 3 3 4" xfId="1139" xr:uid="{00000000-0005-0000-0000-00008A090000}"/>
    <cellStyle name="Comma 4 3 3 4 2" xfId="3370" xr:uid="{00000000-0005-0000-0000-00008B090000}"/>
    <cellStyle name="Comma 4 3 3 4 2 2" xfId="7593" xr:uid="{00000000-0005-0000-0000-00008C090000}"/>
    <cellStyle name="Comma 4 3 3 4 2 2 2" xfId="16035" xr:uid="{C9552173-71C8-41C9-A9EC-0182E0D4723D}"/>
    <cellStyle name="Comma 4 3 3 4 2 3" xfId="11817" xr:uid="{2633CA82-1A4C-4AF3-AC32-2DD0A7E42F8A}"/>
    <cellStyle name="Comma 4 3 3 4 3" xfId="5448" xr:uid="{00000000-0005-0000-0000-00008D090000}"/>
    <cellStyle name="Comma 4 3 3 4 3 2" xfId="13890" xr:uid="{131C8AE4-FCF7-4126-AAA2-94B31DA14975}"/>
    <cellStyle name="Comma 4 3 3 4 4" xfId="9672" xr:uid="{D538EE62-D25C-4C62-AF84-F10F4D951958}"/>
    <cellStyle name="Comma 4 3 3 5" xfId="1553" xr:uid="{00000000-0005-0000-0000-00008E090000}"/>
    <cellStyle name="Comma 4 3 3 5 2" xfId="3783" xr:uid="{00000000-0005-0000-0000-00008F090000}"/>
    <cellStyle name="Comma 4 3 3 5 2 2" xfId="8006" xr:uid="{00000000-0005-0000-0000-000090090000}"/>
    <cellStyle name="Comma 4 3 3 5 2 2 2" xfId="16448" xr:uid="{1841B08A-6700-48FD-A4DF-F0E42AF093CB}"/>
    <cellStyle name="Comma 4 3 3 5 2 3" xfId="12230" xr:uid="{84F47328-8038-4A3E-BA3A-C40DA72D221E}"/>
    <cellStyle name="Comma 4 3 3 5 3" xfId="5861" xr:uid="{00000000-0005-0000-0000-000091090000}"/>
    <cellStyle name="Comma 4 3 3 5 3 2" xfId="14303" xr:uid="{7CC3492A-62ED-4242-8ADD-F51B35666AF0}"/>
    <cellStyle name="Comma 4 3 3 5 4" xfId="10085" xr:uid="{7B447CDB-B1E4-49F0-A55E-FA6D1C111656}"/>
    <cellStyle name="Comma 4 3 3 6" xfId="1967" xr:uid="{00000000-0005-0000-0000-000092090000}"/>
    <cellStyle name="Comma 4 3 3 6 2" xfId="4196" xr:uid="{00000000-0005-0000-0000-000093090000}"/>
    <cellStyle name="Comma 4 3 3 6 2 2" xfId="8419" xr:uid="{00000000-0005-0000-0000-000094090000}"/>
    <cellStyle name="Comma 4 3 3 6 2 2 2" xfId="16861" xr:uid="{2C7CE62A-5739-42E4-9F67-E5EDC68CF180}"/>
    <cellStyle name="Comma 4 3 3 6 2 3" xfId="12643" xr:uid="{73B3D1EB-D5BB-44A0-AFA6-486EB119D191}"/>
    <cellStyle name="Comma 4 3 3 6 3" xfId="6274" xr:uid="{00000000-0005-0000-0000-000095090000}"/>
    <cellStyle name="Comma 4 3 3 6 3 2" xfId="14716" xr:uid="{7AA1FF17-C5F1-4296-99B7-E19B5C1AD704}"/>
    <cellStyle name="Comma 4 3 3 6 4" xfId="10498" xr:uid="{70011F76-4000-415D-9F34-DDB149AE6CD8}"/>
    <cellStyle name="Comma 4 3 3 7" xfId="2402" xr:uid="{00000000-0005-0000-0000-000096090000}"/>
    <cellStyle name="Comma 4 3 3 7 2" xfId="6687" xr:uid="{00000000-0005-0000-0000-000097090000}"/>
    <cellStyle name="Comma 4 3 3 7 2 2" xfId="15129" xr:uid="{A6747D81-D4EB-41E6-9351-25C3691630D0}"/>
    <cellStyle name="Comma 4 3 3 7 3" xfId="10911" xr:uid="{3690690E-294F-423C-A0EC-EB37655CFD19}"/>
    <cellStyle name="Comma 4 3 3 8" xfId="2361" xr:uid="{00000000-0005-0000-0000-000098090000}"/>
    <cellStyle name="Comma 4 3 3 9" xfId="2780" xr:uid="{00000000-0005-0000-0000-000099090000}"/>
    <cellStyle name="Comma 4 3 3 9 2" xfId="7004" xr:uid="{00000000-0005-0000-0000-00009A090000}"/>
    <cellStyle name="Comma 4 3 3 9 2 2" xfId="15446" xr:uid="{F622C60B-C638-4A27-A51D-540307589A0B}"/>
    <cellStyle name="Comma 4 3 3 9 3" xfId="11228" xr:uid="{0B5D89F7-44E6-4E24-888C-AFF0E8F7D022}"/>
    <cellStyle name="Comma 4 3 4" xfId="151" xr:uid="{00000000-0005-0000-0000-00009B090000}"/>
    <cellStyle name="Comma 4 3 4 10" xfId="8847" xr:uid="{0D5C7D23-995E-4D96-80D6-3EC933BDC512}"/>
    <cellStyle name="Comma 4 3 4 2" xfId="688" xr:uid="{00000000-0005-0000-0000-00009C090000}"/>
    <cellStyle name="Comma 4 3 4 2 2" xfId="2959" xr:uid="{00000000-0005-0000-0000-00009D090000}"/>
    <cellStyle name="Comma 4 3 4 2 2 2" xfId="7182" xr:uid="{00000000-0005-0000-0000-00009E090000}"/>
    <cellStyle name="Comma 4 3 4 2 2 2 2" xfId="15624" xr:uid="{5D4819FD-ED91-419E-A7FA-9E0AA7E86933}"/>
    <cellStyle name="Comma 4 3 4 2 2 3" xfId="11406" xr:uid="{6181B410-0F7B-4C92-9984-AE79521E96CC}"/>
    <cellStyle name="Comma 4 3 4 2 3" xfId="5037" xr:uid="{00000000-0005-0000-0000-00009F090000}"/>
    <cellStyle name="Comma 4 3 4 2 3 2" xfId="13479" xr:uid="{323789F7-6F5C-463A-8576-C6B00F56F43F}"/>
    <cellStyle name="Comma 4 3 4 2 4" xfId="9261" xr:uid="{A05BB7D3-64CB-4913-B10C-BC39EBE4B9AE}"/>
    <cellStyle name="Comma 4 3 4 3" xfId="1141" xr:uid="{00000000-0005-0000-0000-0000A0090000}"/>
    <cellStyle name="Comma 4 3 4 3 2" xfId="3372" xr:uid="{00000000-0005-0000-0000-0000A1090000}"/>
    <cellStyle name="Comma 4 3 4 3 2 2" xfId="7595" xr:uid="{00000000-0005-0000-0000-0000A2090000}"/>
    <cellStyle name="Comma 4 3 4 3 2 2 2" xfId="16037" xr:uid="{A7FB887F-857D-4F1E-A2B5-A3E38CEA8BC5}"/>
    <cellStyle name="Comma 4 3 4 3 2 3" xfId="11819" xr:uid="{3F62F033-3FD2-47D2-9ED3-31100C663F58}"/>
    <cellStyle name="Comma 4 3 4 3 3" xfId="5450" xr:uid="{00000000-0005-0000-0000-0000A3090000}"/>
    <cellStyle name="Comma 4 3 4 3 3 2" xfId="13892" xr:uid="{8222ACA1-37F1-42F6-BAAE-326400AC4421}"/>
    <cellStyle name="Comma 4 3 4 3 4" xfId="9674" xr:uid="{F2371144-645E-4E2C-85F6-D77D424B6AAA}"/>
    <cellStyle name="Comma 4 3 4 4" xfId="1555" xr:uid="{00000000-0005-0000-0000-0000A4090000}"/>
    <cellStyle name="Comma 4 3 4 4 2" xfId="3785" xr:uid="{00000000-0005-0000-0000-0000A5090000}"/>
    <cellStyle name="Comma 4 3 4 4 2 2" xfId="8008" xr:uid="{00000000-0005-0000-0000-0000A6090000}"/>
    <cellStyle name="Comma 4 3 4 4 2 2 2" xfId="16450" xr:uid="{7983C5E5-46DD-4F3D-900B-D086F71D7606}"/>
    <cellStyle name="Comma 4 3 4 4 2 3" xfId="12232" xr:uid="{F15C6756-D0D8-428E-8D1D-A4E7E8FFD944}"/>
    <cellStyle name="Comma 4 3 4 4 3" xfId="5863" xr:uid="{00000000-0005-0000-0000-0000A7090000}"/>
    <cellStyle name="Comma 4 3 4 4 3 2" xfId="14305" xr:uid="{04CEDEA1-C609-434F-8984-D9604BAB5088}"/>
    <cellStyle name="Comma 4 3 4 4 4" xfId="10087" xr:uid="{45995A85-E86F-4F89-BAC4-962DE45CF4F7}"/>
    <cellStyle name="Comma 4 3 4 5" xfId="1969" xr:uid="{00000000-0005-0000-0000-0000A8090000}"/>
    <cellStyle name="Comma 4 3 4 5 2" xfId="4198" xr:uid="{00000000-0005-0000-0000-0000A9090000}"/>
    <cellStyle name="Comma 4 3 4 5 2 2" xfId="8421" xr:uid="{00000000-0005-0000-0000-0000AA090000}"/>
    <cellStyle name="Comma 4 3 4 5 2 2 2" xfId="16863" xr:uid="{94E16CD7-29B1-4818-A270-33B238D0C4EA}"/>
    <cellStyle name="Comma 4 3 4 5 2 3" xfId="12645" xr:uid="{FB40BEF2-681A-493F-A014-5ADF3FC3BFDA}"/>
    <cellStyle name="Comma 4 3 4 5 3" xfId="6276" xr:uid="{00000000-0005-0000-0000-0000AB090000}"/>
    <cellStyle name="Comma 4 3 4 5 3 2" xfId="14718" xr:uid="{A606FE2E-3AA6-43C8-9A6F-D1A14DCFE0DC}"/>
    <cellStyle name="Comma 4 3 4 5 4" xfId="10500" xr:uid="{97E2D035-316F-4A67-999F-D7A8C8F4BB94}"/>
    <cellStyle name="Comma 4 3 4 6" xfId="2404" xr:uid="{00000000-0005-0000-0000-0000AC090000}"/>
    <cellStyle name="Comma 4 3 4 6 2" xfId="6689" xr:uid="{00000000-0005-0000-0000-0000AD090000}"/>
    <cellStyle name="Comma 4 3 4 6 2 2" xfId="15131" xr:uid="{F63F0740-95D5-4C50-9EC8-649323335F1A}"/>
    <cellStyle name="Comma 4 3 4 6 3" xfId="10913" xr:uid="{15604CB5-9D2B-4966-8D26-DB2630F61F51}"/>
    <cellStyle name="Comma 4 3 4 7" xfId="2700" xr:uid="{00000000-0005-0000-0000-0000AE090000}"/>
    <cellStyle name="Comma 4 3 4 8" xfId="2782" xr:uid="{00000000-0005-0000-0000-0000AF090000}"/>
    <cellStyle name="Comma 4 3 4 8 2" xfId="7006" xr:uid="{00000000-0005-0000-0000-0000B0090000}"/>
    <cellStyle name="Comma 4 3 4 8 2 2" xfId="15448" xr:uid="{794F0DF2-3A60-4B62-AD69-A7DFCCA8FBBB}"/>
    <cellStyle name="Comma 4 3 4 8 3" xfId="11230" xr:uid="{B4582B70-54AA-4056-B476-DAAF40A28CC7}"/>
    <cellStyle name="Comma 4 3 4 9" xfId="4623" xr:uid="{00000000-0005-0000-0000-0000B1090000}"/>
    <cellStyle name="Comma 4 3 4 9 2" xfId="13065" xr:uid="{4F9FA092-215D-4CA6-9AF5-C81D216ACD22}"/>
    <cellStyle name="Comma 4 3 5" xfId="152" xr:uid="{00000000-0005-0000-0000-0000B2090000}"/>
    <cellStyle name="Comma 4 3 5 10" xfId="8848" xr:uid="{3BFB35CD-5EF6-4401-96FB-02EC81A9E9DB}"/>
    <cellStyle name="Comma 4 3 5 2" xfId="689" xr:uid="{00000000-0005-0000-0000-0000B3090000}"/>
    <cellStyle name="Comma 4 3 5 2 2" xfId="2960" xr:uid="{00000000-0005-0000-0000-0000B4090000}"/>
    <cellStyle name="Comma 4 3 5 2 2 2" xfId="7183" xr:uid="{00000000-0005-0000-0000-0000B5090000}"/>
    <cellStyle name="Comma 4 3 5 2 2 2 2" xfId="15625" xr:uid="{242AAEC7-F79A-4B96-AF5E-5BA0DCEB652C}"/>
    <cellStyle name="Comma 4 3 5 2 2 3" xfId="11407" xr:uid="{FC3C1C6A-6E7D-42C8-A24D-3D0CFAE97541}"/>
    <cellStyle name="Comma 4 3 5 2 3" xfId="5038" xr:uid="{00000000-0005-0000-0000-0000B6090000}"/>
    <cellStyle name="Comma 4 3 5 2 3 2" xfId="13480" xr:uid="{D659678A-45E1-4C06-9512-51349B28F655}"/>
    <cellStyle name="Comma 4 3 5 2 4" xfId="9262" xr:uid="{86F69E02-1C31-4EC8-B9E7-74422083D3E7}"/>
    <cellStyle name="Comma 4 3 5 3" xfId="1142" xr:uid="{00000000-0005-0000-0000-0000B7090000}"/>
    <cellStyle name="Comma 4 3 5 3 2" xfId="3373" xr:uid="{00000000-0005-0000-0000-0000B8090000}"/>
    <cellStyle name="Comma 4 3 5 3 2 2" xfId="7596" xr:uid="{00000000-0005-0000-0000-0000B9090000}"/>
    <cellStyle name="Comma 4 3 5 3 2 2 2" xfId="16038" xr:uid="{EFDAFECD-1AF2-4280-A959-9368EF6E6936}"/>
    <cellStyle name="Comma 4 3 5 3 2 3" xfId="11820" xr:uid="{466C428B-54C0-44E5-8428-71E5057AD9A2}"/>
    <cellStyle name="Comma 4 3 5 3 3" xfId="5451" xr:uid="{00000000-0005-0000-0000-0000BA090000}"/>
    <cellStyle name="Comma 4 3 5 3 3 2" xfId="13893" xr:uid="{8F20B93E-5832-4200-A0E9-C2F3BC6B773A}"/>
    <cellStyle name="Comma 4 3 5 3 4" xfId="9675" xr:uid="{37A07019-07D9-4917-B059-24CC8F6A0233}"/>
    <cellStyle name="Comma 4 3 5 4" xfId="1556" xr:uid="{00000000-0005-0000-0000-0000BB090000}"/>
    <cellStyle name="Comma 4 3 5 4 2" xfId="3786" xr:uid="{00000000-0005-0000-0000-0000BC090000}"/>
    <cellStyle name="Comma 4 3 5 4 2 2" xfId="8009" xr:uid="{00000000-0005-0000-0000-0000BD090000}"/>
    <cellStyle name="Comma 4 3 5 4 2 2 2" xfId="16451" xr:uid="{C40BD2D9-806A-4BAA-9E41-6D08997A8057}"/>
    <cellStyle name="Comma 4 3 5 4 2 3" xfId="12233" xr:uid="{ADAA2629-7C18-4F5F-A070-3A7FB767F902}"/>
    <cellStyle name="Comma 4 3 5 4 3" xfId="5864" xr:uid="{00000000-0005-0000-0000-0000BE090000}"/>
    <cellStyle name="Comma 4 3 5 4 3 2" xfId="14306" xr:uid="{8C70E42B-59CF-454E-BFAB-D717832A0059}"/>
    <cellStyle name="Comma 4 3 5 4 4" xfId="10088" xr:uid="{35BFFC15-0D68-47A0-B30F-613D259554D6}"/>
    <cellStyle name="Comma 4 3 5 5" xfId="1970" xr:uid="{00000000-0005-0000-0000-0000BF090000}"/>
    <cellStyle name="Comma 4 3 5 5 2" xfId="4199" xr:uid="{00000000-0005-0000-0000-0000C0090000}"/>
    <cellStyle name="Comma 4 3 5 5 2 2" xfId="8422" xr:uid="{00000000-0005-0000-0000-0000C1090000}"/>
    <cellStyle name="Comma 4 3 5 5 2 2 2" xfId="16864" xr:uid="{813465FC-0417-436D-AAA0-AA9A135A19F9}"/>
    <cellStyle name="Comma 4 3 5 5 2 3" xfId="12646" xr:uid="{8C50D6DE-A9A8-4523-9672-A6B116A8D469}"/>
    <cellStyle name="Comma 4 3 5 5 3" xfId="6277" xr:uid="{00000000-0005-0000-0000-0000C2090000}"/>
    <cellStyle name="Comma 4 3 5 5 3 2" xfId="14719" xr:uid="{A0211709-D17D-4F37-9752-8D45D368368C}"/>
    <cellStyle name="Comma 4 3 5 5 4" xfId="10501" xr:uid="{46FCA8CB-8B16-466F-B460-0468F30CA02D}"/>
    <cellStyle name="Comma 4 3 5 6" xfId="2405" xr:uid="{00000000-0005-0000-0000-0000C3090000}"/>
    <cellStyle name="Comma 4 3 5 6 2" xfId="6690" xr:uid="{00000000-0005-0000-0000-0000C4090000}"/>
    <cellStyle name="Comma 4 3 5 6 2 2" xfId="15132" xr:uid="{C1911DE6-222B-457D-9621-1D0B5D1CF268}"/>
    <cellStyle name="Comma 4 3 5 6 3" xfId="10914" xr:uid="{A5899832-8451-45CA-AFE7-2B12E8E3ACE2}"/>
    <cellStyle name="Comma 4 3 5 7" xfId="2701" xr:uid="{00000000-0005-0000-0000-0000C5090000}"/>
    <cellStyle name="Comma 4 3 5 8" xfId="2783" xr:uid="{00000000-0005-0000-0000-0000C6090000}"/>
    <cellStyle name="Comma 4 3 5 8 2" xfId="7007" xr:uid="{00000000-0005-0000-0000-0000C7090000}"/>
    <cellStyle name="Comma 4 3 5 8 2 2" xfId="15449" xr:uid="{51C05BCD-A491-4BF0-9ADA-F3C11A869465}"/>
    <cellStyle name="Comma 4 3 5 8 3" xfId="11231" xr:uid="{E082D8EF-C640-4A45-B849-3BF5CB77DCCF}"/>
    <cellStyle name="Comma 4 3 5 9" xfId="4624" xr:uid="{00000000-0005-0000-0000-0000C8090000}"/>
    <cellStyle name="Comma 4 3 5 9 2" xfId="13066" xr:uid="{909CC426-AA2F-44E3-AE56-10E224577B1F}"/>
    <cellStyle name="Comma 4 4" xfId="153" xr:uid="{00000000-0005-0000-0000-0000C9090000}"/>
    <cellStyle name="Comma 4 4 10" xfId="2784" xr:uid="{00000000-0005-0000-0000-0000CA090000}"/>
    <cellStyle name="Comma 4 4 10 2" xfId="7008" xr:uid="{00000000-0005-0000-0000-0000CB090000}"/>
    <cellStyle name="Comma 4 4 10 2 2" xfId="15450" xr:uid="{44DF6E94-1A41-4096-94DE-7853C1674B93}"/>
    <cellStyle name="Comma 4 4 10 3" xfId="11232" xr:uid="{91B8AC75-9B48-43F2-8CFB-76F3CDB5EFD1}"/>
    <cellStyle name="Comma 4 4 11" xfId="4625" xr:uid="{00000000-0005-0000-0000-0000CC090000}"/>
    <cellStyle name="Comma 4 4 11 2" xfId="13067" xr:uid="{E123BD27-587D-4688-A39E-DB02F685ADEA}"/>
    <cellStyle name="Comma 4 4 12" xfId="8849" xr:uid="{C04B85CE-6456-4373-B7AB-BA15B0C3C2D1}"/>
    <cellStyle name="Comma 4 4 2" xfId="154" xr:uid="{00000000-0005-0000-0000-0000CD090000}"/>
    <cellStyle name="Comma 4 4 2 10" xfId="4626" xr:uid="{00000000-0005-0000-0000-0000CE090000}"/>
    <cellStyle name="Comma 4 4 2 10 2" xfId="13068" xr:uid="{3D4265D9-DB32-4B4C-BFEF-F0B80836FE8F}"/>
    <cellStyle name="Comma 4 4 2 11" xfId="8850" xr:uid="{B47228FD-B21B-4DB1-9022-B0439F949265}"/>
    <cellStyle name="Comma 4 4 2 2" xfId="155" xr:uid="{00000000-0005-0000-0000-0000CF090000}"/>
    <cellStyle name="Comma 4 4 2 2 10" xfId="8851" xr:uid="{19997DBF-0F92-43B3-96FC-1C32BEE8F44D}"/>
    <cellStyle name="Comma 4 4 2 2 2" xfId="692" xr:uid="{00000000-0005-0000-0000-0000D0090000}"/>
    <cellStyle name="Comma 4 4 2 2 2 2" xfId="2963" xr:uid="{00000000-0005-0000-0000-0000D1090000}"/>
    <cellStyle name="Comma 4 4 2 2 2 2 2" xfId="7186" xr:uid="{00000000-0005-0000-0000-0000D2090000}"/>
    <cellStyle name="Comma 4 4 2 2 2 2 2 2" xfId="15628" xr:uid="{2CE0EF5B-B9B7-4935-9827-4004D346F82B}"/>
    <cellStyle name="Comma 4 4 2 2 2 2 3" xfId="11410" xr:uid="{F2A9E79C-07AB-4D40-B78C-D860453EA452}"/>
    <cellStyle name="Comma 4 4 2 2 2 3" xfId="5041" xr:uid="{00000000-0005-0000-0000-0000D3090000}"/>
    <cellStyle name="Comma 4 4 2 2 2 3 2" xfId="13483" xr:uid="{A1B19C33-950E-4AAE-B517-46E7CB5DE062}"/>
    <cellStyle name="Comma 4 4 2 2 2 4" xfId="9265" xr:uid="{21052462-CFFE-4681-85A2-9C4549A5B3DB}"/>
    <cellStyle name="Comma 4 4 2 2 3" xfId="1145" xr:uid="{00000000-0005-0000-0000-0000D4090000}"/>
    <cellStyle name="Comma 4 4 2 2 3 2" xfId="3376" xr:uid="{00000000-0005-0000-0000-0000D5090000}"/>
    <cellStyle name="Comma 4 4 2 2 3 2 2" xfId="7599" xr:uid="{00000000-0005-0000-0000-0000D6090000}"/>
    <cellStyle name="Comma 4 4 2 2 3 2 2 2" xfId="16041" xr:uid="{FA7B6D23-A0E7-4E7E-8698-2E4DDC98C059}"/>
    <cellStyle name="Comma 4 4 2 2 3 2 3" xfId="11823" xr:uid="{78FB3DD6-4AB7-4432-9179-7B001C701006}"/>
    <cellStyle name="Comma 4 4 2 2 3 3" xfId="5454" xr:uid="{00000000-0005-0000-0000-0000D7090000}"/>
    <cellStyle name="Comma 4 4 2 2 3 3 2" xfId="13896" xr:uid="{F8396C20-CC45-4E06-B2EC-1AF657ECD221}"/>
    <cellStyle name="Comma 4 4 2 2 3 4" xfId="9678" xr:uid="{121F610F-687C-4441-ABD5-F73E4884D2C8}"/>
    <cellStyle name="Comma 4 4 2 2 4" xfId="1559" xr:uid="{00000000-0005-0000-0000-0000D8090000}"/>
    <cellStyle name="Comma 4 4 2 2 4 2" xfId="3789" xr:uid="{00000000-0005-0000-0000-0000D9090000}"/>
    <cellStyle name="Comma 4 4 2 2 4 2 2" xfId="8012" xr:uid="{00000000-0005-0000-0000-0000DA090000}"/>
    <cellStyle name="Comma 4 4 2 2 4 2 2 2" xfId="16454" xr:uid="{D81537D1-692C-49DD-919D-5877D47D30C1}"/>
    <cellStyle name="Comma 4 4 2 2 4 2 3" xfId="12236" xr:uid="{0C1B454D-4012-4609-9396-F53B2E1FFF4D}"/>
    <cellStyle name="Comma 4 4 2 2 4 3" xfId="5867" xr:uid="{00000000-0005-0000-0000-0000DB090000}"/>
    <cellStyle name="Comma 4 4 2 2 4 3 2" xfId="14309" xr:uid="{D6E3BA14-D432-4F92-A329-1E19298C2862}"/>
    <cellStyle name="Comma 4 4 2 2 4 4" xfId="10091" xr:uid="{55CFEAE5-14AF-4F9E-9E29-F33AD29636BB}"/>
    <cellStyle name="Comma 4 4 2 2 5" xfId="1973" xr:uid="{00000000-0005-0000-0000-0000DC090000}"/>
    <cellStyle name="Comma 4 4 2 2 5 2" xfId="4202" xr:uid="{00000000-0005-0000-0000-0000DD090000}"/>
    <cellStyle name="Comma 4 4 2 2 5 2 2" xfId="8425" xr:uid="{00000000-0005-0000-0000-0000DE090000}"/>
    <cellStyle name="Comma 4 4 2 2 5 2 2 2" xfId="16867" xr:uid="{436A00D4-A9B4-46CB-81FA-B90D28CE4FE6}"/>
    <cellStyle name="Comma 4 4 2 2 5 2 3" xfId="12649" xr:uid="{56199F74-EA52-4E66-A6F4-1343BCDE1E57}"/>
    <cellStyle name="Comma 4 4 2 2 5 3" xfId="6280" xr:uid="{00000000-0005-0000-0000-0000DF090000}"/>
    <cellStyle name="Comma 4 4 2 2 5 3 2" xfId="14722" xr:uid="{6ACAE622-E83D-4E85-8C77-B3E3D5E73D89}"/>
    <cellStyle name="Comma 4 4 2 2 5 4" xfId="10504" xr:uid="{E25D69E4-8DF9-404E-B346-A6643015F5D7}"/>
    <cellStyle name="Comma 4 4 2 2 6" xfId="2408" xr:uid="{00000000-0005-0000-0000-0000E0090000}"/>
    <cellStyle name="Comma 4 4 2 2 6 2" xfId="6693" xr:uid="{00000000-0005-0000-0000-0000E1090000}"/>
    <cellStyle name="Comma 4 4 2 2 6 2 2" xfId="15135" xr:uid="{4DC6EEAF-558F-4980-8234-44E8DF9A0E1C}"/>
    <cellStyle name="Comma 4 4 2 2 6 3" xfId="10917" xr:uid="{43288129-8F1B-417F-AF9D-727864E093D9}"/>
    <cellStyle name="Comma 4 4 2 2 7" xfId="2704" xr:uid="{00000000-0005-0000-0000-0000E2090000}"/>
    <cellStyle name="Comma 4 4 2 2 8" xfId="2786" xr:uid="{00000000-0005-0000-0000-0000E3090000}"/>
    <cellStyle name="Comma 4 4 2 2 8 2" xfId="7010" xr:uid="{00000000-0005-0000-0000-0000E4090000}"/>
    <cellStyle name="Comma 4 4 2 2 8 2 2" xfId="15452" xr:uid="{540AD280-87EA-42CD-8562-197789DFA1F4}"/>
    <cellStyle name="Comma 4 4 2 2 8 3" xfId="11234" xr:uid="{F83DE882-BEDF-4496-AE47-EA139D5D215C}"/>
    <cellStyle name="Comma 4 4 2 2 9" xfId="4627" xr:uid="{00000000-0005-0000-0000-0000E5090000}"/>
    <cellStyle name="Comma 4 4 2 2 9 2" xfId="13069" xr:uid="{A25104F1-6ED8-4937-8867-C51925A9CC49}"/>
    <cellStyle name="Comma 4 4 2 3" xfId="691" xr:uid="{00000000-0005-0000-0000-0000E6090000}"/>
    <cellStyle name="Comma 4 4 2 3 2" xfId="2962" xr:uid="{00000000-0005-0000-0000-0000E7090000}"/>
    <cellStyle name="Comma 4 4 2 3 2 2" xfId="7185" xr:uid="{00000000-0005-0000-0000-0000E8090000}"/>
    <cellStyle name="Comma 4 4 2 3 2 2 2" xfId="15627" xr:uid="{63642B3D-75DA-4547-B733-405D698DC3B5}"/>
    <cellStyle name="Comma 4 4 2 3 2 3" xfId="11409" xr:uid="{87283580-2D29-47F5-B938-E81CB28D09B0}"/>
    <cellStyle name="Comma 4 4 2 3 3" xfId="5040" xr:uid="{00000000-0005-0000-0000-0000E9090000}"/>
    <cellStyle name="Comma 4 4 2 3 3 2" xfId="13482" xr:uid="{EC16F8F9-6410-480F-A43F-CA8998F1ABD5}"/>
    <cellStyle name="Comma 4 4 2 3 4" xfId="9264" xr:uid="{814BA66A-4FFB-4296-9983-D1E537F51497}"/>
    <cellStyle name="Comma 4 4 2 4" xfId="1144" xr:uid="{00000000-0005-0000-0000-0000EA090000}"/>
    <cellStyle name="Comma 4 4 2 4 2" xfId="3375" xr:uid="{00000000-0005-0000-0000-0000EB090000}"/>
    <cellStyle name="Comma 4 4 2 4 2 2" xfId="7598" xr:uid="{00000000-0005-0000-0000-0000EC090000}"/>
    <cellStyle name="Comma 4 4 2 4 2 2 2" xfId="16040" xr:uid="{A6530385-2155-4B04-BCEA-DD68B01F6764}"/>
    <cellStyle name="Comma 4 4 2 4 2 3" xfId="11822" xr:uid="{D3395717-FF77-49DC-A4AB-C97BFBAB90F0}"/>
    <cellStyle name="Comma 4 4 2 4 3" xfId="5453" xr:uid="{00000000-0005-0000-0000-0000ED090000}"/>
    <cellStyle name="Comma 4 4 2 4 3 2" xfId="13895" xr:uid="{FB7E7F23-0C18-44B6-B9D6-066161E33EC9}"/>
    <cellStyle name="Comma 4 4 2 4 4" xfId="9677" xr:uid="{0A7037F8-8B4A-4463-B12E-7317ABA333DB}"/>
    <cellStyle name="Comma 4 4 2 5" xfId="1558" xr:uid="{00000000-0005-0000-0000-0000EE090000}"/>
    <cellStyle name="Comma 4 4 2 5 2" xfId="3788" xr:uid="{00000000-0005-0000-0000-0000EF090000}"/>
    <cellStyle name="Comma 4 4 2 5 2 2" xfId="8011" xr:uid="{00000000-0005-0000-0000-0000F0090000}"/>
    <cellStyle name="Comma 4 4 2 5 2 2 2" xfId="16453" xr:uid="{E08FBD85-9E8E-44FE-B1FE-19F052AC80CB}"/>
    <cellStyle name="Comma 4 4 2 5 2 3" xfId="12235" xr:uid="{FD7BA476-D876-4D9D-9631-AE3CED25D273}"/>
    <cellStyle name="Comma 4 4 2 5 3" xfId="5866" xr:uid="{00000000-0005-0000-0000-0000F1090000}"/>
    <cellStyle name="Comma 4 4 2 5 3 2" xfId="14308" xr:uid="{73F3CCDB-89D9-4CB5-A085-15C22060CB6E}"/>
    <cellStyle name="Comma 4 4 2 5 4" xfId="10090" xr:uid="{028C86A5-C182-4BC9-B83E-48C7565C2991}"/>
    <cellStyle name="Comma 4 4 2 6" xfId="1972" xr:uid="{00000000-0005-0000-0000-0000F2090000}"/>
    <cellStyle name="Comma 4 4 2 6 2" xfId="4201" xr:uid="{00000000-0005-0000-0000-0000F3090000}"/>
    <cellStyle name="Comma 4 4 2 6 2 2" xfId="8424" xr:uid="{00000000-0005-0000-0000-0000F4090000}"/>
    <cellStyle name="Comma 4 4 2 6 2 2 2" xfId="16866" xr:uid="{70586BB4-53D6-4189-942E-1DEB9624CB78}"/>
    <cellStyle name="Comma 4 4 2 6 2 3" xfId="12648" xr:uid="{8A87A1EA-1F94-438D-B944-9F495C2D2572}"/>
    <cellStyle name="Comma 4 4 2 6 3" xfId="6279" xr:uid="{00000000-0005-0000-0000-0000F5090000}"/>
    <cellStyle name="Comma 4 4 2 6 3 2" xfId="14721" xr:uid="{FF516DC5-4AEA-4D17-B659-2F335758FEF3}"/>
    <cellStyle name="Comma 4 4 2 6 4" xfId="10503" xr:uid="{D5E4D9A9-0AB4-4DA2-9C7E-634CA698FE39}"/>
    <cellStyle name="Comma 4 4 2 7" xfId="2407" xr:uid="{00000000-0005-0000-0000-0000F6090000}"/>
    <cellStyle name="Comma 4 4 2 7 2" xfId="6692" xr:uid="{00000000-0005-0000-0000-0000F7090000}"/>
    <cellStyle name="Comma 4 4 2 7 2 2" xfId="15134" xr:uid="{0DBC032C-5D10-4E80-AC86-F515075D26A9}"/>
    <cellStyle name="Comma 4 4 2 7 3" xfId="10916" xr:uid="{29604BB2-1A92-49D4-9A67-004832048284}"/>
    <cellStyle name="Comma 4 4 2 8" xfId="2703" xr:uid="{00000000-0005-0000-0000-0000F8090000}"/>
    <cellStyle name="Comma 4 4 2 9" xfId="2785" xr:uid="{00000000-0005-0000-0000-0000F9090000}"/>
    <cellStyle name="Comma 4 4 2 9 2" xfId="7009" xr:uid="{00000000-0005-0000-0000-0000FA090000}"/>
    <cellStyle name="Comma 4 4 2 9 2 2" xfId="15451" xr:uid="{87EF2638-CFB0-4AE9-8C42-A75948ADFC0D}"/>
    <cellStyle name="Comma 4 4 2 9 3" xfId="11233" xr:uid="{E65A888A-0C96-43CF-BC7D-5F466AB88338}"/>
    <cellStyle name="Comma 4 4 3" xfId="156" xr:uid="{00000000-0005-0000-0000-0000FB090000}"/>
    <cellStyle name="Comma 4 4 3 10" xfId="8852" xr:uid="{C3759674-5DA1-49F4-8883-7A59D8F7B09B}"/>
    <cellStyle name="Comma 4 4 3 2" xfId="693" xr:uid="{00000000-0005-0000-0000-0000FC090000}"/>
    <cellStyle name="Comma 4 4 3 2 2" xfId="2964" xr:uid="{00000000-0005-0000-0000-0000FD090000}"/>
    <cellStyle name="Comma 4 4 3 2 2 2" xfId="7187" xr:uid="{00000000-0005-0000-0000-0000FE090000}"/>
    <cellStyle name="Comma 4 4 3 2 2 2 2" xfId="15629" xr:uid="{40A67D3B-9453-458B-B9A9-F37EAD602616}"/>
    <cellStyle name="Comma 4 4 3 2 2 3" xfId="11411" xr:uid="{82F74E0A-B207-4158-96C7-9DD45F78289D}"/>
    <cellStyle name="Comma 4 4 3 2 3" xfId="5042" xr:uid="{00000000-0005-0000-0000-0000FF090000}"/>
    <cellStyle name="Comma 4 4 3 2 3 2" xfId="13484" xr:uid="{94E57662-D8DA-4D2C-924E-0AF7A1CFAF08}"/>
    <cellStyle name="Comma 4 4 3 2 4" xfId="9266" xr:uid="{9AEFFD94-6B23-493C-B91E-B22313FC7FB6}"/>
    <cellStyle name="Comma 4 4 3 3" xfId="1146" xr:uid="{00000000-0005-0000-0000-0000000A0000}"/>
    <cellStyle name="Comma 4 4 3 3 2" xfId="3377" xr:uid="{00000000-0005-0000-0000-0000010A0000}"/>
    <cellStyle name="Comma 4 4 3 3 2 2" xfId="7600" xr:uid="{00000000-0005-0000-0000-0000020A0000}"/>
    <cellStyle name="Comma 4 4 3 3 2 2 2" xfId="16042" xr:uid="{35B3F6E9-4124-46E8-BFA1-5E918985384C}"/>
    <cellStyle name="Comma 4 4 3 3 2 3" xfId="11824" xr:uid="{DD458753-388B-4FB5-A78E-61B25A3FFD5D}"/>
    <cellStyle name="Comma 4 4 3 3 3" xfId="5455" xr:uid="{00000000-0005-0000-0000-0000030A0000}"/>
    <cellStyle name="Comma 4 4 3 3 3 2" xfId="13897" xr:uid="{4053826C-EB3C-4E2B-B745-205AB733AB5F}"/>
    <cellStyle name="Comma 4 4 3 3 4" xfId="9679" xr:uid="{3E0BDDA3-E92A-496A-9013-9128E1312960}"/>
    <cellStyle name="Comma 4 4 3 4" xfId="1560" xr:uid="{00000000-0005-0000-0000-0000040A0000}"/>
    <cellStyle name="Comma 4 4 3 4 2" xfId="3790" xr:uid="{00000000-0005-0000-0000-0000050A0000}"/>
    <cellStyle name="Comma 4 4 3 4 2 2" xfId="8013" xr:uid="{00000000-0005-0000-0000-0000060A0000}"/>
    <cellStyle name="Comma 4 4 3 4 2 2 2" xfId="16455" xr:uid="{4C68A003-C6AB-49D5-AC7D-4A8EF23694BB}"/>
    <cellStyle name="Comma 4 4 3 4 2 3" xfId="12237" xr:uid="{213E5952-9888-4580-A6C8-6D1BD4F29290}"/>
    <cellStyle name="Comma 4 4 3 4 3" xfId="5868" xr:uid="{00000000-0005-0000-0000-0000070A0000}"/>
    <cellStyle name="Comma 4 4 3 4 3 2" xfId="14310" xr:uid="{D581120A-B571-4B23-BCE4-D1BA55341EB4}"/>
    <cellStyle name="Comma 4 4 3 4 4" xfId="10092" xr:uid="{ED9AE40D-14B1-4335-98CE-EDF6B1F6EEE1}"/>
    <cellStyle name="Comma 4 4 3 5" xfId="1974" xr:uid="{00000000-0005-0000-0000-0000080A0000}"/>
    <cellStyle name="Comma 4 4 3 5 2" xfId="4203" xr:uid="{00000000-0005-0000-0000-0000090A0000}"/>
    <cellStyle name="Comma 4 4 3 5 2 2" xfId="8426" xr:uid="{00000000-0005-0000-0000-00000A0A0000}"/>
    <cellStyle name="Comma 4 4 3 5 2 2 2" xfId="16868" xr:uid="{AF2C2E6C-B749-48B1-9912-2966268085A1}"/>
    <cellStyle name="Comma 4 4 3 5 2 3" xfId="12650" xr:uid="{E8818C2B-BCDC-4C5D-92FE-2EEEF463EC67}"/>
    <cellStyle name="Comma 4 4 3 5 3" xfId="6281" xr:uid="{00000000-0005-0000-0000-00000B0A0000}"/>
    <cellStyle name="Comma 4 4 3 5 3 2" xfId="14723" xr:uid="{E264FC0C-9392-4322-B091-5B20CAF1DFC0}"/>
    <cellStyle name="Comma 4 4 3 5 4" xfId="10505" xr:uid="{56315B82-5868-4581-BA10-F4F7A123ECE5}"/>
    <cellStyle name="Comma 4 4 3 6" xfId="2409" xr:uid="{00000000-0005-0000-0000-00000C0A0000}"/>
    <cellStyle name="Comma 4 4 3 6 2" xfId="6694" xr:uid="{00000000-0005-0000-0000-00000D0A0000}"/>
    <cellStyle name="Comma 4 4 3 6 2 2" xfId="15136" xr:uid="{36BA9647-6B4F-43DB-8186-91A4E9C9BB1E}"/>
    <cellStyle name="Comma 4 4 3 6 3" xfId="10918" xr:uid="{B674EB22-EBE4-4CE4-B1B7-57CFAEC1E476}"/>
    <cellStyle name="Comma 4 4 3 7" xfId="2705" xr:uid="{00000000-0005-0000-0000-00000E0A0000}"/>
    <cellStyle name="Comma 4 4 3 8" xfId="2787" xr:uid="{00000000-0005-0000-0000-00000F0A0000}"/>
    <cellStyle name="Comma 4 4 3 8 2" xfId="7011" xr:uid="{00000000-0005-0000-0000-0000100A0000}"/>
    <cellStyle name="Comma 4 4 3 8 2 2" xfId="15453" xr:uid="{991CA26F-3464-4567-966E-327B257C759A}"/>
    <cellStyle name="Comma 4 4 3 8 3" xfId="11235" xr:uid="{ACECC7D9-CC38-4C4D-8506-12A74247859C}"/>
    <cellStyle name="Comma 4 4 3 9" xfId="4628" xr:uid="{00000000-0005-0000-0000-0000110A0000}"/>
    <cellStyle name="Comma 4 4 3 9 2" xfId="13070" xr:uid="{0A101EB1-3C1D-402C-82FB-3B3038A3127E}"/>
    <cellStyle name="Comma 4 4 4" xfId="690" xr:uid="{00000000-0005-0000-0000-0000120A0000}"/>
    <cellStyle name="Comma 4 4 4 2" xfId="2961" xr:uid="{00000000-0005-0000-0000-0000130A0000}"/>
    <cellStyle name="Comma 4 4 4 2 2" xfId="7184" xr:uid="{00000000-0005-0000-0000-0000140A0000}"/>
    <cellStyle name="Comma 4 4 4 2 2 2" xfId="15626" xr:uid="{91E9BDFC-786A-4637-9BF5-864ADBA33BC2}"/>
    <cellStyle name="Comma 4 4 4 2 3" xfId="11408" xr:uid="{B38D1E96-C29B-47F5-8934-A21F2180C653}"/>
    <cellStyle name="Comma 4 4 4 3" xfId="5039" xr:uid="{00000000-0005-0000-0000-0000150A0000}"/>
    <cellStyle name="Comma 4 4 4 3 2" xfId="13481" xr:uid="{07F5952E-A19F-498B-9F15-9F2C086C0D1E}"/>
    <cellStyle name="Comma 4 4 4 4" xfId="9263" xr:uid="{BF708D94-B986-4F2B-98D7-FB3FF06CA6B2}"/>
    <cellStyle name="Comma 4 4 5" xfId="1143" xr:uid="{00000000-0005-0000-0000-0000160A0000}"/>
    <cellStyle name="Comma 4 4 5 2" xfId="3374" xr:uid="{00000000-0005-0000-0000-0000170A0000}"/>
    <cellStyle name="Comma 4 4 5 2 2" xfId="7597" xr:uid="{00000000-0005-0000-0000-0000180A0000}"/>
    <cellStyle name="Comma 4 4 5 2 2 2" xfId="16039" xr:uid="{69C280AA-C9EF-4121-808E-683E107B6C06}"/>
    <cellStyle name="Comma 4 4 5 2 3" xfId="11821" xr:uid="{5F323709-B584-45AE-BDC4-9E30456BF55F}"/>
    <cellStyle name="Comma 4 4 5 3" xfId="5452" xr:uid="{00000000-0005-0000-0000-0000190A0000}"/>
    <cellStyle name="Comma 4 4 5 3 2" xfId="13894" xr:uid="{54166649-9DB2-44DA-9C5C-43C80BE26E43}"/>
    <cellStyle name="Comma 4 4 5 4" xfId="9676" xr:uid="{3DD52291-FAEF-4A31-89FA-50477A22E8C9}"/>
    <cellStyle name="Comma 4 4 6" xfId="1557" xr:uid="{00000000-0005-0000-0000-00001A0A0000}"/>
    <cellStyle name="Comma 4 4 6 2" xfId="3787" xr:uid="{00000000-0005-0000-0000-00001B0A0000}"/>
    <cellStyle name="Comma 4 4 6 2 2" xfId="8010" xr:uid="{00000000-0005-0000-0000-00001C0A0000}"/>
    <cellStyle name="Comma 4 4 6 2 2 2" xfId="16452" xr:uid="{5D267EC2-505D-46A2-9AB0-B7F6CCF88D97}"/>
    <cellStyle name="Comma 4 4 6 2 3" xfId="12234" xr:uid="{28754540-0B39-4680-B892-7459554A3F6F}"/>
    <cellStyle name="Comma 4 4 6 3" xfId="5865" xr:uid="{00000000-0005-0000-0000-00001D0A0000}"/>
    <cellStyle name="Comma 4 4 6 3 2" xfId="14307" xr:uid="{FB4BB092-38EB-4CFC-AB07-F4B4C993118E}"/>
    <cellStyle name="Comma 4 4 6 4" xfId="10089" xr:uid="{D4D9C9F2-C305-42A0-8C93-03B570DD2596}"/>
    <cellStyle name="Comma 4 4 7" xfId="1971" xr:uid="{00000000-0005-0000-0000-00001E0A0000}"/>
    <cellStyle name="Comma 4 4 7 2" xfId="4200" xr:uid="{00000000-0005-0000-0000-00001F0A0000}"/>
    <cellStyle name="Comma 4 4 7 2 2" xfId="8423" xr:uid="{00000000-0005-0000-0000-0000200A0000}"/>
    <cellStyle name="Comma 4 4 7 2 2 2" xfId="16865" xr:uid="{5EE6B6B4-91C7-41EE-9143-34D7EB7B4E69}"/>
    <cellStyle name="Comma 4 4 7 2 3" xfId="12647" xr:uid="{5CDA13D2-F5C1-490C-9C69-872D464AA2AB}"/>
    <cellStyle name="Comma 4 4 7 3" xfId="6278" xr:uid="{00000000-0005-0000-0000-0000210A0000}"/>
    <cellStyle name="Comma 4 4 7 3 2" xfId="14720" xr:uid="{7B9A5575-4ECD-4862-A65B-1A6C345E1B40}"/>
    <cellStyle name="Comma 4 4 7 4" xfId="10502" xr:uid="{B1689C9B-6038-436A-921C-14BDC81476BE}"/>
    <cellStyle name="Comma 4 4 8" xfId="2406" xr:uid="{00000000-0005-0000-0000-0000220A0000}"/>
    <cellStyle name="Comma 4 4 8 2" xfId="6691" xr:uid="{00000000-0005-0000-0000-0000230A0000}"/>
    <cellStyle name="Comma 4 4 8 2 2" xfId="15133" xr:uid="{334C602B-7B2D-416B-BEDF-337D82BDA068}"/>
    <cellStyle name="Comma 4 4 8 3" xfId="10915" xr:uid="{99042349-FD63-44D1-8BF5-9DFD7338B80A}"/>
    <cellStyle name="Comma 4 4 9" xfId="2702" xr:uid="{00000000-0005-0000-0000-0000240A0000}"/>
    <cellStyle name="Comma 4 5" xfId="157" xr:uid="{00000000-0005-0000-0000-0000250A0000}"/>
    <cellStyle name="Comma 4 5 10" xfId="4629" xr:uid="{00000000-0005-0000-0000-0000260A0000}"/>
    <cellStyle name="Comma 4 5 10 2" xfId="13071" xr:uid="{79884A3B-1505-49D3-8B3B-923E470B98C3}"/>
    <cellStyle name="Comma 4 5 11" xfId="8853" xr:uid="{4925D52C-CAAD-4A22-AFB6-B9E0E126196B}"/>
    <cellStyle name="Comma 4 5 2" xfId="158" xr:uid="{00000000-0005-0000-0000-0000270A0000}"/>
    <cellStyle name="Comma 4 5 2 10" xfId="8854" xr:uid="{EA583A69-27EA-4AEF-9E40-D7E4294B1C1C}"/>
    <cellStyle name="Comma 4 5 2 2" xfId="695" xr:uid="{00000000-0005-0000-0000-0000280A0000}"/>
    <cellStyle name="Comma 4 5 2 2 2" xfId="2966" xr:uid="{00000000-0005-0000-0000-0000290A0000}"/>
    <cellStyle name="Comma 4 5 2 2 2 2" xfId="7189" xr:uid="{00000000-0005-0000-0000-00002A0A0000}"/>
    <cellStyle name="Comma 4 5 2 2 2 2 2" xfId="15631" xr:uid="{A11B73C4-4CF1-41FE-A2D8-9A7DB6785DA9}"/>
    <cellStyle name="Comma 4 5 2 2 2 3" xfId="11413" xr:uid="{80E063E3-5BF8-4777-8A0D-2D988CF49AE1}"/>
    <cellStyle name="Comma 4 5 2 2 3" xfId="5044" xr:uid="{00000000-0005-0000-0000-00002B0A0000}"/>
    <cellStyle name="Comma 4 5 2 2 3 2" xfId="13486" xr:uid="{A6AB545F-BA16-4C3F-8833-C68F660EE544}"/>
    <cellStyle name="Comma 4 5 2 2 4" xfId="9268" xr:uid="{85F59D7A-0F98-41F2-9652-F6551F8E8AFE}"/>
    <cellStyle name="Comma 4 5 2 3" xfId="1148" xr:uid="{00000000-0005-0000-0000-00002C0A0000}"/>
    <cellStyle name="Comma 4 5 2 3 2" xfId="3379" xr:uid="{00000000-0005-0000-0000-00002D0A0000}"/>
    <cellStyle name="Comma 4 5 2 3 2 2" xfId="7602" xr:uid="{00000000-0005-0000-0000-00002E0A0000}"/>
    <cellStyle name="Comma 4 5 2 3 2 2 2" xfId="16044" xr:uid="{4B3D8865-8780-48F0-868D-E676FAE128BF}"/>
    <cellStyle name="Comma 4 5 2 3 2 3" xfId="11826" xr:uid="{97EED267-E97A-4A70-8B2D-F9F3BB9C9F1E}"/>
    <cellStyle name="Comma 4 5 2 3 3" xfId="5457" xr:uid="{00000000-0005-0000-0000-00002F0A0000}"/>
    <cellStyle name="Comma 4 5 2 3 3 2" xfId="13899" xr:uid="{65A4473F-0870-4B61-B511-21BB2C19CDC9}"/>
    <cellStyle name="Comma 4 5 2 3 4" xfId="9681" xr:uid="{AB569A37-00A8-41AC-A253-22E5BF5CC118}"/>
    <cellStyle name="Comma 4 5 2 4" xfId="1562" xr:uid="{00000000-0005-0000-0000-0000300A0000}"/>
    <cellStyle name="Comma 4 5 2 4 2" xfId="3792" xr:uid="{00000000-0005-0000-0000-0000310A0000}"/>
    <cellStyle name="Comma 4 5 2 4 2 2" xfId="8015" xr:uid="{00000000-0005-0000-0000-0000320A0000}"/>
    <cellStyle name="Comma 4 5 2 4 2 2 2" xfId="16457" xr:uid="{96E100E0-EC50-44CE-B436-3A68C6C94F1D}"/>
    <cellStyle name="Comma 4 5 2 4 2 3" xfId="12239" xr:uid="{ACB2F83E-DE2F-4583-9360-47C249199B28}"/>
    <cellStyle name="Comma 4 5 2 4 3" xfId="5870" xr:uid="{00000000-0005-0000-0000-0000330A0000}"/>
    <cellStyle name="Comma 4 5 2 4 3 2" xfId="14312" xr:uid="{EC996DA0-F53E-42A2-903A-1D907BA1EA4A}"/>
    <cellStyle name="Comma 4 5 2 4 4" xfId="10094" xr:uid="{0F59B06A-E7DB-495D-A80E-72A9152FC766}"/>
    <cellStyle name="Comma 4 5 2 5" xfId="1976" xr:uid="{00000000-0005-0000-0000-0000340A0000}"/>
    <cellStyle name="Comma 4 5 2 5 2" xfId="4205" xr:uid="{00000000-0005-0000-0000-0000350A0000}"/>
    <cellStyle name="Comma 4 5 2 5 2 2" xfId="8428" xr:uid="{00000000-0005-0000-0000-0000360A0000}"/>
    <cellStyle name="Comma 4 5 2 5 2 2 2" xfId="16870" xr:uid="{0CBAD4DA-24B4-49C3-9AC1-ECD6041EC8C1}"/>
    <cellStyle name="Comma 4 5 2 5 2 3" xfId="12652" xr:uid="{2EF9F7FC-4AA3-4F39-A3C8-C43F5161135C}"/>
    <cellStyle name="Comma 4 5 2 5 3" xfId="6283" xr:uid="{00000000-0005-0000-0000-0000370A0000}"/>
    <cellStyle name="Comma 4 5 2 5 3 2" xfId="14725" xr:uid="{752CEBF1-4D19-4148-9EE4-0E75D8CA69E8}"/>
    <cellStyle name="Comma 4 5 2 5 4" xfId="10507" xr:uid="{9959CA98-D936-4C9B-8906-57E5FB5E5C17}"/>
    <cellStyle name="Comma 4 5 2 6" xfId="2411" xr:uid="{00000000-0005-0000-0000-0000380A0000}"/>
    <cellStyle name="Comma 4 5 2 6 2" xfId="6696" xr:uid="{00000000-0005-0000-0000-0000390A0000}"/>
    <cellStyle name="Comma 4 5 2 6 2 2" xfId="15138" xr:uid="{96F9BCB7-93FF-43EF-BBF4-475675EBAD52}"/>
    <cellStyle name="Comma 4 5 2 6 3" xfId="10920" xr:uid="{B5F057DC-7F85-45FC-80DD-F36D0608E404}"/>
    <cellStyle name="Comma 4 5 2 7" xfId="2707" xr:uid="{00000000-0005-0000-0000-00003A0A0000}"/>
    <cellStyle name="Comma 4 5 2 8" xfId="2789" xr:uid="{00000000-0005-0000-0000-00003B0A0000}"/>
    <cellStyle name="Comma 4 5 2 8 2" xfId="7013" xr:uid="{00000000-0005-0000-0000-00003C0A0000}"/>
    <cellStyle name="Comma 4 5 2 8 2 2" xfId="15455" xr:uid="{20368A8E-C395-4E47-95F6-1E3BB4406961}"/>
    <cellStyle name="Comma 4 5 2 8 3" xfId="11237" xr:uid="{81D93F27-DD5C-4248-903C-8E33C7BBA4EE}"/>
    <cellStyle name="Comma 4 5 2 9" xfId="4630" xr:uid="{00000000-0005-0000-0000-00003D0A0000}"/>
    <cellStyle name="Comma 4 5 2 9 2" xfId="13072" xr:uid="{43737385-F861-426F-8A5F-7ABD5B8C261B}"/>
    <cellStyle name="Comma 4 5 3" xfId="694" xr:uid="{00000000-0005-0000-0000-00003E0A0000}"/>
    <cellStyle name="Comma 4 5 3 2" xfId="2965" xr:uid="{00000000-0005-0000-0000-00003F0A0000}"/>
    <cellStyle name="Comma 4 5 3 2 2" xfId="7188" xr:uid="{00000000-0005-0000-0000-0000400A0000}"/>
    <cellStyle name="Comma 4 5 3 2 2 2" xfId="15630" xr:uid="{740D16AE-F113-42AE-8124-D97DB45DD26C}"/>
    <cellStyle name="Comma 4 5 3 2 3" xfId="11412" xr:uid="{1F2CE85D-1DF7-410D-B7EE-615E50AAF977}"/>
    <cellStyle name="Comma 4 5 3 3" xfId="5043" xr:uid="{00000000-0005-0000-0000-0000410A0000}"/>
    <cellStyle name="Comma 4 5 3 3 2" xfId="13485" xr:uid="{80887CED-6298-46C9-8BA5-EF109E938D60}"/>
    <cellStyle name="Comma 4 5 3 4" xfId="9267" xr:uid="{C7E184F9-5114-4E95-B0C7-82FA8ED0605B}"/>
    <cellStyle name="Comma 4 5 4" xfId="1147" xr:uid="{00000000-0005-0000-0000-0000420A0000}"/>
    <cellStyle name="Comma 4 5 4 2" xfId="3378" xr:uid="{00000000-0005-0000-0000-0000430A0000}"/>
    <cellStyle name="Comma 4 5 4 2 2" xfId="7601" xr:uid="{00000000-0005-0000-0000-0000440A0000}"/>
    <cellStyle name="Comma 4 5 4 2 2 2" xfId="16043" xr:uid="{08AFB793-1AE1-49B2-BF71-486A84EEE814}"/>
    <cellStyle name="Comma 4 5 4 2 3" xfId="11825" xr:uid="{CB6921A3-1DA8-4F4B-8343-3E8D1360E3F8}"/>
    <cellStyle name="Comma 4 5 4 3" xfId="5456" xr:uid="{00000000-0005-0000-0000-0000450A0000}"/>
    <cellStyle name="Comma 4 5 4 3 2" xfId="13898" xr:uid="{67678FC0-5756-47ED-8E31-470B96D7A304}"/>
    <cellStyle name="Comma 4 5 4 4" xfId="9680" xr:uid="{16464C99-B5B2-4D75-B5D6-41D6C5D8CEE6}"/>
    <cellStyle name="Comma 4 5 5" xfId="1561" xr:uid="{00000000-0005-0000-0000-0000460A0000}"/>
    <cellStyle name="Comma 4 5 5 2" xfId="3791" xr:uid="{00000000-0005-0000-0000-0000470A0000}"/>
    <cellStyle name="Comma 4 5 5 2 2" xfId="8014" xr:uid="{00000000-0005-0000-0000-0000480A0000}"/>
    <cellStyle name="Comma 4 5 5 2 2 2" xfId="16456" xr:uid="{C6EE6858-2345-4956-93B8-5405B94F3896}"/>
    <cellStyle name="Comma 4 5 5 2 3" xfId="12238" xr:uid="{248ED5E0-36F8-4DD1-B676-E691A9C623FE}"/>
    <cellStyle name="Comma 4 5 5 3" xfId="5869" xr:uid="{00000000-0005-0000-0000-0000490A0000}"/>
    <cellStyle name="Comma 4 5 5 3 2" xfId="14311" xr:uid="{D186FEC2-5BC7-4D38-A0B0-D9D1EFCC507A}"/>
    <cellStyle name="Comma 4 5 5 4" xfId="10093" xr:uid="{F4E52E36-5D51-4057-B97B-0E16FCC9271F}"/>
    <cellStyle name="Comma 4 5 6" xfId="1975" xr:uid="{00000000-0005-0000-0000-00004A0A0000}"/>
    <cellStyle name="Comma 4 5 6 2" xfId="4204" xr:uid="{00000000-0005-0000-0000-00004B0A0000}"/>
    <cellStyle name="Comma 4 5 6 2 2" xfId="8427" xr:uid="{00000000-0005-0000-0000-00004C0A0000}"/>
    <cellStyle name="Comma 4 5 6 2 2 2" xfId="16869" xr:uid="{5B2E434C-2C01-4BE6-A825-141406A5B1A9}"/>
    <cellStyle name="Comma 4 5 6 2 3" xfId="12651" xr:uid="{15F40EB7-3185-4689-AA2A-8A55484901CF}"/>
    <cellStyle name="Comma 4 5 6 3" xfId="6282" xr:uid="{00000000-0005-0000-0000-00004D0A0000}"/>
    <cellStyle name="Comma 4 5 6 3 2" xfId="14724" xr:uid="{92578275-B98B-4303-AACD-8CDF9CE168CB}"/>
    <cellStyle name="Comma 4 5 6 4" xfId="10506" xr:uid="{2A175DB4-FA14-4CE2-83EB-9A26E3C1AC94}"/>
    <cellStyle name="Comma 4 5 7" xfId="2410" xr:uid="{00000000-0005-0000-0000-00004E0A0000}"/>
    <cellStyle name="Comma 4 5 7 2" xfId="6695" xr:uid="{00000000-0005-0000-0000-00004F0A0000}"/>
    <cellStyle name="Comma 4 5 7 2 2" xfId="15137" xr:uid="{CCE50B1B-1BA9-49BC-9886-26D28C4453F5}"/>
    <cellStyle name="Comma 4 5 7 3" xfId="10919" xr:uid="{8837EFFE-70BA-45AB-B261-E12CED98D552}"/>
    <cellStyle name="Comma 4 5 8" xfId="2706" xr:uid="{00000000-0005-0000-0000-0000500A0000}"/>
    <cellStyle name="Comma 4 5 9" xfId="2788" xr:uid="{00000000-0005-0000-0000-0000510A0000}"/>
    <cellStyle name="Comma 4 5 9 2" xfId="7012" xr:uid="{00000000-0005-0000-0000-0000520A0000}"/>
    <cellStyle name="Comma 4 5 9 2 2" xfId="15454" xr:uid="{7C5BEA71-5D78-4F1B-B29A-F16EAA90EF3E}"/>
    <cellStyle name="Comma 4 5 9 3" xfId="11236" xr:uid="{A079AB96-78CE-4407-BF35-200B7E40D6D7}"/>
    <cellStyle name="Comma 4 6" xfId="159" xr:uid="{00000000-0005-0000-0000-0000530A0000}"/>
    <cellStyle name="Comma 4 6 10" xfId="8855" xr:uid="{A83C8545-3BC5-422F-B454-D0619852B1B8}"/>
    <cellStyle name="Comma 4 6 2" xfId="696" xr:uid="{00000000-0005-0000-0000-0000540A0000}"/>
    <cellStyle name="Comma 4 6 2 2" xfId="2967" xr:uid="{00000000-0005-0000-0000-0000550A0000}"/>
    <cellStyle name="Comma 4 6 2 2 2" xfId="7190" xr:uid="{00000000-0005-0000-0000-0000560A0000}"/>
    <cellStyle name="Comma 4 6 2 2 2 2" xfId="15632" xr:uid="{DA05F0DA-BDC7-4009-890C-D5C43478F960}"/>
    <cellStyle name="Comma 4 6 2 2 3" xfId="11414" xr:uid="{FD59207A-6CC1-413C-AB0F-EDA9FB1AE46D}"/>
    <cellStyle name="Comma 4 6 2 3" xfId="5045" xr:uid="{00000000-0005-0000-0000-0000570A0000}"/>
    <cellStyle name="Comma 4 6 2 3 2" xfId="13487" xr:uid="{DA7FA399-CAE5-4AF1-BA52-6EC26C2E1814}"/>
    <cellStyle name="Comma 4 6 2 4" xfId="9269" xr:uid="{87199454-5D77-466C-8E63-7B9295F06AF4}"/>
    <cellStyle name="Comma 4 6 3" xfId="1149" xr:uid="{00000000-0005-0000-0000-0000580A0000}"/>
    <cellStyle name="Comma 4 6 3 2" xfId="3380" xr:uid="{00000000-0005-0000-0000-0000590A0000}"/>
    <cellStyle name="Comma 4 6 3 2 2" xfId="7603" xr:uid="{00000000-0005-0000-0000-00005A0A0000}"/>
    <cellStyle name="Comma 4 6 3 2 2 2" xfId="16045" xr:uid="{7F95C43A-7BBD-4071-8D02-76C039532F98}"/>
    <cellStyle name="Comma 4 6 3 2 3" xfId="11827" xr:uid="{3C6CA0A0-15B1-46F3-B83C-D5FA12138102}"/>
    <cellStyle name="Comma 4 6 3 3" xfId="5458" xr:uid="{00000000-0005-0000-0000-00005B0A0000}"/>
    <cellStyle name="Comma 4 6 3 3 2" xfId="13900" xr:uid="{B27064FD-B2E8-40E4-A449-597317CF472D}"/>
    <cellStyle name="Comma 4 6 3 4" xfId="9682" xr:uid="{E990C9FD-CCB4-4CDF-8035-A3DCD06DBE7D}"/>
    <cellStyle name="Comma 4 6 4" xfId="1563" xr:uid="{00000000-0005-0000-0000-00005C0A0000}"/>
    <cellStyle name="Comma 4 6 4 2" xfId="3793" xr:uid="{00000000-0005-0000-0000-00005D0A0000}"/>
    <cellStyle name="Comma 4 6 4 2 2" xfId="8016" xr:uid="{00000000-0005-0000-0000-00005E0A0000}"/>
    <cellStyle name="Comma 4 6 4 2 2 2" xfId="16458" xr:uid="{A9CA9CCE-F97A-4667-8FBC-9F08A83FA217}"/>
    <cellStyle name="Comma 4 6 4 2 3" xfId="12240" xr:uid="{DDD956B0-ED63-4849-912A-14635D56B1D9}"/>
    <cellStyle name="Comma 4 6 4 3" xfId="5871" xr:uid="{00000000-0005-0000-0000-00005F0A0000}"/>
    <cellStyle name="Comma 4 6 4 3 2" xfId="14313" xr:uid="{2E4A4EF8-645D-4773-B77A-1A20FBDE1649}"/>
    <cellStyle name="Comma 4 6 4 4" xfId="10095" xr:uid="{F035C374-B304-4D62-AC26-4F4E3B39AE2E}"/>
    <cellStyle name="Comma 4 6 5" xfId="1977" xr:uid="{00000000-0005-0000-0000-0000600A0000}"/>
    <cellStyle name="Comma 4 6 5 2" xfId="4206" xr:uid="{00000000-0005-0000-0000-0000610A0000}"/>
    <cellStyle name="Comma 4 6 5 2 2" xfId="8429" xr:uid="{00000000-0005-0000-0000-0000620A0000}"/>
    <cellStyle name="Comma 4 6 5 2 2 2" xfId="16871" xr:uid="{B542E02F-782C-4BEE-BCB1-57E45F29AEF4}"/>
    <cellStyle name="Comma 4 6 5 2 3" xfId="12653" xr:uid="{8DB90C89-5333-419F-AADE-FD57B7FF3838}"/>
    <cellStyle name="Comma 4 6 5 3" xfId="6284" xr:uid="{00000000-0005-0000-0000-0000630A0000}"/>
    <cellStyle name="Comma 4 6 5 3 2" xfId="14726" xr:uid="{5D6C1686-A9D9-45DF-93D1-EF46409AC78E}"/>
    <cellStyle name="Comma 4 6 5 4" xfId="10508" xr:uid="{C01B5CEA-08AB-415E-BB28-304677C0FF3D}"/>
    <cellStyle name="Comma 4 6 6" xfId="2412" xr:uid="{00000000-0005-0000-0000-0000640A0000}"/>
    <cellStyle name="Comma 4 6 6 2" xfId="6697" xr:uid="{00000000-0005-0000-0000-0000650A0000}"/>
    <cellStyle name="Comma 4 6 6 2 2" xfId="15139" xr:uid="{436B6B00-E5F8-41DB-8C06-44759E2D15CE}"/>
    <cellStyle name="Comma 4 6 6 3" xfId="10921" xr:uid="{BB76D9A4-52F5-4617-8D59-07281CD982F3}"/>
    <cellStyle name="Comma 4 6 7" xfId="2708" xr:uid="{00000000-0005-0000-0000-0000660A0000}"/>
    <cellStyle name="Comma 4 6 8" xfId="2790" xr:uid="{00000000-0005-0000-0000-0000670A0000}"/>
    <cellStyle name="Comma 4 6 8 2" xfId="7014" xr:uid="{00000000-0005-0000-0000-0000680A0000}"/>
    <cellStyle name="Comma 4 6 8 2 2" xfId="15456" xr:uid="{1ADD2854-88A8-40BF-97F8-5152103F7F5D}"/>
    <cellStyle name="Comma 4 6 8 3" xfId="11238" xr:uid="{BDD25E97-E739-43F4-90C0-9553F9A933EA}"/>
    <cellStyle name="Comma 4 6 9" xfId="4631" xr:uid="{00000000-0005-0000-0000-0000690A0000}"/>
    <cellStyle name="Comma 4 6 9 2" xfId="13073" xr:uid="{DA91A088-D1AA-4EB7-9F47-D32FD26A0F6F}"/>
    <cellStyle name="Comma 4 7" xfId="160" xr:uid="{00000000-0005-0000-0000-00006A0A0000}"/>
    <cellStyle name="Comma 4 7 10" xfId="8856" xr:uid="{E56D973A-DA53-4FC2-9B51-E1E37DC62384}"/>
    <cellStyle name="Comma 4 7 2" xfId="697" xr:uid="{00000000-0005-0000-0000-00006B0A0000}"/>
    <cellStyle name="Comma 4 7 2 2" xfId="2968" xr:uid="{00000000-0005-0000-0000-00006C0A0000}"/>
    <cellStyle name="Comma 4 7 2 2 2" xfId="7191" xr:uid="{00000000-0005-0000-0000-00006D0A0000}"/>
    <cellStyle name="Comma 4 7 2 2 2 2" xfId="15633" xr:uid="{49375C38-B1FD-4714-836A-AFC1BA897E32}"/>
    <cellStyle name="Comma 4 7 2 2 3" xfId="11415" xr:uid="{31CF7E6E-7C22-4099-864F-0299831C7273}"/>
    <cellStyle name="Comma 4 7 2 3" xfId="5046" xr:uid="{00000000-0005-0000-0000-00006E0A0000}"/>
    <cellStyle name="Comma 4 7 2 3 2" xfId="13488" xr:uid="{CBAA8EF6-2DCE-4AAB-AD84-8AC88F4A3484}"/>
    <cellStyle name="Comma 4 7 2 4" xfId="9270" xr:uid="{2744F7A7-E7FF-4509-8AFE-F557C41FCFE8}"/>
    <cellStyle name="Comma 4 7 3" xfId="1150" xr:uid="{00000000-0005-0000-0000-00006F0A0000}"/>
    <cellStyle name="Comma 4 7 3 2" xfId="3381" xr:uid="{00000000-0005-0000-0000-0000700A0000}"/>
    <cellStyle name="Comma 4 7 3 2 2" xfId="7604" xr:uid="{00000000-0005-0000-0000-0000710A0000}"/>
    <cellStyle name="Comma 4 7 3 2 2 2" xfId="16046" xr:uid="{937B302C-7B88-43BB-A836-523DB215784A}"/>
    <cellStyle name="Comma 4 7 3 2 3" xfId="11828" xr:uid="{666FD449-1FA9-47CF-BAD2-36698A0DAFCE}"/>
    <cellStyle name="Comma 4 7 3 3" xfId="5459" xr:uid="{00000000-0005-0000-0000-0000720A0000}"/>
    <cellStyle name="Comma 4 7 3 3 2" xfId="13901" xr:uid="{3980C003-FF24-470D-AB22-615BE064132B}"/>
    <cellStyle name="Comma 4 7 3 4" xfId="9683" xr:uid="{3EF808B0-2E09-4273-9858-05F4E2D6D344}"/>
    <cellStyle name="Comma 4 7 4" xfId="1564" xr:uid="{00000000-0005-0000-0000-0000730A0000}"/>
    <cellStyle name="Comma 4 7 4 2" xfId="3794" xr:uid="{00000000-0005-0000-0000-0000740A0000}"/>
    <cellStyle name="Comma 4 7 4 2 2" xfId="8017" xr:uid="{00000000-0005-0000-0000-0000750A0000}"/>
    <cellStyle name="Comma 4 7 4 2 2 2" xfId="16459" xr:uid="{1105236D-289E-4E8B-A150-0B6C22090EC8}"/>
    <cellStyle name="Comma 4 7 4 2 3" xfId="12241" xr:uid="{A81D2912-E1CC-41DB-8453-85DE5FAFCF8C}"/>
    <cellStyle name="Comma 4 7 4 3" xfId="5872" xr:uid="{00000000-0005-0000-0000-0000760A0000}"/>
    <cellStyle name="Comma 4 7 4 3 2" xfId="14314" xr:uid="{79A77839-D6BA-4DF8-9F31-ECD8049559CE}"/>
    <cellStyle name="Comma 4 7 4 4" xfId="10096" xr:uid="{17668FB4-E09D-4CF1-A56B-9A6FD78D6508}"/>
    <cellStyle name="Comma 4 7 5" xfId="1978" xr:uid="{00000000-0005-0000-0000-0000770A0000}"/>
    <cellStyle name="Comma 4 7 5 2" xfId="4207" xr:uid="{00000000-0005-0000-0000-0000780A0000}"/>
    <cellStyle name="Comma 4 7 5 2 2" xfId="8430" xr:uid="{00000000-0005-0000-0000-0000790A0000}"/>
    <cellStyle name="Comma 4 7 5 2 2 2" xfId="16872" xr:uid="{20B3C25A-94BC-462C-8843-E586190286E9}"/>
    <cellStyle name="Comma 4 7 5 2 3" xfId="12654" xr:uid="{BCE10810-AA31-4C72-9C03-E1D96B8C7051}"/>
    <cellStyle name="Comma 4 7 5 3" xfId="6285" xr:uid="{00000000-0005-0000-0000-00007A0A0000}"/>
    <cellStyle name="Comma 4 7 5 3 2" xfId="14727" xr:uid="{C398EF2C-C6F8-4E24-B88B-F781C0CF34F2}"/>
    <cellStyle name="Comma 4 7 5 4" xfId="10509" xr:uid="{88EB521E-1A93-4FCD-8F3D-71DC134A6932}"/>
    <cellStyle name="Comma 4 7 6" xfId="2413" xr:uid="{00000000-0005-0000-0000-00007B0A0000}"/>
    <cellStyle name="Comma 4 7 6 2" xfId="6698" xr:uid="{00000000-0005-0000-0000-00007C0A0000}"/>
    <cellStyle name="Comma 4 7 6 2 2" xfId="15140" xr:uid="{F421A2F5-D99E-4575-8CAE-9D600B7F5F3E}"/>
    <cellStyle name="Comma 4 7 6 3" xfId="10922" xr:uid="{AE903AE4-C1EC-4EE9-B8EA-A0B6B9A53E31}"/>
    <cellStyle name="Comma 4 7 7" xfId="2709" xr:uid="{00000000-0005-0000-0000-00007D0A0000}"/>
    <cellStyle name="Comma 4 7 8" xfId="2791" xr:uid="{00000000-0005-0000-0000-00007E0A0000}"/>
    <cellStyle name="Comma 4 7 8 2" xfId="7015" xr:uid="{00000000-0005-0000-0000-00007F0A0000}"/>
    <cellStyle name="Comma 4 7 8 2 2" xfId="15457" xr:uid="{1FCFE980-F294-43C8-86FA-46CAE3AB1D37}"/>
    <cellStyle name="Comma 4 7 8 3" xfId="11239" xr:uid="{B6F37D58-CE9C-4279-9AA6-D50D5C25698E}"/>
    <cellStyle name="Comma 4 7 9" xfId="4632" xr:uid="{00000000-0005-0000-0000-0000800A0000}"/>
    <cellStyle name="Comma 4 7 9 2" xfId="13074" xr:uid="{CB010F38-EEF1-457E-8D47-BF3E063A8148}"/>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omma 7 2" xfId="12942" xr:uid="{710F74D9-4F67-425F-BD5D-C8E0874781B1}"/>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2 2" xfId="17159" xr:uid="{F708440C-D928-4CB7-96FE-BB367525B9D8}"/>
    <cellStyle name="Currency 14 3" xfId="8720" xr:uid="{729B09A7-2394-4D7C-912C-1471FB3455A3}"/>
    <cellStyle name="Currency 14 3 2" xfId="8724" xr:uid="{1945FB0F-31EC-4D98-B64C-BAFBADA341A1}"/>
    <cellStyle name="Currency 14 3 2 2" xfId="8727" xr:uid="{03BA8DEE-11D2-406B-B26D-8EE163916FB0}"/>
    <cellStyle name="Currency 14 3 2 2 2" xfId="17168" xr:uid="{B8B575A6-C4B0-4DDD-B652-DE817F8C4080}"/>
    <cellStyle name="Currency 14 3 2 3" xfId="17165" xr:uid="{98F574E9-857E-4917-98F9-55641328D19F}"/>
    <cellStyle name="Currency 14 3 3" xfId="17162" xr:uid="{04D81803-CF1A-4477-A06F-64128478168C}"/>
    <cellStyle name="Currency 14 4" xfId="12945" xr:uid="{2858AD29-EC8D-460E-8045-9530F563D09B}"/>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0 2 2" xfId="15458" xr:uid="{941602C8-D496-48F0-AA6E-687687E6D219}"/>
    <cellStyle name="Currency 3 2 2 10 3" xfId="11240" xr:uid="{D2CE9A58-FF69-4452-8AB7-0237BFA55C5F}"/>
    <cellStyle name="Currency 3 2 2 11" xfId="4633" xr:uid="{00000000-0005-0000-0000-0000A50A0000}"/>
    <cellStyle name="Currency 3 2 2 11 2" xfId="13075" xr:uid="{199A9795-CE11-4872-BFB8-E4EF8B1CF589}"/>
    <cellStyle name="Currency 3 2 2 12" xfId="8857" xr:uid="{1B4EE763-4C0B-4E49-B390-BEAF627E2084}"/>
    <cellStyle name="Currency 3 2 2 2" xfId="179" xr:uid="{00000000-0005-0000-0000-0000A60A0000}"/>
    <cellStyle name="Currency 3 2 2 2 10" xfId="4634" xr:uid="{00000000-0005-0000-0000-0000A70A0000}"/>
    <cellStyle name="Currency 3 2 2 2 10 2" xfId="13076" xr:uid="{F92EF6E5-0615-42BF-993F-CC1416C1634F}"/>
    <cellStyle name="Currency 3 2 2 2 11" xfId="8858" xr:uid="{947C0852-2936-4508-A128-3A3AF7121FBD}"/>
    <cellStyle name="Currency 3 2 2 2 2" xfId="180" xr:uid="{00000000-0005-0000-0000-0000A80A0000}"/>
    <cellStyle name="Currency 3 2 2 2 2 10" xfId="8859" xr:uid="{6BA44C18-2F90-42CD-A8FC-2F29B926B521}"/>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2 2 2" xfId="15636" xr:uid="{F98D1F39-5F21-4E8B-A3AA-8C1B8A9EA775}"/>
    <cellStyle name="Currency 3 2 2 2 2 2 2 3" xfId="11418" xr:uid="{5835FAC7-A065-43C2-A6A6-15D04D93FFD5}"/>
    <cellStyle name="Currency 3 2 2 2 2 2 3" xfId="5049" xr:uid="{00000000-0005-0000-0000-0000AC0A0000}"/>
    <cellStyle name="Currency 3 2 2 2 2 2 3 2" xfId="13491" xr:uid="{ECF6D4A0-B946-4EED-A66B-AFD98C85683A}"/>
    <cellStyle name="Currency 3 2 2 2 2 2 4" xfId="9273" xr:uid="{B6BD091C-F834-4619-BF74-FA716AB52D34}"/>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2 2 2" xfId="16049" xr:uid="{C1FFD0F4-5DDE-4137-98BD-5FE32DD6AC5D}"/>
    <cellStyle name="Currency 3 2 2 2 2 3 2 3" xfId="11831" xr:uid="{00F79AC8-E084-447D-87E3-31F1A4E791E8}"/>
    <cellStyle name="Currency 3 2 2 2 2 3 3" xfId="5462" xr:uid="{00000000-0005-0000-0000-0000B00A0000}"/>
    <cellStyle name="Currency 3 2 2 2 2 3 3 2" xfId="13904" xr:uid="{235FA1C1-AD47-48E6-831C-EE7442D279B3}"/>
    <cellStyle name="Currency 3 2 2 2 2 3 4" xfId="9686" xr:uid="{385097A2-D927-4E0D-A61A-2710A9EB2F92}"/>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2 2 2" xfId="16462" xr:uid="{DB1E58B7-F007-4D2E-BD99-5A447C46612E}"/>
    <cellStyle name="Currency 3 2 2 2 2 4 2 3" xfId="12244" xr:uid="{9A561C1E-C6BD-4A7C-A536-686DD17BB084}"/>
    <cellStyle name="Currency 3 2 2 2 2 4 3" xfId="5875" xr:uid="{00000000-0005-0000-0000-0000B40A0000}"/>
    <cellStyle name="Currency 3 2 2 2 2 4 3 2" xfId="14317" xr:uid="{4B85D1BB-2784-4893-A32B-AD3561165F8C}"/>
    <cellStyle name="Currency 3 2 2 2 2 4 4" xfId="10099" xr:uid="{32C1AC7D-3914-4AF1-B274-EF62619E791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2 2 2" xfId="16875" xr:uid="{614856AA-399B-4732-9A9D-A8AD4BA8F520}"/>
    <cellStyle name="Currency 3 2 2 2 2 5 2 3" xfId="12657" xr:uid="{FEBB4B67-C1E9-4135-BEA6-DBBA48A2A2C5}"/>
    <cellStyle name="Currency 3 2 2 2 2 5 3" xfId="6288" xr:uid="{00000000-0005-0000-0000-0000B80A0000}"/>
    <cellStyle name="Currency 3 2 2 2 2 5 3 2" xfId="14730" xr:uid="{5FE8755B-84F5-4400-AF00-BD6B15E880DC}"/>
    <cellStyle name="Currency 3 2 2 2 2 5 4" xfId="10512" xr:uid="{0CED5278-81FE-4258-ADF5-0298E79118EC}"/>
    <cellStyle name="Currency 3 2 2 2 2 6" xfId="2416" xr:uid="{00000000-0005-0000-0000-0000B90A0000}"/>
    <cellStyle name="Currency 3 2 2 2 2 6 2" xfId="6701" xr:uid="{00000000-0005-0000-0000-0000BA0A0000}"/>
    <cellStyle name="Currency 3 2 2 2 2 6 2 2" xfId="15143" xr:uid="{6F0AF3C9-E93E-4ABC-B60C-5FC19BC49F59}"/>
    <cellStyle name="Currency 3 2 2 2 2 6 3" xfId="10925" xr:uid="{B00DA1A8-EE3F-4470-B6F5-C3C463879031}"/>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8 2 2" xfId="15460" xr:uid="{7104DF71-65B5-4E62-A732-42FEE75FF509}"/>
    <cellStyle name="Currency 3 2 2 2 2 8 3" xfId="11242" xr:uid="{AFB4C21E-33F9-45FB-A016-EEA5D441888A}"/>
    <cellStyle name="Currency 3 2 2 2 2 9" xfId="4635" xr:uid="{00000000-0005-0000-0000-0000BE0A0000}"/>
    <cellStyle name="Currency 3 2 2 2 2 9 2" xfId="13077" xr:uid="{234A9DF8-7914-495C-8ACA-47684220AE6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2 2 2" xfId="15635" xr:uid="{E4A1559D-0116-4B90-97E9-16ADDA23CE8D}"/>
    <cellStyle name="Currency 3 2 2 2 3 2 3" xfId="11417" xr:uid="{B0505E6C-AAAA-4086-9961-97E36A864188}"/>
    <cellStyle name="Currency 3 2 2 2 3 3" xfId="5048" xr:uid="{00000000-0005-0000-0000-0000C20A0000}"/>
    <cellStyle name="Currency 3 2 2 2 3 3 2" xfId="13490" xr:uid="{FD3115AF-4FFA-4DD2-8EBE-1259783FC624}"/>
    <cellStyle name="Currency 3 2 2 2 3 4" xfId="9272" xr:uid="{F57D27F7-6C66-49BB-98F1-1E4CBEAC4757}"/>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2 2 2" xfId="16048" xr:uid="{2B461228-DAE8-44C5-9B04-8FD51AEE04D6}"/>
    <cellStyle name="Currency 3 2 2 2 4 2 3" xfId="11830" xr:uid="{A5758F8D-A608-4421-88CB-E022180DA31B}"/>
    <cellStyle name="Currency 3 2 2 2 4 3" xfId="5461" xr:uid="{00000000-0005-0000-0000-0000C60A0000}"/>
    <cellStyle name="Currency 3 2 2 2 4 3 2" xfId="13903" xr:uid="{433DDAEC-E5C3-483F-B9E9-1B68BD70FBF6}"/>
    <cellStyle name="Currency 3 2 2 2 4 4" xfId="9685" xr:uid="{BDE0752B-BD8A-42B0-AF6B-59D27B8E1AF4}"/>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2 2 2" xfId="16461" xr:uid="{313B2181-B51A-48BB-925E-7050E67BC0B3}"/>
    <cellStyle name="Currency 3 2 2 2 5 2 3" xfId="12243" xr:uid="{00CC41C0-BF77-459A-88A5-A5E6E8213CC3}"/>
    <cellStyle name="Currency 3 2 2 2 5 3" xfId="5874" xr:uid="{00000000-0005-0000-0000-0000CA0A0000}"/>
    <cellStyle name="Currency 3 2 2 2 5 3 2" xfId="14316" xr:uid="{D40B3CC8-55CC-4CC8-933F-78BE81C33DF3}"/>
    <cellStyle name="Currency 3 2 2 2 5 4" xfId="10098" xr:uid="{6C4D8A2C-9448-4D86-A81E-AB9C54077B7D}"/>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2 2 2" xfId="16874" xr:uid="{3D6C4D7B-98C8-4E96-B438-E15D6372A42C}"/>
    <cellStyle name="Currency 3 2 2 2 6 2 3" xfId="12656" xr:uid="{0A32A994-F30B-4A6D-B9C4-1836AA55E69E}"/>
    <cellStyle name="Currency 3 2 2 2 6 3" xfId="6287" xr:uid="{00000000-0005-0000-0000-0000CE0A0000}"/>
    <cellStyle name="Currency 3 2 2 2 6 3 2" xfId="14729" xr:uid="{BE572682-FFA6-44FF-9DE2-53DFC8A627FC}"/>
    <cellStyle name="Currency 3 2 2 2 6 4" xfId="10511" xr:uid="{231D89A2-29FE-4C92-995F-EE1DF0AE977A}"/>
    <cellStyle name="Currency 3 2 2 2 7" xfId="2415" xr:uid="{00000000-0005-0000-0000-0000CF0A0000}"/>
    <cellStyle name="Currency 3 2 2 2 7 2" xfId="6700" xr:uid="{00000000-0005-0000-0000-0000D00A0000}"/>
    <cellStyle name="Currency 3 2 2 2 7 2 2" xfId="15142" xr:uid="{16631E53-5FCF-434C-AEFE-27BAA16026A4}"/>
    <cellStyle name="Currency 3 2 2 2 7 3" xfId="10924" xr:uid="{D50D40EA-940B-4B57-B796-DFCFE5D9E074}"/>
    <cellStyle name="Currency 3 2 2 2 8" xfId="2712" xr:uid="{00000000-0005-0000-0000-0000D10A0000}"/>
    <cellStyle name="Currency 3 2 2 2 9" xfId="2793" xr:uid="{00000000-0005-0000-0000-0000D20A0000}"/>
    <cellStyle name="Currency 3 2 2 2 9 2" xfId="7017" xr:uid="{00000000-0005-0000-0000-0000D30A0000}"/>
    <cellStyle name="Currency 3 2 2 2 9 2 2" xfId="15459" xr:uid="{C550B822-A2E4-497F-AC4D-390B0C923571}"/>
    <cellStyle name="Currency 3 2 2 2 9 3" xfId="11241" xr:uid="{88915E31-2281-4C93-9C92-68055352D9A2}"/>
    <cellStyle name="Currency 3 2 2 3" xfId="181" xr:uid="{00000000-0005-0000-0000-0000D40A0000}"/>
    <cellStyle name="Currency 3 2 2 3 10" xfId="8860" xr:uid="{C0162190-8708-47B5-9150-49769BA536A6}"/>
    <cellStyle name="Currency 3 2 2 3 2" xfId="711" xr:uid="{00000000-0005-0000-0000-0000D50A0000}"/>
    <cellStyle name="Currency 3 2 2 3 2 2" xfId="2972" xr:uid="{00000000-0005-0000-0000-0000D60A0000}"/>
    <cellStyle name="Currency 3 2 2 3 2 2 2" xfId="7195" xr:uid="{00000000-0005-0000-0000-0000D70A0000}"/>
    <cellStyle name="Currency 3 2 2 3 2 2 2 2" xfId="15637" xr:uid="{BDB4422A-F471-4DAC-B42A-3A75A4DDAA92}"/>
    <cellStyle name="Currency 3 2 2 3 2 2 3" xfId="11419" xr:uid="{5C4DECC2-C14F-4864-8FA9-EBA9A95CBBB7}"/>
    <cellStyle name="Currency 3 2 2 3 2 3" xfId="5050" xr:uid="{00000000-0005-0000-0000-0000D80A0000}"/>
    <cellStyle name="Currency 3 2 2 3 2 3 2" xfId="13492" xr:uid="{575C6786-4278-42DE-A529-F6C87B61894D}"/>
    <cellStyle name="Currency 3 2 2 3 2 4" xfId="9274" xr:uid="{871FFB16-BE1B-4F6E-8A03-1D030CC06E3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2 2 2" xfId="16050" xr:uid="{E0E55240-EF7A-4DE5-A6BB-A9A19026EAF0}"/>
    <cellStyle name="Currency 3 2 2 3 3 2 3" xfId="11832" xr:uid="{DC9F37F5-C8A5-4BC1-B84B-1ACCA6A56875}"/>
    <cellStyle name="Currency 3 2 2 3 3 3" xfId="5463" xr:uid="{00000000-0005-0000-0000-0000DC0A0000}"/>
    <cellStyle name="Currency 3 2 2 3 3 3 2" xfId="13905" xr:uid="{4D7B7A0C-1514-4221-A7E5-BB7CAA637438}"/>
    <cellStyle name="Currency 3 2 2 3 3 4" xfId="9687" xr:uid="{2F1B898A-E8E3-4780-8364-99FC76944127}"/>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2 2 2" xfId="16463" xr:uid="{47B8AAF3-6F28-49A6-B1B3-1CCF3FA97C31}"/>
    <cellStyle name="Currency 3 2 2 3 4 2 3" xfId="12245" xr:uid="{D5B0F57C-3A42-47A1-90F2-82AAF2540CC1}"/>
    <cellStyle name="Currency 3 2 2 3 4 3" xfId="5876" xr:uid="{00000000-0005-0000-0000-0000E00A0000}"/>
    <cellStyle name="Currency 3 2 2 3 4 3 2" xfId="14318" xr:uid="{B2A63A71-2468-4D23-9C35-2BC97949F886}"/>
    <cellStyle name="Currency 3 2 2 3 4 4" xfId="10100" xr:uid="{33D41030-B9EB-4365-8C59-544E579091FB}"/>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2 2 2" xfId="16876" xr:uid="{3981FF2C-7DEB-4CCC-94B5-29ACB9DFC3D4}"/>
    <cellStyle name="Currency 3 2 2 3 5 2 3" xfId="12658" xr:uid="{82E83D71-731D-423E-8431-25044CE5AAA8}"/>
    <cellStyle name="Currency 3 2 2 3 5 3" xfId="6289" xr:uid="{00000000-0005-0000-0000-0000E40A0000}"/>
    <cellStyle name="Currency 3 2 2 3 5 3 2" xfId="14731" xr:uid="{BFF5EDC2-DB79-4E0A-B35A-2A52CA087A83}"/>
    <cellStyle name="Currency 3 2 2 3 5 4" xfId="10513" xr:uid="{C314889B-3898-4BE2-8099-69719B0F52E8}"/>
    <cellStyle name="Currency 3 2 2 3 6" xfId="2417" xr:uid="{00000000-0005-0000-0000-0000E50A0000}"/>
    <cellStyle name="Currency 3 2 2 3 6 2" xfId="6702" xr:uid="{00000000-0005-0000-0000-0000E60A0000}"/>
    <cellStyle name="Currency 3 2 2 3 6 2 2" xfId="15144" xr:uid="{6B033CE4-5CAE-4E58-B135-F2218E164AF9}"/>
    <cellStyle name="Currency 3 2 2 3 6 3" xfId="10926" xr:uid="{6F0E3FE2-422E-439C-9C16-F26F59E681C8}"/>
    <cellStyle name="Currency 3 2 2 3 7" xfId="2714" xr:uid="{00000000-0005-0000-0000-0000E70A0000}"/>
    <cellStyle name="Currency 3 2 2 3 8" xfId="2795" xr:uid="{00000000-0005-0000-0000-0000E80A0000}"/>
    <cellStyle name="Currency 3 2 2 3 8 2" xfId="7019" xr:uid="{00000000-0005-0000-0000-0000E90A0000}"/>
    <cellStyle name="Currency 3 2 2 3 8 2 2" xfId="15461" xr:uid="{7C5C0E98-C024-431B-A811-D23180B930FB}"/>
    <cellStyle name="Currency 3 2 2 3 8 3" xfId="11243" xr:uid="{09B50795-18A4-4A98-AD8D-7E0C7E339928}"/>
    <cellStyle name="Currency 3 2 2 3 9" xfId="4636" xr:uid="{00000000-0005-0000-0000-0000EA0A0000}"/>
    <cellStyle name="Currency 3 2 2 3 9 2" xfId="13078" xr:uid="{38EB1DA2-E2EE-4060-9DC8-84DC21D48FEE}"/>
    <cellStyle name="Currency 3 2 2 4" xfId="708" xr:uid="{00000000-0005-0000-0000-0000EB0A0000}"/>
    <cellStyle name="Currency 3 2 2 4 2" xfId="2969" xr:uid="{00000000-0005-0000-0000-0000EC0A0000}"/>
    <cellStyle name="Currency 3 2 2 4 2 2" xfId="7192" xr:uid="{00000000-0005-0000-0000-0000ED0A0000}"/>
    <cellStyle name="Currency 3 2 2 4 2 2 2" xfId="15634" xr:uid="{E386256B-F363-4EF4-B00C-7666CCF3109E}"/>
    <cellStyle name="Currency 3 2 2 4 2 3" xfId="11416" xr:uid="{70606E0E-56BB-41AC-9F47-216B78ECF95C}"/>
    <cellStyle name="Currency 3 2 2 4 3" xfId="5047" xr:uid="{00000000-0005-0000-0000-0000EE0A0000}"/>
    <cellStyle name="Currency 3 2 2 4 3 2" xfId="13489" xr:uid="{97698BF6-8C57-424C-902F-71194DFF580F}"/>
    <cellStyle name="Currency 3 2 2 4 4" xfId="9271" xr:uid="{1E569368-A66C-4F19-A6D8-02CC2100CAE8}"/>
    <cellStyle name="Currency 3 2 2 5" xfId="1151" xr:uid="{00000000-0005-0000-0000-0000EF0A0000}"/>
    <cellStyle name="Currency 3 2 2 5 2" xfId="3382" xr:uid="{00000000-0005-0000-0000-0000F00A0000}"/>
    <cellStyle name="Currency 3 2 2 5 2 2" xfId="7605" xr:uid="{00000000-0005-0000-0000-0000F10A0000}"/>
    <cellStyle name="Currency 3 2 2 5 2 2 2" xfId="16047" xr:uid="{2DB51CF0-5E85-412B-833D-C08BAE1E4BAD}"/>
    <cellStyle name="Currency 3 2 2 5 2 3" xfId="11829" xr:uid="{51CA4097-9752-4893-B5A5-806E2B5AA691}"/>
    <cellStyle name="Currency 3 2 2 5 3" xfId="5460" xr:uid="{00000000-0005-0000-0000-0000F20A0000}"/>
    <cellStyle name="Currency 3 2 2 5 3 2" xfId="13902" xr:uid="{1B1210F7-9435-4637-928E-67A6A4D21561}"/>
    <cellStyle name="Currency 3 2 2 5 4" xfId="9684" xr:uid="{75BA4349-B2D2-4DC9-9020-E764C0740688}"/>
    <cellStyle name="Currency 3 2 2 6" xfId="1565" xr:uid="{00000000-0005-0000-0000-0000F30A0000}"/>
    <cellStyle name="Currency 3 2 2 6 2" xfId="3795" xr:uid="{00000000-0005-0000-0000-0000F40A0000}"/>
    <cellStyle name="Currency 3 2 2 6 2 2" xfId="8018" xr:uid="{00000000-0005-0000-0000-0000F50A0000}"/>
    <cellStyle name="Currency 3 2 2 6 2 2 2" xfId="16460" xr:uid="{D258E394-282F-4446-BC8B-580620E74485}"/>
    <cellStyle name="Currency 3 2 2 6 2 3" xfId="12242" xr:uid="{5215C717-4450-4D82-A179-B54E222991E7}"/>
    <cellStyle name="Currency 3 2 2 6 3" xfId="5873" xr:uid="{00000000-0005-0000-0000-0000F60A0000}"/>
    <cellStyle name="Currency 3 2 2 6 3 2" xfId="14315" xr:uid="{F0254D7F-D61E-44E0-A38B-EB1889830A1D}"/>
    <cellStyle name="Currency 3 2 2 6 4" xfId="10097" xr:uid="{F8A2BA38-65C7-4A55-8684-DCA61C114A64}"/>
    <cellStyle name="Currency 3 2 2 7" xfId="1979" xr:uid="{00000000-0005-0000-0000-0000F70A0000}"/>
    <cellStyle name="Currency 3 2 2 7 2" xfId="4208" xr:uid="{00000000-0005-0000-0000-0000F80A0000}"/>
    <cellStyle name="Currency 3 2 2 7 2 2" xfId="8431" xr:uid="{00000000-0005-0000-0000-0000F90A0000}"/>
    <cellStyle name="Currency 3 2 2 7 2 2 2" xfId="16873" xr:uid="{E23309AA-872B-489C-BA0C-25C46ED2F3CE}"/>
    <cellStyle name="Currency 3 2 2 7 2 3" xfId="12655" xr:uid="{D4DD1626-93A4-46D2-98BB-B9B5080FEE8E}"/>
    <cellStyle name="Currency 3 2 2 7 3" xfId="6286" xr:uid="{00000000-0005-0000-0000-0000FA0A0000}"/>
    <cellStyle name="Currency 3 2 2 7 3 2" xfId="14728" xr:uid="{027C33B8-8CBC-49E1-90EF-0B82A9A84E56}"/>
    <cellStyle name="Currency 3 2 2 7 4" xfId="10510" xr:uid="{7A5EA693-EFF9-4214-A493-8172276EA84C}"/>
    <cellStyle name="Currency 3 2 2 8" xfId="2414" xr:uid="{00000000-0005-0000-0000-0000FB0A0000}"/>
    <cellStyle name="Currency 3 2 2 8 2" xfId="6699" xr:uid="{00000000-0005-0000-0000-0000FC0A0000}"/>
    <cellStyle name="Currency 3 2 2 8 2 2" xfId="15141" xr:uid="{C6AAA270-4D0D-4C28-8941-8E3EB8EC1518}"/>
    <cellStyle name="Currency 3 2 2 8 3" xfId="10923" xr:uid="{ECF5E48D-4FEB-465D-94DC-E024BD51F706}"/>
    <cellStyle name="Currency 3 2 2 9" xfId="2711" xr:uid="{00000000-0005-0000-0000-0000FD0A0000}"/>
    <cellStyle name="Currency 3 2 3" xfId="182" xr:uid="{00000000-0005-0000-0000-0000FE0A0000}"/>
    <cellStyle name="Currency 3 2 3 10" xfId="4637" xr:uid="{00000000-0005-0000-0000-0000FF0A0000}"/>
    <cellStyle name="Currency 3 2 3 10 2" xfId="13079" xr:uid="{E23C236F-4280-4E2C-BA11-1D7EFB321AAF}"/>
    <cellStyle name="Currency 3 2 3 11" xfId="8861" xr:uid="{36DA7734-8D8B-44CD-8902-73F57C518919}"/>
    <cellStyle name="Currency 3 2 3 2" xfId="183" xr:uid="{00000000-0005-0000-0000-0000000B0000}"/>
    <cellStyle name="Currency 3 2 3 2 10" xfId="8862" xr:uid="{BC462D7C-B0D1-43C2-A8F7-EB33520354F8}"/>
    <cellStyle name="Currency 3 2 3 2 2" xfId="713" xr:uid="{00000000-0005-0000-0000-0000010B0000}"/>
    <cellStyle name="Currency 3 2 3 2 2 2" xfId="2974" xr:uid="{00000000-0005-0000-0000-0000020B0000}"/>
    <cellStyle name="Currency 3 2 3 2 2 2 2" xfId="7197" xr:uid="{00000000-0005-0000-0000-0000030B0000}"/>
    <cellStyle name="Currency 3 2 3 2 2 2 2 2" xfId="15639" xr:uid="{03521A5D-24B9-4839-815C-62ADBC429CB3}"/>
    <cellStyle name="Currency 3 2 3 2 2 2 3" xfId="11421" xr:uid="{BB21FF1B-DC40-4E0A-A558-C7782E600E23}"/>
    <cellStyle name="Currency 3 2 3 2 2 3" xfId="5052" xr:uid="{00000000-0005-0000-0000-0000040B0000}"/>
    <cellStyle name="Currency 3 2 3 2 2 3 2" xfId="13494" xr:uid="{1A86995D-9E0F-4C2B-93F0-C6EE20AD4689}"/>
    <cellStyle name="Currency 3 2 3 2 2 4" xfId="9276" xr:uid="{1EF79533-E9FB-4A30-A610-45550F61CD4D}"/>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2 2 2" xfId="16052" xr:uid="{054CB21C-44E1-477C-91A5-C5B1B9869DB5}"/>
    <cellStyle name="Currency 3 2 3 2 3 2 3" xfId="11834" xr:uid="{45CEBCF6-6B4B-4277-8B09-EC1502E7EC2C}"/>
    <cellStyle name="Currency 3 2 3 2 3 3" xfId="5465" xr:uid="{00000000-0005-0000-0000-0000080B0000}"/>
    <cellStyle name="Currency 3 2 3 2 3 3 2" xfId="13907" xr:uid="{D80E7CC0-D9C9-46ED-A454-FC1F34C6FAA4}"/>
    <cellStyle name="Currency 3 2 3 2 3 4" xfId="9689" xr:uid="{898A7F3B-1FAE-4CA3-92E5-0577561E436F}"/>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2 2 2" xfId="16465" xr:uid="{204A271A-C4C0-45D0-A85D-05F3EA83C257}"/>
    <cellStyle name="Currency 3 2 3 2 4 2 3" xfId="12247" xr:uid="{15DB2345-5586-4263-BDCC-B43E4BDBD9C2}"/>
    <cellStyle name="Currency 3 2 3 2 4 3" xfId="5878" xr:uid="{00000000-0005-0000-0000-00000C0B0000}"/>
    <cellStyle name="Currency 3 2 3 2 4 3 2" xfId="14320" xr:uid="{705AF14C-4286-4718-9EE3-8B1501FA0345}"/>
    <cellStyle name="Currency 3 2 3 2 4 4" xfId="10102" xr:uid="{1D7AA15A-7895-476E-8CDE-4819E3C1F08C}"/>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2 2 2" xfId="16878" xr:uid="{93F9271F-956A-4B80-8BAA-3360BEB75C7F}"/>
    <cellStyle name="Currency 3 2 3 2 5 2 3" xfId="12660" xr:uid="{C8A6A3CA-8B94-4DA1-937D-6D48F41CFB39}"/>
    <cellStyle name="Currency 3 2 3 2 5 3" xfId="6291" xr:uid="{00000000-0005-0000-0000-0000100B0000}"/>
    <cellStyle name="Currency 3 2 3 2 5 3 2" xfId="14733" xr:uid="{00A4CCB1-D5B9-4951-9DC9-7918931C4A34}"/>
    <cellStyle name="Currency 3 2 3 2 5 4" xfId="10515" xr:uid="{BCC129B9-5B44-4886-B307-7FBBF3A14110}"/>
    <cellStyle name="Currency 3 2 3 2 6" xfId="2419" xr:uid="{00000000-0005-0000-0000-0000110B0000}"/>
    <cellStyle name="Currency 3 2 3 2 6 2" xfId="6704" xr:uid="{00000000-0005-0000-0000-0000120B0000}"/>
    <cellStyle name="Currency 3 2 3 2 6 2 2" xfId="15146" xr:uid="{5B26C5F2-BE53-41AA-81E8-80169297BCE8}"/>
    <cellStyle name="Currency 3 2 3 2 6 3" xfId="10928" xr:uid="{652E6441-9780-4C65-A8DE-D012D0998C07}"/>
    <cellStyle name="Currency 3 2 3 2 7" xfId="2716" xr:uid="{00000000-0005-0000-0000-0000130B0000}"/>
    <cellStyle name="Currency 3 2 3 2 8" xfId="2797" xr:uid="{00000000-0005-0000-0000-0000140B0000}"/>
    <cellStyle name="Currency 3 2 3 2 8 2" xfId="7021" xr:uid="{00000000-0005-0000-0000-0000150B0000}"/>
    <cellStyle name="Currency 3 2 3 2 8 2 2" xfId="15463" xr:uid="{CDF2C596-FC9E-4E85-9A27-E31237E29B90}"/>
    <cellStyle name="Currency 3 2 3 2 8 3" xfId="11245" xr:uid="{9240B46E-01B1-4AFF-9C53-6C5A24A5CC61}"/>
    <cellStyle name="Currency 3 2 3 2 9" xfId="4638" xr:uid="{00000000-0005-0000-0000-0000160B0000}"/>
    <cellStyle name="Currency 3 2 3 2 9 2" xfId="13080" xr:uid="{8FB78764-4B9C-4604-ABB1-5E3834E0539E}"/>
    <cellStyle name="Currency 3 2 3 3" xfId="712" xr:uid="{00000000-0005-0000-0000-0000170B0000}"/>
    <cellStyle name="Currency 3 2 3 3 2" xfId="2973" xr:uid="{00000000-0005-0000-0000-0000180B0000}"/>
    <cellStyle name="Currency 3 2 3 3 2 2" xfId="7196" xr:uid="{00000000-0005-0000-0000-0000190B0000}"/>
    <cellStyle name="Currency 3 2 3 3 2 2 2" xfId="15638" xr:uid="{699559D7-637E-493C-AB51-7EE97B49AC62}"/>
    <cellStyle name="Currency 3 2 3 3 2 3" xfId="11420" xr:uid="{47A198F8-4756-4E38-BA85-8A574FC196A4}"/>
    <cellStyle name="Currency 3 2 3 3 3" xfId="5051" xr:uid="{00000000-0005-0000-0000-00001A0B0000}"/>
    <cellStyle name="Currency 3 2 3 3 3 2" xfId="13493" xr:uid="{D5433D5A-B973-4DBA-AD12-ADBB4CEEC5B0}"/>
    <cellStyle name="Currency 3 2 3 3 4" xfId="9275" xr:uid="{E423441B-91C5-4C7C-A8D0-A4E4040F8657}"/>
    <cellStyle name="Currency 3 2 3 4" xfId="1155" xr:uid="{00000000-0005-0000-0000-00001B0B0000}"/>
    <cellStyle name="Currency 3 2 3 4 2" xfId="3386" xr:uid="{00000000-0005-0000-0000-00001C0B0000}"/>
    <cellStyle name="Currency 3 2 3 4 2 2" xfId="7609" xr:uid="{00000000-0005-0000-0000-00001D0B0000}"/>
    <cellStyle name="Currency 3 2 3 4 2 2 2" xfId="16051" xr:uid="{4CF8E589-373E-450C-AC46-7A3CA9E345AF}"/>
    <cellStyle name="Currency 3 2 3 4 2 3" xfId="11833" xr:uid="{D3EABAF0-F28B-4C92-A26E-C5FE2C5E22DE}"/>
    <cellStyle name="Currency 3 2 3 4 3" xfId="5464" xr:uid="{00000000-0005-0000-0000-00001E0B0000}"/>
    <cellStyle name="Currency 3 2 3 4 3 2" xfId="13906" xr:uid="{F9161817-E350-4928-8B38-4B71A50F5435}"/>
    <cellStyle name="Currency 3 2 3 4 4" xfId="9688" xr:uid="{7A9B4D82-6A90-42A6-81A7-537AEE676C50}"/>
    <cellStyle name="Currency 3 2 3 5" xfId="1569" xr:uid="{00000000-0005-0000-0000-00001F0B0000}"/>
    <cellStyle name="Currency 3 2 3 5 2" xfId="3799" xr:uid="{00000000-0005-0000-0000-0000200B0000}"/>
    <cellStyle name="Currency 3 2 3 5 2 2" xfId="8022" xr:uid="{00000000-0005-0000-0000-0000210B0000}"/>
    <cellStyle name="Currency 3 2 3 5 2 2 2" xfId="16464" xr:uid="{424BA68E-AB64-4726-8307-8FE7774D08AD}"/>
    <cellStyle name="Currency 3 2 3 5 2 3" xfId="12246" xr:uid="{FF977F64-9AB9-4115-8632-716E9C88C671}"/>
    <cellStyle name="Currency 3 2 3 5 3" xfId="5877" xr:uid="{00000000-0005-0000-0000-0000220B0000}"/>
    <cellStyle name="Currency 3 2 3 5 3 2" xfId="14319" xr:uid="{11ADC518-5729-4D24-8A3B-52D6ACE9AD52}"/>
    <cellStyle name="Currency 3 2 3 5 4" xfId="10101" xr:uid="{F02B52A3-11F5-4E52-98EF-BDA7CDA0E1AC}"/>
    <cellStyle name="Currency 3 2 3 6" xfId="1983" xr:uid="{00000000-0005-0000-0000-0000230B0000}"/>
    <cellStyle name="Currency 3 2 3 6 2" xfId="4212" xr:uid="{00000000-0005-0000-0000-0000240B0000}"/>
    <cellStyle name="Currency 3 2 3 6 2 2" xfId="8435" xr:uid="{00000000-0005-0000-0000-0000250B0000}"/>
    <cellStyle name="Currency 3 2 3 6 2 2 2" xfId="16877" xr:uid="{8610CB03-CF37-44E8-8FBD-90E4DBFAECB0}"/>
    <cellStyle name="Currency 3 2 3 6 2 3" xfId="12659" xr:uid="{EC2323F3-304D-45DF-9093-721AFBEA3E33}"/>
    <cellStyle name="Currency 3 2 3 6 3" xfId="6290" xr:uid="{00000000-0005-0000-0000-0000260B0000}"/>
    <cellStyle name="Currency 3 2 3 6 3 2" xfId="14732" xr:uid="{7F04AA9E-445C-4A2F-8320-3794AA8CB28C}"/>
    <cellStyle name="Currency 3 2 3 6 4" xfId="10514" xr:uid="{B6F5EFF0-BE54-48E6-96AC-2F8610473872}"/>
    <cellStyle name="Currency 3 2 3 7" xfId="2418" xr:uid="{00000000-0005-0000-0000-0000270B0000}"/>
    <cellStyle name="Currency 3 2 3 7 2" xfId="6703" xr:uid="{00000000-0005-0000-0000-0000280B0000}"/>
    <cellStyle name="Currency 3 2 3 7 2 2" xfId="15145" xr:uid="{4E0CED81-EA65-43DB-8620-F00771AC3518}"/>
    <cellStyle name="Currency 3 2 3 7 3" xfId="10927" xr:uid="{EE461B1A-EAF5-41C7-92D6-C4ED0116BAE5}"/>
    <cellStyle name="Currency 3 2 3 8" xfId="2715" xr:uid="{00000000-0005-0000-0000-0000290B0000}"/>
    <cellStyle name="Currency 3 2 3 9" xfId="2796" xr:uid="{00000000-0005-0000-0000-00002A0B0000}"/>
    <cellStyle name="Currency 3 2 3 9 2" xfId="7020" xr:uid="{00000000-0005-0000-0000-00002B0B0000}"/>
    <cellStyle name="Currency 3 2 3 9 2 2" xfId="15462" xr:uid="{53056EA4-9457-4FFD-B974-779B66C43250}"/>
    <cellStyle name="Currency 3 2 3 9 3" xfId="11244" xr:uid="{98DB74A6-3CB9-4F52-AECF-A1B8FC0F9104}"/>
    <cellStyle name="Currency 3 2 4" xfId="184" xr:uid="{00000000-0005-0000-0000-00002C0B0000}"/>
    <cellStyle name="Currency 3 2 4 10" xfId="8863" xr:uid="{937602FE-8E77-4E34-965D-43219881B10F}"/>
    <cellStyle name="Currency 3 2 4 2" xfId="714" xr:uid="{00000000-0005-0000-0000-00002D0B0000}"/>
    <cellStyle name="Currency 3 2 4 2 2" xfId="2975" xr:uid="{00000000-0005-0000-0000-00002E0B0000}"/>
    <cellStyle name="Currency 3 2 4 2 2 2" xfId="7198" xr:uid="{00000000-0005-0000-0000-00002F0B0000}"/>
    <cellStyle name="Currency 3 2 4 2 2 2 2" xfId="15640" xr:uid="{BFF3B22C-623C-41BE-94E5-671FBE529C4C}"/>
    <cellStyle name="Currency 3 2 4 2 2 3" xfId="11422" xr:uid="{128ABA0E-2E4F-4BD3-B519-FBD9456B0D89}"/>
    <cellStyle name="Currency 3 2 4 2 3" xfId="5053" xr:uid="{00000000-0005-0000-0000-0000300B0000}"/>
    <cellStyle name="Currency 3 2 4 2 3 2" xfId="13495" xr:uid="{9B2DFE43-1310-4B59-969F-702FCD70F736}"/>
    <cellStyle name="Currency 3 2 4 2 4" xfId="9277" xr:uid="{E265D11A-872B-4FFE-921C-95A5AF7C0EA5}"/>
    <cellStyle name="Currency 3 2 4 3" xfId="1157" xr:uid="{00000000-0005-0000-0000-0000310B0000}"/>
    <cellStyle name="Currency 3 2 4 3 2" xfId="3388" xr:uid="{00000000-0005-0000-0000-0000320B0000}"/>
    <cellStyle name="Currency 3 2 4 3 2 2" xfId="7611" xr:uid="{00000000-0005-0000-0000-0000330B0000}"/>
    <cellStyle name="Currency 3 2 4 3 2 2 2" xfId="16053" xr:uid="{9A4700E5-8E75-4A39-973C-4BDF57261D4A}"/>
    <cellStyle name="Currency 3 2 4 3 2 3" xfId="11835" xr:uid="{630DED4D-846F-434B-A442-FF8DCC75DDAB}"/>
    <cellStyle name="Currency 3 2 4 3 3" xfId="5466" xr:uid="{00000000-0005-0000-0000-0000340B0000}"/>
    <cellStyle name="Currency 3 2 4 3 3 2" xfId="13908" xr:uid="{B19321CF-91DA-4C38-8DBA-91B5ABC8591B}"/>
    <cellStyle name="Currency 3 2 4 3 4" xfId="9690" xr:uid="{3D000162-85E7-45BB-93D1-9175D2068B6D}"/>
    <cellStyle name="Currency 3 2 4 4" xfId="1571" xr:uid="{00000000-0005-0000-0000-0000350B0000}"/>
    <cellStyle name="Currency 3 2 4 4 2" xfId="3801" xr:uid="{00000000-0005-0000-0000-0000360B0000}"/>
    <cellStyle name="Currency 3 2 4 4 2 2" xfId="8024" xr:uid="{00000000-0005-0000-0000-0000370B0000}"/>
    <cellStyle name="Currency 3 2 4 4 2 2 2" xfId="16466" xr:uid="{072750B7-0F77-4AD8-AF65-D973D0B01D50}"/>
    <cellStyle name="Currency 3 2 4 4 2 3" xfId="12248" xr:uid="{89944D73-FA44-41B1-BF71-F350A72DCA64}"/>
    <cellStyle name="Currency 3 2 4 4 3" xfId="5879" xr:uid="{00000000-0005-0000-0000-0000380B0000}"/>
    <cellStyle name="Currency 3 2 4 4 3 2" xfId="14321" xr:uid="{5C5C5B6C-E9D5-414C-A61A-245322C6F2B2}"/>
    <cellStyle name="Currency 3 2 4 4 4" xfId="10103" xr:uid="{406BB22F-CA11-4136-9A1B-10C1930779E0}"/>
    <cellStyle name="Currency 3 2 4 5" xfId="1985" xr:uid="{00000000-0005-0000-0000-0000390B0000}"/>
    <cellStyle name="Currency 3 2 4 5 2" xfId="4214" xr:uid="{00000000-0005-0000-0000-00003A0B0000}"/>
    <cellStyle name="Currency 3 2 4 5 2 2" xfId="8437" xr:uid="{00000000-0005-0000-0000-00003B0B0000}"/>
    <cellStyle name="Currency 3 2 4 5 2 2 2" xfId="16879" xr:uid="{D7BCC81C-F595-4B65-8020-F5D53F9428C1}"/>
    <cellStyle name="Currency 3 2 4 5 2 3" xfId="12661" xr:uid="{BA255B65-FE70-4DD4-9561-C2A7CD443A32}"/>
    <cellStyle name="Currency 3 2 4 5 3" xfId="6292" xr:uid="{00000000-0005-0000-0000-00003C0B0000}"/>
    <cellStyle name="Currency 3 2 4 5 3 2" xfId="14734" xr:uid="{8323D7D1-E798-4834-ADD4-E58439372A9D}"/>
    <cellStyle name="Currency 3 2 4 5 4" xfId="10516" xr:uid="{272110DA-F232-49D6-AC9A-B9188A083AE9}"/>
    <cellStyle name="Currency 3 2 4 6" xfId="2420" xr:uid="{00000000-0005-0000-0000-00003D0B0000}"/>
    <cellStyle name="Currency 3 2 4 6 2" xfId="6705" xr:uid="{00000000-0005-0000-0000-00003E0B0000}"/>
    <cellStyle name="Currency 3 2 4 6 2 2" xfId="15147" xr:uid="{593F7E53-C627-477D-BF6A-945816FA6590}"/>
    <cellStyle name="Currency 3 2 4 6 3" xfId="10929" xr:uid="{CCB58759-8252-4469-AD8B-B58582AF2399}"/>
    <cellStyle name="Currency 3 2 4 7" xfId="2717" xr:uid="{00000000-0005-0000-0000-00003F0B0000}"/>
    <cellStyle name="Currency 3 2 4 8" xfId="2798" xr:uid="{00000000-0005-0000-0000-0000400B0000}"/>
    <cellStyle name="Currency 3 2 4 8 2" xfId="7022" xr:uid="{00000000-0005-0000-0000-0000410B0000}"/>
    <cellStyle name="Currency 3 2 4 8 2 2" xfId="15464" xr:uid="{394A717F-1794-456A-A4CF-8D3EFF716C73}"/>
    <cellStyle name="Currency 3 2 4 8 3" xfId="11246" xr:uid="{6DBC0ED3-E47D-4209-A462-2143A725CD0C}"/>
    <cellStyle name="Currency 3 2 4 9" xfId="4639" xr:uid="{00000000-0005-0000-0000-0000420B0000}"/>
    <cellStyle name="Currency 3 2 4 9 2" xfId="13081" xr:uid="{C2FB853C-7574-466A-B10C-DD8CEBCDDA83}"/>
    <cellStyle name="Currency 3 2 5" xfId="185" xr:uid="{00000000-0005-0000-0000-0000430B0000}"/>
    <cellStyle name="Currency 3 2 5 10" xfId="8864" xr:uid="{318767FB-94AA-4C1A-B37A-8994666812F9}"/>
    <cellStyle name="Currency 3 2 5 2" xfId="715" xr:uid="{00000000-0005-0000-0000-0000440B0000}"/>
    <cellStyle name="Currency 3 2 5 2 2" xfId="2976" xr:uid="{00000000-0005-0000-0000-0000450B0000}"/>
    <cellStyle name="Currency 3 2 5 2 2 2" xfId="7199" xr:uid="{00000000-0005-0000-0000-0000460B0000}"/>
    <cellStyle name="Currency 3 2 5 2 2 2 2" xfId="15641" xr:uid="{6E9DD9C5-C0DD-4FBE-81B7-3BBB69CC8C85}"/>
    <cellStyle name="Currency 3 2 5 2 2 3" xfId="11423" xr:uid="{ED5465A0-5C51-40C3-98B7-500D5FF695E6}"/>
    <cellStyle name="Currency 3 2 5 2 3" xfId="5054" xr:uid="{00000000-0005-0000-0000-0000470B0000}"/>
    <cellStyle name="Currency 3 2 5 2 3 2" xfId="13496" xr:uid="{1EA9570B-3984-4B86-A538-279F84F44AB2}"/>
    <cellStyle name="Currency 3 2 5 2 4" xfId="9278" xr:uid="{B77C3E7F-21E8-4218-9024-EDD8E9DD0024}"/>
    <cellStyle name="Currency 3 2 5 3" xfId="1158" xr:uid="{00000000-0005-0000-0000-0000480B0000}"/>
    <cellStyle name="Currency 3 2 5 3 2" xfId="3389" xr:uid="{00000000-0005-0000-0000-0000490B0000}"/>
    <cellStyle name="Currency 3 2 5 3 2 2" xfId="7612" xr:uid="{00000000-0005-0000-0000-00004A0B0000}"/>
    <cellStyle name="Currency 3 2 5 3 2 2 2" xfId="16054" xr:uid="{508DE5C5-2D4B-49B6-ACC0-E00369D031DF}"/>
    <cellStyle name="Currency 3 2 5 3 2 3" xfId="11836" xr:uid="{4C5A3644-4F36-4493-930F-EC567CB297DF}"/>
    <cellStyle name="Currency 3 2 5 3 3" xfId="5467" xr:uid="{00000000-0005-0000-0000-00004B0B0000}"/>
    <cellStyle name="Currency 3 2 5 3 3 2" xfId="13909" xr:uid="{A0030CE2-56FC-41A7-8DA5-4E8429B6E82F}"/>
    <cellStyle name="Currency 3 2 5 3 4" xfId="9691" xr:uid="{689C92EE-A183-4F54-843E-02AEC4CB25F9}"/>
    <cellStyle name="Currency 3 2 5 4" xfId="1572" xr:uid="{00000000-0005-0000-0000-00004C0B0000}"/>
    <cellStyle name="Currency 3 2 5 4 2" xfId="3802" xr:uid="{00000000-0005-0000-0000-00004D0B0000}"/>
    <cellStyle name="Currency 3 2 5 4 2 2" xfId="8025" xr:uid="{00000000-0005-0000-0000-00004E0B0000}"/>
    <cellStyle name="Currency 3 2 5 4 2 2 2" xfId="16467" xr:uid="{757C6CD0-CCDF-4238-95F4-8DCFCB1B30BD}"/>
    <cellStyle name="Currency 3 2 5 4 2 3" xfId="12249" xr:uid="{BC2186E6-357B-43A6-A7E1-40BBC93379A1}"/>
    <cellStyle name="Currency 3 2 5 4 3" xfId="5880" xr:uid="{00000000-0005-0000-0000-00004F0B0000}"/>
    <cellStyle name="Currency 3 2 5 4 3 2" xfId="14322" xr:uid="{5A9B1B63-B80A-4C40-B930-85B7BB157116}"/>
    <cellStyle name="Currency 3 2 5 4 4" xfId="10104" xr:uid="{847B417B-7E7F-41B6-B13D-FC640F7DB9C4}"/>
    <cellStyle name="Currency 3 2 5 5" xfId="1986" xr:uid="{00000000-0005-0000-0000-0000500B0000}"/>
    <cellStyle name="Currency 3 2 5 5 2" xfId="4215" xr:uid="{00000000-0005-0000-0000-0000510B0000}"/>
    <cellStyle name="Currency 3 2 5 5 2 2" xfId="8438" xr:uid="{00000000-0005-0000-0000-0000520B0000}"/>
    <cellStyle name="Currency 3 2 5 5 2 2 2" xfId="16880" xr:uid="{8EEAEF6C-D371-487C-AA68-6B6D75735703}"/>
    <cellStyle name="Currency 3 2 5 5 2 3" xfId="12662" xr:uid="{7CAA74DA-58C2-4814-8EB3-3150295A3448}"/>
    <cellStyle name="Currency 3 2 5 5 3" xfId="6293" xr:uid="{00000000-0005-0000-0000-0000530B0000}"/>
    <cellStyle name="Currency 3 2 5 5 3 2" xfId="14735" xr:uid="{EFC4618A-5604-41DF-AADC-1335645BB4E2}"/>
    <cellStyle name="Currency 3 2 5 5 4" xfId="10517" xr:uid="{C7FCD6A3-CA1B-471A-B54B-3E946A880C6F}"/>
    <cellStyle name="Currency 3 2 5 6" xfId="2421" xr:uid="{00000000-0005-0000-0000-0000540B0000}"/>
    <cellStyle name="Currency 3 2 5 6 2" xfId="6706" xr:uid="{00000000-0005-0000-0000-0000550B0000}"/>
    <cellStyle name="Currency 3 2 5 6 2 2" xfId="15148" xr:uid="{699611B8-EE00-4846-BF9E-9F64CE20430A}"/>
    <cellStyle name="Currency 3 2 5 6 3" xfId="10930" xr:uid="{5A3EA32B-40F4-4B06-BD6B-1B6FE38EC59C}"/>
    <cellStyle name="Currency 3 2 5 7" xfId="2718" xr:uid="{00000000-0005-0000-0000-0000560B0000}"/>
    <cellStyle name="Currency 3 2 5 8" xfId="2799" xr:uid="{00000000-0005-0000-0000-0000570B0000}"/>
    <cellStyle name="Currency 3 2 5 8 2" xfId="7023" xr:uid="{00000000-0005-0000-0000-0000580B0000}"/>
    <cellStyle name="Currency 3 2 5 8 2 2" xfId="15465" xr:uid="{1A723830-9D68-4E5A-B074-8F58C50FF88D}"/>
    <cellStyle name="Currency 3 2 5 8 3" xfId="11247" xr:uid="{356A2105-D41F-4BCC-8B95-3D92BAE23DA8}"/>
    <cellStyle name="Currency 3 2 5 9" xfId="4640" xr:uid="{00000000-0005-0000-0000-0000590B0000}"/>
    <cellStyle name="Currency 3 2 5 9 2" xfId="13082" xr:uid="{E6EC2C97-C4FF-4FAE-8977-294B9BFB8C44}"/>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0 2 2" xfId="15466" xr:uid="{5D32750F-0AFF-408F-8B4D-2185D2E4B15A}"/>
    <cellStyle name="Currency 5 2 2 2 10 3" xfId="11248" xr:uid="{22CC8F1C-29F7-492B-BC37-7DA30885282E}"/>
    <cellStyle name="Currency 5 2 2 2 11" xfId="4641" xr:uid="{00000000-0005-0000-0000-00006C0B0000}"/>
    <cellStyle name="Currency 5 2 2 2 11 2" xfId="13083" xr:uid="{05398A18-9CA8-4DA7-953E-3297D07A33B0}"/>
    <cellStyle name="Currency 5 2 2 2 12" xfId="8865" xr:uid="{35D89612-ABF8-4884-B37A-DB6FE28E3110}"/>
    <cellStyle name="Currency 5 2 2 2 2" xfId="197" xr:uid="{00000000-0005-0000-0000-00006D0B0000}"/>
    <cellStyle name="Currency 5 2 2 2 2 10" xfId="4642" xr:uid="{00000000-0005-0000-0000-00006E0B0000}"/>
    <cellStyle name="Currency 5 2 2 2 2 10 2" xfId="13084" xr:uid="{59F833A4-A8BC-4367-BC91-0D5DBD35A8FB}"/>
    <cellStyle name="Currency 5 2 2 2 2 11" xfId="8866" xr:uid="{8FCF0835-3283-4ECC-87DF-001B87D8889C}"/>
    <cellStyle name="Currency 5 2 2 2 2 2" xfId="198" xr:uid="{00000000-0005-0000-0000-00006F0B0000}"/>
    <cellStyle name="Currency 5 2 2 2 2 2 10" xfId="8867" xr:uid="{E289B51F-7ED2-4E82-B585-EF662B739B8E}"/>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2 2 2" xfId="15644" xr:uid="{DFF435DE-01FE-4DCC-A642-4C34352BCB98}"/>
    <cellStyle name="Currency 5 2 2 2 2 2 2 2 3" xfId="11426" xr:uid="{F90A9736-67C5-4C3C-8559-81DF397A6817}"/>
    <cellStyle name="Currency 5 2 2 2 2 2 2 3" xfId="5057" xr:uid="{00000000-0005-0000-0000-0000730B0000}"/>
    <cellStyle name="Currency 5 2 2 2 2 2 2 3 2" xfId="13499" xr:uid="{1842D0DC-ACD2-4F51-8593-B406D05705D4}"/>
    <cellStyle name="Currency 5 2 2 2 2 2 2 4" xfId="9281" xr:uid="{CC8FEB9F-54DC-4FB5-B9EF-C1B48E5C24DB}"/>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2 2 2" xfId="16057" xr:uid="{730EA7A6-A413-479E-A280-2A639FC71C1A}"/>
    <cellStyle name="Currency 5 2 2 2 2 2 3 2 3" xfId="11839" xr:uid="{B5ABC2E4-7ED7-4A89-85EC-A443B2F68659}"/>
    <cellStyle name="Currency 5 2 2 2 2 2 3 3" xfId="5470" xr:uid="{00000000-0005-0000-0000-0000770B0000}"/>
    <cellStyle name="Currency 5 2 2 2 2 2 3 3 2" xfId="13912" xr:uid="{B64C0FC9-5A35-4EFF-8645-99B2DEF606F8}"/>
    <cellStyle name="Currency 5 2 2 2 2 2 3 4" xfId="9694" xr:uid="{A94F7E4D-2F35-4AF2-BAC7-A3549F0D0D4F}"/>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2 2 2" xfId="16470" xr:uid="{4CBBE907-D66C-4E91-B4D7-CC8311CDC31D}"/>
    <cellStyle name="Currency 5 2 2 2 2 2 4 2 3" xfId="12252" xr:uid="{5849B12E-827F-4611-882F-ADE10C0DECFA}"/>
    <cellStyle name="Currency 5 2 2 2 2 2 4 3" xfId="5883" xr:uid="{00000000-0005-0000-0000-00007B0B0000}"/>
    <cellStyle name="Currency 5 2 2 2 2 2 4 3 2" xfId="14325" xr:uid="{E8CA76A1-EC62-4DBE-BA42-CA46F23ADB67}"/>
    <cellStyle name="Currency 5 2 2 2 2 2 4 4" xfId="10107" xr:uid="{2FD7FBD0-5E8F-46CA-9383-4687D8669DF1}"/>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2 2 2" xfId="16883" xr:uid="{91BD946E-098C-4E27-95F9-CB8FC9D29033}"/>
    <cellStyle name="Currency 5 2 2 2 2 2 5 2 3" xfId="12665" xr:uid="{81616A63-C905-4684-B396-F43C331E54D2}"/>
    <cellStyle name="Currency 5 2 2 2 2 2 5 3" xfId="6296" xr:uid="{00000000-0005-0000-0000-00007F0B0000}"/>
    <cellStyle name="Currency 5 2 2 2 2 2 5 3 2" xfId="14738" xr:uid="{3EEB1CEB-4AE8-406A-8CBC-7733DDBB7166}"/>
    <cellStyle name="Currency 5 2 2 2 2 2 5 4" xfId="10520" xr:uid="{2F7F6E29-A3EF-40F8-8019-D0D6D0D4B445}"/>
    <cellStyle name="Currency 5 2 2 2 2 2 6" xfId="2424" xr:uid="{00000000-0005-0000-0000-0000800B0000}"/>
    <cellStyle name="Currency 5 2 2 2 2 2 6 2" xfId="6709" xr:uid="{00000000-0005-0000-0000-0000810B0000}"/>
    <cellStyle name="Currency 5 2 2 2 2 2 6 2 2" xfId="15151" xr:uid="{10A77223-BF6F-4BDE-9EE2-9D98F3F3D66D}"/>
    <cellStyle name="Currency 5 2 2 2 2 2 6 3" xfId="10933" xr:uid="{1FB566D2-31EC-46E7-9716-053BB632BCA3}"/>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8 2 2" xfId="15468" xr:uid="{0920A774-642D-4D32-880B-D685706BBFB2}"/>
    <cellStyle name="Currency 5 2 2 2 2 2 8 3" xfId="11250" xr:uid="{6483F29F-A668-4AE7-A9D8-5776706BEBAE}"/>
    <cellStyle name="Currency 5 2 2 2 2 2 9" xfId="4643" xr:uid="{00000000-0005-0000-0000-0000850B0000}"/>
    <cellStyle name="Currency 5 2 2 2 2 2 9 2" xfId="13085" xr:uid="{186A924E-4E4D-45D0-9FAC-1EF462967ECD}"/>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2 2 2" xfId="15643" xr:uid="{7FBDC664-BCF8-4E42-8624-0946B58AF28C}"/>
    <cellStyle name="Currency 5 2 2 2 2 3 2 3" xfId="11425" xr:uid="{FAC1B7C8-8288-4D09-9B13-15CC576A7D4E}"/>
    <cellStyle name="Currency 5 2 2 2 2 3 3" xfId="5056" xr:uid="{00000000-0005-0000-0000-0000890B0000}"/>
    <cellStyle name="Currency 5 2 2 2 2 3 3 2" xfId="13498" xr:uid="{99AA9E86-09FE-49EC-9E89-527E37237B11}"/>
    <cellStyle name="Currency 5 2 2 2 2 3 4" xfId="9280" xr:uid="{0F9ECC7C-6BE1-4328-BBEE-74369A45CDC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2 2 2" xfId="16056" xr:uid="{D4C96902-868B-4D5E-A926-1FEE9AE6A30A}"/>
    <cellStyle name="Currency 5 2 2 2 2 4 2 3" xfId="11838" xr:uid="{64DC60F5-060D-4D8E-B823-806E42C16313}"/>
    <cellStyle name="Currency 5 2 2 2 2 4 3" xfId="5469" xr:uid="{00000000-0005-0000-0000-00008D0B0000}"/>
    <cellStyle name="Currency 5 2 2 2 2 4 3 2" xfId="13911" xr:uid="{C1F6511E-6195-4011-97FD-4893D7B46C2E}"/>
    <cellStyle name="Currency 5 2 2 2 2 4 4" xfId="9693" xr:uid="{0B40A190-13F0-49BE-AF6A-5A409A50DC6D}"/>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2 2 2" xfId="16469" xr:uid="{E1920070-D80E-46AE-ADD1-B89551552BEE}"/>
    <cellStyle name="Currency 5 2 2 2 2 5 2 3" xfId="12251" xr:uid="{12D0A2A7-69AF-4AFA-B6E7-C30B2D00996E}"/>
    <cellStyle name="Currency 5 2 2 2 2 5 3" xfId="5882" xr:uid="{00000000-0005-0000-0000-0000910B0000}"/>
    <cellStyle name="Currency 5 2 2 2 2 5 3 2" xfId="14324" xr:uid="{6DE4D2EC-CE17-4647-A521-FFD96883E9BA}"/>
    <cellStyle name="Currency 5 2 2 2 2 5 4" xfId="10106" xr:uid="{CC6C80D4-8533-4517-856D-8C6ACB248A1B}"/>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2 2 2" xfId="16882" xr:uid="{A56B4D46-341E-4AB6-A2C4-A3B6FE9E705E}"/>
    <cellStyle name="Currency 5 2 2 2 2 6 2 3" xfId="12664" xr:uid="{6A6E0AF1-7D5F-4548-AEAA-29DAF558BEAB}"/>
    <cellStyle name="Currency 5 2 2 2 2 6 3" xfId="6295" xr:uid="{00000000-0005-0000-0000-0000950B0000}"/>
    <cellStyle name="Currency 5 2 2 2 2 6 3 2" xfId="14737" xr:uid="{19C571C8-1971-41AE-B1DC-79B93BAAF81B}"/>
    <cellStyle name="Currency 5 2 2 2 2 6 4" xfId="10519" xr:uid="{527C8F51-0EB5-4A1B-83DA-B044BD182811}"/>
    <cellStyle name="Currency 5 2 2 2 2 7" xfId="2423" xr:uid="{00000000-0005-0000-0000-0000960B0000}"/>
    <cellStyle name="Currency 5 2 2 2 2 7 2" xfId="6708" xr:uid="{00000000-0005-0000-0000-0000970B0000}"/>
    <cellStyle name="Currency 5 2 2 2 2 7 2 2" xfId="15150" xr:uid="{B2AC8BB3-EC9D-4CA1-8CEC-622538E86746}"/>
    <cellStyle name="Currency 5 2 2 2 2 7 3" xfId="10932" xr:uid="{0DDED0C8-0AED-4915-A784-2E35C8143162}"/>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2 9 2 2" xfId="15467" xr:uid="{320955C1-0A68-445E-8897-28049DACBF4B}"/>
    <cellStyle name="Currency 5 2 2 2 2 9 3" xfId="11249" xr:uid="{A5E5A47F-612E-4CDC-9F6E-6DBD8014551C}"/>
    <cellStyle name="Currency 5 2 2 2 3" xfId="199" xr:uid="{00000000-0005-0000-0000-00009B0B0000}"/>
    <cellStyle name="Currency 5 2 2 2 3 10" xfId="8868" xr:uid="{4F7A14DE-EF68-49FD-8A32-4D6FACDA47DD}"/>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2 2 2" xfId="15645" xr:uid="{3D3407D8-8E6D-4459-B257-1376E0BF50B1}"/>
    <cellStyle name="Currency 5 2 2 2 3 2 2 3" xfId="11427" xr:uid="{BDE1F859-9C5E-49C2-8AA3-8AC0512FCC44}"/>
    <cellStyle name="Currency 5 2 2 2 3 2 3" xfId="5058" xr:uid="{00000000-0005-0000-0000-00009F0B0000}"/>
    <cellStyle name="Currency 5 2 2 2 3 2 3 2" xfId="13500" xr:uid="{FB59EFF3-60F8-4752-9457-84EE12B25E93}"/>
    <cellStyle name="Currency 5 2 2 2 3 2 4" xfId="9282" xr:uid="{2FD60A9F-5A92-4F50-810E-F3CCDA012B38}"/>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2 2 2" xfId="16058" xr:uid="{689DA171-6F9E-4D6B-A075-0714B8690EA5}"/>
    <cellStyle name="Currency 5 2 2 2 3 3 2 3" xfId="11840" xr:uid="{A8656B65-72BA-467F-97EB-0D26E9038612}"/>
    <cellStyle name="Currency 5 2 2 2 3 3 3" xfId="5471" xr:uid="{00000000-0005-0000-0000-0000A30B0000}"/>
    <cellStyle name="Currency 5 2 2 2 3 3 3 2" xfId="13913" xr:uid="{E47082E5-6517-4960-8627-6213AB594520}"/>
    <cellStyle name="Currency 5 2 2 2 3 3 4" xfId="9695" xr:uid="{B1630BAE-28D2-4F73-B17A-0B838593F075}"/>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2 2 2" xfId="16471" xr:uid="{5C0C0240-E4D0-4C05-A79B-A9C567979A6F}"/>
    <cellStyle name="Currency 5 2 2 2 3 4 2 3" xfId="12253" xr:uid="{33543436-989B-434B-8F8C-6DCF731ADAD3}"/>
    <cellStyle name="Currency 5 2 2 2 3 4 3" xfId="5884" xr:uid="{00000000-0005-0000-0000-0000A70B0000}"/>
    <cellStyle name="Currency 5 2 2 2 3 4 3 2" xfId="14326" xr:uid="{81F0D0D4-2FB4-4EBB-B85B-ABA28E68E4F0}"/>
    <cellStyle name="Currency 5 2 2 2 3 4 4" xfId="10108" xr:uid="{0142E7DC-4259-45A3-92C9-E5D52B454BC5}"/>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2 2 2" xfId="16884" xr:uid="{2FB590B4-535B-4E42-BEE4-2CC650F9A77F}"/>
    <cellStyle name="Currency 5 2 2 2 3 5 2 3" xfId="12666" xr:uid="{7C8A99D1-064B-4C99-8A91-33632ED9883D}"/>
    <cellStyle name="Currency 5 2 2 2 3 5 3" xfId="6297" xr:uid="{00000000-0005-0000-0000-0000AB0B0000}"/>
    <cellStyle name="Currency 5 2 2 2 3 5 3 2" xfId="14739" xr:uid="{A0621D35-791F-45E5-ACF6-607604A5BBE1}"/>
    <cellStyle name="Currency 5 2 2 2 3 5 4" xfId="10521" xr:uid="{0238D793-E596-436F-A215-556DADF50887}"/>
    <cellStyle name="Currency 5 2 2 2 3 6" xfId="2425" xr:uid="{00000000-0005-0000-0000-0000AC0B0000}"/>
    <cellStyle name="Currency 5 2 2 2 3 6 2" xfId="6710" xr:uid="{00000000-0005-0000-0000-0000AD0B0000}"/>
    <cellStyle name="Currency 5 2 2 2 3 6 2 2" xfId="15152" xr:uid="{549BE21B-5C51-471D-8863-1E3984245740}"/>
    <cellStyle name="Currency 5 2 2 2 3 6 3" xfId="10934" xr:uid="{BA26AE0F-89EE-4DF3-89B0-B617BDB9D239}"/>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8 2 2" xfId="15469" xr:uid="{E12830B6-7DDF-4B7F-98D3-109DF5F9D098}"/>
    <cellStyle name="Currency 5 2 2 2 3 8 3" xfId="11251" xr:uid="{EC7CB0DD-AC1A-4771-9FB8-A0BCE1BDB9D7}"/>
    <cellStyle name="Currency 5 2 2 2 3 9" xfId="4644" xr:uid="{00000000-0005-0000-0000-0000B10B0000}"/>
    <cellStyle name="Currency 5 2 2 2 3 9 2" xfId="13086" xr:uid="{5E81F2A5-5B34-421E-B22F-6152BC039874}"/>
    <cellStyle name="Currency 5 2 2 2 4" xfId="723" xr:uid="{00000000-0005-0000-0000-0000B20B0000}"/>
    <cellStyle name="Currency 5 2 2 2 4 2" xfId="2977" xr:uid="{00000000-0005-0000-0000-0000B30B0000}"/>
    <cellStyle name="Currency 5 2 2 2 4 2 2" xfId="7200" xr:uid="{00000000-0005-0000-0000-0000B40B0000}"/>
    <cellStyle name="Currency 5 2 2 2 4 2 2 2" xfId="15642" xr:uid="{8A6725AF-B003-49D8-A43C-2793D3C9A60E}"/>
    <cellStyle name="Currency 5 2 2 2 4 2 3" xfId="11424" xr:uid="{A6D4B403-C8B6-40B4-BEFB-63FA4762F112}"/>
    <cellStyle name="Currency 5 2 2 2 4 3" xfId="5055" xr:uid="{00000000-0005-0000-0000-0000B50B0000}"/>
    <cellStyle name="Currency 5 2 2 2 4 3 2" xfId="13497" xr:uid="{E3CFD1DB-25AD-4C71-9259-ACD846FF9CEB}"/>
    <cellStyle name="Currency 5 2 2 2 4 4" xfId="9279" xr:uid="{36211339-5073-4F8B-8D87-136899AB18F5}"/>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2 2 2" xfId="16055" xr:uid="{BA7FB921-56C7-4D22-B273-D3971F8BCDBB}"/>
    <cellStyle name="Currency 5 2 2 2 5 2 3" xfId="11837" xr:uid="{3FD0F065-A419-44F9-8801-43F8CA0865A2}"/>
    <cellStyle name="Currency 5 2 2 2 5 3" xfId="5468" xr:uid="{00000000-0005-0000-0000-0000B90B0000}"/>
    <cellStyle name="Currency 5 2 2 2 5 3 2" xfId="13910" xr:uid="{0D060D16-3CBA-4456-A143-7B2C81FEBC11}"/>
    <cellStyle name="Currency 5 2 2 2 5 4" xfId="9692" xr:uid="{E0B8A1D4-25FA-48B3-A36D-440101687119}"/>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2 2 2" xfId="16468" xr:uid="{158A77B7-96E7-467F-AF80-97A43838E1AF}"/>
    <cellStyle name="Currency 5 2 2 2 6 2 3" xfId="12250" xr:uid="{76D66BC0-835C-488C-9EAD-1D05FE23E2B7}"/>
    <cellStyle name="Currency 5 2 2 2 6 3" xfId="5881" xr:uid="{00000000-0005-0000-0000-0000BD0B0000}"/>
    <cellStyle name="Currency 5 2 2 2 6 3 2" xfId="14323" xr:uid="{1B55A159-86C0-48C1-B3DB-8EC408D93C8F}"/>
    <cellStyle name="Currency 5 2 2 2 6 4" xfId="10105" xr:uid="{91DAF927-D557-4AF9-9381-9119BF7180E1}"/>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2 2 2" xfId="16881" xr:uid="{42A36AB6-9711-48F2-8DE8-427E4806A06E}"/>
    <cellStyle name="Currency 5 2 2 2 7 2 3" xfId="12663" xr:uid="{A6092E67-0BDB-47F9-A2F7-4A66248B130A}"/>
    <cellStyle name="Currency 5 2 2 2 7 3" xfId="6294" xr:uid="{00000000-0005-0000-0000-0000C10B0000}"/>
    <cellStyle name="Currency 5 2 2 2 7 3 2" xfId="14736" xr:uid="{AC3C8D00-5181-4EA1-91D1-BA495DE88BDC}"/>
    <cellStyle name="Currency 5 2 2 2 7 4" xfId="10518" xr:uid="{98BA32DC-1CB0-463D-A497-6F681F05B1C1}"/>
    <cellStyle name="Currency 5 2 2 2 8" xfId="2422" xr:uid="{00000000-0005-0000-0000-0000C20B0000}"/>
    <cellStyle name="Currency 5 2 2 2 8 2" xfId="6707" xr:uid="{00000000-0005-0000-0000-0000C30B0000}"/>
    <cellStyle name="Currency 5 2 2 2 8 2 2" xfId="15149" xr:uid="{F8A94FF0-6009-4172-90B2-76F892519DBA}"/>
    <cellStyle name="Currency 5 2 2 2 8 3" xfId="10931" xr:uid="{3CCB4F46-4CA3-41CD-A2F4-1EA5704F66FA}"/>
    <cellStyle name="Currency 5 2 2 2 9" xfId="2719" xr:uid="{00000000-0005-0000-0000-0000C40B0000}"/>
    <cellStyle name="Currency 5 2 2 3" xfId="200" xr:uid="{00000000-0005-0000-0000-0000C50B0000}"/>
    <cellStyle name="Currency 5 2 2 3 10" xfId="4645" xr:uid="{00000000-0005-0000-0000-0000C60B0000}"/>
    <cellStyle name="Currency 5 2 2 3 10 2" xfId="13087" xr:uid="{549E2871-642E-4272-97EC-064B493353E2}"/>
    <cellStyle name="Currency 5 2 2 3 11" xfId="8869" xr:uid="{C4ABC333-EC5E-4CE5-9FA6-373BDA99B0D8}"/>
    <cellStyle name="Currency 5 2 2 3 2" xfId="201" xr:uid="{00000000-0005-0000-0000-0000C70B0000}"/>
    <cellStyle name="Currency 5 2 2 3 2 10" xfId="8870" xr:uid="{2CD6904F-7421-434D-8ECE-2BBF476A3BB5}"/>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2 2 2" xfId="15647" xr:uid="{2D0CB69B-F485-4DDB-ACC1-AF147055F74D}"/>
    <cellStyle name="Currency 5 2 2 3 2 2 2 3" xfId="11429" xr:uid="{CA95815F-BFC3-4664-BA1B-B16232DBB7C3}"/>
    <cellStyle name="Currency 5 2 2 3 2 2 3" xfId="5060" xr:uid="{00000000-0005-0000-0000-0000CB0B0000}"/>
    <cellStyle name="Currency 5 2 2 3 2 2 3 2" xfId="13502" xr:uid="{C9C9701F-12AF-4958-A9E3-902CE283B2CB}"/>
    <cellStyle name="Currency 5 2 2 3 2 2 4" xfId="9284" xr:uid="{F04E68E3-0495-46BA-8FC8-41AA514E9C6E}"/>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2 2 2" xfId="16060" xr:uid="{A201AE7A-9D06-4506-BFCF-05E71979A1DB}"/>
    <cellStyle name="Currency 5 2 2 3 2 3 2 3" xfId="11842" xr:uid="{8E63F923-3012-4BDB-ACD3-7F2844154F70}"/>
    <cellStyle name="Currency 5 2 2 3 2 3 3" xfId="5473" xr:uid="{00000000-0005-0000-0000-0000CF0B0000}"/>
    <cellStyle name="Currency 5 2 2 3 2 3 3 2" xfId="13915" xr:uid="{8AECD66D-0FF5-4516-88F4-1B257302F812}"/>
    <cellStyle name="Currency 5 2 2 3 2 3 4" xfId="9697" xr:uid="{4DD5D6F3-AA96-42C8-AFF0-F56F2A57483E}"/>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2 2 2" xfId="16473" xr:uid="{2975FC37-7E2E-4783-8E3A-74651E514BF2}"/>
    <cellStyle name="Currency 5 2 2 3 2 4 2 3" xfId="12255" xr:uid="{D56AF927-4F9E-43B2-A66F-08A4BDA5E92F}"/>
    <cellStyle name="Currency 5 2 2 3 2 4 3" xfId="5886" xr:uid="{00000000-0005-0000-0000-0000D30B0000}"/>
    <cellStyle name="Currency 5 2 2 3 2 4 3 2" xfId="14328" xr:uid="{8D4B9A03-0929-4624-ADFB-41524048417C}"/>
    <cellStyle name="Currency 5 2 2 3 2 4 4" xfId="10110" xr:uid="{9577EC02-4E0E-49F0-A354-DBFE024A5E18}"/>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2 2 2" xfId="16886" xr:uid="{9F6D27A5-9125-45F2-BCB0-FD02D41E0E4C}"/>
    <cellStyle name="Currency 5 2 2 3 2 5 2 3" xfId="12668" xr:uid="{C620B40F-911E-4E6C-A01B-C81802ACC16B}"/>
    <cellStyle name="Currency 5 2 2 3 2 5 3" xfId="6299" xr:uid="{00000000-0005-0000-0000-0000D70B0000}"/>
    <cellStyle name="Currency 5 2 2 3 2 5 3 2" xfId="14741" xr:uid="{351B6699-9FF9-4569-B107-5E6DBC27E024}"/>
    <cellStyle name="Currency 5 2 2 3 2 5 4" xfId="10523" xr:uid="{C4606BBC-7497-429B-8C55-2AF68069F5B3}"/>
    <cellStyle name="Currency 5 2 2 3 2 6" xfId="2427" xr:uid="{00000000-0005-0000-0000-0000D80B0000}"/>
    <cellStyle name="Currency 5 2 2 3 2 6 2" xfId="6712" xr:uid="{00000000-0005-0000-0000-0000D90B0000}"/>
    <cellStyle name="Currency 5 2 2 3 2 6 2 2" xfId="15154" xr:uid="{42D935CB-C11D-4707-82F6-8E742B1152D5}"/>
    <cellStyle name="Currency 5 2 2 3 2 6 3" xfId="10936" xr:uid="{36CE73DA-6FDE-4FAE-9077-E19FC480F4D3}"/>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8 2 2" xfId="15471" xr:uid="{3495D61C-8F2E-43F1-9A31-F5A7E97D9E5D}"/>
    <cellStyle name="Currency 5 2 2 3 2 8 3" xfId="11253" xr:uid="{156339A4-BEE0-48EA-9EC9-53C0642F159B}"/>
    <cellStyle name="Currency 5 2 2 3 2 9" xfId="4646" xr:uid="{00000000-0005-0000-0000-0000DD0B0000}"/>
    <cellStyle name="Currency 5 2 2 3 2 9 2" xfId="13088" xr:uid="{7A190ABD-4D0A-451E-8539-02324E51E1CE}"/>
    <cellStyle name="Currency 5 2 2 3 3" xfId="727" xr:uid="{00000000-0005-0000-0000-0000DE0B0000}"/>
    <cellStyle name="Currency 5 2 2 3 3 2" xfId="2981" xr:uid="{00000000-0005-0000-0000-0000DF0B0000}"/>
    <cellStyle name="Currency 5 2 2 3 3 2 2" xfId="7204" xr:uid="{00000000-0005-0000-0000-0000E00B0000}"/>
    <cellStyle name="Currency 5 2 2 3 3 2 2 2" xfId="15646" xr:uid="{ABC769DD-051E-4BC2-8C92-C63D2747BAD9}"/>
    <cellStyle name="Currency 5 2 2 3 3 2 3" xfId="11428" xr:uid="{8F22A58D-6ACF-42D1-8CE9-EBEC9C08227C}"/>
    <cellStyle name="Currency 5 2 2 3 3 3" xfId="5059" xr:uid="{00000000-0005-0000-0000-0000E10B0000}"/>
    <cellStyle name="Currency 5 2 2 3 3 3 2" xfId="13501" xr:uid="{B86BDA03-2B9F-4F5E-95A8-6E0ADF1DF9D7}"/>
    <cellStyle name="Currency 5 2 2 3 3 4" xfId="9283" xr:uid="{1DE99A74-CD74-47E7-BE88-47A5BCBD9714}"/>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2 2 2" xfId="16059" xr:uid="{A7FD2B03-EF60-45A9-8BEA-450286E734F9}"/>
    <cellStyle name="Currency 5 2 2 3 4 2 3" xfId="11841" xr:uid="{B8FDDA87-BB27-472D-B645-8F925663C43F}"/>
    <cellStyle name="Currency 5 2 2 3 4 3" xfId="5472" xr:uid="{00000000-0005-0000-0000-0000E50B0000}"/>
    <cellStyle name="Currency 5 2 2 3 4 3 2" xfId="13914" xr:uid="{8D2184D8-C7FE-47AB-83FA-D7CA2366D313}"/>
    <cellStyle name="Currency 5 2 2 3 4 4" xfId="9696" xr:uid="{D244133C-A576-4832-8D95-803547969B7A}"/>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2 2 2" xfId="16472" xr:uid="{EC2C5639-28B3-4A53-A2CF-0806BDB80CC1}"/>
    <cellStyle name="Currency 5 2 2 3 5 2 3" xfId="12254" xr:uid="{0E19F04D-96BA-48E8-9AEA-AF2B7E356205}"/>
    <cellStyle name="Currency 5 2 2 3 5 3" xfId="5885" xr:uid="{00000000-0005-0000-0000-0000E90B0000}"/>
    <cellStyle name="Currency 5 2 2 3 5 3 2" xfId="14327" xr:uid="{B7F7972B-152E-49AB-AEE8-0B16BEE27FB6}"/>
    <cellStyle name="Currency 5 2 2 3 5 4" xfId="10109" xr:uid="{428BC72E-6622-48A7-8E19-04ABC7E8FC6C}"/>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2 2 2" xfId="16885" xr:uid="{A753E0D9-B865-42C0-BBE0-0526511DCE91}"/>
    <cellStyle name="Currency 5 2 2 3 6 2 3" xfId="12667" xr:uid="{FE7C9EA1-CCF8-43F8-B1CD-9A0F4919BBCF}"/>
    <cellStyle name="Currency 5 2 2 3 6 3" xfId="6298" xr:uid="{00000000-0005-0000-0000-0000ED0B0000}"/>
    <cellStyle name="Currency 5 2 2 3 6 3 2" xfId="14740" xr:uid="{D95BE643-31F6-4B0A-9D93-F2BBB91A72CF}"/>
    <cellStyle name="Currency 5 2 2 3 6 4" xfId="10522" xr:uid="{970BC983-22D1-4A5D-824C-63141CAE63CF}"/>
    <cellStyle name="Currency 5 2 2 3 7" xfId="2426" xr:uid="{00000000-0005-0000-0000-0000EE0B0000}"/>
    <cellStyle name="Currency 5 2 2 3 7 2" xfId="6711" xr:uid="{00000000-0005-0000-0000-0000EF0B0000}"/>
    <cellStyle name="Currency 5 2 2 3 7 2 2" xfId="15153" xr:uid="{AF03C394-361F-4BAD-8445-D4FAF37D7CE6}"/>
    <cellStyle name="Currency 5 2 2 3 7 3" xfId="10935" xr:uid="{40D24847-CADA-4B00-BB32-A25D24BF8256}"/>
    <cellStyle name="Currency 5 2 2 3 8" xfId="2723" xr:uid="{00000000-0005-0000-0000-0000F00B0000}"/>
    <cellStyle name="Currency 5 2 2 3 9" xfId="2804" xr:uid="{00000000-0005-0000-0000-0000F10B0000}"/>
    <cellStyle name="Currency 5 2 2 3 9 2" xfId="7028" xr:uid="{00000000-0005-0000-0000-0000F20B0000}"/>
    <cellStyle name="Currency 5 2 2 3 9 2 2" xfId="15470" xr:uid="{BABD37C6-5319-4E7D-930D-ACE8148A93E4}"/>
    <cellStyle name="Currency 5 2 2 3 9 3" xfId="11252" xr:uid="{073455DD-F4CF-419B-A288-1C083480F981}"/>
    <cellStyle name="Currency 5 2 2 4" xfId="202" xr:uid="{00000000-0005-0000-0000-0000F30B0000}"/>
    <cellStyle name="Currency 5 2 2 4 10" xfId="8871" xr:uid="{4E1F9520-62BC-49AF-9238-44ABC9B102D3}"/>
    <cellStyle name="Currency 5 2 2 4 2" xfId="729" xr:uid="{00000000-0005-0000-0000-0000F40B0000}"/>
    <cellStyle name="Currency 5 2 2 4 2 2" xfId="2983" xr:uid="{00000000-0005-0000-0000-0000F50B0000}"/>
    <cellStyle name="Currency 5 2 2 4 2 2 2" xfId="7206" xr:uid="{00000000-0005-0000-0000-0000F60B0000}"/>
    <cellStyle name="Currency 5 2 2 4 2 2 2 2" xfId="15648" xr:uid="{368D3D19-9F13-43B7-95A7-0E6F4A7296AC}"/>
    <cellStyle name="Currency 5 2 2 4 2 2 3" xfId="11430" xr:uid="{C0C0D720-7504-4203-A3AF-6E2B8B22E2BF}"/>
    <cellStyle name="Currency 5 2 2 4 2 3" xfId="5061" xr:uid="{00000000-0005-0000-0000-0000F70B0000}"/>
    <cellStyle name="Currency 5 2 2 4 2 3 2" xfId="13503" xr:uid="{14C7559A-D970-4E1C-8D61-4529E44C7119}"/>
    <cellStyle name="Currency 5 2 2 4 2 4" xfId="9285" xr:uid="{AB555C7C-371F-4DE1-9DA1-FE7C4606D893}"/>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2 2 2" xfId="16061" xr:uid="{2DCAB883-7199-4BF9-8B88-A95E1DF163B9}"/>
    <cellStyle name="Currency 5 2 2 4 3 2 3" xfId="11843" xr:uid="{1AD4E625-24DC-4C08-8B5E-3D2ABFE608E4}"/>
    <cellStyle name="Currency 5 2 2 4 3 3" xfId="5474" xr:uid="{00000000-0005-0000-0000-0000FB0B0000}"/>
    <cellStyle name="Currency 5 2 2 4 3 3 2" xfId="13916" xr:uid="{43288507-333D-4B74-AE41-073E497C5D1B}"/>
    <cellStyle name="Currency 5 2 2 4 3 4" xfId="9698" xr:uid="{5EA39091-59BE-4F13-B21A-25C110E1BC16}"/>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2 2 2" xfId="16474" xr:uid="{9FFED894-1B28-4E3D-B718-FCC631FF2C3A}"/>
    <cellStyle name="Currency 5 2 2 4 4 2 3" xfId="12256" xr:uid="{E514EEC5-ED2E-471B-A4ED-5FBB9EB1504B}"/>
    <cellStyle name="Currency 5 2 2 4 4 3" xfId="5887" xr:uid="{00000000-0005-0000-0000-0000FF0B0000}"/>
    <cellStyle name="Currency 5 2 2 4 4 3 2" xfId="14329" xr:uid="{EEB4A94A-A7AE-4DBD-9B1B-393C6F82EDB6}"/>
    <cellStyle name="Currency 5 2 2 4 4 4" xfId="10111" xr:uid="{B702F8D7-0C82-4F16-AF17-3F0FF1EF8635}"/>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2 2 2" xfId="16887" xr:uid="{69004309-9CF1-45DF-841A-BC51FCCFCDD4}"/>
    <cellStyle name="Currency 5 2 2 4 5 2 3" xfId="12669" xr:uid="{8625D793-AA1D-41D2-BB17-3EFDAA7292D9}"/>
    <cellStyle name="Currency 5 2 2 4 5 3" xfId="6300" xr:uid="{00000000-0005-0000-0000-0000030C0000}"/>
    <cellStyle name="Currency 5 2 2 4 5 3 2" xfId="14742" xr:uid="{C1278ED9-B1F6-48CB-8824-241F0E409DB6}"/>
    <cellStyle name="Currency 5 2 2 4 5 4" xfId="10524" xr:uid="{FB536503-BDED-452A-B06E-6B4965CD1B37}"/>
    <cellStyle name="Currency 5 2 2 4 6" xfId="2428" xr:uid="{00000000-0005-0000-0000-0000040C0000}"/>
    <cellStyle name="Currency 5 2 2 4 6 2" xfId="6713" xr:uid="{00000000-0005-0000-0000-0000050C0000}"/>
    <cellStyle name="Currency 5 2 2 4 6 2 2" xfId="15155" xr:uid="{5346C879-A75B-4712-A9ED-494E4EB7A0D3}"/>
    <cellStyle name="Currency 5 2 2 4 6 3" xfId="10937" xr:uid="{7BC33579-83E7-4D06-B6E5-285CA39FE398}"/>
    <cellStyle name="Currency 5 2 2 4 7" xfId="2725" xr:uid="{00000000-0005-0000-0000-0000060C0000}"/>
    <cellStyle name="Currency 5 2 2 4 8" xfId="2806" xr:uid="{00000000-0005-0000-0000-0000070C0000}"/>
    <cellStyle name="Currency 5 2 2 4 8 2" xfId="7030" xr:uid="{00000000-0005-0000-0000-0000080C0000}"/>
    <cellStyle name="Currency 5 2 2 4 8 2 2" xfId="15472" xr:uid="{1533F063-54B5-47F6-B7FE-2F6BE19BFDE1}"/>
    <cellStyle name="Currency 5 2 2 4 8 3" xfId="11254" xr:uid="{0B3D3789-DA83-4A83-A3B8-2557FFCB1429}"/>
    <cellStyle name="Currency 5 2 2 4 9" xfId="4647" xr:uid="{00000000-0005-0000-0000-0000090C0000}"/>
    <cellStyle name="Currency 5 2 2 4 9 2" xfId="13089" xr:uid="{1148C276-3A59-4B13-8193-D7E64B8C5B23}"/>
    <cellStyle name="Currency 5 2 2 5" xfId="203" xr:uid="{00000000-0005-0000-0000-00000A0C0000}"/>
    <cellStyle name="Currency 5 2 2 5 10" xfId="8872" xr:uid="{73E41086-537E-4104-9083-543467EF0ABF}"/>
    <cellStyle name="Currency 5 2 2 5 2" xfId="730" xr:uid="{00000000-0005-0000-0000-00000B0C0000}"/>
    <cellStyle name="Currency 5 2 2 5 2 2" xfId="2984" xr:uid="{00000000-0005-0000-0000-00000C0C0000}"/>
    <cellStyle name="Currency 5 2 2 5 2 2 2" xfId="7207" xr:uid="{00000000-0005-0000-0000-00000D0C0000}"/>
    <cellStyle name="Currency 5 2 2 5 2 2 2 2" xfId="15649" xr:uid="{396714DB-64B9-439C-9305-A9B61F99B4FB}"/>
    <cellStyle name="Currency 5 2 2 5 2 2 3" xfId="11431" xr:uid="{6F282BDE-70B5-4649-9307-8E3AC2DAA57F}"/>
    <cellStyle name="Currency 5 2 2 5 2 3" xfId="5062" xr:uid="{00000000-0005-0000-0000-00000E0C0000}"/>
    <cellStyle name="Currency 5 2 2 5 2 3 2" xfId="13504" xr:uid="{36D809AE-47B3-4E0D-9B4C-628A409EC4DB}"/>
    <cellStyle name="Currency 5 2 2 5 2 4" xfId="9286" xr:uid="{8ED71830-E54E-4F63-A20F-105E448EF7B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2 2 2" xfId="16062" xr:uid="{1DE4916F-0D7E-4CB9-B471-88706A446C22}"/>
    <cellStyle name="Currency 5 2 2 5 3 2 3" xfId="11844" xr:uid="{D8F3A1DC-CFC2-40E4-9D48-A39B8AAE8980}"/>
    <cellStyle name="Currency 5 2 2 5 3 3" xfId="5475" xr:uid="{00000000-0005-0000-0000-0000120C0000}"/>
    <cellStyle name="Currency 5 2 2 5 3 3 2" xfId="13917" xr:uid="{0E373EA1-7B35-45C9-BD3B-73F1A8A67876}"/>
    <cellStyle name="Currency 5 2 2 5 3 4" xfId="9699" xr:uid="{20D2F39A-D351-448B-805A-719AA5322FC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2 2 2" xfId="16475" xr:uid="{877A61F2-6383-4E6E-8DDC-0F5CD4AAF694}"/>
    <cellStyle name="Currency 5 2 2 5 4 2 3" xfId="12257" xr:uid="{F78C2739-A401-40DE-B96E-02CB130E0646}"/>
    <cellStyle name="Currency 5 2 2 5 4 3" xfId="5888" xr:uid="{00000000-0005-0000-0000-0000160C0000}"/>
    <cellStyle name="Currency 5 2 2 5 4 3 2" xfId="14330" xr:uid="{7952124A-A092-46F7-8375-1AD0BB71DDCB}"/>
    <cellStyle name="Currency 5 2 2 5 4 4" xfId="10112" xr:uid="{45CB877F-8AC5-468B-AEEB-C8D70B4C9A7F}"/>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2 2 2" xfId="16888" xr:uid="{9B3285E3-648D-4BF6-AC2C-D1211547D3F7}"/>
    <cellStyle name="Currency 5 2 2 5 5 2 3" xfId="12670" xr:uid="{ED5D3D94-FBD6-4C65-A764-E34C23209507}"/>
    <cellStyle name="Currency 5 2 2 5 5 3" xfId="6301" xr:uid="{00000000-0005-0000-0000-00001A0C0000}"/>
    <cellStyle name="Currency 5 2 2 5 5 3 2" xfId="14743" xr:uid="{15F2F182-3AB9-47BE-B7E4-5F91E3389DE8}"/>
    <cellStyle name="Currency 5 2 2 5 5 4" xfId="10525" xr:uid="{926DB4B9-E833-48BB-A602-B0B6A3929132}"/>
    <cellStyle name="Currency 5 2 2 5 6" xfId="2429" xr:uid="{00000000-0005-0000-0000-00001B0C0000}"/>
    <cellStyle name="Currency 5 2 2 5 6 2" xfId="6714" xr:uid="{00000000-0005-0000-0000-00001C0C0000}"/>
    <cellStyle name="Currency 5 2 2 5 6 2 2" xfId="15156" xr:uid="{62C9B464-CD78-4049-8575-A2C9B59D26B1}"/>
    <cellStyle name="Currency 5 2 2 5 6 3" xfId="10938" xr:uid="{D7DDE48F-1F45-4140-A427-B3E5B1FC4513}"/>
    <cellStyle name="Currency 5 2 2 5 7" xfId="2726" xr:uid="{00000000-0005-0000-0000-00001D0C0000}"/>
    <cellStyle name="Currency 5 2 2 5 8" xfId="2807" xr:uid="{00000000-0005-0000-0000-00001E0C0000}"/>
    <cellStyle name="Currency 5 2 2 5 8 2" xfId="7031" xr:uid="{00000000-0005-0000-0000-00001F0C0000}"/>
    <cellStyle name="Currency 5 2 2 5 8 2 2" xfId="15473" xr:uid="{383F1993-D76B-4B73-9E6C-FDA5DB7D81E9}"/>
    <cellStyle name="Currency 5 2 2 5 8 3" xfId="11255" xr:uid="{06B63590-3EDB-4270-926D-89514F2F51D4}"/>
    <cellStyle name="Currency 5 2 2 5 9" xfId="4648" xr:uid="{00000000-0005-0000-0000-0000200C0000}"/>
    <cellStyle name="Currency 5 2 2 5 9 2" xfId="13090" xr:uid="{9323868C-C46D-467C-A72D-F8C476A41281}"/>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10 2" xfId="13091" xr:uid="{CA2A0A92-4B63-483A-BE1E-D8D364266124}"/>
    <cellStyle name="Currency 5 2 4 11" xfId="8873" xr:uid="{22501EA3-51DC-4478-8D76-D20123022F7E}"/>
    <cellStyle name="Currency 5 2 4 2" xfId="206" xr:uid="{00000000-0005-0000-0000-0000250C0000}"/>
    <cellStyle name="Currency 5 2 4 2 10" xfId="8874" xr:uid="{6C466348-1086-48CA-8169-940E2CF50B89}"/>
    <cellStyle name="Currency 5 2 4 2 2" xfId="733" xr:uid="{00000000-0005-0000-0000-0000260C0000}"/>
    <cellStyle name="Currency 5 2 4 2 2 2" xfId="2986" xr:uid="{00000000-0005-0000-0000-0000270C0000}"/>
    <cellStyle name="Currency 5 2 4 2 2 2 2" xfId="7209" xr:uid="{00000000-0005-0000-0000-0000280C0000}"/>
    <cellStyle name="Currency 5 2 4 2 2 2 2 2" xfId="15651" xr:uid="{FC9D680A-386D-4282-AA96-E20BA0144470}"/>
    <cellStyle name="Currency 5 2 4 2 2 2 3" xfId="11433" xr:uid="{7CCAAF37-54F9-4E52-96A4-E9D93B252F58}"/>
    <cellStyle name="Currency 5 2 4 2 2 3" xfId="5064" xr:uid="{00000000-0005-0000-0000-0000290C0000}"/>
    <cellStyle name="Currency 5 2 4 2 2 3 2" xfId="13506" xr:uid="{7191E6C2-7925-4C3C-A480-31531A53D315}"/>
    <cellStyle name="Currency 5 2 4 2 2 4" xfId="9288" xr:uid="{C351AF38-F1EB-45EB-840D-DD4326E9BEF5}"/>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2 2 2" xfId="16064" xr:uid="{BB1424F6-4E30-473F-9112-66CFF0F7CC43}"/>
    <cellStyle name="Currency 5 2 4 2 3 2 3" xfId="11846" xr:uid="{2B0F7151-3DB0-4C0E-85BB-247A696D1F23}"/>
    <cellStyle name="Currency 5 2 4 2 3 3" xfId="5477" xr:uid="{00000000-0005-0000-0000-00002D0C0000}"/>
    <cellStyle name="Currency 5 2 4 2 3 3 2" xfId="13919" xr:uid="{F56B305C-9808-4B36-A055-656307DBC774}"/>
    <cellStyle name="Currency 5 2 4 2 3 4" xfId="9701" xr:uid="{77298D07-FA48-4809-A351-E00B8C4FDB1A}"/>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2 2 2" xfId="16477" xr:uid="{DD6F426D-A26F-418F-8F6B-B238C8BAC78C}"/>
    <cellStyle name="Currency 5 2 4 2 4 2 3" xfId="12259" xr:uid="{7336C70A-245C-43CA-A843-54D357980BBA}"/>
    <cellStyle name="Currency 5 2 4 2 4 3" xfId="5890" xr:uid="{00000000-0005-0000-0000-0000310C0000}"/>
    <cellStyle name="Currency 5 2 4 2 4 3 2" xfId="14332" xr:uid="{7D6613D3-AD14-4AAE-8EA1-DD7954EA5609}"/>
    <cellStyle name="Currency 5 2 4 2 4 4" xfId="10114" xr:uid="{56631A04-ED10-4A07-AC01-C7561F989283}"/>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2 2 2" xfId="16890" xr:uid="{22A9A91E-0A7A-4E28-99C0-A294614ADC86}"/>
    <cellStyle name="Currency 5 2 4 2 5 2 3" xfId="12672" xr:uid="{36917FC0-63D1-4DC5-8017-370CDF330D80}"/>
    <cellStyle name="Currency 5 2 4 2 5 3" xfId="6303" xr:uid="{00000000-0005-0000-0000-0000350C0000}"/>
    <cellStyle name="Currency 5 2 4 2 5 3 2" xfId="14745" xr:uid="{C1333D1F-2A57-4D2C-A400-A6A79775DF99}"/>
    <cellStyle name="Currency 5 2 4 2 5 4" xfId="10527" xr:uid="{9D52B89A-2681-4568-A67B-EDC18B5B9F2C}"/>
    <cellStyle name="Currency 5 2 4 2 6" xfId="2431" xr:uid="{00000000-0005-0000-0000-0000360C0000}"/>
    <cellStyle name="Currency 5 2 4 2 6 2" xfId="6716" xr:uid="{00000000-0005-0000-0000-0000370C0000}"/>
    <cellStyle name="Currency 5 2 4 2 6 2 2" xfId="15158" xr:uid="{0A864F52-8682-4BD0-8023-A0825BC4B333}"/>
    <cellStyle name="Currency 5 2 4 2 6 3" xfId="10940" xr:uid="{828BD439-E092-4C40-A9AD-441A4CA563B7}"/>
    <cellStyle name="Currency 5 2 4 2 7" xfId="2728" xr:uid="{00000000-0005-0000-0000-0000380C0000}"/>
    <cellStyle name="Currency 5 2 4 2 8" xfId="2809" xr:uid="{00000000-0005-0000-0000-0000390C0000}"/>
    <cellStyle name="Currency 5 2 4 2 8 2" xfId="7033" xr:uid="{00000000-0005-0000-0000-00003A0C0000}"/>
    <cellStyle name="Currency 5 2 4 2 8 2 2" xfId="15475" xr:uid="{1E575273-A587-4124-B46F-B5012EDCD425}"/>
    <cellStyle name="Currency 5 2 4 2 8 3" xfId="11257" xr:uid="{700473EA-D902-48F4-BB8D-57C55B5027D1}"/>
    <cellStyle name="Currency 5 2 4 2 9" xfId="4650" xr:uid="{00000000-0005-0000-0000-00003B0C0000}"/>
    <cellStyle name="Currency 5 2 4 2 9 2" xfId="13092" xr:uid="{CB6C2FD1-0E8C-42C1-99CC-3161471D27B6}"/>
    <cellStyle name="Currency 5 2 4 3" xfId="732" xr:uid="{00000000-0005-0000-0000-00003C0C0000}"/>
    <cellStyle name="Currency 5 2 4 3 2" xfId="2985" xr:uid="{00000000-0005-0000-0000-00003D0C0000}"/>
    <cellStyle name="Currency 5 2 4 3 2 2" xfId="7208" xr:uid="{00000000-0005-0000-0000-00003E0C0000}"/>
    <cellStyle name="Currency 5 2 4 3 2 2 2" xfId="15650" xr:uid="{DA61CF29-DC8C-44DD-8167-8757C9B7775D}"/>
    <cellStyle name="Currency 5 2 4 3 2 3" xfId="11432" xr:uid="{E4C3B0A4-8CF7-496B-A392-A2ACC17F4C28}"/>
    <cellStyle name="Currency 5 2 4 3 3" xfId="5063" xr:uid="{00000000-0005-0000-0000-00003F0C0000}"/>
    <cellStyle name="Currency 5 2 4 3 3 2" xfId="13505" xr:uid="{7A61B749-97D7-46CD-9FA6-01EABEB98642}"/>
    <cellStyle name="Currency 5 2 4 3 4" xfId="9287" xr:uid="{292076E8-DA84-4B55-BF10-C4A1F2B06586}"/>
    <cellStyle name="Currency 5 2 4 4" xfId="1167" xr:uid="{00000000-0005-0000-0000-0000400C0000}"/>
    <cellStyle name="Currency 5 2 4 4 2" xfId="3398" xr:uid="{00000000-0005-0000-0000-0000410C0000}"/>
    <cellStyle name="Currency 5 2 4 4 2 2" xfId="7621" xr:uid="{00000000-0005-0000-0000-0000420C0000}"/>
    <cellStyle name="Currency 5 2 4 4 2 2 2" xfId="16063" xr:uid="{42CE799C-C9DE-470E-B1E6-E29662BD599C}"/>
    <cellStyle name="Currency 5 2 4 4 2 3" xfId="11845" xr:uid="{988A4C8B-470F-4C70-A977-D3CF0F25FB59}"/>
    <cellStyle name="Currency 5 2 4 4 3" xfId="5476" xr:uid="{00000000-0005-0000-0000-0000430C0000}"/>
    <cellStyle name="Currency 5 2 4 4 3 2" xfId="13918" xr:uid="{6186002B-6227-424F-A2D1-352A5011040B}"/>
    <cellStyle name="Currency 5 2 4 4 4" xfId="9700" xr:uid="{50AF03A5-77D0-484C-BD35-36EC2A5D613C}"/>
    <cellStyle name="Currency 5 2 4 5" xfId="1581" xr:uid="{00000000-0005-0000-0000-0000440C0000}"/>
    <cellStyle name="Currency 5 2 4 5 2" xfId="3811" xr:uid="{00000000-0005-0000-0000-0000450C0000}"/>
    <cellStyle name="Currency 5 2 4 5 2 2" xfId="8034" xr:uid="{00000000-0005-0000-0000-0000460C0000}"/>
    <cellStyle name="Currency 5 2 4 5 2 2 2" xfId="16476" xr:uid="{70221C6F-499D-448C-80D9-6554B16E7DF0}"/>
    <cellStyle name="Currency 5 2 4 5 2 3" xfId="12258" xr:uid="{8911FE7B-F636-428E-B872-BA984EFC6123}"/>
    <cellStyle name="Currency 5 2 4 5 3" xfId="5889" xr:uid="{00000000-0005-0000-0000-0000470C0000}"/>
    <cellStyle name="Currency 5 2 4 5 3 2" xfId="14331" xr:uid="{4C4B662C-AAF8-47BE-9A7E-3B9C6B70F9BC}"/>
    <cellStyle name="Currency 5 2 4 5 4" xfId="10113" xr:uid="{8BAB7CE6-0D6E-44EA-9A5B-D0FD2357158F}"/>
    <cellStyle name="Currency 5 2 4 6" xfId="1995" xr:uid="{00000000-0005-0000-0000-0000480C0000}"/>
    <cellStyle name="Currency 5 2 4 6 2" xfId="4224" xr:uid="{00000000-0005-0000-0000-0000490C0000}"/>
    <cellStyle name="Currency 5 2 4 6 2 2" xfId="8447" xr:uid="{00000000-0005-0000-0000-00004A0C0000}"/>
    <cellStyle name="Currency 5 2 4 6 2 2 2" xfId="16889" xr:uid="{DE86BEB1-6CF3-413E-97FA-155E045BD43D}"/>
    <cellStyle name="Currency 5 2 4 6 2 3" xfId="12671" xr:uid="{EAD889CD-9518-467F-A419-D8DAC534288F}"/>
    <cellStyle name="Currency 5 2 4 6 3" xfId="6302" xr:uid="{00000000-0005-0000-0000-00004B0C0000}"/>
    <cellStyle name="Currency 5 2 4 6 3 2" xfId="14744" xr:uid="{A67A9E65-4350-4CDB-A202-9DD113C64F89}"/>
    <cellStyle name="Currency 5 2 4 6 4" xfId="10526" xr:uid="{A0768848-A01A-4EB0-B932-108A8B6AC63B}"/>
    <cellStyle name="Currency 5 2 4 7" xfId="2430" xr:uid="{00000000-0005-0000-0000-00004C0C0000}"/>
    <cellStyle name="Currency 5 2 4 7 2" xfId="6715" xr:uid="{00000000-0005-0000-0000-00004D0C0000}"/>
    <cellStyle name="Currency 5 2 4 7 2 2" xfId="15157" xr:uid="{D81B1C73-55AF-448E-AFE3-55C0F46C4C8F}"/>
    <cellStyle name="Currency 5 2 4 7 3" xfId="10939" xr:uid="{3620D70C-D986-4832-9868-953724EBC826}"/>
    <cellStyle name="Currency 5 2 4 8" xfId="2727" xr:uid="{00000000-0005-0000-0000-00004E0C0000}"/>
    <cellStyle name="Currency 5 2 4 9" xfId="2808" xr:uid="{00000000-0005-0000-0000-00004F0C0000}"/>
    <cellStyle name="Currency 5 2 4 9 2" xfId="7032" xr:uid="{00000000-0005-0000-0000-0000500C0000}"/>
    <cellStyle name="Currency 5 2 4 9 2 2" xfId="15474" xr:uid="{37C55D98-72B0-47EA-96ED-080B56E858FE}"/>
    <cellStyle name="Currency 5 2 4 9 3" xfId="11256" xr:uid="{BE6D1B27-C4B1-4EEF-B4B7-067B5659B7BE}"/>
    <cellStyle name="Currency 5 2 5" xfId="207" xr:uid="{00000000-0005-0000-0000-0000510C0000}"/>
    <cellStyle name="Currency 5 2 5 10" xfId="8875" xr:uid="{068CA89E-D411-44A2-83EF-D26E096F5120}"/>
    <cellStyle name="Currency 5 2 5 2" xfId="734" xr:uid="{00000000-0005-0000-0000-0000520C0000}"/>
    <cellStyle name="Currency 5 2 5 2 2" xfId="2987" xr:uid="{00000000-0005-0000-0000-0000530C0000}"/>
    <cellStyle name="Currency 5 2 5 2 2 2" xfId="7210" xr:uid="{00000000-0005-0000-0000-0000540C0000}"/>
    <cellStyle name="Currency 5 2 5 2 2 2 2" xfId="15652" xr:uid="{FDB26199-AEC9-4E94-A0A5-82BCFAC2CA9F}"/>
    <cellStyle name="Currency 5 2 5 2 2 3" xfId="11434" xr:uid="{F6537F06-1F83-40E2-9EA5-55FDCB4BCCD6}"/>
    <cellStyle name="Currency 5 2 5 2 3" xfId="5065" xr:uid="{00000000-0005-0000-0000-0000550C0000}"/>
    <cellStyle name="Currency 5 2 5 2 3 2" xfId="13507" xr:uid="{62925368-576D-4192-9988-8377408ED4E1}"/>
    <cellStyle name="Currency 5 2 5 2 4" xfId="9289" xr:uid="{6DE7231B-4FBE-4489-8C4B-12011BFF5EE1}"/>
    <cellStyle name="Currency 5 2 5 3" xfId="1169" xr:uid="{00000000-0005-0000-0000-0000560C0000}"/>
    <cellStyle name="Currency 5 2 5 3 2" xfId="3400" xr:uid="{00000000-0005-0000-0000-0000570C0000}"/>
    <cellStyle name="Currency 5 2 5 3 2 2" xfId="7623" xr:uid="{00000000-0005-0000-0000-0000580C0000}"/>
    <cellStyle name="Currency 5 2 5 3 2 2 2" xfId="16065" xr:uid="{3E2CB5BB-8BF0-4FE1-AA15-EA47AF23B95A}"/>
    <cellStyle name="Currency 5 2 5 3 2 3" xfId="11847" xr:uid="{5F704C81-2894-4081-8054-73B397387A96}"/>
    <cellStyle name="Currency 5 2 5 3 3" xfId="5478" xr:uid="{00000000-0005-0000-0000-0000590C0000}"/>
    <cellStyle name="Currency 5 2 5 3 3 2" xfId="13920" xr:uid="{3D2BD6D3-B32D-4190-B698-0B5253BCE8FA}"/>
    <cellStyle name="Currency 5 2 5 3 4" xfId="9702" xr:uid="{E02093B4-A12E-4BE0-AC1C-AB6204A044DB}"/>
    <cellStyle name="Currency 5 2 5 4" xfId="1583" xr:uid="{00000000-0005-0000-0000-00005A0C0000}"/>
    <cellStyle name="Currency 5 2 5 4 2" xfId="3813" xr:uid="{00000000-0005-0000-0000-00005B0C0000}"/>
    <cellStyle name="Currency 5 2 5 4 2 2" xfId="8036" xr:uid="{00000000-0005-0000-0000-00005C0C0000}"/>
    <cellStyle name="Currency 5 2 5 4 2 2 2" xfId="16478" xr:uid="{4DEA7A1B-80F7-40A0-97D9-3EB95E87540A}"/>
    <cellStyle name="Currency 5 2 5 4 2 3" xfId="12260" xr:uid="{9BB996E0-41B6-4B39-98EA-44D05C924DC5}"/>
    <cellStyle name="Currency 5 2 5 4 3" xfId="5891" xr:uid="{00000000-0005-0000-0000-00005D0C0000}"/>
    <cellStyle name="Currency 5 2 5 4 3 2" xfId="14333" xr:uid="{220BC561-C861-4574-9596-95AACA7B6A87}"/>
    <cellStyle name="Currency 5 2 5 4 4" xfId="10115" xr:uid="{A27D8BBB-30A5-4AFB-B5F3-73B02F3414F2}"/>
    <cellStyle name="Currency 5 2 5 5" xfId="1997" xr:uid="{00000000-0005-0000-0000-00005E0C0000}"/>
    <cellStyle name="Currency 5 2 5 5 2" xfId="4226" xr:uid="{00000000-0005-0000-0000-00005F0C0000}"/>
    <cellStyle name="Currency 5 2 5 5 2 2" xfId="8449" xr:uid="{00000000-0005-0000-0000-0000600C0000}"/>
    <cellStyle name="Currency 5 2 5 5 2 2 2" xfId="16891" xr:uid="{46DDB1C3-1CD6-4864-9CC1-2DA36DC27DFA}"/>
    <cellStyle name="Currency 5 2 5 5 2 3" xfId="12673" xr:uid="{24333209-D76C-4403-BCD5-85A0EDECC10B}"/>
    <cellStyle name="Currency 5 2 5 5 3" xfId="6304" xr:uid="{00000000-0005-0000-0000-0000610C0000}"/>
    <cellStyle name="Currency 5 2 5 5 3 2" xfId="14746" xr:uid="{BC8C4820-8AFA-40A9-8C82-B2B4AB5ABEC0}"/>
    <cellStyle name="Currency 5 2 5 5 4" xfId="10528" xr:uid="{742FD814-5BB2-4250-8C9E-99D923AD7865}"/>
    <cellStyle name="Currency 5 2 5 6" xfId="2432" xr:uid="{00000000-0005-0000-0000-0000620C0000}"/>
    <cellStyle name="Currency 5 2 5 6 2" xfId="6717" xr:uid="{00000000-0005-0000-0000-0000630C0000}"/>
    <cellStyle name="Currency 5 2 5 6 2 2" xfId="15159" xr:uid="{879770AF-3A79-4033-AE8C-B5D2AFF327B5}"/>
    <cellStyle name="Currency 5 2 5 6 3" xfId="10941" xr:uid="{1F546727-5A48-4C7E-888A-14973917E26A}"/>
    <cellStyle name="Currency 5 2 5 7" xfId="2729" xr:uid="{00000000-0005-0000-0000-0000640C0000}"/>
    <cellStyle name="Currency 5 2 5 8" xfId="2810" xr:uid="{00000000-0005-0000-0000-0000650C0000}"/>
    <cellStyle name="Currency 5 2 5 8 2" xfId="7034" xr:uid="{00000000-0005-0000-0000-0000660C0000}"/>
    <cellStyle name="Currency 5 2 5 8 2 2" xfId="15476" xr:uid="{810F8A7D-50B0-4CAA-9DA0-0379624F2991}"/>
    <cellStyle name="Currency 5 2 5 8 3" xfId="11258" xr:uid="{AB2D749C-BDE1-4AB5-A0DC-CA31A6EB1C5A}"/>
    <cellStyle name="Currency 5 2 5 9" xfId="4651" xr:uid="{00000000-0005-0000-0000-0000670C0000}"/>
    <cellStyle name="Currency 5 2 5 9 2" xfId="13093" xr:uid="{84E86862-6377-4F21-B328-61F5420304ED}"/>
    <cellStyle name="Currency 5 2 6" xfId="208" xr:uid="{00000000-0005-0000-0000-0000680C0000}"/>
    <cellStyle name="Currency 5 2 6 10" xfId="8876" xr:uid="{7FF6817E-985F-4448-8B7B-F79DDC6E3351}"/>
    <cellStyle name="Currency 5 2 6 2" xfId="735" xr:uid="{00000000-0005-0000-0000-0000690C0000}"/>
    <cellStyle name="Currency 5 2 6 2 2" xfId="2988" xr:uid="{00000000-0005-0000-0000-00006A0C0000}"/>
    <cellStyle name="Currency 5 2 6 2 2 2" xfId="7211" xr:uid="{00000000-0005-0000-0000-00006B0C0000}"/>
    <cellStyle name="Currency 5 2 6 2 2 2 2" xfId="15653" xr:uid="{9EA4CF15-511C-484A-B518-769F585CAEDD}"/>
    <cellStyle name="Currency 5 2 6 2 2 3" xfId="11435" xr:uid="{3366CEEB-2A9E-40DE-943E-03230B8995E6}"/>
    <cellStyle name="Currency 5 2 6 2 3" xfId="5066" xr:uid="{00000000-0005-0000-0000-00006C0C0000}"/>
    <cellStyle name="Currency 5 2 6 2 3 2" xfId="13508" xr:uid="{84F7BD16-BB32-46E3-B62E-753540FC7C89}"/>
    <cellStyle name="Currency 5 2 6 2 4" xfId="9290" xr:uid="{6C6CC279-5ADF-4DF6-869A-62AC7FC04F91}"/>
    <cellStyle name="Currency 5 2 6 3" xfId="1170" xr:uid="{00000000-0005-0000-0000-00006D0C0000}"/>
    <cellStyle name="Currency 5 2 6 3 2" xfId="3401" xr:uid="{00000000-0005-0000-0000-00006E0C0000}"/>
    <cellStyle name="Currency 5 2 6 3 2 2" xfId="7624" xr:uid="{00000000-0005-0000-0000-00006F0C0000}"/>
    <cellStyle name="Currency 5 2 6 3 2 2 2" xfId="16066" xr:uid="{742BE7EF-DBDA-4694-BB3F-CAB66A9D66EA}"/>
    <cellStyle name="Currency 5 2 6 3 2 3" xfId="11848" xr:uid="{2B491DAD-9079-4A44-A581-81B262AE13AF}"/>
    <cellStyle name="Currency 5 2 6 3 3" xfId="5479" xr:uid="{00000000-0005-0000-0000-0000700C0000}"/>
    <cellStyle name="Currency 5 2 6 3 3 2" xfId="13921" xr:uid="{20C08B63-9DFA-4A19-AB3A-EE1FC1D6C66E}"/>
    <cellStyle name="Currency 5 2 6 3 4" xfId="9703" xr:uid="{0DC4A6B6-F5CB-452B-B218-E003069884EF}"/>
    <cellStyle name="Currency 5 2 6 4" xfId="1584" xr:uid="{00000000-0005-0000-0000-0000710C0000}"/>
    <cellStyle name="Currency 5 2 6 4 2" xfId="3814" xr:uid="{00000000-0005-0000-0000-0000720C0000}"/>
    <cellStyle name="Currency 5 2 6 4 2 2" xfId="8037" xr:uid="{00000000-0005-0000-0000-0000730C0000}"/>
    <cellStyle name="Currency 5 2 6 4 2 2 2" xfId="16479" xr:uid="{B50841E0-9C8C-43C0-9A48-2B4DDF4D9478}"/>
    <cellStyle name="Currency 5 2 6 4 2 3" xfId="12261" xr:uid="{21873DCB-AB43-4251-9B8D-71BE4056187D}"/>
    <cellStyle name="Currency 5 2 6 4 3" xfId="5892" xr:uid="{00000000-0005-0000-0000-0000740C0000}"/>
    <cellStyle name="Currency 5 2 6 4 3 2" xfId="14334" xr:uid="{EE7F45F0-820A-4BDF-A579-9A2043E7E5A0}"/>
    <cellStyle name="Currency 5 2 6 4 4" xfId="10116" xr:uid="{CA263BF3-1C8F-441A-AD65-0631524C6AF2}"/>
    <cellStyle name="Currency 5 2 6 5" xfId="1998" xr:uid="{00000000-0005-0000-0000-0000750C0000}"/>
    <cellStyle name="Currency 5 2 6 5 2" xfId="4227" xr:uid="{00000000-0005-0000-0000-0000760C0000}"/>
    <cellStyle name="Currency 5 2 6 5 2 2" xfId="8450" xr:uid="{00000000-0005-0000-0000-0000770C0000}"/>
    <cellStyle name="Currency 5 2 6 5 2 2 2" xfId="16892" xr:uid="{B4FD42F7-2DB7-495A-BE7D-D27566A7468B}"/>
    <cellStyle name="Currency 5 2 6 5 2 3" xfId="12674" xr:uid="{DB95A03D-807C-4C5F-8A41-2777BC12BCE7}"/>
    <cellStyle name="Currency 5 2 6 5 3" xfId="6305" xr:uid="{00000000-0005-0000-0000-0000780C0000}"/>
    <cellStyle name="Currency 5 2 6 5 3 2" xfId="14747" xr:uid="{5E06EF0D-E1A3-41A8-9BDC-2E36FC3BAA46}"/>
    <cellStyle name="Currency 5 2 6 5 4" xfId="10529" xr:uid="{67BD19FF-630D-4CF0-9963-18E9B891AAD1}"/>
    <cellStyle name="Currency 5 2 6 6" xfId="2433" xr:uid="{00000000-0005-0000-0000-0000790C0000}"/>
    <cellStyle name="Currency 5 2 6 6 2" xfId="6718" xr:uid="{00000000-0005-0000-0000-00007A0C0000}"/>
    <cellStyle name="Currency 5 2 6 6 2 2" xfId="15160" xr:uid="{229633B6-15F4-467D-9C9B-E3189F2741E8}"/>
    <cellStyle name="Currency 5 2 6 6 3" xfId="10942" xr:uid="{9657ABDB-C776-4E7B-BA26-A4603C47EA35}"/>
    <cellStyle name="Currency 5 2 6 7" xfId="2730" xr:uid="{00000000-0005-0000-0000-00007B0C0000}"/>
    <cellStyle name="Currency 5 2 6 8" xfId="2811" xr:uid="{00000000-0005-0000-0000-00007C0C0000}"/>
    <cellStyle name="Currency 5 2 6 8 2" xfId="7035" xr:uid="{00000000-0005-0000-0000-00007D0C0000}"/>
    <cellStyle name="Currency 5 2 6 8 2 2" xfId="15477" xr:uid="{E2B38BE9-9D56-41DA-9946-0B433BF9563C}"/>
    <cellStyle name="Currency 5 2 6 8 3" xfId="11259" xr:uid="{F22B2A1E-C5DE-4969-BA15-76D7C6E240EF}"/>
    <cellStyle name="Currency 5 2 6 9" xfId="4652" xr:uid="{00000000-0005-0000-0000-00007E0C0000}"/>
    <cellStyle name="Currency 5 2 6 9 2" xfId="13094" xr:uid="{D0DBDCB2-1EE8-4E44-A181-F74B6081AC25}"/>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0 2 2" xfId="15478" xr:uid="{AD19CD6B-5BF9-4754-BB79-30376454610C}"/>
    <cellStyle name="Currency 5 3 2 10 3" xfId="11260" xr:uid="{658399F3-C478-4E55-9241-95BB55D88C38}"/>
    <cellStyle name="Currency 5 3 2 11" xfId="4653" xr:uid="{00000000-0005-0000-0000-0000840C0000}"/>
    <cellStyle name="Currency 5 3 2 11 2" xfId="13095" xr:uid="{A513F6CC-7556-40FC-BFB0-95907FBD617F}"/>
    <cellStyle name="Currency 5 3 2 12" xfId="8877" xr:uid="{429A0002-A41E-4A68-B7AF-84AA6B09892E}"/>
    <cellStyle name="Currency 5 3 2 2" xfId="211" xr:uid="{00000000-0005-0000-0000-0000850C0000}"/>
    <cellStyle name="Currency 5 3 2 2 10" xfId="4654" xr:uid="{00000000-0005-0000-0000-0000860C0000}"/>
    <cellStyle name="Currency 5 3 2 2 10 2" xfId="13096" xr:uid="{EBE83458-AEDF-4036-A638-DBDE6DBAF7B7}"/>
    <cellStyle name="Currency 5 3 2 2 11" xfId="8878" xr:uid="{F5A708E0-8B30-44AA-91CA-D236E88385E2}"/>
    <cellStyle name="Currency 5 3 2 2 2" xfId="212" xr:uid="{00000000-0005-0000-0000-0000870C0000}"/>
    <cellStyle name="Currency 5 3 2 2 2 10" xfId="8879" xr:uid="{2F069105-E5C6-45E1-992B-D079CEE4EC3F}"/>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2 2 2" xfId="15656" xr:uid="{E1F2A9AE-C72A-4358-9413-3EC896049EB2}"/>
    <cellStyle name="Currency 5 3 2 2 2 2 2 3" xfId="11438" xr:uid="{839D7E65-4C58-437E-B34C-2587F4CE7413}"/>
    <cellStyle name="Currency 5 3 2 2 2 2 3" xfId="5069" xr:uid="{00000000-0005-0000-0000-00008B0C0000}"/>
    <cellStyle name="Currency 5 3 2 2 2 2 3 2" xfId="13511" xr:uid="{37FAFFE4-0991-42C8-817A-DDF7DC4464A1}"/>
    <cellStyle name="Currency 5 3 2 2 2 2 4" xfId="9293" xr:uid="{DE83E69F-DE0F-4EDB-A597-E2A6CCEF242A}"/>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2 2 2" xfId="16069" xr:uid="{34A4E71F-3CF6-452E-AA0E-B4B9BB37EDA4}"/>
    <cellStyle name="Currency 5 3 2 2 2 3 2 3" xfId="11851" xr:uid="{CAC003B8-31B1-436A-9B83-5E123B0EDDED}"/>
    <cellStyle name="Currency 5 3 2 2 2 3 3" xfId="5482" xr:uid="{00000000-0005-0000-0000-00008F0C0000}"/>
    <cellStyle name="Currency 5 3 2 2 2 3 3 2" xfId="13924" xr:uid="{F8E0FF25-DD96-4DB8-9C99-F9E9B226B531}"/>
    <cellStyle name="Currency 5 3 2 2 2 3 4" xfId="9706" xr:uid="{57D81793-1EB1-45FB-9380-212A81F1ACEE}"/>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2 2 2" xfId="16482" xr:uid="{EA0C0CD8-D226-483F-8C47-E98747FFEA48}"/>
    <cellStyle name="Currency 5 3 2 2 2 4 2 3" xfId="12264" xr:uid="{D201F371-7FF3-4AB4-9303-19850FC8D9C4}"/>
    <cellStyle name="Currency 5 3 2 2 2 4 3" xfId="5895" xr:uid="{00000000-0005-0000-0000-0000930C0000}"/>
    <cellStyle name="Currency 5 3 2 2 2 4 3 2" xfId="14337" xr:uid="{CAF90D66-3D8F-4CC3-B9E3-53831A60DA78}"/>
    <cellStyle name="Currency 5 3 2 2 2 4 4" xfId="10119" xr:uid="{92DEA722-60FA-47FA-B39F-37A1572FF67E}"/>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2 2 2" xfId="16895" xr:uid="{9702FD98-C812-4779-9074-753B5D7F5427}"/>
    <cellStyle name="Currency 5 3 2 2 2 5 2 3" xfId="12677" xr:uid="{71D9107B-8C31-4110-ACA8-1EB41539DB46}"/>
    <cellStyle name="Currency 5 3 2 2 2 5 3" xfId="6308" xr:uid="{00000000-0005-0000-0000-0000970C0000}"/>
    <cellStyle name="Currency 5 3 2 2 2 5 3 2" xfId="14750" xr:uid="{D2751D47-6DC1-4E46-B32A-18E4253F9E99}"/>
    <cellStyle name="Currency 5 3 2 2 2 5 4" xfId="10532" xr:uid="{DF75B5E7-6586-42BC-A6C9-1766ACA8FB24}"/>
    <cellStyle name="Currency 5 3 2 2 2 6" xfId="2436" xr:uid="{00000000-0005-0000-0000-0000980C0000}"/>
    <cellStyle name="Currency 5 3 2 2 2 6 2" xfId="6721" xr:uid="{00000000-0005-0000-0000-0000990C0000}"/>
    <cellStyle name="Currency 5 3 2 2 2 6 2 2" xfId="15163" xr:uid="{9ECDCFBC-2795-4A92-BE46-D0E2BCED2BA4}"/>
    <cellStyle name="Currency 5 3 2 2 2 6 3" xfId="10945" xr:uid="{26DAE431-7B48-478B-89DF-332B0F5FD6E3}"/>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8 2 2" xfId="15480" xr:uid="{761132AF-A6B7-4DF9-AFB8-F131B3E28990}"/>
    <cellStyle name="Currency 5 3 2 2 2 8 3" xfId="11262" xr:uid="{27D4A762-9F8F-4138-9D2D-1BF7F979246E}"/>
    <cellStyle name="Currency 5 3 2 2 2 9" xfId="4655" xr:uid="{00000000-0005-0000-0000-00009D0C0000}"/>
    <cellStyle name="Currency 5 3 2 2 2 9 2" xfId="13097" xr:uid="{B11B7B8E-CF84-4E9C-A8A2-EBCFEB661DB7}"/>
    <cellStyle name="Currency 5 3 2 2 3" xfId="737" xr:uid="{00000000-0005-0000-0000-00009E0C0000}"/>
    <cellStyle name="Currency 5 3 2 2 3 2" xfId="2990" xr:uid="{00000000-0005-0000-0000-00009F0C0000}"/>
    <cellStyle name="Currency 5 3 2 2 3 2 2" xfId="7213" xr:uid="{00000000-0005-0000-0000-0000A00C0000}"/>
    <cellStyle name="Currency 5 3 2 2 3 2 2 2" xfId="15655" xr:uid="{927E3687-5BA2-43A4-ADC3-558706050582}"/>
    <cellStyle name="Currency 5 3 2 2 3 2 3" xfId="11437" xr:uid="{238DEFD2-1052-45D1-8848-D65521B99D25}"/>
    <cellStyle name="Currency 5 3 2 2 3 3" xfId="5068" xr:uid="{00000000-0005-0000-0000-0000A10C0000}"/>
    <cellStyle name="Currency 5 3 2 2 3 3 2" xfId="13510" xr:uid="{D15FB799-587B-44CC-A407-FBEA932AC8D1}"/>
    <cellStyle name="Currency 5 3 2 2 3 4" xfId="9292" xr:uid="{FE1AF540-4989-43D8-875E-8BDED1B6F593}"/>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2 2 2" xfId="16068" xr:uid="{0586A6F5-3857-4EDE-AF6F-0BB46DCD1E56}"/>
    <cellStyle name="Currency 5 3 2 2 4 2 3" xfId="11850" xr:uid="{60DCE129-1359-46F6-80FD-8B671EFE44B5}"/>
    <cellStyle name="Currency 5 3 2 2 4 3" xfId="5481" xr:uid="{00000000-0005-0000-0000-0000A50C0000}"/>
    <cellStyle name="Currency 5 3 2 2 4 3 2" xfId="13923" xr:uid="{82547FF5-3AE8-494F-9AFB-51BC57EAD244}"/>
    <cellStyle name="Currency 5 3 2 2 4 4" xfId="9705" xr:uid="{1EE48AB7-0D22-4079-8AAC-5E33B6139A03}"/>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2 2 2" xfId="16481" xr:uid="{1D9229A6-07EA-4016-A4CA-846E9C074947}"/>
    <cellStyle name="Currency 5 3 2 2 5 2 3" xfId="12263" xr:uid="{C799C2C8-D8B5-43E1-9408-17C451CCDCB6}"/>
    <cellStyle name="Currency 5 3 2 2 5 3" xfId="5894" xr:uid="{00000000-0005-0000-0000-0000A90C0000}"/>
    <cellStyle name="Currency 5 3 2 2 5 3 2" xfId="14336" xr:uid="{202A3B22-5A41-4B16-9D7B-E8281BDD6912}"/>
    <cellStyle name="Currency 5 3 2 2 5 4" xfId="10118" xr:uid="{03D77DB5-BB77-4DEA-8D8A-694686920174}"/>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2 2 2" xfId="16894" xr:uid="{39D54657-16C3-4EB3-96A6-2BF847C6B877}"/>
    <cellStyle name="Currency 5 3 2 2 6 2 3" xfId="12676" xr:uid="{0FDD110C-319D-4646-A8A6-6C2CCB15A569}"/>
    <cellStyle name="Currency 5 3 2 2 6 3" xfId="6307" xr:uid="{00000000-0005-0000-0000-0000AD0C0000}"/>
    <cellStyle name="Currency 5 3 2 2 6 3 2" xfId="14749" xr:uid="{D1DECF04-462E-4365-840C-E4F3145BCB91}"/>
    <cellStyle name="Currency 5 3 2 2 6 4" xfId="10531" xr:uid="{B11A8BEE-AB14-4CEF-814E-C57E79DBD1A1}"/>
    <cellStyle name="Currency 5 3 2 2 7" xfId="2435" xr:uid="{00000000-0005-0000-0000-0000AE0C0000}"/>
    <cellStyle name="Currency 5 3 2 2 7 2" xfId="6720" xr:uid="{00000000-0005-0000-0000-0000AF0C0000}"/>
    <cellStyle name="Currency 5 3 2 2 7 2 2" xfId="15162" xr:uid="{7D4479BA-D46D-4333-BE03-51CF1736E4E2}"/>
    <cellStyle name="Currency 5 3 2 2 7 3" xfId="10944" xr:uid="{606008F1-9200-4F6B-9658-5A2FC050F994}"/>
    <cellStyle name="Currency 5 3 2 2 8" xfId="2732" xr:uid="{00000000-0005-0000-0000-0000B00C0000}"/>
    <cellStyle name="Currency 5 3 2 2 9" xfId="2813" xr:uid="{00000000-0005-0000-0000-0000B10C0000}"/>
    <cellStyle name="Currency 5 3 2 2 9 2" xfId="7037" xr:uid="{00000000-0005-0000-0000-0000B20C0000}"/>
    <cellStyle name="Currency 5 3 2 2 9 2 2" xfId="15479" xr:uid="{0554BB5A-4FF0-4927-ACB6-22688CF39D5F}"/>
    <cellStyle name="Currency 5 3 2 2 9 3" xfId="11261" xr:uid="{F03B7E2C-5607-408A-96D2-9D23DA529720}"/>
    <cellStyle name="Currency 5 3 2 3" xfId="213" xr:uid="{00000000-0005-0000-0000-0000B30C0000}"/>
    <cellStyle name="Currency 5 3 2 3 10" xfId="8880" xr:uid="{D92F7F2B-E7C5-4DA9-89D3-A42556FC8C08}"/>
    <cellStyle name="Currency 5 3 2 3 2" xfId="739" xr:uid="{00000000-0005-0000-0000-0000B40C0000}"/>
    <cellStyle name="Currency 5 3 2 3 2 2" xfId="2992" xr:uid="{00000000-0005-0000-0000-0000B50C0000}"/>
    <cellStyle name="Currency 5 3 2 3 2 2 2" xfId="7215" xr:uid="{00000000-0005-0000-0000-0000B60C0000}"/>
    <cellStyle name="Currency 5 3 2 3 2 2 2 2" xfId="15657" xr:uid="{95732E64-5A60-4693-88FF-8DDD78823D56}"/>
    <cellStyle name="Currency 5 3 2 3 2 2 3" xfId="11439" xr:uid="{423B8FA7-D665-4BBE-B56D-291DEC8F7F4A}"/>
    <cellStyle name="Currency 5 3 2 3 2 3" xfId="5070" xr:uid="{00000000-0005-0000-0000-0000B70C0000}"/>
    <cellStyle name="Currency 5 3 2 3 2 3 2" xfId="13512" xr:uid="{B37F5754-CF6E-47B6-9F22-BA0EB44E5999}"/>
    <cellStyle name="Currency 5 3 2 3 2 4" xfId="9294" xr:uid="{2085550F-979D-4D57-AAD5-C2531CC49899}"/>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2 2 2" xfId="16070" xr:uid="{70F5E839-720D-4412-9B82-D7FA2E7033A1}"/>
    <cellStyle name="Currency 5 3 2 3 3 2 3" xfId="11852" xr:uid="{1B951D26-8CBA-4617-99A8-E3F0B3E22A84}"/>
    <cellStyle name="Currency 5 3 2 3 3 3" xfId="5483" xr:uid="{00000000-0005-0000-0000-0000BB0C0000}"/>
    <cellStyle name="Currency 5 3 2 3 3 3 2" xfId="13925" xr:uid="{E3117E0B-23F1-4FCA-BC62-01848EA62DE7}"/>
    <cellStyle name="Currency 5 3 2 3 3 4" xfId="9707" xr:uid="{090C744A-B7A6-49FD-BF08-125B128DA5FF}"/>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2 2 2" xfId="16483" xr:uid="{E1B870B8-8288-4DC2-8910-4AE34C2E9CC6}"/>
    <cellStyle name="Currency 5 3 2 3 4 2 3" xfId="12265" xr:uid="{3FA010CD-880B-4A26-992D-097291F038E5}"/>
    <cellStyle name="Currency 5 3 2 3 4 3" xfId="5896" xr:uid="{00000000-0005-0000-0000-0000BF0C0000}"/>
    <cellStyle name="Currency 5 3 2 3 4 3 2" xfId="14338" xr:uid="{890BD62E-F477-4532-A261-64C683D3811D}"/>
    <cellStyle name="Currency 5 3 2 3 4 4" xfId="10120" xr:uid="{949A139E-D991-4CDD-AB8D-AC4CC87743B8}"/>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2 2 2" xfId="16896" xr:uid="{84991819-69B9-4E85-8544-9021915A8A4B}"/>
    <cellStyle name="Currency 5 3 2 3 5 2 3" xfId="12678" xr:uid="{BA9E2FE2-EAAC-468E-B9CD-3BBC1B98739F}"/>
    <cellStyle name="Currency 5 3 2 3 5 3" xfId="6309" xr:uid="{00000000-0005-0000-0000-0000C30C0000}"/>
    <cellStyle name="Currency 5 3 2 3 5 3 2" xfId="14751" xr:uid="{10F052D5-F499-4A47-9EB7-6A1B34F1EE69}"/>
    <cellStyle name="Currency 5 3 2 3 5 4" xfId="10533" xr:uid="{EF7D73C1-958F-4C31-B07C-9BFF98D0A5FD}"/>
    <cellStyle name="Currency 5 3 2 3 6" xfId="2437" xr:uid="{00000000-0005-0000-0000-0000C40C0000}"/>
    <cellStyle name="Currency 5 3 2 3 6 2" xfId="6722" xr:uid="{00000000-0005-0000-0000-0000C50C0000}"/>
    <cellStyle name="Currency 5 3 2 3 6 2 2" xfId="15164" xr:uid="{C24A8965-0357-4DBF-9563-3730925B54D0}"/>
    <cellStyle name="Currency 5 3 2 3 6 3" xfId="10946" xr:uid="{27BBEFB6-0CA5-4342-845D-CF21261063A3}"/>
    <cellStyle name="Currency 5 3 2 3 7" xfId="2734" xr:uid="{00000000-0005-0000-0000-0000C60C0000}"/>
    <cellStyle name="Currency 5 3 2 3 8" xfId="2815" xr:uid="{00000000-0005-0000-0000-0000C70C0000}"/>
    <cellStyle name="Currency 5 3 2 3 8 2" xfId="7039" xr:uid="{00000000-0005-0000-0000-0000C80C0000}"/>
    <cellStyle name="Currency 5 3 2 3 8 2 2" xfId="15481" xr:uid="{530041E4-92C6-47BB-9AC6-D7E5C416DAD0}"/>
    <cellStyle name="Currency 5 3 2 3 8 3" xfId="11263" xr:uid="{D5A78003-122E-444F-9A81-155DD0592BF6}"/>
    <cellStyle name="Currency 5 3 2 3 9" xfId="4656" xr:uid="{00000000-0005-0000-0000-0000C90C0000}"/>
    <cellStyle name="Currency 5 3 2 3 9 2" xfId="13098" xr:uid="{BBD32969-DD50-4F37-BA26-90D016A35E3C}"/>
    <cellStyle name="Currency 5 3 2 4" xfId="736" xr:uid="{00000000-0005-0000-0000-0000CA0C0000}"/>
    <cellStyle name="Currency 5 3 2 4 2" xfId="2989" xr:uid="{00000000-0005-0000-0000-0000CB0C0000}"/>
    <cellStyle name="Currency 5 3 2 4 2 2" xfId="7212" xr:uid="{00000000-0005-0000-0000-0000CC0C0000}"/>
    <cellStyle name="Currency 5 3 2 4 2 2 2" xfId="15654" xr:uid="{3C5607B4-F3B5-49DC-A1B3-362804DC4FBC}"/>
    <cellStyle name="Currency 5 3 2 4 2 3" xfId="11436" xr:uid="{1003CC13-EFE7-464D-A983-B84A43A81300}"/>
    <cellStyle name="Currency 5 3 2 4 3" xfId="5067" xr:uid="{00000000-0005-0000-0000-0000CD0C0000}"/>
    <cellStyle name="Currency 5 3 2 4 3 2" xfId="13509" xr:uid="{38B7AFC3-77F8-46B8-B983-B4877BFCCF8C}"/>
    <cellStyle name="Currency 5 3 2 4 4" xfId="9291" xr:uid="{B362F262-7BCB-420A-B065-C866D046C6CD}"/>
    <cellStyle name="Currency 5 3 2 5" xfId="1171" xr:uid="{00000000-0005-0000-0000-0000CE0C0000}"/>
    <cellStyle name="Currency 5 3 2 5 2" xfId="3402" xr:uid="{00000000-0005-0000-0000-0000CF0C0000}"/>
    <cellStyle name="Currency 5 3 2 5 2 2" xfId="7625" xr:uid="{00000000-0005-0000-0000-0000D00C0000}"/>
    <cellStyle name="Currency 5 3 2 5 2 2 2" xfId="16067" xr:uid="{987D555B-B8F4-4B22-BA22-D872C0794B84}"/>
    <cellStyle name="Currency 5 3 2 5 2 3" xfId="11849" xr:uid="{A3D25687-12D1-433F-BC49-E08C3C12A033}"/>
    <cellStyle name="Currency 5 3 2 5 3" xfId="5480" xr:uid="{00000000-0005-0000-0000-0000D10C0000}"/>
    <cellStyle name="Currency 5 3 2 5 3 2" xfId="13922" xr:uid="{5332FD74-8016-4F9A-AB2F-D0DC54D2CD5E}"/>
    <cellStyle name="Currency 5 3 2 5 4" xfId="9704" xr:uid="{350FD41F-BC96-46F4-89A5-EDCEF9B7B151}"/>
    <cellStyle name="Currency 5 3 2 6" xfId="1585" xr:uid="{00000000-0005-0000-0000-0000D20C0000}"/>
    <cellStyle name="Currency 5 3 2 6 2" xfId="3815" xr:uid="{00000000-0005-0000-0000-0000D30C0000}"/>
    <cellStyle name="Currency 5 3 2 6 2 2" xfId="8038" xr:uid="{00000000-0005-0000-0000-0000D40C0000}"/>
    <cellStyle name="Currency 5 3 2 6 2 2 2" xfId="16480" xr:uid="{87E5E9A8-094E-4579-BA60-656DC71F61B4}"/>
    <cellStyle name="Currency 5 3 2 6 2 3" xfId="12262" xr:uid="{0A116CE4-246C-42B6-AA04-78A540CF9534}"/>
    <cellStyle name="Currency 5 3 2 6 3" xfId="5893" xr:uid="{00000000-0005-0000-0000-0000D50C0000}"/>
    <cellStyle name="Currency 5 3 2 6 3 2" xfId="14335" xr:uid="{71AE5149-1986-464B-9995-7E0306F235D2}"/>
    <cellStyle name="Currency 5 3 2 6 4" xfId="10117" xr:uid="{660CC723-744D-45E5-AA5C-8800B3C8C32F}"/>
    <cellStyle name="Currency 5 3 2 7" xfId="1999" xr:uid="{00000000-0005-0000-0000-0000D60C0000}"/>
    <cellStyle name="Currency 5 3 2 7 2" xfId="4228" xr:uid="{00000000-0005-0000-0000-0000D70C0000}"/>
    <cellStyle name="Currency 5 3 2 7 2 2" xfId="8451" xr:uid="{00000000-0005-0000-0000-0000D80C0000}"/>
    <cellStyle name="Currency 5 3 2 7 2 2 2" xfId="16893" xr:uid="{7E3B5467-1558-49AA-B52B-9D9EE503EC37}"/>
    <cellStyle name="Currency 5 3 2 7 2 3" xfId="12675" xr:uid="{FA22B14C-9636-4EA1-AD5F-01FF5C7594D5}"/>
    <cellStyle name="Currency 5 3 2 7 3" xfId="6306" xr:uid="{00000000-0005-0000-0000-0000D90C0000}"/>
    <cellStyle name="Currency 5 3 2 7 3 2" xfId="14748" xr:uid="{1EE8851C-3619-4ADA-AE63-9BAB2C7BFB26}"/>
    <cellStyle name="Currency 5 3 2 7 4" xfId="10530" xr:uid="{BE8F2DAA-2C21-4310-9958-D8AB1FA6EFA6}"/>
    <cellStyle name="Currency 5 3 2 8" xfId="2434" xr:uid="{00000000-0005-0000-0000-0000DA0C0000}"/>
    <cellStyle name="Currency 5 3 2 8 2" xfId="6719" xr:uid="{00000000-0005-0000-0000-0000DB0C0000}"/>
    <cellStyle name="Currency 5 3 2 8 2 2" xfId="15161" xr:uid="{8ACADC8E-C7A4-462F-86DF-02CB7A266EF8}"/>
    <cellStyle name="Currency 5 3 2 8 3" xfId="10943" xr:uid="{9E9C7DBB-E346-40FA-BB8A-CB20ED5C1E1B}"/>
    <cellStyle name="Currency 5 3 2 9" xfId="2731" xr:uid="{00000000-0005-0000-0000-0000DC0C0000}"/>
    <cellStyle name="Currency 5 3 3" xfId="214" xr:uid="{00000000-0005-0000-0000-0000DD0C0000}"/>
    <cellStyle name="Currency 5 3 3 10" xfId="4657" xr:uid="{00000000-0005-0000-0000-0000DE0C0000}"/>
    <cellStyle name="Currency 5 3 3 10 2" xfId="13099" xr:uid="{50E56290-375F-4FD9-BDB0-3C7E5123E81A}"/>
    <cellStyle name="Currency 5 3 3 11" xfId="8881" xr:uid="{B7567E28-6B73-4761-9500-E62F776DB3D1}"/>
    <cellStyle name="Currency 5 3 3 2" xfId="215" xr:uid="{00000000-0005-0000-0000-0000DF0C0000}"/>
    <cellStyle name="Currency 5 3 3 2 10" xfId="8882" xr:uid="{B6AEB9C4-B785-41FC-AC97-2B3917D3BE9D}"/>
    <cellStyle name="Currency 5 3 3 2 2" xfId="741" xr:uid="{00000000-0005-0000-0000-0000E00C0000}"/>
    <cellStyle name="Currency 5 3 3 2 2 2" xfId="2994" xr:uid="{00000000-0005-0000-0000-0000E10C0000}"/>
    <cellStyle name="Currency 5 3 3 2 2 2 2" xfId="7217" xr:uid="{00000000-0005-0000-0000-0000E20C0000}"/>
    <cellStyle name="Currency 5 3 3 2 2 2 2 2" xfId="15659" xr:uid="{3704B622-EFF1-408E-81F2-0D36E242BFD9}"/>
    <cellStyle name="Currency 5 3 3 2 2 2 3" xfId="11441" xr:uid="{F827F141-23A4-4D2E-81E1-44FFE7572F67}"/>
    <cellStyle name="Currency 5 3 3 2 2 3" xfId="5072" xr:uid="{00000000-0005-0000-0000-0000E30C0000}"/>
    <cellStyle name="Currency 5 3 3 2 2 3 2" xfId="13514" xr:uid="{77C50F02-20B2-4388-9917-260EED634C94}"/>
    <cellStyle name="Currency 5 3 3 2 2 4" xfId="9296" xr:uid="{4E9B24DA-195B-4040-980E-27A9F5E984A6}"/>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2 2 2" xfId="16072" xr:uid="{30309EB5-59B8-43F9-B1A3-70C55FF9B355}"/>
    <cellStyle name="Currency 5 3 3 2 3 2 3" xfId="11854" xr:uid="{CDFC6328-852F-46F7-AFE5-3EF9AC27C407}"/>
    <cellStyle name="Currency 5 3 3 2 3 3" xfId="5485" xr:uid="{00000000-0005-0000-0000-0000E70C0000}"/>
    <cellStyle name="Currency 5 3 3 2 3 3 2" xfId="13927" xr:uid="{F48FC3EF-078B-49C7-975A-53EC6FFDC197}"/>
    <cellStyle name="Currency 5 3 3 2 3 4" xfId="9709" xr:uid="{E094CA1B-548F-4F93-AE11-EFD9BB11DE78}"/>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2 2 2" xfId="16485" xr:uid="{FBF1CDF2-A534-4BD2-8C55-3C3A220790B9}"/>
    <cellStyle name="Currency 5 3 3 2 4 2 3" xfId="12267" xr:uid="{68872FD8-B68F-4019-ADA2-A9AC30B58085}"/>
    <cellStyle name="Currency 5 3 3 2 4 3" xfId="5898" xr:uid="{00000000-0005-0000-0000-0000EB0C0000}"/>
    <cellStyle name="Currency 5 3 3 2 4 3 2" xfId="14340" xr:uid="{1DAF2C5F-F1B9-48C9-8748-CFCBF419D7E4}"/>
    <cellStyle name="Currency 5 3 3 2 4 4" xfId="10122" xr:uid="{5FF03806-5148-4126-BFFC-891AE12CCF65}"/>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2 2 2" xfId="16898" xr:uid="{1B72EB2B-49FA-47DD-B76B-DD7703AAFEA1}"/>
    <cellStyle name="Currency 5 3 3 2 5 2 3" xfId="12680" xr:uid="{EC891772-6952-4D81-BC77-91C89D5239D7}"/>
    <cellStyle name="Currency 5 3 3 2 5 3" xfId="6311" xr:uid="{00000000-0005-0000-0000-0000EF0C0000}"/>
    <cellStyle name="Currency 5 3 3 2 5 3 2" xfId="14753" xr:uid="{3814CC9D-EBB8-4D79-A4F6-44AE2CAF84E1}"/>
    <cellStyle name="Currency 5 3 3 2 5 4" xfId="10535" xr:uid="{36FA9C10-7E5E-46AB-8D92-D4E477B813F4}"/>
    <cellStyle name="Currency 5 3 3 2 6" xfId="2439" xr:uid="{00000000-0005-0000-0000-0000F00C0000}"/>
    <cellStyle name="Currency 5 3 3 2 6 2" xfId="6724" xr:uid="{00000000-0005-0000-0000-0000F10C0000}"/>
    <cellStyle name="Currency 5 3 3 2 6 2 2" xfId="15166" xr:uid="{F52DB9D2-D409-42D5-97F2-895FDCD753B5}"/>
    <cellStyle name="Currency 5 3 3 2 6 3" xfId="10948" xr:uid="{945D787A-15FA-4C61-A168-37E3FDEB5D1D}"/>
    <cellStyle name="Currency 5 3 3 2 7" xfId="2736" xr:uid="{00000000-0005-0000-0000-0000F20C0000}"/>
    <cellStyle name="Currency 5 3 3 2 8" xfId="2817" xr:uid="{00000000-0005-0000-0000-0000F30C0000}"/>
    <cellStyle name="Currency 5 3 3 2 8 2" xfId="7041" xr:uid="{00000000-0005-0000-0000-0000F40C0000}"/>
    <cellStyle name="Currency 5 3 3 2 8 2 2" xfId="15483" xr:uid="{F0F53159-CA6F-4833-9A49-D090D2C01EA5}"/>
    <cellStyle name="Currency 5 3 3 2 8 3" xfId="11265" xr:uid="{4B1B8306-CFDE-4603-AA13-23E78808363A}"/>
    <cellStyle name="Currency 5 3 3 2 9" xfId="4658" xr:uid="{00000000-0005-0000-0000-0000F50C0000}"/>
    <cellStyle name="Currency 5 3 3 2 9 2" xfId="13100" xr:uid="{121E1F92-107D-4A11-B074-097E9654A713}"/>
    <cellStyle name="Currency 5 3 3 3" xfId="740" xr:uid="{00000000-0005-0000-0000-0000F60C0000}"/>
    <cellStyle name="Currency 5 3 3 3 2" xfId="2993" xr:uid="{00000000-0005-0000-0000-0000F70C0000}"/>
    <cellStyle name="Currency 5 3 3 3 2 2" xfId="7216" xr:uid="{00000000-0005-0000-0000-0000F80C0000}"/>
    <cellStyle name="Currency 5 3 3 3 2 2 2" xfId="15658" xr:uid="{4703B849-17F0-49C3-9A16-75124DB353E7}"/>
    <cellStyle name="Currency 5 3 3 3 2 3" xfId="11440" xr:uid="{DBEF01CA-75C7-43E9-909A-1CD92219532B}"/>
    <cellStyle name="Currency 5 3 3 3 3" xfId="5071" xr:uid="{00000000-0005-0000-0000-0000F90C0000}"/>
    <cellStyle name="Currency 5 3 3 3 3 2" xfId="13513" xr:uid="{24FD3CD5-D07F-4AED-99AA-8BEC66832370}"/>
    <cellStyle name="Currency 5 3 3 3 4" xfId="9295" xr:uid="{55D3F749-9F87-4D43-9306-EDD5E33B4310}"/>
    <cellStyle name="Currency 5 3 3 4" xfId="1175" xr:uid="{00000000-0005-0000-0000-0000FA0C0000}"/>
    <cellStyle name="Currency 5 3 3 4 2" xfId="3406" xr:uid="{00000000-0005-0000-0000-0000FB0C0000}"/>
    <cellStyle name="Currency 5 3 3 4 2 2" xfId="7629" xr:uid="{00000000-0005-0000-0000-0000FC0C0000}"/>
    <cellStyle name="Currency 5 3 3 4 2 2 2" xfId="16071" xr:uid="{A673FF22-EA10-4331-A70C-0A2E395C7C51}"/>
    <cellStyle name="Currency 5 3 3 4 2 3" xfId="11853" xr:uid="{6A084C5F-5792-43FF-B5A5-DEA602AF181C}"/>
    <cellStyle name="Currency 5 3 3 4 3" xfId="5484" xr:uid="{00000000-0005-0000-0000-0000FD0C0000}"/>
    <cellStyle name="Currency 5 3 3 4 3 2" xfId="13926" xr:uid="{03CB6FFB-C133-4992-819B-A144C56D7DF5}"/>
    <cellStyle name="Currency 5 3 3 4 4" xfId="9708" xr:uid="{7529EC2B-9AB8-4834-9F61-4E1FD15B9D23}"/>
    <cellStyle name="Currency 5 3 3 5" xfId="1589" xr:uid="{00000000-0005-0000-0000-0000FE0C0000}"/>
    <cellStyle name="Currency 5 3 3 5 2" xfId="3819" xr:uid="{00000000-0005-0000-0000-0000FF0C0000}"/>
    <cellStyle name="Currency 5 3 3 5 2 2" xfId="8042" xr:uid="{00000000-0005-0000-0000-0000000D0000}"/>
    <cellStyle name="Currency 5 3 3 5 2 2 2" xfId="16484" xr:uid="{D5AB35E8-B522-44AA-9A96-90E9E49B52B6}"/>
    <cellStyle name="Currency 5 3 3 5 2 3" xfId="12266" xr:uid="{7F9CBFB1-334E-47D6-8DFF-625B4DF0932C}"/>
    <cellStyle name="Currency 5 3 3 5 3" xfId="5897" xr:uid="{00000000-0005-0000-0000-0000010D0000}"/>
    <cellStyle name="Currency 5 3 3 5 3 2" xfId="14339" xr:uid="{94BAF796-C8AF-43FB-8149-2E20236DF249}"/>
    <cellStyle name="Currency 5 3 3 5 4" xfId="10121" xr:uid="{22D00F75-591C-4A55-8062-3C8EA4DC952B}"/>
    <cellStyle name="Currency 5 3 3 6" xfId="2003" xr:uid="{00000000-0005-0000-0000-0000020D0000}"/>
    <cellStyle name="Currency 5 3 3 6 2" xfId="4232" xr:uid="{00000000-0005-0000-0000-0000030D0000}"/>
    <cellStyle name="Currency 5 3 3 6 2 2" xfId="8455" xr:uid="{00000000-0005-0000-0000-0000040D0000}"/>
    <cellStyle name="Currency 5 3 3 6 2 2 2" xfId="16897" xr:uid="{6884829D-7F84-4134-8859-73A3E49DD66F}"/>
    <cellStyle name="Currency 5 3 3 6 2 3" xfId="12679" xr:uid="{7ED382F0-01E9-4301-BFB1-9112903C2224}"/>
    <cellStyle name="Currency 5 3 3 6 3" xfId="6310" xr:uid="{00000000-0005-0000-0000-0000050D0000}"/>
    <cellStyle name="Currency 5 3 3 6 3 2" xfId="14752" xr:uid="{5A440AFA-3803-4DD8-A2BB-68E0504A60E0}"/>
    <cellStyle name="Currency 5 3 3 6 4" xfId="10534" xr:uid="{56A0CCD0-23D5-4408-90EE-9B3E96DF4512}"/>
    <cellStyle name="Currency 5 3 3 7" xfId="2438" xr:uid="{00000000-0005-0000-0000-0000060D0000}"/>
    <cellStyle name="Currency 5 3 3 7 2" xfId="6723" xr:uid="{00000000-0005-0000-0000-0000070D0000}"/>
    <cellStyle name="Currency 5 3 3 7 2 2" xfId="15165" xr:uid="{5497FA94-C2FA-491C-BA25-3D81035A22FF}"/>
    <cellStyle name="Currency 5 3 3 7 3" xfId="10947" xr:uid="{3FE96447-A8DC-4421-9D11-7B2B1A30563D}"/>
    <cellStyle name="Currency 5 3 3 8" xfId="2735" xr:uid="{00000000-0005-0000-0000-0000080D0000}"/>
    <cellStyle name="Currency 5 3 3 9" xfId="2816" xr:uid="{00000000-0005-0000-0000-0000090D0000}"/>
    <cellStyle name="Currency 5 3 3 9 2" xfId="7040" xr:uid="{00000000-0005-0000-0000-00000A0D0000}"/>
    <cellStyle name="Currency 5 3 3 9 2 2" xfId="15482" xr:uid="{E5945A9B-DA05-4552-B6F0-1B13A747E5B1}"/>
    <cellStyle name="Currency 5 3 3 9 3" xfId="11264" xr:uid="{5CC11511-969D-44D4-A754-8397F1451F11}"/>
    <cellStyle name="Currency 5 3 4" xfId="216" xr:uid="{00000000-0005-0000-0000-00000B0D0000}"/>
    <cellStyle name="Currency 5 3 4 10" xfId="8883" xr:uid="{42DCCA0A-5F8C-4FEB-AA87-6BE3F38B7162}"/>
    <cellStyle name="Currency 5 3 4 2" xfId="742" xr:uid="{00000000-0005-0000-0000-00000C0D0000}"/>
    <cellStyle name="Currency 5 3 4 2 2" xfId="2995" xr:uid="{00000000-0005-0000-0000-00000D0D0000}"/>
    <cellStyle name="Currency 5 3 4 2 2 2" xfId="7218" xr:uid="{00000000-0005-0000-0000-00000E0D0000}"/>
    <cellStyle name="Currency 5 3 4 2 2 2 2" xfId="15660" xr:uid="{FE8B9603-8858-42C7-8FBB-9933089B76DA}"/>
    <cellStyle name="Currency 5 3 4 2 2 3" xfId="11442" xr:uid="{09817E71-6581-4491-A499-0EB6C564EF67}"/>
    <cellStyle name="Currency 5 3 4 2 3" xfId="5073" xr:uid="{00000000-0005-0000-0000-00000F0D0000}"/>
    <cellStyle name="Currency 5 3 4 2 3 2" xfId="13515" xr:uid="{E8A1FCC0-48A6-45A9-AC14-1432C7B3EA65}"/>
    <cellStyle name="Currency 5 3 4 2 4" xfId="9297" xr:uid="{F05B42D0-EC19-4F04-BF01-614C81418187}"/>
    <cellStyle name="Currency 5 3 4 3" xfId="1177" xr:uid="{00000000-0005-0000-0000-0000100D0000}"/>
    <cellStyle name="Currency 5 3 4 3 2" xfId="3408" xr:uid="{00000000-0005-0000-0000-0000110D0000}"/>
    <cellStyle name="Currency 5 3 4 3 2 2" xfId="7631" xr:uid="{00000000-0005-0000-0000-0000120D0000}"/>
    <cellStyle name="Currency 5 3 4 3 2 2 2" xfId="16073" xr:uid="{A3F9A5B5-6BB9-4E55-A71D-35ACEA7DA965}"/>
    <cellStyle name="Currency 5 3 4 3 2 3" xfId="11855" xr:uid="{A75077DA-9C3D-4B46-A12C-AEE0F8781E22}"/>
    <cellStyle name="Currency 5 3 4 3 3" xfId="5486" xr:uid="{00000000-0005-0000-0000-0000130D0000}"/>
    <cellStyle name="Currency 5 3 4 3 3 2" xfId="13928" xr:uid="{52E97FF0-EE57-42EE-A982-3F4F83685CD0}"/>
    <cellStyle name="Currency 5 3 4 3 4" xfId="9710" xr:uid="{BB0CAE7C-4290-4FBF-BC2C-4B34E1607334}"/>
    <cellStyle name="Currency 5 3 4 4" xfId="1591" xr:uid="{00000000-0005-0000-0000-0000140D0000}"/>
    <cellStyle name="Currency 5 3 4 4 2" xfId="3821" xr:uid="{00000000-0005-0000-0000-0000150D0000}"/>
    <cellStyle name="Currency 5 3 4 4 2 2" xfId="8044" xr:uid="{00000000-0005-0000-0000-0000160D0000}"/>
    <cellStyle name="Currency 5 3 4 4 2 2 2" xfId="16486" xr:uid="{4532DCF1-D925-4539-ADB2-700AC6B850D2}"/>
    <cellStyle name="Currency 5 3 4 4 2 3" xfId="12268" xr:uid="{0240BF15-3195-49FB-B70B-38B12DF0050D}"/>
    <cellStyle name="Currency 5 3 4 4 3" xfId="5899" xr:uid="{00000000-0005-0000-0000-0000170D0000}"/>
    <cellStyle name="Currency 5 3 4 4 3 2" xfId="14341" xr:uid="{1DA0530C-5E07-410F-92AB-2A4E6E62FAD9}"/>
    <cellStyle name="Currency 5 3 4 4 4" xfId="10123" xr:uid="{3DA6D898-52AA-468D-A3A3-6AA28AE04498}"/>
    <cellStyle name="Currency 5 3 4 5" xfId="2005" xr:uid="{00000000-0005-0000-0000-0000180D0000}"/>
    <cellStyle name="Currency 5 3 4 5 2" xfId="4234" xr:uid="{00000000-0005-0000-0000-0000190D0000}"/>
    <cellStyle name="Currency 5 3 4 5 2 2" xfId="8457" xr:uid="{00000000-0005-0000-0000-00001A0D0000}"/>
    <cellStyle name="Currency 5 3 4 5 2 2 2" xfId="16899" xr:uid="{E1211512-FAEB-4BB2-B479-42E06D13B925}"/>
    <cellStyle name="Currency 5 3 4 5 2 3" xfId="12681" xr:uid="{55CF9C5C-5790-4F31-94C3-D74DC628C492}"/>
    <cellStyle name="Currency 5 3 4 5 3" xfId="6312" xr:uid="{00000000-0005-0000-0000-00001B0D0000}"/>
    <cellStyle name="Currency 5 3 4 5 3 2" xfId="14754" xr:uid="{BB22689A-4B83-41B1-A638-03516E7ADAD9}"/>
    <cellStyle name="Currency 5 3 4 5 4" xfId="10536" xr:uid="{E7D26DEB-472B-44A8-B51F-A60897849145}"/>
    <cellStyle name="Currency 5 3 4 6" xfId="2440" xr:uid="{00000000-0005-0000-0000-00001C0D0000}"/>
    <cellStyle name="Currency 5 3 4 6 2" xfId="6725" xr:uid="{00000000-0005-0000-0000-00001D0D0000}"/>
    <cellStyle name="Currency 5 3 4 6 2 2" xfId="15167" xr:uid="{CC4A171D-714A-437F-B0CC-C0BCEE90B8A3}"/>
    <cellStyle name="Currency 5 3 4 6 3" xfId="10949" xr:uid="{F8AF18BD-0F2D-46AB-912C-030A24981BDE}"/>
    <cellStyle name="Currency 5 3 4 7" xfId="2737" xr:uid="{00000000-0005-0000-0000-00001E0D0000}"/>
    <cellStyle name="Currency 5 3 4 8" xfId="2818" xr:uid="{00000000-0005-0000-0000-00001F0D0000}"/>
    <cellStyle name="Currency 5 3 4 8 2" xfId="7042" xr:uid="{00000000-0005-0000-0000-0000200D0000}"/>
    <cellStyle name="Currency 5 3 4 8 2 2" xfId="15484" xr:uid="{3D4D1414-34F0-4370-85CC-2B86F2499B95}"/>
    <cellStyle name="Currency 5 3 4 8 3" xfId="11266" xr:uid="{81FE1018-ECCA-4B08-98B3-581854C5CBA4}"/>
    <cellStyle name="Currency 5 3 4 9" xfId="4659" xr:uid="{00000000-0005-0000-0000-0000210D0000}"/>
    <cellStyle name="Currency 5 3 4 9 2" xfId="13101" xr:uid="{3D7AC0A3-4DE8-41A9-A301-30DE338411F9}"/>
    <cellStyle name="Currency 5 3 5" xfId="217" xr:uid="{00000000-0005-0000-0000-0000220D0000}"/>
    <cellStyle name="Currency 5 3 5 10" xfId="8884" xr:uid="{ABA89F0E-6A64-4430-8334-227332ECBDEF}"/>
    <cellStyle name="Currency 5 3 5 2" xfId="743" xr:uid="{00000000-0005-0000-0000-0000230D0000}"/>
    <cellStyle name="Currency 5 3 5 2 2" xfId="2996" xr:uid="{00000000-0005-0000-0000-0000240D0000}"/>
    <cellStyle name="Currency 5 3 5 2 2 2" xfId="7219" xr:uid="{00000000-0005-0000-0000-0000250D0000}"/>
    <cellStyle name="Currency 5 3 5 2 2 2 2" xfId="15661" xr:uid="{F347A94C-6199-4084-AC6C-4D216551C42F}"/>
    <cellStyle name="Currency 5 3 5 2 2 3" xfId="11443" xr:uid="{09300A98-B9BB-4713-A9B0-14F1CC331CB5}"/>
    <cellStyle name="Currency 5 3 5 2 3" xfId="5074" xr:uid="{00000000-0005-0000-0000-0000260D0000}"/>
    <cellStyle name="Currency 5 3 5 2 3 2" xfId="13516" xr:uid="{B0173220-4E38-4231-96CB-05E26D56D2EB}"/>
    <cellStyle name="Currency 5 3 5 2 4" xfId="9298" xr:uid="{A6C122CE-F64F-4554-9055-D9075C6489EC}"/>
    <cellStyle name="Currency 5 3 5 3" xfId="1178" xr:uid="{00000000-0005-0000-0000-0000270D0000}"/>
    <cellStyle name="Currency 5 3 5 3 2" xfId="3409" xr:uid="{00000000-0005-0000-0000-0000280D0000}"/>
    <cellStyle name="Currency 5 3 5 3 2 2" xfId="7632" xr:uid="{00000000-0005-0000-0000-0000290D0000}"/>
    <cellStyle name="Currency 5 3 5 3 2 2 2" xfId="16074" xr:uid="{F6C975AD-1940-4BA5-9C5A-5B57176CAFD7}"/>
    <cellStyle name="Currency 5 3 5 3 2 3" xfId="11856" xr:uid="{4DA09DBC-FDA1-49D3-ABC1-35DF10EEDB80}"/>
    <cellStyle name="Currency 5 3 5 3 3" xfId="5487" xr:uid="{00000000-0005-0000-0000-00002A0D0000}"/>
    <cellStyle name="Currency 5 3 5 3 3 2" xfId="13929" xr:uid="{50C2273F-20F7-4B85-9CAA-48E15C55A2B1}"/>
    <cellStyle name="Currency 5 3 5 3 4" xfId="9711" xr:uid="{3D885014-8C6D-4900-AA0C-2A9EFBF62824}"/>
    <cellStyle name="Currency 5 3 5 4" xfId="1592" xr:uid="{00000000-0005-0000-0000-00002B0D0000}"/>
    <cellStyle name="Currency 5 3 5 4 2" xfId="3822" xr:uid="{00000000-0005-0000-0000-00002C0D0000}"/>
    <cellStyle name="Currency 5 3 5 4 2 2" xfId="8045" xr:uid="{00000000-0005-0000-0000-00002D0D0000}"/>
    <cellStyle name="Currency 5 3 5 4 2 2 2" xfId="16487" xr:uid="{1FED8315-993E-431B-9888-AFC549E8692E}"/>
    <cellStyle name="Currency 5 3 5 4 2 3" xfId="12269" xr:uid="{A937FDF1-C929-4B4F-AB73-4163EE00F075}"/>
    <cellStyle name="Currency 5 3 5 4 3" xfId="5900" xr:uid="{00000000-0005-0000-0000-00002E0D0000}"/>
    <cellStyle name="Currency 5 3 5 4 3 2" xfId="14342" xr:uid="{8A9305F9-1C3D-4512-829A-15D398D8A2F8}"/>
    <cellStyle name="Currency 5 3 5 4 4" xfId="10124" xr:uid="{DB029B3B-4061-47A9-ACD1-B5FB9F666F5F}"/>
    <cellStyle name="Currency 5 3 5 5" xfId="2006" xr:uid="{00000000-0005-0000-0000-00002F0D0000}"/>
    <cellStyle name="Currency 5 3 5 5 2" xfId="4235" xr:uid="{00000000-0005-0000-0000-0000300D0000}"/>
    <cellStyle name="Currency 5 3 5 5 2 2" xfId="8458" xr:uid="{00000000-0005-0000-0000-0000310D0000}"/>
    <cellStyle name="Currency 5 3 5 5 2 2 2" xfId="16900" xr:uid="{8306C7AE-9F34-4373-AFF8-17FF1AA77BFF}"/>
    <cellStyle name="Currency 5 3 5 5 2 3" xfId="12682" xr:uid="{11DDB829-F18F-4F90-A4F2-A09028774189}"/>
    <cellStyle name="Currency 5 3 5 5 3" xfId="6313" xr:uid="{00000000-0005-0000-0000-0000320D0000}"/>
    <cellStyle name="Currency 5 3 5 5 3 2" xfId="14755" xr:uid="{709D9552-29FA-4C1C-8440-92BC13A76E00}"/>
    <cellStyle name="Currency 5 3 5 5 4" xfId="10537" xr:uid="{390839EA-A2EF-4DBE-9087-8674CA38C7A3}"/>
    <cellStyle name="Currency 5 3 5 6" xfId="2441" xr:uid="{00000000-0005-0000-0000-0000330D0000}"/>
    <cellStyle name="Currency 5 3 5 6 2" xfId="6726" xr:uid="{00000000-0005-0000-0000-0000340D0000}"/>
    <cellStyle name="Currency 5 3 5 6 2 2" xfId="15168" xr:uid="{374CA4AF-5F60-43D4-84EE-643C1E1E096D}"/>
    <cellStyle name="Currency 5 3 5 6 3" xfId="10950" xr:uid="{19B095FF-C688-4CBA-9350-3A78C5FA2FCD}"/>
    <cellStyle name="Currency 5 3 5 7" xfId="2738" xr:uid="{00000000-0005-0000-0000-0000350D0000}"/>
    <cellStyle name="Currency 5 3 5 8" xfId="2819" xr:uid="{00000000-0005-0000-0000-0000360D0000}"/>
    <cellStyle name="Currency 5 3 5 8 2" xfId="7043" xr:uid="{00000000-0005-0000-0000-0000370D0000}"/>
    <cellStyle name="Currency 5 3 5 8 2 2" xfId="15485" xr:uid="{D4317637-B842-42CC-B8A2-E21276D02251}"/>
    <cellStyle name="Currency 5 3 5 8 3" xfId="11267" xr:uid="{FCD21F41-426D-4C21-BF6F-B53FA3EC4E8F}"/>
    <cellStyle name="Currency 5 3 5 9" xfId="4660" xr:uid="{00000000-0005-0000-0000-0000380D0000}"/>
    <cellStyle name="Currency 5 3 5 9 2" xfId="13102" xr:uid="{4576841E-2275-4AE2-9F23-6E840ABF36DF}"/>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10 2" xfId="13103" xr:uid="{6F41EB5D-98E2-4BAF-9776-E8280E3B00FD}"/>
    <cellStyle name="Currency 5 5 11" xfId="8885" xr:uid="{FFB49F6C-9370-4173-83A9-835A37599EA7}"/>
    <cellStyle name="Currency 5 5 2" xfId="220" xr:uid="{00000000-0005-0000-0000-00003D0D0000}"/>
    <cellStyle name="Currency 5 5 2 10" xfId="8886" xr:uid="{DF430E2E-0EB0-499D-86A0-A24ED5C714F7}"/>
    <cellStyle name="Currency 5 5 2 2" xfId="746" xr:uid="{00000000-0005-0000-0000-00003E0D0000}"/>
    <cellStyle name="Currency 5 5 2 2 2" xfId="2998" xr:uid="{00000000-0005-0000-0000-00003F0D0000}"/>
    <cellStyle name="Currency 5 5 2 2 2 2" xfId="7221" xr:uid="{00000000-0005-0000-0000-0000400D0000}"/>
    <cellStyle name="Currency 5 5 2 2 2 2 2" xfId="15663" xr:uid="{77BE6357-335A-4A2A-AFF0-C2157DEA810A}"/>
    <cellStyle name="Currency 5 5 2 2 2 3" xfId="11445" xr:uid="{054D0B82-A8D2-4056-A806-C7D041AB6080}"/>
    <cellStyle name="Currency 5 5 2 2 3" xfId="5076" xr:uid="{00000000-0005-0000-0000-0000410D0000}"/>
    <cellStyle name="Currency 5 5 2 2 3 2" xfId="13518" xr:uid="{1729D90B-E48B-4C2B-A893-936E8F43D676}"/>
    <cellStyle name="Currency 5 5 2 2 4" xfId="9300" xr:uid="{CEA70C0E-FEF6-4D3F-8FDA-FAABE952663A}"/>
    <cellStyle name="Currency 5 5 2 3" xfId="1180" xr:uid="{00000000-0005-0000-0000-0000420D0000}"/>
    <cellStyle name="Currency 5 5 2 3 2" xfId="3411" xr:uid="{00000000-0005-0000-0000-0000430D0000}"/>
    <cellStyle name="Currency 5 5 2 3 2 2" xfId="7634" xr:uid="{00000000-0005-0000-0000-0000440D0000}"/>
    <cellStyle name="Currency 5 5 2 3 2 2 2" xfId="16076" xr:uid="{268915AC-5735-47F4-975C-8259E7945532}"/>
    <cellStyle name="Currency 5 5 2 3 2 3" xfId="11858" xr:uid="{187152F4-3E5F-4524-8A10-4AA8B1E2B526}"/>
    <cellStyle name="Currency 5 5 2 3 3" xfId="5489" xr:uid="{00000000-0005-0000-0000-0000450D0000}"/>
    <cellStyle name="Currency 5 5 2 3 3 2" xfId="13931" xr:uid="{CE632DC5-57C3-4FCA-9C23-F566B38FB828}"/>
    <cellStyle name="Currency 5 5 2 3 4" xfId="9713" xr:uid="{6B8FBCFA-C656-465A-BA8E-18AABB86BC85}"/>
    <cellStyle name="Currency 5 5 2 4" xfId="1594" xr:uid="{00000000-0005-0000-0000-0000460D0000}"/>
    <cellStyle name="Currency 5 5 2 4 2" xfId="3824" xr:uid="{00000000-0005-0000-0000-0000470D0000}"/>
    <cellStyle name="Currency 5 5 2 4 2 2" xfId="8047" xr:uid="{00000000-0005-0000-0000-0000480D0000}"/>
    <cellStyle name="Currency 5 5 2 4 2 2 2" xfId="16489" xr:uid="{AAA8043F-ED6A-44E7-B9B2-01B66CFC0EBD}"/>
    <cellStyle name="Currency 5 5 2 4 2 3" xfId="12271" xr:uid="{01B7C440-5127-4917-B852-6339ED5D5398}"/>
    <cellStyle name="Currency 5 5 2 4 3" xfId="5902" xr:uid="{00000000-0005-0000-0000-0000490D0000}"/>
    <cellStyle name="Currency 5 5 2 4 3 2" xfId="14344" xr:uid="{DEBCFA22-410A-442E-B762-EE1DEEAE9ADC}"/>
    <cellStyle name="Currency 5 5 2 4 4" xfId="10126" xr:uid="{291DF8FD-2259-4D02-AA66-4A328B5677AD}"/>
    <cellStyle name="Currency 5 5 2 5" xfId="2008" xr:uid="{00000000-0005-0000-0000-00004A0D0000}"/>
    <cellStyle name="Currency 5 5 2 5 2" xfId="4237" xr:uid="{00000000-0005-0000-0000-00004B0D0000}"/>
    <cellStyle name="Currency 5 5 2 5 2 2" xfId="8460" xr:uid="{00000000-0005-0000-0000-00004C0D0000}"/>
    <cellStyle name="Currency 5 5 2 5 2 2 2" xfId="16902" xr:uid="{88CA9926-B5E3-43E2-90AE-237865FCD15E}"/>
    <cellStyle name="Currency 5 5 2 5 2 3" xfId="12684" xr:uid="{846EF119-2C18-4BE0-9C89-D8E3C15E25F3}"/>
    <cellStyle name="Currency 5 5 2 5 3" xfId="6315" xr:uid="{00000000-0005-0000-0000-00004D0D0000}"/>
    <cellStyle name="Currency 5 5 2 5 3 2" xfId="14757" xr:uid="{ACF9E7EB-199D-4E34-8EB4-EF626616504E}"/>
    <cellStyle name="Currency 5 5 2 5 4" xfId="10539" xr:uid="{181F55D2-FE9F-439D-93A6-98A882748976}"/>
    <cellStyle name="Currency 5 5 2 6" xfId="2443" xr:uid="{00000000-0005-0000-0000-00004E0D0000}"/>
    <cellStyle name="Currency 5 5 2 6 2" xfId="6728" xr:uid="{00000000-0005-0000-0000-00004F0D0000}"/>
    <cellStyle name="Currency 5 5 2 6 2 2" xfId="15170" xr:uid="{885271E7-F411-4342-A226-CD9C34CE4367}"/>
    <cellStyle name="Currency 5 5 2 6 3" xfId="10952" xr:uid="{633C782D-6A03-441E-9A75-8FEEBF17145F}"/>
    <cellStyle name="Currency 5 5 2 7" xfId="2740" xr:uid="{00000000-0005-0000-0000-0000500D0000}"/>
    <cellStyle name="Currency 5 5 2 8" xfId="2821" xr:uid="{00000000-0005-0000-0000-0000510D0000}"/>
    <cellStyle name="Currency 5 5 2 8 2" xfId="7045" xr:uid="{00000000-0005-0000-0000-0000520D0000}"/>
    <cellStyle name="Currency 5 5 2 8 2 2" xfId="15487" xr:uid="{28D35219-1A71-4E98-86E1-87A6C4EE77A2}"/>
    <cellStyle name="Currency 5 5 2 8 3" xfId="11269" xr:uid="{C4725FC6-70B5-455A-91D3-87663A91F714}"/>
    <cellStyle name="Currency 5 5 2 9" xfId="4662" xr:uid="{00000000-0005-0000-0000-0000530D0000}"/>
    <cellStyle name="Currency 5 5 2 9 2" xfId="13104" xr:uid="{A1E194F4-E7FC-453F-BA57-2C22A76A94D6}"/>
    <cellStyle name="Currency 5 5 3" xfId="745" xr:uid="{00000000-0005-0000-0000-0000540D0000}"/>
    <cellStyle name="Currency 5 5 3 2" xfId="2997" xr:uid="{00000000-0005-0000-0000-0000550D0000}"/>
    <cellStyle name="Currency 5 5 3 2 2" xfId="7220" xr:uid="{00000000-0005-0000-0000-0000560D0000}"/>
    <cellStyle name="Currency 5 5 3 2 2 2" xfId="15662" xr:uid="{608AE12D-8194-4CB2-BBD7-71C51E1A9E17}"/>
    <cellStyle name="Currency 5 5 3 2 3" xfId="11444" xr:uid="{23AE52F7-2C54-4F40-9445-3E534548E7ED}"/>
    <cellStyle name="Currency 5 5 3 3" xfId="5075" xr:uid="{00000000-0005-0000-0000-0000570D0000}"/>
    <cellStyle name="Currency 5 5 3 3 2" xfId="13517" xr:uid="{EB848905-8F05-4934-AD15-B01497094E0F}"/>
    <cellStyle name="Currency 5 5 3 4" xfId="9299" xr:uid="{677DFFA8-2494-43A6-9114-EAEB524EE20B}"/>
    <cellStyle name="Currency 5 5 4" xfId="1179" xr:uid="{00000000-0005-0000-0000-0000580D0000}"/>
    <cellStyle name="Currency 5 5 4 2" xfId="3410" xr:uid="{00000000-0005-0000-0000-0000590D0000}"/>
    <cellStyle name="Currency 5 5 4 2 2" xfId="7633" xr:uid="{00000000-0005-0000-0000-00005A0D0000}"/>
    <cellStyle name="Currency 5 5 4 2 2 2" xfId="16075" xr:uid="{51E87A83-6083-46FF-8850-C427BC53DA79}"/>
    <cellStyle name="Currency 5 5 4 2 3" xfId="11857" xr:uid="{B6B74716-3292-495D-91AD-EB4F79510851}"/>
    <cellStyle name="Currency 5 5 4 3" xfId="5488" xr:uid="{00000000-0005-0000-0000-00005B0D0000}"/>
    <cellStyle name="Currency 5 5 4 3 2" xfId="13930" xr:uid="{15A08C04-F9D4-4963-A2A6-B4938FE637F4}"/>
    <cellStyle name="Currency 5 5 4 4" xfId="9712" xr:uid="{77B1E912-96B5-42F5-ABF5-64CF59370DF1}"/>
    <cellStyle name="Currency 5 5 5" xfId="1593" xr:uid="{00000000-0005-0000-0000-00005C0D0000}"/>
    <cellStyle name="Currency 5 5 5 2" xfId="3823" xr:uid="{00000000-0005-0000-0000-00005D0D0000}"/>
    <cellStyle name="Currency 5 5 5 2 2" xfId="8046" xr:uid="{00000000-0005-0000-0000-00005E0D0000}"/>
    <cellStyle name="Currency 5 5 5 2 2 2" xfId="16488" xr:uid="{03DE1A63-0B35-4406-83C2-E3494783762C}"/>
    <cellStyle name="Currency 5 5 5 2 3" xfId="12270" xr:uid="{42DBE5A3-2442-44AE-8730-2A75BE35DF1D}"/>
    <cellStyle name="Currency 5 5 5 3" xfId="5901" xr:uid="{00000000-0005-0000-0000-00005F0D0000}"/>
    <cellStyle name="Currency 5 5 5 3 2" xfId="14343" xr:uid="{9099DB26-5A62-485A-8D84-1A54CEE5A073}"/>
    <cellStyle name="Currency 5 5 5 4" xfId="10125" xr:uid="{FAB5B455-0829-4DF7-976B-134353E87B0A}"/>
    <cellStyle name="Currency 5 5 6" xfId="2007" xr:uid="{00000000-0005-0000-0000-0000600D0000}"/>
    <cellStyle name="Currency 5 5 6 2" xfId="4236" xr:uid="{00000000-0005-0000-0000-0000610D0000}"/>
    <cellStyle name="Currency 5 5 6 2 2" xfId="8459" xr:uid="{00000000-0005-0000-0000-0000620D0000}"/>
    <cellStyle name="Currency 5 5 6 2 2 2" xfId="16901" xr:uid="{EE30A287-8C89-486A-9B67-2B51A0EEE1B6}"/>
    <cellStyle name="Currency 5 5 6 2 3" xfId="12683" xr:uid="{584F5A93-C578-4F07-985D-3C2694C1A34D}"/>
    <cellStyle name="Currency 5 5 6 3" xfId="6314" xr:uid="{00000000-0005-0000-0000-0000630D0000}"/>
    <cellStyle name="Currency 5 5 6 3 2" xfId="14756" xr:uid="{C845C4B9-A49C-4D98-8B29-8CA3C2D514C1}"/>
    <cellStyle name="Currency 5 5 6 4" xfId="10538" xr:uid="{8FA315B5-D8B9-4B34-BE84-E68948F6704F}"/>
    <cellStyle name="Currency 5 5 7" xfId="2442" xr:uid="{00000000-0005-0000-0000-0000640D0000}"/>
    <cellStyle name="Currency 5 5 7 2" xfId="6727" xr:uid="{00000000-0005-0000-0000-0000650D0000}"/>
    <cellStyle name="Currency 5 5 7 2 2" xfId="15169" xr:uid="{3F5D1DE4-76D9-4950-A886-9DE954968767}"/>
    <cellStyle name="Currency 5 5 7 3" xfId="10951" xr:uid="{BAFCE80C-7806-43CF-819D-EF7AEB2667DC}"/>
    <cellStyle name="Currency 5 5 8" xfId="2739" xr:uid="{00000000-0005-0000-0000-0000660D0000}"/>
    <cellStyle name="Currency 5 5 9" xfId="2820" xr:uid="{00000000-0005-0000-0000-0000670D0000}"/>
    <cellStyle name="Currency 5 5 9 2" xfId="7044" xr:uid="{00000000-0005-0000-0000-0000680D0000}"/>
    <cellStyle name="Currency 5 5 9 2 2" xfId="15486" xr:uid="{3443D2B3-2042-453B-8CB9-8DAF56983B68}"/>
    <cellStyle name="Currency 5 5 9 3" xfId="11268" xr:uid="{16F91BDB-E6BC-4226-926E-787DD2F41233}"/>
    <cellStyle name="Currency 5 6" xfId="221" xr:uid="{00000000-0005-0000-0000-0000690D0000}"/>
    <cellStyle name="Currency 5 6 10" xfId="8887" xr:uid="{1ED833F7-C5A4-4182-85A0-4625A0D1F545}"/>
    <cellStyle name="Currency 5 6 2" xfId="747" xr:uid="{00000000-0005-0000-0000-00006A0D0000}"/>
    <cellStyle name="Currency 5 6 2 2" xfId="2999" xr:uid="{00000000-0005-0000-0000-00006B0D0000}"/>
    <cellStyle name="Currency 5 6 2 2 2" xfId="7222" xr:uid="{00000000-0005-0000-0000-00006C0D0000}"/>
    <cellStyle name="Currency 5 6 2 2 2 2" xfId="15664" xr:uid="{BB73BD2E-B1EF-4583-935C-578C13FB2A7E}"/>
    <cellStyle name="Currency 5 6 2 2 3" xfId="11446" xr:uid="{F11DA92D-F214-4870-8F1B-42229768F6B0}"/>
    <cellStyle name="Currency 5 6 2 3" xfId="5077" xr:uid="{00000000-0005-0000-0000-00006D0D0000}"/>
    <cellStyle name="Currency 5 6 2 3 2" xfId="13519" xr:uid="{A293C3A6-7AAB-4E2F-A0FC-A696A572D166}"/>
    <cellStyle name="Currency 5 6 2 4" xfId="9301" xr:uid="{6834F30D-E22E-4F66-BE2D-0002412EB1CD}"/>
    <cellStyle name="Currency 5 6 3" xfId="1181" xr:uid="{00000000-0005-0000-0000-00006E0D0000}"/>
    <cellStyle name="Currency 5 6 3 2" xfId="3412" xr:uid="{00000000-0005-0000-0000-00006F0D0000}"/>
    <cellStyle name="Currency 5 6 3 2 2" xfId="7635" xr:uid="{00000000-0005-0000-0000-0000700D0000}"/>
    <cellStyle name="Currency 5 6 3 2 2 2" xfId="16077" xr:uid="{D1A0E65A-C9E6-4DFF-9F22-A0E7F036B9E9}"/>
    <cellStyle name="Currency 5 6 3 2 3" xfId="11859" xr:uid="{F67183AC-E811-4B9B-A2B3-D1269F91698D}"/>
    <cellStyle name="Currency 5 6 3 3" xfId="5490" xr:uid="{00000000-0005-0000-0000-0000710D0000}"/>
    <cellStyle name="Currency 5 6 3 3 2" xfId="13932" xr:uid="{F337B014-08D0-472E-996E-5C9B8D9B8360}"/>
    <cellStyle name="Currency 5 6 3 4" xfId="9714" xr:uid="{F15F455A-78D4-4B71-9FE7-2BD0ED931B42}"/>
    <cellStyle name="Currency 5 6 4" xfId="1595" xr:uid="{00000000-0005-0000-0000-0000720D0000}"/>
    <cellStyle name="Currency 5 6 4 2" xfId="3825" xr:uid="{00000000-0005-0000-0000-0000730D0000}"/>
    <cellStyle name="Currency 5 6 4 2 2" xfId="8048" xr:uid="{00000000-0005-0000-0000-0000740D0000}"/>
    <cellStyle name="Currency 5 6 4 2 2 2" xfId="16490" xr:uid="{DD21FA27-22A8-4459-A601-E71F33ACDE0F}"/>
    <cellStyle name="Currency 5 6 4 2 3" xfId="12272" xr:uid="{1C7037DE-CAF7-4A9A-ACA6-25C16A6DF7A2}"/>
    <cellStyle name="Currency 5 6 4 3" xfId="5903" xr:uid="{00000000-0005-0000-0000-0000750D0000}"/>
    <cellStyle name="Currency 5 6 4 3 2" xfId="14345" xr:uid="{C39BEE27-7443-45E8-938E-24616FA64CBE}"/>
    <cellStyle name="Currency 5 6 4 4" xfId="10127" xr:uid="{77E3F018-4D5E-4D4D-8D49-65F180108AB5}"/>
    <cellStyle name="Currency 5 6 5" xfId="2009" xr:uid="{00000000-0005-0000-0000-0000760D0000}"/>
    <cellStyle name="Currency 5 6 5 2" xfId="4238" xr:uid="{00000000-0005-0000-0000-0000770D0000}"/>
    <cellStyle name="Currency 5 6 5 2 2" xfId="8461" xr:uid="{00000000-0005-0000-0000-0000780D0000}"/>
    <cellStyle name="Currency 5 6 5 2 2 2" xfId="16903" xr:uid="{5BD6C823-2F23-49E4-9891-F29B496E7999}"/>
    <cellStyle name="Currency 5 6 5 2 3" xfId="12685" xr:uid="{403B35F9-4BD3-4807-8A5C-6953B971B3AD}"/>
    <cellStyle name="Currency 5 6 5 3" xfId="6316" xr:uid="{00000000-0005-0000-0000-0000790D0000}"/>
    <cellStyle name="Currency 5 6 5 3 2" xfId="14758" xr:uid="{3EECDF6F-E330-4622-ABDB-2696A3609C3E}"/>
    <cellStyle name="Currency 5 6 5 4" xfId="10540" xr:uid="{FB38C5BF-7362-4647-87F7-B440B41B4D84}"/>
    <cellStyle name="Currency 5 6 6" xfId="2444" xr:uid="{00000000-0005-0000-0000-00007A0D0000}"/>
    <cellStyle name="Currency 5 6 6 2" xfId="6729" xr:uid="{00000000-0005-0000-0000-00007B0D0000}"/>
    <cellStyle name="Currency 5 6 6 2 2" xfId="15171" xr:uid="{1CE96CA0-BD1C-41D4-ACEF-5A54C0E42A3B}"/>
    <cellStyle name="Currency 5 6 6 3" xfId="10953" xr:uid="{F1EB5980-AB90-43C9-A625-F7BB93B45598}"/>
    <cellStyle name="Currency 5 6 7" xfId="2741" xr:uid="{00000000-0005-0000-0000-00007C0D0000}"/>
    <cellStyle name="Currency 5 6 8" xfId="2822" xr:uid="{00000000-0005-0000-0000-00007D0D0000}"/>
    <cellStyle name="Currency 5 6 8 2" xfId="7046" xr:uid="{00000000-0005-0000-0000-00007E0D0000}"/>
    <cellStyle name="Currency 5 6 8 2 2" xfId="15488" xr:uid="{974CEFF0-F568-48CA-AF01-734D240C8786}"/>
    <cellStyle name="Currency 5 6 8 3" xfId="11270" xr:uid="{C47A84B2-08D7-4C01-AF6F-4927ED82C147}"/>
    <cellStyle name="Currency 5 6 9" xfId="4663" xr:uid="{00000000-0005-0000-0000-00007F0D0000}"/>
    <cellStyle name="Currency 5 6 9 2" xfId="13105" xr:uid="{FAFCCEFA-CE20-4722-BA3C-A46E5C80F7CE}"/>
    <cellStyle name="Currency 5 7" xfId="222" xr:uid="{00000000-0005-0000-0000-0000800D0000}"/>
    <cellStyle name="Currency 5 7 10" xfId="8888" xr:uid="{3BC2DAA6-06E2-40C6-ABB1-7014602B7730}"/>
    <cellStyle name="Currency 5 7 2" xfId="748" xr:uid="{00000000-0005-0000-0000-0000810D0000}"/>
    <cellStyle name="Currency 5 7 2 2" xfId="3000" xr:uid="{00000000-0005-0000-0000-0000820D0000}"/>
    <cellStyle name="Currency 5 7 2 2 2" xfId="7223" xr:uid="{00000000-0005-0000-0000-0000830D0000}"/>
    <cellStyle name="Currency 5 7 2 2 2 2" xfId="15665" xr:uid="{C8B4635D-4F58-459E-8C1E-670E2984F356}"/>
    <cellStyle name="Currency 5 7 2 2 3" xfId="11447" xr:uid="{8D2094E5-5AE9-45A5-84EB-24190A23FCB7}"/>
    <cellStyle name="Currency 5 7 2 3" xfId="5078" xr:uid="{00000000-0005-0000-0000-0000840D0000}"/>
    <cellStyle name="Currency 5 7 2 3 2" xfId="13520" xr:uid="{5F9DB1D5-3EEF-46BC-9D8A-EB75E6D01171}"/>
    <cellStyle name="Currency 5 7 2 4" xfId="9302" xr:uid="{61559431-58F7-4D9C-A67B-73D13AD43787}"/>
    <cellStyle name="Currency 5 7 3" xfId="1182" xr:uid="{00000000-0005-0000-0000-0000850D0000}"/>
    <cellStyle name="Currency 5 7 3 2" xfId="3413" xr:uid="{00000000-0005-0000-0000-0000860D0000}"/>
    <cellStyle name="Currency 5 7 3 2 2" xfId="7636" xr:uid="{00000000-0005-0000-0000-0000870D0000}"/>
    <cellStyle name="Currency 5 7 3 2 2 2" xfId="16078" xr:uid="{3BB5272A-8FC9-4EF5-B919-887333FBE8C4}"/>
    <cellStyle name="Currency 5 7 3 2 3" xfId="11860" xr:uid="{2F07F55F-3F7D-4BC0-AAC6-0373DC7538DA}"/>
    <cellStyle name="Currency 5 7 3 3" xfId="5491" xr:uid="{00000000-0005-0000-0000-0000880D0000}"/>
    <cellStyle name="Currency 5 7 3 3 2" xfId="13933" xr:uid="{3B42BA8C-982D-4A91-B01D-76EAD683DD9E}"/>
    <cellStyle name="Currency 5 7 3 4" xfId="9715" xr:uid="{8065CED1-6BEA-4594-8835-83717CFE1ABE}"/>
    <cellStyle name="Currency 5 7 4" xfId="1596" xr:uid="{00000000-0005-0000-0000-0000890D0000}"/>
    <cellStyle name="Currency 5 7 4 2" xfId="3826" xr:uid="{00000000-0005-0000-0000-00008A0D0000}"/>
    <cellStyle name="Currency 5 7 4 2 2" xfId="8049" xr:uid="{00000000-0005-0000-0000-00008B0D0000}"/>
    <cellStyle name="Currency 5 7 4 2 2 2" xfId="16491" xr:uid="{CA2987DD-08C1-4E68-95C2-B98DACE34B6F}"/>
    <cellStyle name="Currency 5 7 4 2 3" xfId="12273" xr:uid="{F4597AC4-4077-4527-85C7-F45E38360E6C}"/>
    <cellStyle name="Currency 5 7 4 3" xfId="5904" xr:uid="{00000000-0005-0000-0000-00008C0D0000}"/>
    <cellStyle name="Currency 5 7 4 3 2" xfId="14346" xr:uid="{1EE1883B-5BC8-4423-BF5A-BA3AB6BFF9DE}"/>
    <cellStyle name="Currency 5 7 4 4" xfId="10128" xr:uid="{FF628364-2770-47B4-9628-0BBB90F1F0F9}"/>
    <cellStyle name="Currency 5 7 5" xfId="2010" xr:uid="{00000000-0005-0000-0000-00008D0D0000}"/>
    <cellStyle name="Currency 5 7 5 2" xfId="4239" xr:uid="{00000000-0005-0000-0000-00008E0D0000}"/>
    <cellStyle name="Currency 5 7 5 2 2" xfId="8462" xr:uid="{00000000-0005-0000-0000-00008F0D0000}"/>
    <cellStyle name="Currency 5 7 5 2 2 2" xfId="16904" xr:uid="{9E2B5EBC-5874-42BA-9444-B53A25813BA8}"/>
    <cellStyle name="Currency 5 7 5 2 3" xfId="12686" xr:uid="{5BF019F8-6EC9-469B-8854-903107C96FC4}"/>
    <cellStyle name="Currency 5 7 5 3" xfId="6317" xr:uid="{00000000-0005-0000-0000-0000900D0000}"/>
    <cellStyle name="Currency 5 7 5 3 2" xfId="14759" xr:uid="{56C880EF-7EC8-4347-8FB0-F3C398A56491}"/>
    <cellStyle name="Currency 5 7 5 4" xfId="10541" xr:uid="{C5ED154E-AE57-413C-A6B3-08398DA39794}"/>
    <cellStyle name="Currency 5 7 6" xfId="2445" xr:uid="{00000000-0005-0000-0000-0000910D0000}"/>
    <cellStyle name="Currency 5 7 6 2" xfId="6730" xr:uid="{00000000-0005-0000-0000-0000920D0000}"/>
    <cellStyle name="Currency 5 7 6 2 2" xfId="15172" xr:uid="{206A57DC-47AC-4286-A7D2-532A622E8066}"/>
    <cellStyle name="Currency 5 7 6 3" xfId="10954" xr:uid="{36859CD5-6919-4631-B416-9F190BAD1060}"/>
    <cellStyle name="Currency 5 7 7" xfId="2742" xr:uid="{00000000-0005-0000-0000-0000930D0000}"/>
    <cellStyle name="Currency 5 7 8" xfId="2823" xr:uid="{00000000-0005-0000-0000-0000940D0000}"/>
    <cellStyle name="Currency 5 7 8 2" xfId="7047" xr:uid="{00000000-0005-0000-0000-0000950D0000}"/>
    <cellStyle name="Currency 5 7 8 2 2" xfId="15489" xr:uid="{890630F1-AC68-4B5C-88A2-3E7AF2D723B8}"/>
    <cellStyle name="Currency 5 7 8 3" xfId="11271" xr:uid="{3D04A442-560B-408F-A074-503B39DE6C0F}"/>
    <cellStyle name="Currency 5 7 9" xfId="4664" xr:uid="{00000000-0005-0000-0000-0000960D0000}"/>
    <cellStyle name="Currency 5 7 9 2" xfId="13106" xr:uid="{3C8EED89-7D73-44EB-90F8-7DFA71EFC3EF}"/>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0 2 2" xfId="15173" xr:uid="{90060BDE-9786-45D8-AA6F-2618F00AF386}"/>
    <cellStyle name="Normal 12 10 3" xfId="10955" xr:uid="{BF01B9A7-C40F-4281-B72B-68B08BC963BF}"/>
    <cellStyle name="Normal 12 11" xfId="4665" xr:uid="{00000000-0005-0000-0000-0000CC0D0000}"/>
    <cellStyle name="Normal 12 11 2" xfId="13107" xr:uid="{7236847C-B958-4008-802C-81D657575BE7}"/>
    <cellStyle name="Normal 12 12" xfId="8889" xr:uid="{620FD888-A9E4-4468-B86A-DBE78BAF6B8C}"/>
    <cellStyle name="Normal 12 2" xfId="260" xr:uid="{00000000-0005-0000-0000-0000CD0D0000}"/>
    <cellStyle name="Normal 12 2 10" xfId="8890" xr:uid="{92316F35-E7F7-4F0E-B381-52366202C8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2 2 2" xfId="15669" xr:uid="{C9C5948D-5048-4AFC-A775-B910A211E4C3}"/>
    <cellStyle name="Normal 12 2 2 2 2 2 3" xfId="11451" xr:uid="{3276F4F4-ADA4-4263-8C76-D96CEEA11629}"/>
    <cellStyle name="Normal 12 2 2 2 2 3" xfId="5082" xr:uid="{00000000-0005-0000-0000-0000D30D0000}"/>
    <cellStyle name="Normal 12 2 2 2 2 3 2" xfId="13524" xr:uid="{89B60CDB-EEC1-4240-9461-FC86C217695F}"/>
    <cellStyle name="Normal 12 2 2 2 2 4" xfId="9306" xr:uid="{9A6E24AD-F276-4472-AFB2-D775D824617E}"/>
    <cellStyle name="Normal 12 2 2 2 3" xfId="1186" xr:uid="{00000000-0005-0000-0000-0000D40D0000}"/>
    <cellStyle name="Normal 12 2 2 2 3 2" xfId="3417" xr:uid="{00000000-0005-0000-0000-0000D50D0000}"/>
    <cellStyle name="Normal 12 2 2 2 3 2 2" xfId="7640" xr:uid="{00000000-0005-0000-0000-0000D60D0000}"/>
    <cellStyle name="Normal 12 2 2 2 3 2 2 2" xfId="16082" xr:uid="{7E92D731-E1B2-4A3A-8F3B-4388934BD2CA}"/>
    <cellStyle name="Normal 12 2 2 2 3 2 3" xfId="11864" xr:uid="{E09CE3DB-DD70-436D-9A67-C31EC468F2DF}"/>
    <cellStyle name="Normal 12 2 2 2 3 3" xfId="5495" xr:uid="{00000000-0005-0000-0000-0000D70D0000}"/>
    <cellStyle name="Normal 12 2 2 2 3 3 2" xfId="13937" xr:uid="{BBD31065-B6FA-4544-9B83-BE409392C2B0}"/>
    <cellStyle name="Normal 12 2 2 2 3 4" xfId="9719" xr:uid="{9110F300-E49C-4272-8EA1-DDFF352008FE}"/>
    <cellStyle name="Normal 12 2 2 2 4" xfId="1600" xr:uid="{00000000-0005-0000-0000-0000D80D0000}"/>
    <cellStyle name="Normal 12 2 2 2 4 2" xfId="3830" xr:uid="{00000000-0005-0000-0000-0000D90D0000}"/>
    <cellStyle name="Normal 12 2 2 2 4 2 2" xfId="8053" xr:uid="{00000000-0005-0000-0000-0000DA0D0000}"/>
    <cellStyle name="Normal 12 2 2 2 4 2 2 2" xfId="16495" xr:uid="{0104EF55-04BF-4981-A63B-C0FFE21477DE}"/>
    <cellStyle name="Normal 12 2 2 2 4 2 3" xfId="12277" xr:uid="{48530C14-5C0F-49F6-9CAD-25FBE7AEF616}"/>
    <cellStyle name="Normal 12 2 2 2 4 3" xfId="5908" xr:uid="{00000000-0005-0000-0000-0000DB0D0000}"/>
    <cellStyle name="Normal 12 2 2 2 4 3 2" xfId="14350" xr:uid="{518D47E7-37E6-4016-BBB0-9BFB5C51CF29}"/>
    <cellStyle name="Normal 12 2 2 2 4 4" xfId="10132" xr:uid="{72EA4D40-A997-434D-A90D-A34AA779FF49}"/>
    <cellStyle name="Normal 12 2 2 2 5" xfId="2014" xr:uid="{00000000-0005-0000-0000-0000DC0D0000}"/>
    <cellStyle name="Normal 12 2 2 2 5 2" xfId="4243" xr:uid="{00000000-0005-0000-0000-0000DD0D0000}"/>
    <cellStyle name="Normal 12 2 2 2 5 2 2" xfId="8466" xr:uid="{00000000-0005-0000-0000-0000DE0D0000}"/>
    <cellStyle name="Normal 12 2 2 2 5 2 2 2" xfId="16908" xr:uid="{B8F5DC22-6692-4FFD-8BAA-7AA5931226DC}"/>
    <cellStyle name="Normal 12 2 2 2 5 2 3" xfId="12690" xr:uid="{33169DDC-CD45-4CD5-ADD6-F67FBE98FB02}"/>
    <cellStyle name="Normal 12 2 2 2 5 3" xfId="6321" xr:uid="{00000000-0005-0000-0000-0000DF0D0000}"/>
    <cellStyle name="Normal 12 2 2 2 5 3 2" xfId="14763" xr:uid="{166E99D1-8ECA-4F2B-A8BE-C1B7949CC7BF}"/>
    <cellStyle name="Normal 12 2 2 2 5 4" xfId="10545" xr:uid="{38F11D54-C6B1-4B47-B4DD-623DACBE161B}"/>
    <cellStyle name="Normal 12 2 2 2 6" xfId="2450" xr:uid="{00000000-0005-0000-0000-0000E00D0000}"/>
    <cellStyle name="Normal 12 2 2 2 6 2" xfId="6734" xr:uid="{00000000-0005-0000-0000-0000E10D0000}"/>
    <cellStyle name="Normal 12 2 2 2 6 2 2" xfId="15176" xr:uid="{68584D1C-A681-4693-BC34-2E74DE5EA28B}"/>
    <cellStyle name="Normal 12 2 2 2 6 3" xfId="10958" xr:uid="{6648E02F-5FCB-4FB6-95CE-B9A700D6C189}"/>
    <cellStyle name="Normal 12 2 2 2 7" xfId="4668" xr:uid="{00000000-0005-0000-0000-0000E20D0000}"/>
    <cellStyle name="Normal 12 2 2 2 7 2" xfId="13110" xr:uid="{CBB3192E-6B33-40FB-8FA2-2DF33CFD7D3D}"/>
    <cellStyle name="Normal 12 2 2 2 8" xfId="8892" xr:uid="{C8C15AB2-30AD-4DE7-B47C-F74F7A8BA2F9}"/>
    <cellStyle name="Normal 12 2 2 3" xfId="762" xr:uid="{00000000-0005-0000-0000-0000E30D0000}"/>
    <cellStyle name="Normal 12 2 2 3 2" xfId="3003" xr:uid="{00000000-0005-0000-0000-0000E40D0000}"/>
    <cellStyle name="Normal 12 2 2 3 2 2" xfId="7226" xr:uid="{00000000-0005-0000-0000-0000E50D0000}"/>
    <cellStyle name="Normal 12 2 2 3 2 2 2" xfId="15668" xr:uid="{E97919F6-FCD5-46F8-ABF0-EED5910F9A2B}"/>
    <cellStyle name="Normal 12 2 2 3 2 3" xfId="11450" xr:uid="{7D437895-6794-40E2-BAE3-25FCE19F7DF8}"/>
    <cellStyle name="Normal 12 2 2 3 3" xfId="5081" xr:uid="{00000000-0005-0000-0000-0000E60D0000}"/>
    <cellStyle name="Normal 12 2 2 3 3 2" xfId="13523" xr:uid="{3DA91AD9-8EC7-4972-998F-88A6FBEDE0F5}"/>
    <cellStyle name="Normal 12 2 2 3 4" xfId="9305" xr:uid="{0E36F0E3-E981-41CD-97FD-A26174443FD9}"/>
    <cellStyle name="Normal 12 2 2 4" xfId="1185" xr:uid="{00000000-0005-0000-0000-0000E70D0000}"/>
    <cellStyle name="Normal 12 2 2 4 2" xfId="3416" xr:uid="{00000000-0005-0000-0000-0000E80D0000}"/>
    <cellStyle name="Normal 12 2 2 4 2 2" xfId="7639" xr:uid="{00000000-0005-0000-0000-0000E90D0000}"/>
    <cellStyle name="Normal 12 2 2 4 2 2 2" xfId="16081" xr:uid="{CFC47B7B-8CEE-488E-A108-76164C21DFB4}"/>
    <cellStyle name="Normal 12 2 2 4 2 3" xfId="11863" xr:uid="{F65599B1-DDC7-4E28-8121-ACFC9289EA2F}"/>
    <cellStyle name="Normal 12 2 2 4 3" xfId="5494" xr:uid="{00000000-0005-0000-0000-0000EA0D0000}"/>
    <cellStyle name="Normal 12 2 2 4 3 2" xfId="13936" xr:uid="{D506B5BE-7F6E-4C47-9DD1-40286801FBA2}"/>
    <cellStyle name="Normal 12 2 2 4 4" xfId="9718" xr:uid="{D4600B8A-A5CF-42D7-98BC-310165CB7518}"/>
    <cellStyle name="Normal 12 2 2 5" xfId="1599" xr:uid="{00000000-0005-0000-0000-0000EB0D0000}"/>
    <cellStyle name="Normal 12 2 2 5 2" xfId="3829" xr:uid="{00000000-0005-0000-0000-0000EC0D0000}"/>
    <cellStyle name="Normal 12 2 2 5 2 2" xfId="8052" xr:uid="{00000000-0005-0000-0000-0000ED0D0000}"/>
    <cellStyle name="Normal 12 2 2 5 2 2 2" xfId="16494" xr:uid="{DDB3DF1D-30A6-4B95-9E7B-1FE8D3B8763D}"/>
    <cellStyle name="Normal 12 2 2 5 2 3" xfId="12276" xr:uid="{D8B50C18-5540-4498-A90A-3E738663A5CF}"/>
    <cellStyle name="Normal 12 2 2 5 3" xfId="5907" xr:uid="{00000000-0005-0000-0000-0000EE0D0000}"/>
    <cellStyle name="Normal 12 2 2 5 3 2" xfId="14349" xr:uid="{A5098ECD-C15E-4232-93D4-19E7BCB0082B}"/>
    <cellStyle name="Normal 12 2 2 5 4" xfId="10131" xr:uid="{055E77D5-F2F2-4652-826D-37937A1C941D}"/>
    <cellStyle name="Normal 12 2 2 6" xfId="2013" xr:uid="{00000000-0005-0000-0000-0000EF0D0000}"/>
    <cellStyle name="Normal 12 2 2 6 2" xfId="4242" xr:uid="{00000000-0005-0000-0000-0000F00D0000}"/>
    <cellStyle name="Normal 12 2 2 6 2 2" xfId="8465" xr:uid="{00000000-0005-0000-0000-0000F10D0000}"/>
    <cellStyle name="Normal 12 2 2 6 2 2 2" xfId="16907" xr:uid="{5B64EF5D-9BC9-486B-A140-A992284E02B0}"/>
    <cellStyle name="Normal 12 2 2 6 2 3" xfId="12689" xr:uid="{122651EE-1B25-4DFC-B510-B303884900BC}"/>
    <cellStyle name="Normal 12 2 2 6 3" xfId="6320" xr:uid="{00000000-0005-0000-0000-0000F20D0000}"/>
    <cellStyle name="Normal 12 2 2 6 3 2" xfId="14762" xr:uid="{39760879-DC88-4F0F-A363-9BFAD23810C0}"/>
    <cellStyle name="Normal 12 2 2 6 4" xfId="10544" xr:uid="{B886496C-1EEF-4E22-B536-198ECA290F57}"/>
    <cellStyle name="Normal 12 2 2 7" xfId="2449" xr:uid="{00000000-0005-0000-0000-0000F30D0000}"/>
    <cellStyle name="Normal 12 2 2 7 2" xfId="6733" xr:uid="{00000000-0005-0000-0000-0000F40D0000}"/>
    <cellStyle name="Normal 12 2 2 7 2 2" xfId="15175" xr:uid="{D7A78F80-2E0A-404B-819B-755A5FA0B478}"/>
    <cellStyle name="Normal 12 2 2 7 3" xfId="10957" xr:uid="{5472D961-8270-4549-87B4-9BA01719BB32}"/>
    <cellStyle name="Normal 12 2 2 8" xfId="4667" xr:uid="{00000000-0005-0000-0000-0000F50D0000}"/>
    <cellStyle name="Normal 12 2 2 8 2" xfId="13109" xr:uid="{F7509574-1DA6-480C-9866-5EEE306FD0C8}"/>
    <cellStyle name="Normal 12 2 2 9" xfId="8891" xr:uid="{EB1CFF18-4B3B-4AB0-A804-5560AB265992}"/>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2 2 2" xfId="15670" xr:uid="{0F3170C3-ABE5-4720-96AE-9AD085483DBC}"/>
    <cellStyle name="Normal 12 2 3 2 2 3" xfId="11452" xr:uid="{E5B3DC27-9882-4ACD-847C-035CC5FACB2B}"/>
    <cellStyle name="Normal 12 2 3 2 3" xfId="5083" xr:uid="{00000000-0005-0000-0000-0000FA0D0000}"/>
    <cellStyle name="Normal 12 2 3 2 3 2" xfId="13525" xr:uid="{A2526F99-7411-4ADF-A6C9-70B91FED817A}"/>
    <cellStyle name="Normal 12 2 3 2 4" xfId="9307" xr:uid="{6953D359-C607-4667-B14C-B13EBF31A711}"/>
    <cellStyle name="Normal 12 2 3 3" xfId="1187" xr:uid="{00000000-0005-0000-0000-0000FB0D0000}"/>
    <cellStyle name="Normal 12 2 3 3 2" xfId="3418" xr:uid="{00000000-0005-0000-0000-0000FC0D0000}"/>
    <cellStyle name="Normal 12 2 3 3 2 2" xfId="7641" xr:uid="{00000000-0005-0000-0000-0000FD0D0000}"/>
    <cellStyle name="Normal 12 2 3 3 2 2 2" xfId="16083" xr:uid="{9CF723A8-9165-4BEC-B933-0F59CD47313A}"/>
    <cellStyle name="Normal 12 2 3 3 2 3" xfId="11865" xr:uid="{4C3A560A-FC50-4BA7-88BE-8007709B41FC}"/>
    <cellStyle name="Normal 12 2 3 3 3" xfId="5496" xr:uid="{00000000-0005-0000-0000-0000FE0D0000}"/>
    <cellStyle name="Normal 12 2 3 3 3 2" xfId="13938" xr:uid="{48AD258D-5A02-4612-9BD8-2DCC49A912AE}"/>
    <cellStyle name="Normal 12 2 3 3 4" xfId="9720" xr:uid="{6AFED3D6-33CF-4E73-BAAA-81AF916AE912}"/>
    <cellStyle name="Normal 12 2 3 4" xfId="1601" xr:uid="{00000000-0005-0000-0000-0000FF0D0000}"/>
    <cellStyle name="Normal 12 2 3 4 2" xfId="3831" xr:uid="{00000000-0005-0000-0000-0000000E0000}"/>
    <cellStyle name="Normal 12 2 3 4 2 2" xfId="8054" xr:uid="{00000000-0005-0000-0000-0000010E0000}"/>
    <cellStyle name="Normal 12 2 3 4 2 2 2" xfId="16496" xr:uid="{18425642-FA21-4BFA-B779-A8980F47FB68}"/>
    <cellStyle name="Normal 12 2 3 4 2 3" xfId="12278" xr:uid="{7453B12C-551B-4EAE-B67A-215EFBB2CF95}"/>
    <cellStyle name="Normal 12 2 3 4 3" xfId="5909" xr:uid="{00000000-0005-0000-0000-0000020E0000}"/>
    <cellStyle name="Normal 12 2 3 4 3 2" xfId="14351" xr:uid="{FB4F6FAC-D6D9-486B-9CB8-9FD6973A29D4}"/>
    <cellStyle name="Normal 12 2 3 4 4" xfId="10133" xr:uid="{927DB412-853C-4C21-B508-EEE6723F50E8}"/>
    <cellStyle name="Normal 12 2 3 5" xfId="2015" xr:uid="{00000000-0005-0000-0000-0000030E0000}"/>
    <cellStyle name="Normal 12 2 3 5 2" xfId="4244" xr:uid="{00000000-0005-0000-0000-0000040E0000}"/>
    <cellStyle name="Normal 12 2 3 5 2 2" xfId="8467" xr:uid="{00000000-0005-0000-0000-0000050E0000}"/>
    <cellStyle name="Normal 12 2 3 5 2 2 2" xfId="16909" xr:uid="{690E5DF6-C77D-497F-9586-78DB63D29B57}"/>
    <cellStyle name="Normal 12 2 3 5 2 3" xfId="12691" xr:uid="{C8837D21-3D33-4C32-86D0-3BE2A01656DF}"/>
    <cellStyle name="Normal 12 2 3 5 3" xfId="6322" xr:uid="{00000000-0005-0000-0000-0000060E0000}"/>
    <cellStyle name="Normal 12 2 3 5 3 2" xfId="14764" xr:uid="{15605B65-51C1-4ADF-A796-A8BF3A757CC9}"/>
    <cellStyle name="Normal 12 2 3 5 4" xfId="10546" xr:uid="{8B28C98D-E2CA-48E6-ADD2-ECDDC6BEE470}"/>
    <cellStyle name="Normal 12 2 3 6" xfId="2451" xr:uid="{00000000-0005-0000-0000-0000070E0000}"/>
    <cellStyle name="Normal 12 2 3 6 2" xfId="6735" xr:uid="{00000000-0005-0000-0000-0000080E0000}"/>
    <cellStyle name="Normal 12 2 3 6 2 2" xfId="15177" xr:uid="{3A78883B-23B5-41E9-9A5D-57DE0AB6C759}"/>
    <cellStyle name="Normal 12 2 3 6 3" xfId="10959" xr:uid="{DF73A2E5-808C-439A-95D2-859EADBD44E8}"/>
    <cellStyle name="Normal 12 2 3 7" xfId="4669" xr:uid="{00000000-0005-0000-0000-0000090E0000}"/>
    <cellStyle name="Normal 12 2 3 7 2" xfId="13111" xr:uid="{808A19A6-263F-44E0-B0DA-0407D440BE02}"/>
    <cellStyle name="Normal 12 2 3 8" xfId="8893" xr:uid="{9737F77F-7053-456B-AF0A-D998100ECBB5}"/>
    <cellStyle name="Normal 12 2 4" xfId="761" xr:uid="{00000000-0005-0000-0000-00000A0E0000}"/>
    <cellStyle name="Normal 12 2 4 2" xfId="3002" xr:uid="{00000000-0005-0000-0000-00000B0E0000}"/>
    <cellStyle name="Normal 12 2 4 2 2" xfId="7225" xr:uid="{00000000-0005-0000-0000-00000C0E0000}"/>
    <cellStyle name="Normal 12 2 4 2 2 2" xfId="15667" xr:uid="{820C4E37-5648-47C9-8920-4DDA002DBAB4}"/>
    <cellStyle name="Normal 12 2 4 2 3" xfId="11449" xr:uid="{C663A1B1-87FB-405A-ADC9-8E49E66FB393}"/>
    <cellStyle name="Normal 12 2 4 3" xfId="5080" xr:uid="{00000000-0005-0000-0000-00000D0E0000}"/>
    <cellStyle name="Normal 12 2 4 3 2" xfId="13522" xr:uid="{123DB2CC-1BC0-4275-8D6C-CD6DB8D9739F}"/>
    <cellStyle name="Normal 12 2 4 4" xfId="9304" xr:uid="{57D7C531-19BC-43F7-8785-23F008DCBD9B}"/>
    <cellStyle name="Normal 12 2 5" xfId="1184" xr:uid="{00000000-0005-0000-0000-00000E0E0000}"/>
    <cellStyle name="Normal 12 2 5 2" xfId="3415" xr:uid="{00000000-0005-0000-0000-00000F0E0000}"/>
    <cellStyle name="Normal 12 2 5 2 2" xfId="7638" xr:uid="{00000000-0005-0000-0000-0000100E0000}"/>
    <cellStyle name="Normal 12 2 5 2 2 2" xfId="16080" xr:uid="{1213488A-260C-460C-90FD-16B27832A464}"/>
    <cellStyle name="Normal 12 2 5 2 3" xfId="11862" xr:uid="{00087784-6FF0-4845-A483-58B8583AF08C}"/>
    <cellStyle name="Normal 12 2 5 3" xfId="5493" xr:uid="{00000000-0005-0000-0000-0000110E0000}"/>
    <cellStyle name="Normal 12 2 5 3 2" xfId="13935" xr:uid="{941F79D7-915D-41C9-BEAE-B4D29564060B}"/>
    <cellStyle name="Normal 12 2 5 4" xfId="9717" xr:uid="{DC08B1AA-4ECB-4385-BF5E-0EE9B300DBEF}"/>
    <cellStyle name="Normal 12 2 6" xfId="1598" xr:uid="{00000000-0005-0000-0000-0000120E0000}"/>
    <cellStyle name="Normal 12 2 6 2" xfId="3828" xr:uid="{00000000-0005-0000-0000-0000130E0000}"/>
    <cellStyle name="Normal 12 2 6 2 2" xfId="8051" xr:uid="{00000000-0005-0000-0000-0000140E0000}"/>
    <cellStyle name="Normal 12 2 6 2 2 2" xfId="16493" xr:uid="{E4D5267F-8ABF-48D4-8ED7-D364DEC612E7}"/>
    <cellStyle name="Normal 12 2 6 2 3" xfId="12275" xr:uid="{586588CE-B172-4CA7-A9AB-4A5DFF7A343F}"/>
    <cellStyle name="Normal 12 2 6 3" xfId="5906" xr:uid="{00000000-0005-0000-0000-0000150E0000}"/>
    <cellStyle name="Normal 12 2 6 3 2" xfId="14348" xr:uid="{21544122-12A2-4081-AEEB-902DF93A8235}"/>
    <cellStyle name="Normal 12 2 6 4" xfId="10130" xr:uid="{25C07B8F-56F1-4540-BE25-04F0D32A3AE4}"/>
    <cellStyle name="Normal 12 2 7" xfId="2012" xr:uid="{00000000-0005-0000-0000-0000160E0000}"/>
    <cellStyle name="Normal 12 2 7 2" xfId="4241" xr:uid="{00000000-0005-0000-0000-0000170E0000}"/>
    <cellStyle name="Normal 12 2 7 2 2" xfId="8464" xr:uid="{00000000-0005-0000-0000-0000180E0000}"/>
    <cellStyle name="Normal 12 2 7 2 2 2" xfId="16906" xr:uid="{CDDB9071-AD8F-43B4-91E3-B0B124082E0A}"/>
    <cellStyle name="Normal 12 2 7 2 3" xfId="12688" xr:uid="{82C00D41-F8F1-4DD4-A0E7-06CDBA5AF571}"/>
    <cellStyle name="Normal 12 2 7 3" xfId="6319" xr:uid="{00000000-0005-0000-0000-0000190E0000}"/>
    <cellStyle name="Normal 12 2 7 3 2" xfId="14761" xr:uid="{484C4D75-8745-4D31-8B00-16009D335DDA}"/>
    <cellStyle name="Normal 12 2 7 4" xfId="10543" xr:uid="{B96F1E25-042E-4C1F-93B4-2534DF84DEB7}"/>
    <cellStyle name="Normal 12 2 8" xfId="2448" xr:uid="{00000000-0005-0000-0000-00001A0E0000}"/>
    <cellStyle name="Normal 12 2 8 2" xfId="6732" xr:uid="{00000000-0005-0000-0000-00001B0E0000}"/>
    <cellStyle name="Normal 12 2 8 2 2" xfId="15174" xr:uid="{0DAEB000-9D87-4CFA-AE6D-EC8F57C295C7}"/>
    <cellStyle name="Normal 12 2 8 3" xfId="10956" xr:uid="{25CD5E52-9CBF-425A-B8F5-7141246074CE}"/>
    <cellStyle name="Normal 12 2 9" xfId="4666" xr:uid="{00000000-0005-0000-0000-00001C0E0000}"/>
    <cellStyle name="Normal 12 2 9 2" xfId="13108" xr:uid="{309C0B3D-DEC7-4E25-8B7E-B7B843A6C8C7}"/>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2 2 2" xfId="15672" xr:uid="{E5A868F9-EA71-4D82-BF09-7F07A29169EB}"/>
    <cellStyle name="Normal 12 3 2 2 2 3" xfId="11454" xr:uid="{200C03DC-FB8F-4BCB-A9DB-FEF3EE745CD4}"/>
    <cellStyle name="Normal 12 3 2 2 3" xfId="5085" xr:uid="{00000000-0005-0000-0000-0000220E0000}"/>
    <cellStyle name="Normal 12 3 2 2 3 2" xfId="13527" xr:uid="{1DB991A7-AE74-4009-A536-1BE5BE2B1FF3}"/>
    <cellStyle name="Normal 12 3 2 2 4" xfId="9309" xr:uid="{05FD0CCC-E247-40BC-97EB-6FB258EC2337}"/>
    <cellStyle name="Normal 12 3 2 3" xfId="1189" xr:uid="{00000000-0005-0000-0000-0000230E0000}"/>
    <cellStyle name="Normal 12 3 2 3 2" xfId="3420" xr:uid="{00000000-0005-0000-0000-0000240E0000}"/>
    <cellStyle name="Normal 12 3 2 3 2 2" xfId="7643" xr:uid="{00000000-0005-0000-0000-0000250E0000}"/>
    <cellStyle name="Normal 12 3 2 3 2 2 2" xfId="16085" xr:uid="{7480DF42-E305-41AA-806B-BD5FB1A94D63}"/>
    <cellStyle name="Normal 12 3 2 3 2 3" xfId="11867" xr:uid="{C1121A36-80E4-4D7A-8922-4956E5DE5721}"/>
    <cellStyle name="Normal 12 3 2 3 3" xfId="5498" xr:uid="{00000000-0005-0000-0000-0000260E0000}"/>
    <cellStyle name="Normal 12 3 2 3 3 2" xfId="13940" xr:uid="{E2583B72-6497-45AB-BDCD-D5C412931932}"/>
    <cellStyle name="Normal 12 3 2 3 4" xfId="9722" xr:uid="{E3C71191-1064-4C71-B06C-10A6A9B7D595}"/>
    <cellStyle name="Normal 12 3 2 4" xfId="1603" xr:uid="{00000000-0005-0000-0000-0000270E0000}"/>
    <cellStyle name="Normal 12 3 2 4 2" xfId="3833" xr:uid="{00000000-0005-0000-0000-0000280E0000}"/>
    <cellStyle name="Normal 12 3 2 4 2 2" xfId="8056" xr:uid="{00000000-0005-0000-0000-0000290E0000}"/>
    <cellStyle name="Normal 12 3 2 4 2 2 2" xfId="16498" xr:uid="{3F766A37-F33A-4459-9987-99E9B4D17A34}"/>
    <cellStyle name="Normal 12 3 2 4 2 3" xfId="12280" xr:uid="{F4B8E1C1-7301-47DA-824B-F8A81CC26C11}"/>
    <cellStyle name="Normal 12 3 2 4 3" xfId="5911" xr:uid="{00000000-0005-0000-0000-00002A0E0000}"/>
    <cellStyle name="Normal 12 3 2 4 3 2" xfId="14353" xr:uid="{E1CA69EB-84FA-46C3-8493-021C771CA897}"/>
    <cellStyle name="Normal 12 3 2 4 4" xfId="10135" xr:uid="{14FE29FF-578B-4697-8B81-8C2EDD681AFD}"/>
    <cellStyle name="Normal 12 3 2 5" xfId="2017" xr:uid="{00000000-0005-0000-0000-00002B0E0000}"/>
    <cellStyle name="Normal 12 3 2 5 2" xfId="4246" xr:uid="{00000000-0005-0000-0000-00002C0E0000}"/>
    <cellStyle name="Normal 12 3 2 5 2 2" xfId="8469" xr:uid="{00000000-0005-0000-0000-00002D0E0000}"/>
    <cellStyle name="Normal 12 3 2 5 2 2 2" xfId="16911" xr:uid="{9A0C2BAA-E4B5-46F6-9CAD-62FC1C212049}"/>
    <cellStyle name="Normal 12 3 2 5 2 3" xfId="12693" xr:uid="{8535D971-4F74-4DBD-A836-660C20E7ECF2}"/>
    <cellStyle name="Normal 12 3 2 5 3" xfId="6324" xr:uid="{00000000-0005-0000-0000-00002E0E0000}"/>
    <cellStyle name="Normal 12 3 2 5 3 2" xfId="14766" xr:uid="{5F23A4D6-1270-4D25-8A71-901A8C8E83F2}"/>
    <cellStyle name="Normal 12 3 2 5 4" xfId="10548" xr:uid="{47751D4E-167A-462D-BC32-E7B8649618A5}"/>
    <cellStyle name="Normal 12 3 2 6" xfId="2453" xr:uid="{00000000-0005-0000-0000-00002F0E0000}"/>
    <cellStyle name="Normal 12 3 2 6 2" xfId="6737" xr:uid="{00000000-0005-0000-0000-0000300E0000}"/>
    <cellStyle name="Normal 12 3 2 6 2 2" xfId="15179" xr:uid="{66D43CBB-8984-47E9-82CB-6FC0AB6855E5}"/>
    <cellStyle name="Normal 12 3 2 6 3" xfId="10961" xr:uid="{A5E77696-CBC6-4B44-9B6D-D72854CDBF6C}"/>
    <cellStyle name="Normal 12 3 2 7" xfId="4671" xr:uid="{00000000-0005-0000-0000-0000310E0000}"/>
    <cellStyle name="Normal 12 3 2 7 2" xfId="13113" xr:uid="{692745F3-2346-4531-81BA-6B63D7BAB15F}"/>
    <cellStyle name="Normal 12 3 2 8" xfId="8895" xr:uid="{880CDA64-E8E8-4B3D-913B-FD89E47BFC8B}"/>
    <cellStyle name="Normal 12 3 3" xfId="765" xr:uid="{00000000-0005-0000-0000-0000320E0000}"/>
    <cellStyle name="Normal 12 3 3 2" xfId="3006" xr:uid="{00000000-0005-0000-0000-0000330E0000}"/>
    <cellStyle name="Normal 12 3 3 2 2" xfId="7229" xr:uid="{00000000-0005-0000-0000-0000340E0000}"/>
    <cellStyle name="Normal 12 3 3 2 2 2" xfId="15671" xr:uid="{40DDCBB9-A7CB-4E7C-9C6D-5B5C000D5D3E}"/>
    <cellStyle name="Normal 12 3 3 2 3" xfId="11453" xr:uid="{248CAEDA-68CF-410A-8E81-DA5ADB269C7C}"/>
    <cellStyle name="Normal 12 3 3 3" xfId="5084" xr:uid="{00000000-0005-0000-0000-0000350E0000}"/>
    <cellStyle name="Normal 12 3 3 3 2" xfId="13526" xr:uid="{AB6AF784-F32F-4D9A-811F-82A035FF7551}"/>
    <cellStyle name="Normal 12 3 3 4" xfId="9308" xr:uid="{917C9BAD-3941-4A64-9E3D-9D7EB5D55583}"/>
    <cellStyle name="Normal 12 3 4" xfId="1188" xr:uid="{00000000-0005-0000-0000-0000360E0000}"/>
    <cellStyle name="Normal 12 3 4 2" xfId="3419" xr:uid="{00000000-0005-0000-0000-0000370E0000}"/>
    <cellStyle name="Normal 12 3 4 2 2" xfId="7642" xr:uid="{00000000-0005-0000-0000-0000380E0000}"/>
    <cellStyle name="Normal 12 3 4 2 2 2" xfId="16084" xr:uid="{EA596037-DB77-4968-84B9-620AF1C54165}"/>
    <cellStyle name="Normal 12 3 4 2 3" xfId="11866" xr:uid="{2BBD31F4-E6AE-4E93-9C4B-819C1C72D9E5}"/>
    <cellStyle name="Normal 12 3 4 3" xfId="5497" xr:uid="{00000000-0005-0000-0000-0000390E0000}"/>
    <cellStyle name="Normal 12 3 4 3 2" xfId="13939" xr:uid="{19020ECE-FBBB-4D1E-B845-78FBAAB6C8B3}"/>
    <cellStyle name="Normal 12 3 4 4" xfId="9721" xr:uid="{6E662AC4-C367-4041-8059-6F92F67E8654}"/>
    <cellStyle name="Normal 12 3 5" xfId="1602" xr:uid="{00000000-0005-0000-0000-00003A0E0000}"/>
    <cellStyle name="Normal 12 3 5 2" xfId="3832" xr:uid="{00000000-0005-0000-0000-00003B0E0000}"/>
    <cellStyle name="Normal 12 3 5 2 2" xfId="8055" xr:uid="{00000000-0005-0000-0000-00003C0E0000}"/>
    <cellStyle name="Normal 12 3 5 2 2 2" xfId="16497" xr:uid="{57527525-CCE8-4B18-988E-5768C2CB8F52}"/>
    <cellStyle name="Normal 12 3 5 2 3" xfId="12279" xr:uid="{E0341C35-56E6-40FE-9FEC-EFB2E0405072}"/>
    <cellStyle name="Normal 12 3 5 3" xfId="5910" xr:uid="{00000000-0005-0000-0000-00003D0E0000}"/>
    <cellStyle name="Normal 12 3 5 3 2" xfId="14352" xr:uid="{C077B5D1-50C1-460C-A49E-BB23B510DCC8}"/>
    <cellStyle name="Normal 12 3 5 4" xfId="10134" xr:uid="{A3CA41B5-4A7A-43A0-8444-CBF782C0C5C3}"/>
    <cellStyle name="Normal 12 3 6" xfId="2016" xr:uid="{00000000-0005-0000-0000-00003E0E0000}"/>
    <cellStyle name="Normal 12 3 6 2" xfId="4245" xr:uid="{00000000-0005-0000-0000-00003F0E0000}"/>
    <cellStyle name="Normal 12 3 6 2 2" xfId="8468" xr:uid="{00000000-0005-0000-0000-0000400E0000}"/>
    <cellStyle name="Normal 12 3 6 2 2 2" xfId="16910" xr:uid="{10B26DDC-EB82-4A09-BADC-61D23806CF5F}"/>
    <cellStyle name="Normal 12 3 6 2 3" xfId="12692" xr:uid="{88D641E4-DC34-48ED-8EB7-9CD8D861368E}"/>
    <cellStyle name="Normal 12 3 6 3" xfId="6323" xr:uid="{00000000-0005-0000-0000-0000410E0000}"/>
    <cellStyle name="Normal 12 3 6 3 2" xfId="14765" xr:uid="{F35222BE-D86D-406D-8F6B-E78C8DAB5B52}"/>
    <cellStyle name="Normal 12 3 6 4" xfId="10547" xr:uid="{3E66A50D-413E-4914-A23A-693839328655}"/>
    <cellStyle name="Normal 12 3 7" xfId="2452" xr:uid="{00000000-0005-0000-0000-0000420E0000}"/>
    <cellStyle name="Normal 12 3 7 2" xfId="6736" xr:uid="{00000000-0005-0000-0000-0000430E0000}"/>
    <cellStyle name="Normal 12 3 7 2 2" xfId="15178" xr:uid="{77ABC984-6019-4F92-B19E-3956C4A311EB}"/>
    <cellStyle name="Normal 12 3 7 3" xfId="10960" xr:uid="{C8EAE67F-B0AA-45E9-8A99-3439A460B16D}"/>
    <cellStyle name="Normal 12 3 8" xfId="4670" xr:uid="{00000000-0005-0000-0000-0000440E0000}"/>
    <cellStyle name="Normal 12 3 8 2" xfId="13112" xr:uid="{FAFFA90A-4984-44E9-B286-B617CC99AF02}"/>
    <cellStyle name="Normal 12 3 9" xfId="8894" xr:uid="{8CF821BA-009B-4969-B1D6-B6169E05B533}"/>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2 2 2" xfId="15673" xr:uid="{420887B1-5085-4E40-BD20-3E32D278CC9D}"/>
    <cellStyle name="Normal 12 4 2 2 3" xfId="11455" xr:uid="{2A3BFFE6-01C9-473A-8328-5437C83307EE}"/>
    <cellStyle name="Normal 12 4 2 3" xfId="5086" xr:uid="{00000000-0005-0000-0000-0000490E0000}"/>
    <cellStyle name="Normal 12 4 2 3 2" xfId="13528" xr:uid="{EF212C30-8D60-48FE-8339-46F5767DD2FF}"/>
    <cellStyle name="Normal 12 4 2 4" xfId="9310" xr:uid="{682E0EBC-988B-4BE3-BA55-C51A77351B75}"/>
    <cellStyle name="Normal 12 4 3" xfId="1190" xr:uid="{00000000-0005-0000-0000-00004A0E0000}"/>
    <cellStyle name="Normal 12 4 3 2" xfId="3421" xr:uid="{00000000-0005-0000-0000-00004B0E0000}"/>
    <cellStyle name="Normal 12 4 3 2 2" xfId="7644" xr:uid="{00000000-0005-0000-0000-00004C0E0000}"/>
    <cellStyle name="Normal 12 4 3 2 2 2" xfId="16086" xr:uid="{743E0AA9-3ED0-4223-99BD-1919B263CA05}"/>
    <cellStyle name="Normal 12 4 3 2 3" xfId="11868" xr:uid="{F0BCCD6C-7E43-46A7-B034-B2D977D82D0C}"/>
    <cellStyle name="Normal 12 4 3 3" xfId="5499" xr:uid="{00000000-0005-0000-0000-00004D0E0000}"/>
    <cellStyle name="Normal 12 4 3 3 2" xfId="13941" xr:uid="{FAABF544-393F-4ED0-B236-57E22ECCD851}"/>
    <cellStyle name="Normal 12 4 3 4" xfId="9723" xr:uid="{AD44A59C-CDE7-4968-8A45-17CD08271237}"/>
    <cellStyle name="Normal 12 4 4" xfId="1604" xr:uid="{00000000-0005-0000-0000-00004E0E0000}"/>
    <cellStyle name="Normal 12 4 4 2" xfId="3834" xr:uid="{00000000-0005-0000-0000-00004F0E0000}"/>
    <cellStyle name="Normal 12 4 4 2 2" xfId="8057" xr:uid="{00000000-0005-0000-0000-0000500E0000}"/>
    <cellStyle name="Normal 12 4 4 2 2 2" xfId="16499" xr:uid="{2AF1F962-18C5-443F-A7F6-CC22ACFB5EBE}"/>
    <cellStyle name="Normal 12 4 4 2 3" xfId="12281" xr:uid="{8F7DB1D5-58EA-41DC-9C93-64EB588C8BB3}"/>
    <cellStyle name="Normal 12 4 4 3" xfId="5912" xr:uid="{00000000-0005-0000-0000-0000510E0000}"/>
    <cellStyle name="Normal 12 4 4 3 2" xfId="14354" xr:uid="{C50AD0FF-BDF3-417C-9E06-477319E35FB4}"/>
    <cellStyle name="Normal 12 4 4 4" xfId="10136" xr:uid="{251E7960-8755-4620-BFDB-3F059E597A57}"/>
    <cellStyle name="Normal 12 4 5" xfId="2018" xr:uid="{00000000-0005-0000-0000-0000520E0000}"/>
    <cellStyle name="Normal 12 4 5 2" xfId="4247" xr:uid="{00000000-0005-0000-0000-0000530E0000}"/>
    <cellStyle name="Normal 12 4 5 2 2" xfId="8470" xr:uid="{00000000-0005-0000-0000-0000540E0000}"/>
    <cellStyle name="Normal 12 4 5 2 2 2" xfId="16912" xr:uid="{D98C8669-FD9F-4FE6-B25D-122EFC24C980}"/>
    <cellStyle name="Normal 12 4 5 2 3" xfId="12694" xr:uid="{EB8BC63F-E21F-4CF1-9D66-0C32AC1577AE}"/>
    <cellStyle name="Normal 12 4 5 3" xfId="6325" xr:uid="{00000000-0005-0000-0000-0000550E0000}"/>
    <cellStyle name="Normal 12 4 5 3 2" xfId="14767" xr:uid="{8E0266B1-8953-446D-8EDF-AF8CE9B90A4E}"/>
    <cellStyle name="Normal 12 4 5 4" xfId="10549" xr:uid="{F8D0D90D-CF12-4CEE-9A05-D6A282254842}"/>
    <cellStyle name="Normal 12 4 6" xfId="2454" xr:uid="{00000000-0005-0000-0000-0000560E0000}"/>
    <cellStyle name="Normal 12 4 6 2" xfId="6738" xr:uid="{00000000-0005-0000-0000-0000570E0000}"/>
    <cellStyle name="Normal 12 4 6 2 2" xfId="15180" xr:uid="{0D218D00-6C17-4BF7-AEA3-9AC8560923DB}"/>
    <cellStyle name="Normal 12 4 6 3" xfId="10962" xr:uid="{9E446252-64C4-4AC9-AE9A-C0172382EBB7}"/>
    <cellStyle name="Normal 12 4 7" xfId="4672" xr:uid="{00000000-0005-0000-0000-0000580E0000}"/>
    <cellStyle name="Normal 12 4 7 2" xfId="13114" xr:uid="{CA73E6F7-C88A-4504-88EB-881842EA54AB}"/>
    <cellStyle name="Normal 12 4 8" xfId="8896" xr:uid="{47C412C5-EA0F-4815-BFE6-B62495269FDA}"/>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2 2 2" xfId="15666" xr:uid="{94E2B47F-F000-46C7-9779-5EF106F895E8}"/>
    <cellStyle name="Normal 12 6 2 3" xfId="11448" xr:uid="{A2A36F21-E97C-4DDE-9E1A-F09FFE624183}"/>
    <cellStyle name="Normal 12 6 3" xfId="5079" xr:uid="{00000000-0005-0000-0000-00005D0E0000}"/>
    <cellStyle name="Normal 12 6 3 2" xfId="13521" xr:uid="{A9649E57-E204-4809-866C-DAF1F9E71A10}"/>
    <cellStyle name="Normal 12 6 4" xfId="9303" xr:uid="{8C0575B7-1502-450A-8697-D9B40AD40122}"/>
    <cellStyle name="Normal 12 7" xfId="1183" xr:uid="{00000000-0005-0000-0000-00005E0E0000}"/>
    <cellStyle name="Normal 12 7 2" xfId="3414" xr:uid="{00000000-0005-0000-0000-00005F0E0000}"/>
    <cellStyle name="Normal 12 7 2 2" xfId="7637" xr:uid="{00000000-0005-0000-0000-0000600E0000}"/>
    <cellStyle name="Normal 12 7 2 2 2" xfId="16079" xr:uid="{C4FA6163-CAF3-4E72-B806-D305D6AFBE1E}"/>
    <cellStyle name="Normal 12 7 2 3" xfId="11861" xr:uid="{FEF4F0A9-F4A7-4F64-9F50-E0670D8BD592}"/>
    <cellStyle name="Normal 12 7 3" xfId="5492" xr:uid="{00000000-0005-0000-0000-0000610E0000}"/>
    <cellStyle name="Normal 12 7 3 2" xfId="13934" xr:uid="{C8EE6D58-BD99-4B83-98F2-C115A0EFED4C}"/>
    <cellStyle name="Normal 12 7 4" xfId="9716" xr:uid="{1B3CBD5F-5539-4CA9-8530-7C7AEA8381E4}"/>
    <cellStyle name="Normal 12 8" xfId="1597" xr:uid="{00000000-0005-0000-0000-0000620E0000}"/>
    <cellStyle name="Normal 12 8 2" xfId="3827" xr:uid="{00000000-0005-0000-0000-0000630E0000}"/>
    <cellStyle name="Normal 12 8 2 2" xfId="8050" xr:uid="{00000000-0005-0000-0000-0000640E0000}"/>
    <cellStyle name="Normal 12 8 2 2 2" xfId="16492" xr:uid="{86E6071A-3F17-44E7-9DF5-D229793E1F9E}"/>
    <cellStyle name="Normal 12 8 2 3" xfId="12274" xr:uid="{47E60ACC-8D54-45C8-ACAE-3F2C09628E3C}"/>
    <cellStyle name="Normal 12 8 3" xfId="5905" xr:uid="{00000000-0005-0000-0000-0000650E0000}"/>
    <cellStyle name="Normal 12 8 3 2" xfId="14347" xr:uid="{2E16DE41-6841-4603-81FD-BB4A48655AB8}"/>
    <cellStyle name="Normal 12 8 4" xfId="10129" xr:uid="{5A5F5169-C2BC-4383-969B-386C0A345A11}"/>
    <cellStyle name="Normal 12 9" xfId="2011" xr:uid="{00000000-0005-0000-0000-0000660E0000}"/>
    <cellStyle name="Normal 12 9 2" xfId="4240" xr:uid="{00000000-0005-0000-0000-0000670E0000}"/>
    <cellStyle name="Normal 12 9 2 2" xfId="8463" xr:uid="{00000000-0005-0000-0000-0000680E0000}"/>
    <cellStyle name="Normal 12 9 2 2 2" xfId="16905" xr:uid="{8E236C84-D3E6-49D4-A4F8-9F4AA041BEB8}"/>
    <cellStyle name="Normal 12 9 2 3" xfId="12687" xr:uid="{94B17F55-1539-416B-9D15-4F9E2717A446}"/>
    <cellStyle name="Normal 12 9 3" xfId="6318" xr:uid="{00000000-0005-0000-0000-0000690E0000}"/>
    <cellStyle name="Normal 12 9 3 2" xfId="14760" xr:uid="{5672153B-2F57-4F14-81F3-B25FC0BAE12C}"/>
    <cellStyle name="Normal 12 9 4" xfId="10542" xr:uid="{B90BCA72-3B70-4321-9DD5-ACFC25F841C9}"/>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2 2 2" xfId="15674" xr:uid="{D3E8D722-644D-41DB-AE51-34A2DFCD9BB0}"/>
    <cellStyle name="Normal 14 2 2 3" xfId="11456" xr:uid="{0AEB24F1-435E-411F-89C4-AB0B06E91528}"/>
    <cellStyle name="Normal 14 2 3" xfId="5087" xr:uid="{00000000-0005-0000-0000-0000700E0000}"/>
    <cellStyle name="Normal 14 2 3 2" xfId="13529" xr:uid="{1A8E4D16-C19B-4290-97EF-D4CECCFC852B}"/>
    <cellStyle name="Normal 14 2 4" xfId="9311" xr:uid="{501D7081-1856-4FE6-B912-CB7E3FE0763D}"/>
    <cellStyle name="Normal 14 3" xfId="1191" xr:uid="{00000000-0005-0000-0000-0000710E0000}"/>
    <cellStyle name="Normal 14 3 2" xfId="3422" xr:uid="{00000000-0005-0000-0000-0000720E0000}"/>
    <cellStyle name="Normal 14 3 2 2" xfId="7645" xr:uid="{00000000-0005-0000-0000-0000730E0000}"/>
    <cellStyle name="Normal 14 3 2 2 2" xfId="16087" xr:uid="{0FA6F2EA-F2CD-4590-A15A-7C8F0FFC8DE7}"/>
    <cellStyle name="Normal 14 3 2 3" xfId="11869" xr:uid="{B7D1CF4C-5FBF-4954-B140-8C209260F810}"/>
    <cellStyle name="Normal 14 3 3" xfId="5500" xr:uid="{00000000-0005-0000-0000-0000740E0000}"/>
    <cellStyle name="Normal 14 3 3 2" xfId="13942" xr:uid="{4F1F5CF3-F9D2-4971-AD4E-970C494DBEF8}"/>
    <cellStyle name="Normal 14 3 4" xfId="9724" xr:uid="{34F4D443-CD09-4187-9B20-A4A50BEF5463}"/>
    <cellStyle name="Normal 14 4" xfId="1605" xr:uid="{00000000-0005-0000-0000-0000750E0000}"/>
    <cellStyle name="Normal 14 4 2" xfId="3835" xr:uid="{00000000-0005-0000-0000-0000760E0000}"/>
    <cellStyle name="Normal 14 4 2 2" xfId="8058" xr:uid="{00000000-0005-0000-0000-0000770E0000}"/>
    <cellStyle name="Normal 14 4 2 2 2" xfId="16500" xr:uid="{77926C4F-0751-42EF-A42B-82E935223B07}"/>
    <cellStyle name="Normal 14 4 2 3" xfId="12282" xr:uid="{74A988B1-5321-494F-98FC-22C0868BAA47}"/>
    <cellStyle name="Normal 14 4 3" xfId="5913" xr:uid="{00000000-0005-0000-0000-0000780E0000}"/>
    <cellStyle name="Normal 14 4 3 2" xfId="14355" xr:uid="{054BE99C-2BC0-49D8-B007-5500ECB2A92F}"/>
    <cellStyle name="Normal 14 4 4" xfId="10137" xr:uid="{C8067A10-B7F7-4E06-95A7-FD8D570E6E3E}"/>
    <cellStyle name="Normal 14 5" xfId="2019" xr:uid="{00000000-0005-0000-0000-0000790E0000}"/>
    <cellStyle name="Normal 14 5 2" xfId="4248" xr:uid="{00000000-0005-0000-0000-00007A0E0000}"/>
    <cellStyle name="Normal 14 5 2 2" xfId="8471" xr:uid="{00000000-0005-0000-0000-00007B0E0000}"/>
    <cellStyle name="Normal 14 5 2 2 2" xfId="16913" xr:uid="{69BCD462-B873-4ED0-B4B3-61CB194AAFDD}"/>
    <cellStyle name="Normal 14 5 2 3" xfId="12695" xr:uid="{764A5678-7919-457A-B938-5EA348A16BD4}"/>
    <cellStyle name="Normal 14 5 3" xfId="6326" xr:uid="{00000000-0005-0000-0000-00007C0E0000}"/>
    <cellStyle name="Normal 14 5 3 2" xfId="14768" xr:uid="{93B6CB53-3A7E-460D-97F0-2EB281F7B0BC}"/>
    <cellStyle name="Normal 14 5 4" xfId="10550" xr:uid="{AA195174-621F-4C74-B7C8-18F9062E3C3D}"/>
    <cellStyle name="Normal 14 6" xfId="2455" xr:uid="{00000000-0005-0000-0000-00007D0E0000}"/>
    <cellStyle name="Normal 14 6 2" xfId="6739" xr:uid="{00000000-0005-0000-0000-00007E0E0000}"/>
    <cellStyle name="Normal 14 6 2 2" xfId="15181" xr:uid="{F12A2A21-265F-4469-A6B7-0A98CB3AD555}"/>
    <cellStyle name="Normal 14 6 3" xfId="10963" xr:uid="{B4C2E335-6492-4CBB-8A5F-78ED09AFD7FA}"/>
    <cellStyle name="Normal 14 7" xfId="4673" xr:uid="{00000000-0005-0000-0000-00007F0E0000}"/>
    <cellStyle name="Normal 14 7 2" xfId="13115" xr:uid="{9D9C30EC-D704-40A8-B9D7-5DC755A4D9B5}"/>
    <cellStyle name="Normal 14 8" xfId="8897" xr:uid="{8256F320-EAAC-4AF3-A928-6B5CAB82A310}"/>
    <cellStyle name="Normal 15" xfId="4496" xr:uid="{00000000-0005-0000-0000-0000800E0000}"/>
    <cellStyle name="Normal 15 2" xfId="12941" xr:uid="{379E91E0-29C1-43BF-84A9-7691F52C47F7}"/>
    <cellStyle name="Normal 16" xfId="4500" xr:uid="{00000000-0005-0000-0000-0000810E0000}"/>
    <cellStyle name="Normal 16 2" xfId="8716" xr:uid="{00000000-0005-0000-0000-0000820E0000}"/>
    <cellStyle name="Normal 16 2 2" xfId="17158" xr:uid="{CCFA1181-7E64-4262-9E73-623A74555BC6}"/>
    <cellStyle name="Normal 16 3" xfId="8719" xr:uid="{3DE1BEEB-61FA-4094-B10F-9E0444F68763}"/>
    <cellStyle name="Normal 16 3 2" xfId="8723" xr:uid="{FE0BC069-4698-40B2-814D-8E09719245E9}"/>
    <cellStyle name="Normal 16 3 2 2" xfId="8726" xr:uid="{D3E9609F-293A-4CFC-B194-1FF2F92D621D}"/>
    <cellStyle name="Normal 16 3 2 2 2" xfId="17167" xr:uid="{9512407E-BB01-4421-A9BC-B68B22D92A1D}"/>
    <cellStyle name="Normal 16 3 2 3" xfId="17164" xr:uid="{12FFA4C7-AC6A-4C3C-9847-94342CC5B443}"/>
    <cellStyle name="Normal 16 3 3" xfId="17161" xr:uid="{A8087386-4EFA-4071-AAF1-2ED33BF17EA9}"/>
    <cellStyle name="Normal 16 4" xfId="12944" xr:uid="{E3ADD743-286D-456F-8F7F-E847BF027A7B}"/>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2 2 2" xfId="16914" xr:uid="{3436290F-1AA1-46A7-A6AD-BEA1389492E5}"/>
    <cellStyle name="Normal 2 4 2 10 2 3" xfId="12696" xr:uid="{90CEBBE0-185F-4304-B84B-9F46EF59AF2C}"/>
    <cellStyle name="Normal 2 4 2 10 3" xfId="6327" xr:uid="{00000000-0005-0000-0000-0000910E0000}"/>
    <cellStyle name="Normal 2 4 2 10 3 2" xfId="14769" xr:uid="{C0196649-54F2-4507-8810-9BCDC8B0E61E}"/>
    <cellStyle name="Normal 2 4 2 10 4" xfId="10551" xr:uid="{E7A9D736-41E6-4563-B59C-BAF5EB9A3E8B}"/>
    <cellStyle name="Normal 2 4 2 11" xfId="2456" xr:uid="{00000000-0005-0000-0000-0000920E0000}"/>
    <cellStyle name="Normal 2 4 2 11 2" xfId="6740" xr:uid="{00000000-0005-0000-0000-0000930E0000}"/>
    <cellStyle name="Normal 2 4 2 11 2 2" xfId="15182" xr:uid="{4368A128-A3B2-4F74-9428-8F2B404F6436}"/>
    <cellStyle name="Normal 2 4 2 11 3" xfId="10964" xr:uid="{88CA1AFC-2DD1-44BF-90D2-2489BAB787D0}"/>
    <cellStyle name="Normal 2 4 2 12" xfId="4674" xr:uid="{00000000-0005-0000-0000-0000940E0000}"/>
    <cellStyle name="Normal 2 4 2 12 2" xfId="13116" xr:uid="{FBBD6D00-CCFE-4A02-BD3D-05F79C01542E}"/>
    <cellStyle name="Normal 2 4 2 13" xfId="8898" xr:uid="{A6C17A94-5EC1-4744-87C9-34DB6985415A}"/>
    <cellStyle name="Normal 2 4 2 2" xfId="280" xr:uid="{00000000-0005-0000-0000-0000950E0000}"/>
    <cellStyle name="Normal 2 4 2 3" xfId="281" xr:uid="{00000000-0005-0000-0000-0000960E0000}"/>
    <cellStyle name="Normal 2 4 2 3 10" xfId="4675" xr:uid="{00000000-0005-0000-0000-0000970E0000}"/>
    <cellStyle name="Normal 2 4 2 3 10 2" xfId="13117" xr:uid="{F2DAAD1F-2926-4FF9-B926-8367439B3841}"/>
    <cellStyle name="Normal 2 4 2 3 11" xfId="8899" xr:uid="{87DFF16F-7B4B-45F0-ABA1-4DE265DE3A64}"/>
    <cellStyle name="Normal 2 4 2 3 2" xfId="282" xr:uid="{00000000-0005-0000-0000-0000980E0000}"/>
    <cellStyle name="Normal 2 4 2 3 2 10" xfId="8900" xr:uid="{66670F2F-5C50-4A4C-9564-16D673812EDC}"/>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2 2 2" xfId="15679" xr:uid="{9123C693-2654-4983-B973-E231D2CEC216}"/>
    <cellStyle name="Normal 2 4 2 3 2 2 2 2 2 3" xfId="11461" xr:uid="{88EF6705-EF5A-4234-980B-89CCBB06AFA5}"/>
    <cellStyle name="Normal 2 4 2 3 2 2 2 2 3" xfId="5092" xr:uid="{00000000-0005-0000-0000-00009E0E0000}"/>
    <cellStyle name="Normal 2 4 2 3 2 2 2 2 3 2" xfId="13534" xr:uid="{C1933D87-AADA-406E-99A5-8DB899A6B4A4}"/>
    <cellStyle name="Normal 2 4 2 3 2 2 2 2 4" xfId="9316" xr:uid="{E2D69BDB-5D80-4743-9692-97D44C40812C}"/>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2 2 2" xfId="16092" xr:uid="{EB0645FD-1F9D-4E85-B8C9-3F544DD92CF2}"/>
    <cellStyle name="Normal 2 4 2 3 2 2 2 3 2 3" xfId="11874" xr:uid="{1973705A-A117-492F-9040-534F65EAC7C2}"/>
    <cellStyle name="Normal 2 4 2 3 2 2 2 3 3" xfId="5505" xr:uid="{00000000-0005-0000-0000-0000A20E0000}"/>
    <cellStyle name="Normal 2 4 2 3 2 2 2 3 3 2" xfId="13947" xr:uid="{4760E7E5-09D2-4521-9B36-54CDC9F3499C}"/>
    <cellStyle name="Normal 2 4 2 3 2 2 2 3 4" xfId="9729" xr:uid="{1DB7E153-8D68-4091-BBC7-F74B04B9FBDE}"/>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2 2 2" xfId="16505" xr:uid="{21C1E362-569D-423B-BBF1-F2666EC7B903}"/>
    <cellStyle name="Normal 2 4 2 3 2 2 2 4 2 3" xfId="12287" xr:uid="{E6C2390A-A2DE-4861-AFBE-447B9E627930}"/>
    <cellStyle name="Normal 2 4 2 3 2 2 2 4 3" xfId="5918" xr:uid="{00000000-0005-0000-0000-0000A60E0000}"/>
    <cellStyle name="Normal 2 4 2 3 2 2 2 4 3 2" xfId="14360" xr:uid="{D68EED04-F95F-4990-8307-7659C8D142E7}"/>
    <cellStyle name="Normal 2 4 2 3 2 2 2 4 4" xfId="10142" xr:uid="{23DBDDA8-00EF-4206-B40D-21605CA39564}"/>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2 2 2" xfId="16918" xr:uid="{030D6015-9350-4FA6-A4F8-123CCA460294}"/>
    <cellStyle name="Normal 2 4 2 3 2 2 2 5 2 3" xfId="12700" xr:uid="{29AE8A50-4BA7-4F32-B2C4-DF748D538E5D}"/>
    <cellStyle name="Normal 2 4 2 3 2 2 2 5 3" xfId="6331" xr:uid="{00000000-0005-0000-0000-0000AA0E0000}"/>
    <cellStyle name="Normal 2 4 2 3 2 2 2 5 3 2" xfId="14773" xr:uid="{16823522-FA17-4DB9-8D27-71E9E0CD38A3}"/>
    <cellStyle name="Normal 2 4 2 3 2 2 2 5 4" xfId="10555" xr:uid="{7171B159-80D8-468E-859A-85DC13CDAA7A}"/>
    <cellStyle name="Normal 2 4 2 3 2 2 2 6" xfId="2460" xr:uid="{00000000-0005-0000-0000-0000AB0E0000}"/>
    <cellStyle name="Normal 2 4 2 3 2 2 2 6 2" xfId="6744" xr:uid="{00000000-0005-0000-0000-0000AC0E0000}"/>
    <cellStyle name="Normal 2 4 2 3 2 2 2 6 2 2" xfId="15186" xr:uid="{D8AB19C5-889C-4864-8F2D-8A806EDC1996}"/>
    <cellStyle name="Normal 2 4 2 3 2 2 2 6 3" xfId="10968" xr:uid="{7FE67650-FAAC-416F-BD3F-E3FCAE828377}"/>
    <cellStyle name="Normal 2 4 2 3 2 2 2 7" xfId="4678" xr:uid="{00000000-0005-0000-0000-0000AD0E0000}"/>
    <cellStyle name="Normal 2 4 2 3 2 2 2 7 2" xfId="13120" xr:uid="{5C1749A9-D884-4249-8542-D9AFC5EFBE5D}"/>
    <cellStyle name="Normal 2 4 2 3 2 2 2 8" xfId="8902" xr:uid="{1CD89F46-64A5-43D0-BCCF-AB1C0EF31CA3}"/>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2 2 2" xfId="15678" xr:uid="{F5BC0465-A67D-4904-9069-3473697FAAC9}"/>
    <cellStyle name="Normal 2 4 2 3 2 2 3 2 3" xfId="11460" xr:uid="{080409D9-AA15-4CAF-91F8-F12BF0E1CC9D}"/>
    <cellStyle name="Normal 2 4 2 3 2 2 3 3" xfId="5091" xr:uid="{00000000-0005-0000-0000-0000B10E0000}"/>
    <cellStyle name="Normal 2 4 2 3 2 2 3 3 2" xfId="13533" xr:uid="{55949A40-1FEA-4737-9B60-D52F2D45F0F9}"/>
    <cellStyle name="Normal 2 4 2 3 2 2 3 4" xfId="9315" xr:uid="{42500469-3BA0-4824-A0C8-E2EFBC59FBE4}"/>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2 2 2" xfId="16091" xr:uid="{5B232C01-83F5-471E-8ADC-F46188DF39CC}"/>
    <cellStyle name="Normal 2 4 2 3 2 2 4 2 3" xfId="11873" xr:uid="{79F89248-6B3A-4D89-9B51-5CD73545E340}"/>
    <cellStyle name="Normal 2 4 2 3 2 2 4 3" xfId="5504" xr:uid="{00000000-0005-0000-0000-0000B50E0000}"/>
    <cellStyle name="Normal 2 4 2 3 2 2 4 3 2" xfId="13946" xr:uid="{F0BD78E4-91D6-4723-86EC-9D9B7A8FFE10}"/>
    <cellStyle name="Normal 2 4 2 3 2 2 4 4" xfId="9728" xr:uid="{0243F461-53F6-4597-87DC-F278465EB2C9}"/>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2 2 2" xfId="16504" xr:uid="{331BAD1E-0AB2-4BD6-B5AC-FE1773F3C2F8}"/>
    <cellStyle name="Normal 2 4 2 3 2 2 5 2 3" xfId="12286" xr:uid="{2DB905BB-4BF0-4F06-9919-A932D2E5636D}"/>
    <cellStyle name="Normal 2 4 2 3 2 2 5 3" xfId="5917" xr:uid="{00000000-0005-0000-0000-0000B90E0000}"/>
    <cellStyle name="Normal 2 4 2 3 2 2 5 3 2" xfId="14359" xr:uid="{27982589-B165-49DE-91F7-3E2C69DEB153}"/>
    <cellStyle name="Normal 2 4 2 3 2 2 5 4" xfId="10141" xr:uid="{86243F7A-185E-4BA9-B0B9-005D645192DA}"/>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2 2 2" xfId="16917" xr:uid="{F7886F44-36F1-4BC1-8E0B-17C7F369B20C}"/>
    <cellStyle name="Normal 2 4 2 3 2 2 6 2 3" xfId="12699" xr:uid="{B516BB43-AE60-403F-B20F-8399514B0761}"/>
    <cellStyle name="Normal 2 4 2 3 2 2 6 3" xfId="6330" xr:uid="{00000000-0005-0000-0000-0000BD0E0000}"/>
    <cellStyle name="Normal 2 4 2 3 2 2 6 3 2" xfId="14772" xr:uid="{0F0F27E8-65DA-43F9-B087-1B04248BBBC0}"/>
    <cellStyle name="Normal 2 4 2 3 2 2 6 4" xfId="10554" xr:uid="{A28678C0-F1D2-4D2A-B6CC-668472568555}"/>
    <cellStyle name="Normal 2 4 2 3 2 2 7" xfId="2459" xr:uid="{00000000-0005-0000-0000-0000BE0E0000}"/>
    <cellStyle name="Normal 2 4 2 3 2 2 7 2" xfId="6743" xr:uid="{00000000-0005-0000-0000-0000BF0E0000}"/>
    <cellStyle name="Normal 2 4 2 3 2 2 7 2 2" xfId="15185" xr:uid="{359DC9A0-255C-40E5-AA27-9B6E03753162}"/>
    <cellStyle name="Normal 2 4 2 3 2 2 7 3" xfId="10967" xr:uid="{78A91630-A1AD-4D81-A525-17C4FE0F565A}"/>
    <cellStyle name="Normal 2 4 2 3 2 2 8" xfId="4677" xr:uid="{00000000-0005-0000-0000-0000C00E0000}"/>
    <cellStyle name="Normal 2 4 2 3 2 2 8 2" xfId="13119" xr:uid="{A616A17E-7FA6-4493-B1F9-46B3D8CA93D5}"/>
    <cellStyle name="Normal 2 4 2 3 2 2 9" xfId="8901" xr:uid="{530D707F-C842-4E22-983A-968EA5DB45AF}"/>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2 2 2" xfId="15680" xr:uid="{D9D03FAD-BDB6-43D9-A7F9-9CD0B8E31070}"/>
    <cellStyle name="Normal 2 4 2 3 2 3 2 2 3" xfId="11462" xr:uid="{11833B09-6206-4759-B552-CFC02522EA9E}"/>
    <cellStyle name="Normal 2 4 2 3 2 3 2 3" xfId="5093" xr:uid="{00000000-0005-0000-0000-0000C50E0000}"/>
    <cellStyle name="Normal 2 4 2 3 2 3 2 3 2" xfId="13535" xr:uid="{0FDBBCAD-A5C6-4C8B-8921-A057CFF91691}"/>
    <cellStyle name="Normal 2 4 2 3 2 3 2 4" xfId="9317" xr:uid="{D3AD990D-CD4F-4A9A-ACAE-A03D71489077}"/>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2 2 2" xfId="16093" xr:uid="{7A7215FD-2359-48C7-A729-209704290785}"/>
    <cellStyle name="Normal 2 4 2 3 2 3 3 2 3" xfId="11875" xr:uid="{491AFA10-9055-4D63-B758-2AA1D96C158E}"/>
    <cellStyle name="Normal 2 4 2 3 2 3 3 3" xfId="5506" xr:uid="{00000000-0005-0000-0000-0000C90E0000}"/>
    <cellStyle name="Normal 2 4 2 3 2 3 3 3 2" xfId="13948" xr:uid="{4ED561F9-A1BC-44EF-88C3-493ED5EB56D0}"/>
    <cellStyle name="Normal 2 4 2 3 2 3 3 4" xfId="9730" xr:uid="{FEB3A627-9C65-4227-B832-81A75F8FC01E}"/>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2 2 2" xfId="16506" xr:uid="{AF259870-6BDF-44EA-B24A-CE16FD244715}"/>
    <cellStyle name="Normal 2 4 2 3 2 3 4 2 3" xfId="12288" xr:uid="{9D37526B-4799-4D7E-8CE8-434B621C7115}"/>
    <cellStyle name="Normal 2 4 2 3 2 3 4 3" xfId="5919" xr:uid="{00000000-0005-0000-0000-0000CD0E0000}"/>
    <cellStyle name="Normal 2 4 2 3 2 3 4 3 2" xfId="14361" xr:uid="{2489987B-A730-4AF8-9B66-93E9500B0BF0}"/>
    <cellStyle name="Normal 2 4 2 3 2 3 4 4" xfId="10143" xr:uid="{3FEC0ADE-8250-45E8-9EE2-422FC2D99778}"/>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2 2 2" xfId="16919" xr:uid="{2FB32D24-2793-45CE-A5F5-A6BF118449DE}"/>
    <cellStyle name="Normal 2 4 2 3 2 3 5 2 3" xfId="12701" xr:uid="{B6235558-2BD1-4CE1-ADFD-B3954966E277}"/>
    <cellStyle name="Normal 2 4 2 3 2 3 5 3" xfId="6332" xr:uid="{00000000-0005-0000-0000-0000D10E0000}"/>
    <cellStyle name="Normal 2 4 2 3 2 3 5 3 2" xfId="14774" xr:uid="{2C96EDEB-472E-46A9-8D69-F39E7DCA86A6}"/>
    <cellStyle name="Normal 2 4 2 3 2 3 5 4" xfId="10556" xr:uid="{F1461FE7-CF24-44FC-ADE7-96F9A1D8E173}"/>
    <cellStyle name="Normal 2 4 2 3 2 3 6" xfId="2461" xr:uid="{00000000-0005-0000-0000-0000D20E0000}"/>
    <cellStyle name="Normal 2 4 2 3 2 3 6 2" xfId="6745" xr:uid="{00000000-0005-0000-0000-0000D30E0000}"/>
    <cellStyle name="Normal 2 4 2 3 2 3 6 2 2" xfId="15187" xr:uid="{342653BB-DBF8-404E-82F3-A1060BBC479E}"/>
    <cellStyle name="Normal 2 4 2 3 2 3 6 3" xfId="10969" xr:uid="{511C5B98-1073-4076-BAC6-DD18481AC781}"/>
    <cellStyle name="Normal 2 4 2 3 2 3 7" xfId="4679" xr:uid="{00000000-0005-0000-0000-0000D40E0000}"/>
    <cellStyle name="Normal 2 4 2 3 2 3 7 2" xfId="13121" xr:uid="{39ADA267-0899-429F-B014-980B45DB8D6F}"/>
    <cellStyle name="Normal 2 4 2 3 2 3 8" xfId="8903" xr:uid="{E69EBFBE-F300-4833-AA1C-903B0AAE44B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2 2 2" xfId="15677" xr:uid="{045A034E-8D4D-4834-9659-B03670D9C8E3}"/>
    <cellStyle name="Normal 2 4 2 3 2 4 2 3" xfId="11459" xr:uid="{65E7671F-E52B-4421-96FA-4084AAD0DC65}"/>
    <cellStyle name="Normal 2 4 2 3 2 4 3" xfId="5090" xr:uid="{00000000-0005-0000-0000-0000D80E0000}"/>
    <cellStyle name="Normal 2 4 2 3 2 4 3 2" xfId="13532" xr:uid="{59D2761F-B49A-4E05-84F6-8B6BF79A0E7C}"/>
    <cellStyle name="Normal 2 4 2 3 2 4 4" xfId="9314" xr:uid="{CEC93CA8-69C6-4B61-A75F-AB6C54986009}"/>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2 2 2" xfId="16090" xr:uid="{625853AC-A1D3-419F-A9B4-0989235A5271}"/>
    <cellStyle name="Normal 2 4 2 3 2 5 2 3" xfId="11872" xr:uid="{CB737147-6C41-4C47-ACC5-3D4D805DBE7F}"/>
    <cellStyle name="Normal 2 4 2 3 2 5 3" xfId="5503" xr:uid="{00000000-0005-0000-0000-0000DC0E0000}"/>
    <cellStyle name="Normal 2 4 2 3 2 5 3 2" xfId="13945" xr:uid="{C587A22E-061E-4DD9-8495-1180EE44A9AC}"/>
    <cellStyle name="Normal 2 4 2 3 2 5 4" xfId="9727" xr:uid="{3ACC9560-D88D-4E83-8D83-B0BDC7CFE59D}"/>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2 2 2" xfId="16503" xr:uid="{C062D66E-1784-4729-81CC-3763A1B2DC12}"/>
    <cellStyle name="Normal 2 4 2 3 2 6 2 3" xfId="12285" xr:uid="{4C794FD6-F3F1-4E28-BC57-A71A89FB24F3}"/>
    <cellStyle name="Normal 2 4 2 3 2 6 3" xfId="5916" xr:uid="{00000000-0005-0000-0000-0000E00E0000}"/>
    <cellStyle name="Normal 2 4 2 3 2 6 3 2" xfId="14358" xr:uid="{3D43CFE2-BAE6-460E-B449-5F1C4EB6C4CE}"/>
    <cellStyle name="Normal 2 4 2 3 2 6 4" xfId="10140" xr:uid="{C86EB809-8AE1-4749-B734-A266E9513E8C}"/>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2 2 2" xfId="16916" xr:uid="{29D2613D-3877-49D0-B60F-EA1CE54B0D66}"/>
    <cellStyle name="Normal 2 4 2 3 2 7 2 3" xfId="12698" xr:uid="{7F3DE987-C30C-4A85-A19E-E2825EB6B971}"/>
    <cellStyle name="Normal 2 4 2 3 2 7 3" xfId="6329" xr:uid="{00000000-0005-0000-0000-0000E40E0000}"/>
    <cellStyle name="Normal 2 4 2 3 2 7 3 2" xfId="14771" xr:uid="{628B7357-839A-42FE-A55C-15BD2B843E51}"/>
    <cellStyle name="Normal 2 4 2 3 2 7 4" xfId="10553" xr:uid="{C011CC70-B8D8-4B16-8D82-09FF1736695E}"/>
    <cellStyle name="Normal 2 4 2 3 2 8" xfId="2458" xr:uid="{00000000-0005-0000-0000-0000E50E0000}"/>
    <cellStyle name="Normal 2 4 2 3 2 8 2" xfId="6742" xr:uid="{00000000-0005-0000-0000-0000E60E0000}"/>
    <cellStyle name="Normal 2 4 2 3 2 8 2 2" xfId="15184" xr:uid="{31380020-99D1-49C6-BFFA-C6B2F9C2CDE0}"/>
    <cellStyle name="Normal 2 4 2 3 2 8 3" xfId="10966" xr:uid="{4945D406-68D5-4F1A-9255-A93C3663AD98}"/>
    <cellStyle name="Normal 2 4 2 3 2 9" xfId="4676" xr:uid="{00000000-0005-0000-0000-0000E70E0000}"/>
    <cellStyle name="Normal 2 4 2 3 2 9 2" xfId="13118" xr:uid="{91DC796E-F512-4D37-BABC-195091468697}"/>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2 2 2" xfId="15682" xr:uid="{019B2FF4-4B53-4840-8352-83C7C45A4192}"/>
    <cellStyle name="Normal 2 4 2 3 3 2 2 2 3" xfId="11464" xr:uid="{44D2FD8E-7800-489D-9EDE-3CFBDE1D7B24}"/>
    <cellStyle name="Normal 2 4 2 3 3 2 2 3" xfId="5095" xr:uid="{00000000-0005-0000-0000-0000ED0E0000}"/>
    <cellStyle name="Normal 2 4 2 3 3 2 2 3 2" xfId="13537" xr:uid="{BF671C7F-1838-460F-8700-A2AA6C0D972B}"/>
    <cellStyle name="Normal 2 4 2 3 3 2 2 4" xfId="9319" xr:uid="{9FAFF7AC-B29F-4FDE-AC0A-63166FFDF0B6}"/>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2 2 2" xfId="16095" xr:uid="{364DE6FB-40ED-4503-BA40-B7BE2D9E6D02}"/>
    <cellStyle name="Normal 2 4 2 3 3 2 3 2 3" xfId="11877" xr:uid="{30D9E83A-6313-4238-A4D0-EE7E91ECABD2}"/>
    <cellStyle name="Normal 2 4 2 3 3 2 3 3" xfId="5508" xr:uid="{00000000-0005-0000-0000-0000F10E0000}"/>
    <cellStyle name="Normal 2 4 2 3 3 2 3 3 2" xfId="13950" xr:uid="{326682AB-A093-4873-8023-F0B162F40C38}"/>
    <cellStyle name="Normal 2 4 2 3 3 2 3 4" xfId="9732" xr:uid="{D3FF0DAF-AA91-4BFC-9721-B6563D374405}"/>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2 2 2" xfId="16508" xr:uid="{6A7E8F6E-BEA7-4E6B-8E2A-99B1FEF55C2D}"/>
    <cellStyle name="Normal 2 4 2 3 3 2 4 2 3" xfId="12290" xr:uid="{4314EBAC-D93F-4C8C-B31B-3E60D84AD790}"/>
    <cellStyle name="Normal 2 4 2 3 3 2 4 3" xfId="5921" xr:uid="{00000000-0005-0000-0000-0000F50E0000}"/>
    <cellStyle name="Normal 2 4 2 3 3 2 4 3 2" xfId="14363" xr:uid="{531C0517-8296-448D-9F77-6FC04CFFE76A}"/>
    <cellStyle name="Normal 2 4 2 3 3 2 4 4" xfId="10145" xr:uid="{DF7D3142-2482-487C-BF5E-D9592803A442}"/>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2 2 2" xfId="16921" xr:uid="{55BBF74C-88F7-457F-8B1B-6383384E6486}"/>
    <cellStyle name="Normal 2 4 2 3 3 2 5 2 3" xfId="12703" xr:uid="{317732C0-B2E4-4EA0-8376-B097CD7D4C22}"/>
    <cellStyle name="Normal 2 4 2 3 3 2 5 3" xfId="6334" xr:uid="{00000000-0005-0000-0000-0000F90E0000}"/>
    <cellStyle name="Normal 2 4 2 3 3 2 5 3 2" xfId="14776" xr:uid="{9A02EEA3-782A-449D-9E02-0B580373820C}"/>
    <cellStyle name="Normal 2 4 2 3 3 2 5 4" xfId="10558" xr:uid="{2FE6D228-6E42-4E6D-978B-1933AE27DC9A}"/>
    <cellStyle name="Normal 2 4 2 3 3 2 6" xfId="2463" xr:uid="{00000000-0005-0000-0000-0000FA0E0000}"/>
    <cellStyle name="Normal 2 4 2 3 3 2 6 2" xfId="6747" xr:uid="{00000000-0005-0000-0000-0000FB0E0000}"/>
    <cellStyle name="Normal 2 4 2 3 3 2 6 2 2" xfId="15189" xr:uid="{638D0BF7-5A29-4111-B9CB-0FAD96741CAC}"/>
    <cellStyle name="Normal 2 4 2 3 3 2 6 3" xfId="10971" xr:uid="{9CA3FA21-04D1-4C3C-A6EB-FDD6BF2FD18C}"/>
    <cellStyle name="Normal 2 4 2 3 3 2 7" xfId="4681" xr:uid="{00000000-0005-0000-0000-0000FC0E0000}"/>
    <cellStyle name="Normal 2 4 2 3 3 2 7 2" xfId="13123" xr:uid="{5C17C2F6-335F-4D49-B39E-1DD7E08156A4}"/>
    <cellStyle name="Normal 2 4 2 3 3 2 8" xfId="8905" xr:uid="{77586AD8-86D5-43B1-A611-51B68BB26283}"/>
    <cellStyle name="Normal 2 4 2 3 3 3" xfId="777" xr:uid="{00000000-0005-0000-0000-0000FD0E0000}"/>
    <cellStyle name="Normal 2 4 2 3 3 3 2" xfId="3016" xr:uid="{00000000-0005-0000-0000-0000FE0E0000}"/>
    <cellStyle name="Normal 2 4 2 3 3 3 2 2" xfId="7239" xr:uid="{00000000-0005-0000-0000-0000FF0E0000}"/>
    <cellStyle name="Normal 2 4 2 3 3 3 2 2 2" xfId="15681" xr:uid="{0B0D4554-F326-4F40-BF6F-CB85901E4702}"/>
    <cellStyle name="Normal 2 4 2 3 3 3 2 3" xfId="11463" xr:uid="{798D9279-4C87-4C56-B0BA-15E871ADCC90}"/>
    <cellStyle name="Normal 2 4 2 3 3 3 3" xfId="5094" xr:uid="{00000000-0005-0000-0000-0000000F0000}"/>
    <cellStyle name="Normal 2 4 2 3 3 3 3 2" xfId="13536" xr:uid="{BE6021D9-2373-4E2D-81CF-65911A3473D5}"/>
    <cellStyle name="Normal 2 4 2 3 3 3 4" xfId="9318" xr:uid="{3000E66F-DEA0-47B6-A896-1657B7F4422B}"/>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2 2 2" xfId="16094" xr:uid="{C74CE6F8-BF9A-40B5-A59F-2252300DB392}"/>
    <cellStyle name="Normal 2 4 2 3 3 4 2 3" xfId="11876" xr:uid="{1ABFD143-5038-4942-81C3-96744CB3EBBE}"/>
    <cellStyle name="Normal 2 4 2 3 3 4 3" xfId="5507" xr:uid="{00000000-0005-0000-0000-0000040F0000}"/>
    <cellStyle name="Normal 2 4 2 3 3 4 3 2" xfId="13949" xr:uid="{ADE0C79D-7490-4F28-B22E-82346C1A5441}"/>
    <cellStyle name="Normal 2 4 2 3 3 4 4" xfId="9731" xr:uid="{D19B5B5C-4C20-4387-92C6-3611392F2959}"/>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2 2 2" xfId="16507" xr:uid="{645011AB-F556-400B-8626-D5B561CEB6E9}"/>
    <cellStyle name="Normal 2 4 2 3 3 5 2 3" xfId="12289" xr:uid="{9F3F5D5F-CC8D-48F5-99CB-33436F54B6E2}"/>
    <cellStyle name="Normal 2 4 2 3 3 5 3" xfId="5920" xr:uid="{00000000-0005-0000-0000-0000080F0000}"/>
    <cellStyle name="Normal 2 4 2 3 3 5 3 2" xfId="14362" xr:uid="{3E8A008A-C0C4-45B1-83AC-3DCB234AC695}"/>
    <cellStyle name="Normal 2 4 2 3 3 5 4" xfId="10144" xr:uid="{17C1540F-75DA-4B7A-A5E8-B72BE57C23CB}"/>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2 2 2" xfId="16920" xr:uid="{13A896DC-645F-43AA-9EED-01A874324489}"/>
    <cellStyle name="Normal 2 4 2 3 3 6 2 3" xfId="12702" xr:uid="{EC46DAEA-F95E-4F48-B18F-662F49C140CA}"/>
    <cellStyle name="Normal 2 4 2 3 3 6 3" xfId="6333" xr:uid="{00000000-0005-0000-0000-00000C0F0000}"/>
    <cellStyle name="Normal 2 4 2 3 3 6 3 2" xfId="14775" xr:uid="{F8F3BAD5-FE47-4150-8498-171F29976E4E}"/>
    <cellStyle name="Normal 2 4 2 3 3 6 4" xfId="10557" xr:uid="{AD392DFD-9C39-4447-806B-F5654C890AC4}"/>
    <cellStyle name="Normal 2 4 2 3 3 7" xfId="2462" xr:uid="{00000000-0005-0000-0000-00000D0F0000}"/>
    <cellStyle name="Normal 2 4 2 3 3 7 2" xfId="6746" xr:uid="{00000000-0005-0000-0000-00000E0F0000}"/>
    <cellStyle name="Normal 2 4 2 3 3 7 2 2" xfId="15188" xr:uid="{EAB1E6CE-8604-43EA-9353-8806FCDE9C3C}"/>
    <cellStyle name="Normal 2 4 2 3 3 7 3" xfId="10970" xr:uid="{EE4E84F4-455F-47EF-827C-C30903CB4868}"/>
    <cellStyle name="Normal 2 4 2 3 3 8" xfId="4680" xr:uid="{00000000-0005-0000-0000-00000F0F0000}"/>
    <cellStyle name="Normal 2 4 2 3 3 8 2" xfId="13122" xr:uid="{B869AB21-DBE8-438C-8275-66327B8E6D89}"/>
    <cellStyle name="Normal 2 4 2 3 3 9" xfId="8904" xr:uid="{D09E74CD-79B1-43FF-80DB-10BBB9DAC157}"/>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2 2 2" xfId="15683" xr:uid="{9DA9FE00-B628-4574-945B-B41889FFB78D}"/>
    <cellStyle name="Normal 2 4 2 3 4 2 2 3" xfId="11465" xr:uid="{A20EB8C3-2312-4CDD-BB9C-C06814E2DD69}"/>
    <cellStyle name="Normal 2 4 2 3 4 2 3" xfId="5096" xr:uid="{00000000-0005-0000-0000-0000140F0000}"/>
    <cellStyle name="Normal 2 4 2 3 4 2 3 2" xfId="13538" xr:uid="{048B9585-A05B-42A6-BF08-C2F2A5845C1D}"/>
    <cellStyle name="Normal 2 4 2 3 4 2 4" xfId="9320" xr:uid="{3010EA2E-905B-404D-9949-FB1693E2F34A}"/>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2 2 2" xfId="16096" xr:uid="{ECD27035-23A7-471E-AFBE-506C4A74F659}"/>
    <cellStyle name="Normal 2 4 2 3 4 3 2 3" xfId="11878" xr:uid="{D47A2435-7F78-408A-B48C-1D6BEEE9F9E9}"/>
    <cellStyle name="Normal 2 4 2 3 4 3 3" xfId="5509" xr:uid="{00000000-0005-0000-0000-0000180F0000}"/>
    <cellStyle name="Normal 2 4 2 3 4 3 3 2" xfId="13951" xr:uid="{4198F3AC-58AF-48BF-989C-7B8A559E6EB9}"/>
    <cellStyle name="Normal 2 4 2 3 4 3 4" xfId="9733" xr:uid="{E3EDBB46-49A3-48E6-B3FF-90F01F147BB2}"/>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2 2 2" xfId="16509" xr:uid="{81E8228E-3F27-448D-A29E-18D7B61902E7}"/>
    <cellStyle name="Normal 2 4 2 3 4 4 2 3" xfId="12291" xr:uid="{7209D8A8-C351-4B15-A552-46FA4CB8AC91}"/>
    <cellStyle name="Normal 2 4 2 3 4 4 3" xfId="5922" xr:uid="{00000000-0005-0000-0000-00001C0F0000}"/>
    <cellStyle name="Normal 2 4 2 3 4 4 3 2" xfId="14364" xr:uid="{58502E26-4B16-4E02-BEC8-ADCAF17FF9A6}"/>
    <cellStyle name="Normal 2 4 2 3 4 4 4" xfId="10146" xr:uid="{A127D2D0-BEAB-4BD3-A221-8F7661E7A5F7}"/>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2 2 2" xfId="16922" xr:uid="{2224C758-172A-4A52-8F9D-81E90605C8C2}"/>
    <cellStyle name="Normal 2 4 2 3 4 5 2 3" xfId="12704" xr:uid="{996A1583-FE48-42D9-84F6-9EA566089142}"/>
    <cellStyle name="Normal 2 4 2 3 4 5 3" xfId="6335" xr:uid="{00000000-0005-0000-0000-0000200F0000}"/>
    <cellStyle name="Normal 2 4 2 3 4 5 3 2" xfId="14777" xr:uid="{87BEE39F-126F-448C-91B8-AEAE0727C69C}"/>
    <cellStyle name="Normal 2 4 2 3 4 5 4" xfId="10559" xr:uid="{0B023986-CDB8-49D0-B6CB-711026761183}"/>
    <cellStyle name="Normal 2 4 2 3 4 6" xfId="2464" xr:uid="{00000000-0005-0000-0000-0000210F0000}"/>
    <cellStyle name="Normal 2 4 2 3 4 6 2" xfId="6748" xr:uid="{00000000-0005-0000-0000-0000220F0000}"/>
    <cellStyle name="Normal 2 4 2 3 4 6 2 2" xfId="15190" xr:uid="{3FC33445-1F1F-4E96-9CA9-C8142861EC78}"/>
    <cellStyle name="Normal 2 4 2 3 4 6 3" xfId="10972" xr:uid="{160AB5E0-2E94-468F-A572-A7381B868915}"/>
    <cellStyle name="Normal 2 4 2 3 4 7" xfId="4682" xr:uid="{00000000-0005-0000-0000-0000230F0000}"/>
    <cellStyle name="Normal 2 4 2 3 4 7 2" xfId="13124" xr:uid="{AB7DF26A-2FC4-4E9D-8F6D-82EAF542325F}"/>
    <cellStyle name="Normal 2 4 2 3 4 8" xfId="8906" xr:uid="{7E1DFABA-5E5D-4750-90A1-09B56B886E64}"/>
    <cellStyle name="Normal 2 4 2 3 5" xfId="772" xr:uid="{00000000-0005-0000-0000-0000240F0000}"/>
    <cellStyle name="Normal 2 4 2 3 5 2" xfId="3011" xr:uid="{00000000-0005-0000-0000-0000250F0000}"/>
    <cellStyle name="Normal 2 4 2 3 5 2 2" xfId="7234" xr:uid="{00000000-0005-0000-0000-0000260F0000}"/>
    <cellStyle name="Normal 2 4 2 3 5 2 2 2" xfId="15676" xr:uid="{6F76B822-6C03-4381-83B2-B3A718052016}"/>
    <cellStyle name="Normal 2 4 2 3 5 2 3" xfId="11458" xr:uid="{7DB67874-EC9A-4590-B63F-2B7094A6F3C5}"/>
    <cellStyle name="Normal 2 4 2 3 5 3" xfId="5089" xr:uid="{00000000-0005-0000-0000-0000270F0000}"/>
    <cellStyle name="Normal 2 4 2 3 5 3 2" xfId="13531" xr:uid="{E7ABFEDC-C436-4327-8B1F-48B4009674BA}"/>
    <cellStyle name="Normal 2 4 2 3 5 4" xfId="9313" xr:uid="{37700822-B55C-4287-A69E-8C2458DB7A87}"/>
    <cellStyle name="Normal 2 4 2 3 6" xfId="1194" xr:uid="{00000000-0005-0000-0000-0000280F0000}"/>
    <cellStyle name="Normal 2 4 2 3 6 2" xfId="3424" xr:uid="{00000000-0005-0000-0000-0000290F0000}"/>
    <cellStyle name="Normal 2 4 2 3 6 2 2" xfId="7647" xr:uid="{00000000-0005-0000-0000-00002A0F0000}"/>
    <cellStyle name="Normal 2 4 2 3 6 2 2 2" xfId="16089" xr:uid="{00C2E82E-F32D-4048-80D3-60D28D683152}"/>
    <cellStyle name="Normal 2 4 2 3 6 2 3" xfId="11871" xr:uid="{7A62E549-3617-4F26-9B61-27C6A4A153F3}"/>
    <cellStyle name="Normal 2 4 2 3 6 3" xfId="5502" xr:uid="{00000000-0005-0000-0000-00002B0F0000}"/>
    <cellStyle name="Normal 2 4 2 3 6 3 2" xfId="13944" xr:uid="{3E38DC12-D0F3-49C0-9D94-B6C6558E2F4F}"/>
    <cellStyle name="Normal 2 4 2 3 6 4" xfId="9726" xr:uid="{05A04403-C69F-4802-A7A6-4F67932BC41F}"/>
    <cellStyle name="Normal 2 4 2 3 7" xfId="1607" xr:uid="{00000000-0005-0000-0000-00002C0F0000}"/>
    <cellStyle name="Normal 2 4 2 3 7 2" xfId="3837" xr:uid="{00000000-0005-0000-0000-00002D0F0000}"/>
    <cellStyle name="Normal 2 4 2 3 7 2 2" xfId="8060" xr:uid="{00000000-0005-0000-0000-00002E0F0000}"/>
    <cellStyle name="Normal 2 4 2 3 7 2 2 2" xfId="16502" xr:uid="{89A845B4-31AC-4A14-B08E-614F6BA9AB0D}"/>
    <cellStyle name="Normal 2 4 2 3 7 2 3" xfId="12284" xr:uid="{CA4C1A8F-2F06-4791-BBA9-F5F663CC386D}"/>
    <cellStyle name="Normal 2 4 2 3 7 3" xfId="5915" xr:uid="{00000000-0005-0000-0000-00002F0F0000}"/>
    <cellStyle name="Normal 2 4 2 3 7 3 2" xfId="14357" xr:uid="{0106E97B-D9A6-4C13-93E7-FE293AD7ED40}"/>
    <cellStyle name="Normal 2 4 2 3 7 4" xfId="10139" xr:uid="{CC583BDB-8D5F-4313-AA77-5B11E4863065}"/>
    <cellStyle name="Normal 2 4 2 3 8" xfId="2021" xr:uid="{00000000-0005-0000-0000-0000300F0000}"/>
    <cellStyle name="Normal 2 4 2 3 8 2" xfId="4250" xr:uid="{00000000-0005-0000-0000-0000310F0000}"/>
    <cellStyle name="Normal 2 4 2 3 8 2 2" xfId="8473" xr:uid="{00000000-0005-0000-0000-0000320F0000}"/>
    <cellStyle name="Normal 2 4 2 3 8 2 2 2" xfId="16915" xr:uid="{A66F42EE-9A46-4BDB-9087-97C18ADC88A8}"/>
    <cellStyle name="Normal 2 4 2 3 8 2 3" xfId="12697" xr:uid="{F1A1F9EF-F5E2-4CEC-AE4D-2A16B9EB654E}"/>
    <cellStyle name="Normal 2 4 2 3 8 3" xfId="6328" xr:uid="{00000000-0005-0000-0000-0000330F0000}"/>
    <cellStyle name="Normal 2 4 2 3 8 3 2" xfId="14770" xr:uid="{B5486D7F-CDC2-41A8-BFAB-FBE25895D994}"/>
    <cellStyle name="Normal 2 4 2 3 8 4" xfId="10552" xr:uid="{4EFF6E3E-C5EF-4FCD-8B5E-FC6C060CEDF5}"/>
    <cellStyle name="Normal 2 4 2 3 9" xfId="2457" xr:uid="{00000000-0005-0000-0000-0000340F0000}"/>
    <cellStyle name="Normal 2 4 2 3 9 2" xfId="6741" xr:uid="{00000000-0005-0000-0000-0000350F0000}"/>
    <cellStyle name="Normal 2 4 2 3 9 2 2" xfId="15183" xr:uid="{956DF497-C969-47BE-ABA7-79AD7A18B71D}"/>
    <cellStyle name="Normal 2 4 2 3 9 3" xfId="10965" xr:uid="{D75DB965-FBD4-4CDB-B182-6BD62E75956E}"/>
    <cellStyle name="Normal 2 4 2 4" xfId="289" xr:uid="{00000000-0005-0000-0000-0000360F0000}"/>
    <cellStyle name="Normal 2 4 2 4 10" xfId="8907" xr:uid="{71E8ABA6-A17B-4DE7-8E75-EF23EF89FBA4}"/>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2 2 2" xfId="15686" xr:uid="{386C8E49-F9FC-4580-BDFD-3D49B27044C2}"/>
    <cellStyle name="Normal 2 4 2 4 2 2 2 2 3" xfId="11468" xr:uid="{0FB8042E-F06E-422B-B0A2-4348BC5601AF}"/>
    <cellStyle name="Normal 2 4 2 4 2 2 2 3" xfId="5099" xr:uid="{00000000-0005-0000-0000-00003C0F0000}"/>
    <cellStyle name="Normal 2 4 2 4 2 2 2 3 2" xfId="13541" xr:uid="{2DA3D94F-EE64-49F4-9A95-72C1D286C56C}"/>
    <cellStyle name="Normal 2 4 2 4 2 2 2 4" xfId="9323" xr:uid="{71DD0A39-74C5-4B62-B647-3C006941EFF9}"/>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2 2 2" xfId="16099" xr:uid="{2CFFCB05-76D3-48C6-A9F0-56374D265050}"/>
    <cellStyle name="Normal 2 4 2 4 2 2 3 2 3" xfId="11881" xr:uid="{1271B63A-2D5B-4096-B1CC-545F17A949E6}"/>
    <cellStyle name="Normal 2 4 2 4 2 2 3 3" xfId="5512" xr:uid="{00000000-0005-0000-0000-0000400F0000}"/>
    <cellStyle name="Normal 2 4 2 4 2 2 3 3 2" xfId="13954" xr:uid="{2195BFF8-1611-48E2-B179-D81E1A4C31FA}"/>
    <cellStyle name="Normal 2 4 2 4 2 2 3 4" xfId="9736" xr:uid="{111EB11B-22EF-4BBC-A372-74EEFDED2581}"/>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2 2 2" xfId="16512" xr:uid="{D42D274D-333B-4E4C-8253-0BCD1926E266}"/>
    <cellStyle name="Normal 2 4 2 4 2 2 4 2 3" xfId="12294" xr:uid="{7AA44475-C83E-49F5-9C51-266C680A864F}"/>
    <cellStyle name="Normal 2 4 2 4 2 2 4 3" xfId="5925" xr:uid="{00000000-0005-0000-0000-0000440F0000}"/>
    <cellStyle name="Normal 2 4 2 4 2 2 4 3 2" xfId="14367" xr:uid="{86518316-6084-4302-8E9C-F90501497F0D}"/>
    <cellStyle name="Normal 2 4 2 4 2 2 4 4" xfId="10149" xr:uid="{F72C8628-48DB-4AA9-98D5-D6861D267105}"/>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2 2 2" xfId="16925" xr:uid="{C1DF424A-812F-4213-8C32-DC7AA441BE93}"/>
    <cellStyle name="Normal 2 4 2 4 2 2 5 2 3" xfId="12707" xr:uid="{1C3E5591-FAC1-4D51-874D-69EA02E7058E}"/>
    <cellStyle name="Normal 2 4 2 4 2 2 5 3" xfId="6338" xr:uid="{00000000-0005-0000-0000-0000480F0000}"/>
    <cellStyle name="Normal 2 4 2 4 2 2 5 3 2" xfId="14780" xr:uid="{6F424CEF-7CEB-420A-B628-CD1F866A6EBF}"/>
    <cellStyle name="Normal 2 4 2 4 2 2 5 4" xfId="10562" xr:uid="{519A0964-39EE-447D-96F1-91E258156571}"/>
    <cellStyle name="Normal 2 4 2 4 2 2 6" xfId="2467" xr:uid="{00000000-0005-0000-0000-0000490F0000}"/>
    <cellStyle name="Normal 2 4 2 4 2 2 6 2" xfId="6751" xr:uid="{00000000-0005-0000-0000-00004A0F0000}"/>
    <cellStyle name="Normal 2 4 2 4 2 2 6 2 2" xfId="15193" xr:uid="{7CFFEE81-117F-4A01-BCA1-9E5DF8AB89F4}"/>
    <cellStyle name="Normal 2 4 2 4 2 2 6 3" xfId="10975" xr:uid="{0B7B5E4F-9709-4139-92CA-619E24A9789F}"/>
    <cellStyle name="Normal 2 4 2 4 2 2 7" xfId="4685" xr:uid="{00000000-0005-0000-0000-00004B0F0000}"/>
    <cellStyle name="Normal 2 4 2 4 2 2 7 2" xfId="13127" xr:uid="{59545176-170E-48F9-A677-095F97AA245D}"/>
    <cellStyle name="Normal 2 4 2 4 2 2 8" xfId="8909" xr:uid="{87D39ACC-439E-49EC-98FD-F89FC8F1FDEF}"/>
    <cellStyle name="Normal 2 4 2 4 2 3" xfId="781" xr:uid="{00000000-0005-0000-0000-00004C0F0000}"/>
    <cellStyle name="Normal 2 4 2 4 2 3 2" xfId="3020" xr:uid="{00000000-0005-0000-0000-00004D0F0000}"/>
    <cellStyle name="Normal 2 4 2 4 2 3 2 2" xfId="7243" xr:uid="{00000000-0005-0000-0000-00004E0F0000}"/>
    <cellStyle name="Normal 2 4 2 4 2 3 2 2 2" xfId="15685" xr:uid="{2F04E3C8-E964-4A0E-BF76-5A539ED76C29}"/>
    <cellStyle name="Normal 2 4 2 4 2 3 2 3" xfId="11467" xr:uid="{1F4351E2-5D67-4851-A72E-4036211B0CCC}"/>
    <cellStyle name="Normal 2 4 2 4 2 3 3" xfId="5098" xr:uid="{00000000-0005-0000-0000-00004F0F0000}"/>
    <cellStyle name="Normal 2 4 2 4 2 3 3 2" xfId="13540" xr:uid="{8EFE735C-C479-4730-BC71-5DB56A2C185B}"/>
    <cellStyle name="Normal 2 4 2 4 2 3 4" xfId="9322" xr:uid="{1B9B9A0D-7372-4E68-B529-D71833FD6433}"/>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2 2 2" xfId="16098" xr:uid="{C0AA201C-55AB-4890-B403-AF7F04664782}"/>
    <cellStyle name="Normal 2 4 2 4 2 4 2 3" xfId="11880" xr:uid="{1764C90C-FFA7-4146-9520-20F8EF8DCE2B}"/>
    <cellStyle name="Normal 2 4 2 4 2 4 3" xfId="5511" xr:uid="{00000000-0005-0000-0000-0000530F0000}"/>
    <cellStyle name="Normal 2 4 2 4 2 4 3 2" xfId="13953" xr:uid="{2EB23CEE-368F-4365-8D23-0FB1D8081B2D}"/>
    <cellStyle name="Normal 2 4 2 4 2 4 4" xfId="9735" xr:uid="{DD89CC29-BA00-4C83-A3D1-1DBEE8810E25}"/>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2 2 2" xfId="16511" xr:uid="{006BDF57-C912-43C1-A767-C03DF08B4CAE}"/>
    <cellStyle name="Normal 2 4 2 4 2 5 2 3" xfId="12293" xr:uid="{C24F441F-C21B-4895-8D2A-B6F762EBD5B2}"/>
    <cellStyle name="Normal 2 4 2 4 2 5 3" xfId="5924" xr:uid="{00000000-0005-0000-0000-0000570F0000}"/>
    <cellStyle name="Normal 2 4 2 4 2 5 3 2" xfId="14366" xr:uid="{5F5D087D-4810-4CFE-BE13-D89EC8E3D172}"/>
    <cellStyle name="Normal 2 4 2 4 2 5 4" xfId="10148" xr:uid="{D968F392-BAB6-4166-AE29-1C636910F859}"/>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2 2 2" xfId="16924" xr:uid="{43B7CB84-B522-4965-8989-6E58F6600602}"/>
    <cellStyle name="Normal 2 4 2 4 2 6 2 3" xfId="12706" xr:uid="{0743F8D3-ACA9-45DC-B5F0-63B60A7258F3}"/>
    <cellStyle name="Normal 2 4 2 4 2 6 3" xfId="6337" xr:uid="{00000000-0005-0000-0000-00005B0F0000}"/>
    <cellStyle name="Normal 2 4 2 4 2 6 3 2" xfId="14779" xr:uid="{54F47ED8-007D-4F7E-8439-525B734CE688}"/>
    <cellStyle name="Normal 2 4 2 4 2 6 4" xfId="10561" xr:uid="{BED6CE3A-EF63-4D6D-A337-48614AAC7D8A}"/>
    <cellStyle name="Normal 2 4 2 4 2 7" xfId="2466" xr:uid="{00000000-0005-0000-0000-00005C0F0000}"/>
    <cellStyle name="Normal 2 4 2 4 2 7 2" xfId="6750" xr:uid="{00000000-0005-0000-0000-00005D0F0000}"/>
    <cellStyle name="Normal 2 4 2 4 2 7 2 2" xfId="15192" xr:uid="{BF486C9E-5FE2-42F0-97D2-33117708E7B8}"/>
    <cellStyle name="Normal 2 4 2 4 2 7 3" xfId="10974" xr:uid="{9B5F59ED-BA03-4E7A-B80E-75E08B864B05}"/>
    <cellStyle name="Normal 2 4 2 4 2 8" xfId="4684" xr:uid="{00000000-0005-0000-0000-00005E0F0000}"/>
    <cellStyle name="Normal 2 4 2 4 2 8 2" xfId="13126" xr:uid="{B59957E0-0C75-4511-A0EF-3AB6C01A815B}"/>
    <cellStyle name="Normal 2 4 2 4 2 9" xfId="8908" xr:uid="{F0E26EE9-F896-47F4-9D64-CB7EF8D5F01E}"/>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2 2 2" xfId="15687" xr:uid="{7737DFE0-49DF-479A-AB8C-851B65BE144D}"/>
    <cellStyle name="Normal 2 4 2 4 3 2 2 3" xfId="11469" xr:uid="{C827B8CA-73B0-4451-B3B7-D2F25F69FD97}"/>
    <cellStyle name="Normal 2 4 2 4 3 2 3" xfId="5100" xr:uid="{00000000-0005-0000-0000-0000630F0000}"/>
    <cellStyle name="Normal 2 4 2 4 3 2 3 2" xfId="13542" xr:uid="{4DCD2EE2-5CF7-4AC4-9581-5985184B5106}"/>
    <cellStyle name="Normal 2 4 2 4 3 2 4" xfId="9324" xr:uid="{645489D8-7A6A-4CF9-BBC9-EE8E69B5D069}"/>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2 2 2" xfId="16100" xr:uid="{3D7EBF2A-6795-45F1-982B-5E0EDE3B3374}"/>
    <cellStyle name="Normal 2 4 2 4 3 3 2 3" xfId="11882" xr:uid="{004B9FE1-E64A-4CE3-862E-5B833D0E0997}"/>
    <cellStyle name="Normal 2 4 2 4 3 3 3" xfId="5513" xr:uid="{00000000-0005-0000-0000-0000670F0000}"/>
    <cellStyle name="Normal 2 4 2 4 3 3 3 2" xfId="13955" xr:uid="{C29C4D35-4CE8-4B03-9F3D-62E37503415C}"/>
    <cellStyle name="Normal 2 4 2 4 3 3 4" xfId="9737" xr:uid="{56308C93-969E-4499-9EAD-40356A26A8E4}"/>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2 2 2" xfId="16513" xr:uid="{A85CB4E8-6D09-4A15-9432-5F6F4EDDAF4D}"/>
    <cellStyle name="Normal 2 4 2 4 3 4 2 3" xfId="12295" xr:uid="{271D3BD7-9901-4084-B6C8-BE046759D6BF}"/>
    <cellStyle name="Normal 2 4 2 4 3 4 3" xfId="5926" xr:uid="{00000000-0005-0000-0000-00006B0F0000}"/>
    <cellStyle name="Normal 2 4 2 4 3 4 3 2" xfId="14368" xr:uid="{062912A4-C5C8-45A9-BFE2-BB423F9D374D}"/>
    <cellStyle name="Normal 2 4 2 4 3 4 4" xfId="10150" xr:uid="{DF913AF9-FC78-456B-B322-DD309BA74C5E}"/>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2 2 2" xfId="16926" xr:uid="{84EC42A2-37E4-4BE4-8CF0-FC111A3C2AF6}"/>
    <cellStyle name="Normal 2 4 2 4 3 5 2 3" xfId="12708" xr:uid="{522D4F48-502C-4E97-96AC-C36DBE02F3D3}"/>
    <cellStyle name="Normal 2 4 2 4 3 5 3" xfId="6339" xr:uid="{00000000-0005-0000-0000-00006F0F0000}"/>
    <cellStyle name="Normal 2 4 2 4 3 5 3 2" xfId="14781" xr:uid="{492FA85E-E20E-4018-8990-CF455340D883}"/>
    <cellStyle name="Normal 2 4 2 4 3 5 4" xfId="10563" xr:uid="{1760D5DD-DC9A-4B2A-A1BF-A7C86BB22289}"/>
    <cellStyle name="Normal 2 4 2 4 3 6" xfId="2468" xr:uid="{00000000-0005-0000-0000-0000700F0000}"/>
    <cellStyle name="Normal 2 4 2 4 3 6 2" xfId="6752" xr:uid="{00000000-0005-0000-0000-0000710F0000}"/>
    <cellStyle name="Normal 2 4 2 4 3 6 2 2" xfId="15194" xr:uid="{A99D44CF-A5E2-4A00-9441-7ED074532921}"/>
    <cellStyle name="Normal 2 4 2 4 3 6 3" xfId="10976" xr:uid="{E8C11282-4984-4C28-BFEB-0B4FD5B9F9BB}"/>
    <cellStyle name="Normal 2 4 2 4 3 7" xfId="4686" xr:uid="{00000000-0005-0000-0000-0000720F0000}"/>
    <cellStyle name="Normal 2 4 2 4 3 7 2" xfId="13128" xr:uid="{E647FB9D-36B7-4075-B073-586334959DD1}"/>
    <cellStyle name="Normal 2 4 2 4 3 8" xfId="8910" xr:uid="{9FCFBE38-D6FB-4AD3-89DD-1E19FD7DFF5B}"/>
    <cellStyle name="Normal 2 4 2 4 4" xfId="780" xr:uid="{00000000-0005-0000-0000-0000730F0000}"/>
    <cellStyle name="Normal 2 4 2 4 4 2" xfId="3019" xr:uid="{00000000-0005-0000-0000-0000740F0000}"/>
    <cellStyle name="Normal 2 4 2 4 4 2 2" xfId="7242" xr:uid="{00000000-0005-0000-0000-0000750F0000}"/>
    <cellStyle name="Normal 2 4 2 4 4 2 2 2" xfId="15684" xr:uid="{E67043DF-3485-4E58-B1A8-5B9C2FD04542}"/>
    <cellStyle name="Normal 2 4 2 4 4 2 3" xfId="11466" xr:uid="{2F0388B1-ABBA-42BF-8AD3-2A212F803397}"/>
    <cellStyle name="Normal 2 4 2 4 4 3" xfId="5097" xr:uid="{00000000-0005-0000-0000-0000760F0000}"/>
    <cellStyle name="Normal 2 4 2 4 4 3 2" xfId="13539" xr:uid="{99EA02A6-404D-43A4-885F-E120FFCE96BF}"/>
    <cellStyle name="Normal 2 4 2 4 4 4" xfId="9321" xr:uid="{027C9E79-D71F-4C18-92E1-4A27A472B7A0}"/>
    <cellStyle name="Normal 2 4 2 4 5" xfId="1202" xr:uid="{00000000-0005-0000-0000-0000770F0000}"/>
    <cellStyle name="Normal 2 4 2 4 5 2" xfId="3432" xr:uid="{00000000-0005-0000-0000-0000780F0000}"/>
    <cellStyle name="Normal 2 4 2 4 5 2 2" xfId="7655" xr:uid="{00000000-0005-0000-0000-0000790F0000}"/>
    <cellStyle name="Normal 2 4 2 4 5 2 2 2" xfId="16097" xr:uid="{0A4B8D0E-AB98-42B6-BA7D-2D16622E4FF4}"/>
    <cellStyle name="Normal 2 4 2 4 5 2 3" xfId="11879" xr:uid="{ECEAEAC4-2F48-43CA-8915-161BFFE188EF}"/>
    <cellStyle name="Normal 2 4 2 4 5 3" xfId="5510" xr:uid="{00000000-0005-0000-0000-00007A0F0000}"/>
    <cellStyle name="Normal 2 4 2 4 5 3 2" xfId="13952" xr:uid="{F16AC123-0503-4A6E-99BA-32F728BDC8F1}"/>
    <cellStyle name="Normal 2 4 2 4 5 4" xfId="9734" xr:uid="{834DD9D7-3313-492A-A07A-D65400B3C9FC}"/>
    <cellStyle name="Normal 2 4 2 4 6" xfId="1615" xr:uid="{00000000-0005-0000-0000-00007B0F0000}"/>
    <cellStyle name="Normal 2 4 2 4 6 2" xfId="3845" xr:uid="{00000000-0005-0000-0000-00007C0F0000}"/>
    <cellStyle name="Normal 2 4 2 4 6 2 2" xfId="8068" xr:uid="{00000000-0005-0000-0000-00007D0F0000}"/>
    <cellStyle name="Normal 2 4 2 4 6 2 2 2" xfId="16510" xr:uid="{CD8C23D4-82BF-496D-9AEB-8F2B24C31726}"/>
    <cellStyle name="Normal 2 4 2 4 6 2 3" xfId="12292" xr:uid="{1E88B092-6398-4B9E-8E20-FDF2FF85A500}"/>
    <cellStyle name="Normal 2 4 2 4 6 3" xfId="5923" xr:uid="{00000000-0005-0000-0000-00007E0F0000}"/>
    <cellStyle name="Normal 2 4 2 4 6 3 2" xfId="14365" xr:uid="{E3DE04A9-AEE0-450F-88BD-C92249CDF7E5}"/>
    <cellStyle name="Normal 2 4 2 4 6 4" xfId="10147" xr:uid="{E228670F-C88C-4387-A059-A18B16538239}"/>
    <cellStyle name="Normal 2 4 2 4 7" xfId="2029" xr:uid="{00000000-0005-0000-0000-00007F0F0000}"/>
    <cellStyle name="Normal 2 4 2 4 7 2" xfId="4258" xr:uid="{00000000-0005-0000-0000-0000800F0000}"/>
    <cellStyle name="Normal 2 4 2 4 7 2 2" xfId="8481" xr:uid="{00000000-0005-0000-0000-0000810F0000}"/>
    <cellStyle name="Normal 2 4 2 4 7 2 2 2" xfId="16923" xr:uid="{8D9452DE-450F-4AEE-9E25-18E3EE8FE147}"/>
    <cellStyle name="Normal 2 4 2 4 7 2 3" xfId="12705" xr:uid="{ED98C65C-4572-463B-8963-50C0FA706BAA}"/>
    <cellStyle name="Normal 2 4 2 4 7 3" xfId="6336" xr:uid="{00000000-0005-0000-0000-0000820F0000}"/>
    <cellStyle name="Normal 2 4 2 4 7 3 2" xfId="14778" xr:uid="{F9466C77-698F-4EB1-80A5-E3398B68085B}"/>
    <cellStyle name="Normal 2 4 2 4 7 4" xfId="10560" xr:uid="{6A78DCE9-C976-4068-95AE-5520F4D84AED}"/>
    <cellStyle name="Normal 2 4 2 4 8" xfId="2465" xr:uid="{00000000-0005-0000-0000-0000830F0000}"/>
    <cellStyle name="Normal 2 4 2 4 8 2" xfId="6749" xr:uid="{00000000-0005-0000-0000-0000840F0000}"/>
    <cellStyle name="Normal 2 4 2 4 8 2 2" xfId="15191" xr:uid="{90A126E4-401B-4920-84F9-7A3C6155BD81}"/>
    <cellStyle name="Normal 2 4 2 4 8 3" xfId="10973" xr:uid="{A91621B6-9BA4-41AB-95EB-6F902E5AF68C}"/>
    <cellStyle name="Normal 2 4 2 4 9" xfId="4683" xr:uid="{00000000-0005-0000-0000-0000850F0000}"/>
    <cellStyle name="Normal 2 4 2 4 9 2" xfId="13125" xr:uid="{678451D6-49D4-4881-9BBE-BDB78A02A8F4}"/>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2 2 2" xfId="15689" xr:uid="{7F529B7B-41AB-4F1F-BC74-9BCC06D0A1EF}"/>
    <cellStyle name="Normal 2 4 2 5 2 2 2 3" xfId="11471" xr:uid="{AA4F738D-E6A7-44ED-99D4-CB78084A4AC7}"/>
    <cellStyle name="Normal 2 4 2 5 2 2 3" xfId="5102" xr:uid="{00000000-0005-0000-0000-00008B0F0000}"/>
    <cellStyle name="Normal 2 4 2 5 2 2 3 2" xfId="13544" xr:uid="{57CF9806-CB3E-4214-930F-B488D7018AA6}"/>
    <cellStyle name="Normal 2 4 2 5 2 2 4" xfId="9326" xr:uid="{48F773D1-150B-4481-A10C-9F9912C6A2C4}"/>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2 2 2" xfId="16102" xr:uid="{530A3FEB-41A2-4066-B907-2CE13A81C12E}"/>
    <cellStyle name="Normal 2 4 2 5 2 3 2 3" xfId="11884" xr:uid="{DDCADF2B-0EB9-48E7-9171-BC3B02FAEBA4}"/>
    <cellStyle name="Normal 2 4 2 5 2 3 3" xfId="5515" xr:uid="{00000000-0005-0000-0000-00008F0F0000}"/>
    <cellStyle name="Normal 2 4 2 5 2 3 3 2" xfId="13957" xr:uid="{D416716A-A80C-4B6D-AEB7-297B9CB5333F}"/>
    <cellStyle name="Normal 2 4 2 5 2 3 4" xfId="9739" xr:uid="{B449C107-FF2E-4CF2-BD70-13B103BFF2BE}"/>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2 2 2" xfId="16515" xr:uid="{E9C92B82-F305-40EA-951C-A41357A1D2CB}"/>
    <cellStyle name="Normal 2 4 2 5 2 4 2 3" xfId="12297" xr:uid="{FC3D538D-CBA5-405D-8833-D93F04C896A9}"/>
    <cellStyle name="Normal 2 4 2 5 2 4 3" xfId="5928" xr:uid="{00000000-0005-0000-0000-0000930F0000}"/>
    <cellStyle name="Normal 2 4 2 5 2 4 3 2" xfId="14370" xr:uid="{C4B624D0-C966-4D9E-B756-4134BC8FBC6E}"/>
    <cellStyle name="Normal 2 4 2 5 2 4 4" xfId="10152" xr:uid="{14BAEA59-CBC5-482E-B428-2A47E7D82577}"/>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2 2 2" xfId="16928" xr:uid="{22F37E88-66C3-412F-AA20-A87DF9BA37CF}"/>
    <cellStyle name="Normal 2 4 2 5 2 5 2 3" xfId="12710" xr:uid="{930E1179-7A67-46C5-AD8A-79D93D3364D8}"/>
    <cellStyle name="Normal 2 4 2 5 2 5 3" xfId="6341" xr:uid="{00000000-0005-0000-0000-0000970F0000}"/>
    <cellStyle name="Normal 2 4 2 5 2 5 3 2" xfId="14783" xr:uid="{2F940615-D661-4CC5-ACF0-F3BC3F24541A}"/>
    <cellStyle name="Normal 2 4 2 5 2 5 4" xfId="10565" xr:uid="{B23EDF03-F1B4-4337-8AF3-F9DD449EC19A}"/>
    <cellStyle name="Normal 2 4 2 5 2 6" xfId="2470" xr:uid="{00000000-0005-0000-0000-0000980F0000}"/>
    <cellStyle name="Normal 2 4 2 5 2 6 2" xfId="6754" xr:uid="{00000000-0005-0000-0000-0000990F0000}"/>
    <cellStyle name="Normal 2 4 2 5 2 6 2 2" xfId="15196" xr:uid="{B479B6F9-1B7A-4A15-956E-DAFA737F866A}"/>
    <cellStyle name="Normal 2 4 2 5 2 6 3" xfId="10978" xr:uid="{B1665BB7-9B0A-4264-8E2D-157708BFE962}"/>
    <cellStyle name="Normal 2 4 2 5 2 7" xfId="4688" xr:uid="{00000000-0005-0000-0000-00009A0F0000}"/>
    <cellStyle name="Normal 2 4 2 5 2 7 2" xfId="13130" xr:uid="{C3DB26A4-E023-4508-9847-B2E421BC9B03}"/>
    <cellStyle name="Normal 2 4 2 5 2 8" xfId="8912" xr:uid="{FE7BF67E-9019-46EF-9A60-258285C20DB9}"/>
    <cellStyle name="Normal 2 4 2 5 3" xfId="784" xr:uid="{00000000-0005-0000-0000-00009B0F0000}"/>
    <cellStyle name="Normal 2 4 2 5 3 2" xfId="3023" xr:uid="{00000000-0005-0000-0000-00009C0F0000}"/>
    <cellStyle name="Normal 2 4 2 5 3 2 2" xfId="7246" xr:uid="{00000000-0005-0000-0000-00009D0F0000}"/>
    <cellStyle name="Normal 2 4 2 5 3 2 2 2" xfId="15688" xr:uid="{0F7EF796-DEAF-4AB6-B9C2-92421A4AECC7}"/>
    <cellStyle name="Normal 2 4 2 5 3 2 3" xfId="11470" xr:uid="{D97FCA1E-7149-49FD-9F27-815E0699DF6A}"/>
    <cellStyle name="Normal 2 4 2 5 3 3" xfId="5101" xr:uid="{00000000-0005-0000-0000-00009E0F0000}"/>
    <cellStyle name="Normal 2 4 2 5 3 3 2" xfId="13543" xr:uid="{91412973-61BB-469D-8FDE-F6B1DBB5FCBC}"/>
    <cellStyle name="Normal 2 4 2 5 3 4" xfId="9325" xr:uid="{E71D83B3-AAA1-4DD4-B95D-4B744256E92A}"/>
    <cellStyle name="Normal 2 4 2 5 4" xfId="1206" xr:uid="{00000000-0005-0000-0000-00009F0F0000}"/>
    <cellStyle name="Normal 2 4 2 5 4 2" xfId="3436" xr:uid="{00000000-0005-0000-0000-0000A00F0000}"/>
    <cellStyle name="Normal 2 4 2 5 4 2 2" xfId="7659" xr:uid="{00000000-0005-0000-0000-0000A10F0000}"/>
    <cellStyle name="Normal 2 4 2 5 4 2 2 2" xfId="16101" xr:uid="{B24F46FD-F997-4578-B798-29FF23C5DD52}"/>
    <cellStyle name="Normal 2 4 2 5 4 2 3" xfId="11883" xr:uid="{21E87CD8-982E-42C2-8AD3-44FB799E56CB}"/>
    <cellStyle name="Normal 2 4 2 5 4 3" xfId="5514" xr:uid="{00000000-0005-0000-0000-0000A20F0000}"/>
    <cellStyle name="Normal 2 4 2 5 4 3 2" xfId="13956" xr:uid="{B733B893-495A-4C46-8118-2A92C169ABEE}"/>
    <cellStyle name="Normal 2 4 2 5 4 4" xfId="9738" xr:uid="{41E965A8-8F77-4B3F-9A54-97457F8B0C69}"/>
    <cellStyle name="Normal 2 4 2 5 5" xfId="1619" xr:uid="{00000000-0005-0000-0000-0000A30F0000}"/>
    <cellStyle name="Normal 2 4 2 5 5 2" xfId="3849" xr:uid="{00000000-0005-0000-0000-0000A40F0000}"/>
    <cellStyle name="Normal 2 4 2 5 5 2 2" xfId="8072" xr:uid="{00000000-0005-0000-0000-0000A50F0000}"/>
    <cellStyle name="Normal 2 4 2 5 5 2 2 2" xfId="16514" xr:uid="{51EA9524-67A0-402A-BAD4-3B5B16A61625}"/>
    <cellStyle name="Normal 2 4 2 5 5 2 3" xfId="12296" xr:uid="{21035543-EA6F-46C1-94BA-B3EADFB22A13}"/>
    <cellStyle name="Normal 2 4 2 5 5 3" xfId="5927" xr:uid="{00000000-0005-0000-0000-0000A60F0000}"/>
    <cellStyle name="Normal 2 4 2 5 5 3 2" xfId="14369" xr:uid="{7BA7FC1F-D5F9-4DC7-835A-B6A4879D9F5A}"/>
    <cellStyle name="Normal 2 4 2 5 5 4" xfId="10151" xr:uid="{8BFF9E32-9630-4315-9228-1500650074DD}"/>
    <cellStyle name="Normal 2 4 2 5 6" xfId="2033" xr:uid="{00000000-0005-0000-0000-0000A70F0000}"/>
    <cellStyle name="Normal 2 4 2 5 6 2" xfId="4262" xr:uid="{00000000-0005-0000-0000-0000A80F0000}"/>
    <cellStyle name="Normal 2 4 2 5 6 2 2" xfId="8485" xr:uid="{00000000-0005-0000-0000-0000A90F0000}"/>
    <cellStyle name="Normal 2 4 2 5 6 2 2 2" xfId="16927" xr:uid="{6C55F3F9-A7BB-407F-B5B5-8684B86C5D41}"/>
    <cellStyle name="Normal 2 4 2 5 6 2 3" xfId="12709" xr:uid="{013935C5-0683-490D-ACF9-F9FF12D80583}"/>
    <cellStyle name="Normal 2 4 2 5 6 3" xfId="6340" xr:uid="{00000000-0005-0000-0000-0000AA0F0000}"/>
    <cellStyle name="Normal 2 4 2 5 6 3 2" xfId="14782" xr:uid="{0BF8EE71-1F2C-479E-88D2-5045FEF52804}"/>
    <cellStyle name="Normal 2 4 2 5 6 4" xfId="10564" xr:uid="{A2D263C8-81E2-4729-9942-57B42BFE970C}"/>
    <cellStyle name="Normal 2 4 2 5 7" xfId="2469" xr:uid="{00000000-0005-0000-0000-0000AB0F0000}"/>
    <cellStyle name="Normal 2 4 2 5 7 2" xfId="6753" xr:uid="{00000000-0005-0000-0000-0000AC0F0000}"/>
    <cellStyle name="Normal 2 4 2 5 7 2 2" xfId="15195" xr:uid="{56D951AF-4D37-427C-ACEF-E169B40A7CE1}"/>
    <cellStyle name="Normal 2 4 2 5 7 3" xfId="10977" xr:uid="{3FF64309-FE83-4507-8814-A1F4B426A334}"/>
    <cellStyle name="Normal 2 4 2 5 8" xfId="4687" xr:uid="{00000000-0005-0000-0000-0000AD0F0000}"/>
    <cellStyle name="Normal 2 4 2 5 8 2" xfId="13129" xr:uid="{D6707576-BD21-4571-9F56-14F0F7C26F86}"/>
    <cellStyle name="Normal 2 4 2 5 9" xfId="8911" xr:uid="{2BDEE84B-C7DB-4347-8CEC-F1BCA29C9F58}"/>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2 2 2" xfId="15690" xr:uid="{7869389A-0593-4FCB-977C-324369BE7139}"/>
    <cellStyle name="Normal 2 4 2 6 2 2 3" xfId="11472" xr:uid="{0057E7F7-6F7E-4A47-90A6-0559CBD5AC00}"/>
    <cellStyle name="Normal 2 4 2 6 2 3" xfId="5103" xr:uid="{00000000-0005-0000-0000-0000B20F0000}"/>
    <cellStyle name="Normal 2 4 2 6 2 3 2" xfId="13545" xr:uid="{7AA66586-8015-453A-9844-39BA4B688917}"/>
    <cellStyle name="Normal 2 4 2 6 2 4" xfId="9327" xr:uid="{77EAD9CF-3F4F-4191-8EF3-278EACC63103}"/>
    <cellStyle name="Normal 2 4 2 6 3" xfId="1208" xr:uid="{00000000-0005-0000-0000-0000B30F0000}"/>
    <cellStyle name="Normal 2 4 2 6 3 2" xfId="3438" xr:uid="{00000000-0005-0000-0000-0000B40F0000}"/>
    <cellStyle name="Normal 2 4 2 6 3 2 2" xfId="7661" xr:uid="{00000000-0005-0000-0000-0000B50F0000}"/>
    <cellStyle name="Normal 2 4 2 6 3 2 2 2" xfId="16103" xr:uid="{0C223687-9A7D-42E8-B6B2-F0F56B8D6308}"/>
    <cellStyle name="Normal 2 4 2 6 3 2 3" xfId="11885" xr:uid="{D1C6D152-A10A-4964-8864-C6118D154EFB}"/>
    <cellStyle name="Normal 2 4 2 6 3 3" xfId="5516" xr:uid="{00000000-0005-0000-0000-0000B60F0000}"/>
    <cellStyle name="Normal 2 4 2 6 3 3 2" xfId="13958" xr:uid="{736CEA0B-4595-4623-B617-4E7D28E7BD20}"/>
    <cellStyle name="Normal 2 4 2 6 3 4" xfId="9740" xr:uid="{794BB5EE-F90C-4053-BCC0-8AFF47FA2B59}"/>
    <cellStyle name="Normal 2 4 2 6 4" xfId="1621" xr:uid="{00000000-0005-0000-0000-0000B70F0000}"/>
    <cellStyle name="Normal 2 4 2 6 4 2" xfId="3851" xr:uid="{00000000-0005-0000-0000-0000B80F0000}"/>
    <cellStyle name="Normal 2 4 2 6 4 2 2" xfId="8074" xr:uid="{00000000-0005-0000-0000-0000B90F0000}"/>
    <cellStyle name="Normal 2 4 2 6 4 2 2 2" xfId="16516" xr:uid="{6B0D0350-F96D-48E1-ADAD-3FA1EF86B539}"/>
    <cellStyle name="Normal 2 4 2 6 4 2 3" xfId="12298" xr:uid="{210D9237-D3F2-4212-94D6-6F2D09E09EE6}"/>
    <cellStyle name="Normal 2 4 2 6 4 3" xfId="5929" xr:uid="{00000000-0005-0000-0000-0000BA0F0000}"/>
    <cellStyle name="Normal 2 4 2 6 4 3 2" xfId="14371" xr:uid="{E3BEEA1E-ED11-4839-A286-90E0182DBDC5}"/>
    <cellStyle name="Normal 2 4 2 6 4 4" xfId="10153" xr:uid="{72543E9E-F8F5-42C0-9D28-6DE87D52D203}"/>
    <cellStyle name="Normal 2 4 2 6 5" xfId="2035" xr:uid="{00000000-0005-0000-0000-0000BB0F0000}"/>
    <cellStyle name="Normal 2 4 2 6 5 2" xfId="4264" xr:uid="{00000000-0005-0000-0000-0000BC0F0000}"/>
    <cellStyle name="Normal 2 4 2 6 5 2 2" xfId="8487" xr:uid="{00000000-0005-0000-0000-0000BD0F0000}"/>
    <cellStyle name="Normal 2 4 2 6 5 2 2 2" xfId="16929" xr:uid="{784333E8-C3B6-4E05-BFAD-B70EEEC3262B}"/>
    <cellStyle name="Normal 2 4 2 6 5 2 3" xfId="12711" xr:uid="{BC2B6F0A-7878-4429-84E7-A82AEF885530}"/>
    <cellStyle name="Normal 2 4 2 6 5 3" xfId="6342" xr:uid="{00000000-0005-0000-0000-0000BE0F0000}"/>
    <cellStyle name="Normal 2 4 2 6 5 3 2" xfId="14784" xr:uid="{BB92993A-FFDE-4062-B414-11CC00BA71BF}"/>
    <cellStyle name="Normal 2 4 2 6 5 4" xfId="10566" xr:uid="{5AFB23F4-A27A-4AA2-80F8-F13942BC7BEF}"/>
    <cellStyle name="Normal 2 4 2 6 6" xfId="2471" xr:uid="{00000000-0005-0000-0000-0000BF0F0000}"/>
    <cellStyle name="Normal 2 4 2 6 6 2" xfId="6755" xr:uid="{00000000-0005-0000-0000-0000C00F0000}"/>
    <cellStyle name="Normal 2 4 2 6 6 2 2" xfId="15197" xr:uid="{954D6956-578D-4F2C-B0E7-29ABC569586F}"/>
    <cellStyle name="Normal 2 4 2 6 6 3" xfId="10979" xr:uid="{BA3D7C9E-E75B-4097-8E89-E90220216642}"/>
    <cellStyle name="Normal 2 4 2 6 7" xfId="4689" xr:uid="{00000000-0005-0000-0000-0000C10F0000}"/>
    <cellStyle name="Normal 2 4 2 6 7 2" xfId="13131" xr:uid="{BC07DA45-DC63-4617-8FDA-3839C7B10AD7}"/>
    <cellStyle name="Normal 2 4 2 6 8" xfId="8913" xr:uid="{7A6CC8B9-455C-48E6-8519-DBD6F4BBFE36}"/>
    <cellStyle name="Normal 2 4 2 7" xfId="771" xr:uid="{00000000-0005-0000-0000-0000C20F0000}"/>
    <cellStyle name="Normal 2 4 2 7 2" xfId="3010" xr:uid="{00000000-0005-0000-0000-0000C30F0000}"/>
    <cellStyle name="Normal 2 4 2 7 2 2" xfId="7233" xr:uid="{00000000-0005-0000-0000-0000C40F0000}"/>
    <cellStyle name="Normal 2 4 2 7 2 2 2" xfId="15675" xr:uid="{0D4F7306-BE8A-4877-9CEB-4F2C9809BBB8}"/>
    <cellStyle name="Normal 2 4 2 7 2 3" xfId="11457" xr:uid="{B42B7B39-4576-431F-8047-B0848FD5FE95}"/>
    <cellStyle name="Normal 2 4 2 7 3" xfId="5088" xr:uid="{00000000-0005-0000-0000-0000C50F0000}"/>
    <cellStyle name="Normal 2 4 2 7 3 2" xfId="13530" xr:uid="{5850574A-20E4-4327-B780-4C46A7733F06}"/>
    <cellStyle name="Normal 2 4 2 7 4" xfId="9312" xr:uid="{A8726E00-4717-46D8-80B3-0BA0E7BC22F8}"/>
    <cellStyle name="Normal 2 4 2 8" xfId="1193" xr:uid="{00000000-0005-0000-0000-0000C60F0000}"/>
    <cellStyle name="Normal 2 4 2 8 2" xfId="3423" xr:uid="{00000000-0005-0000-0000-0000C70F0000}"/>
    <cellStyle name="Normal 2 4 2 8 2 2" xfId="7646" xr:uid="{00000000-0005-0000-0000-0000C80F0000}"/>
    <cellStyle name="Normal 2 4 2 8 2 2 2" xfId="16088" xr:uid="{B380AB76-D5B1-4FF8-91C9-30B016F34404}"/>
    <cellStyle name="Normal 2 4 2 8 2 3" xfId="11870" xr:uid="{7A2A028F-C4AA-42E3-93F3-B30FFCC25DFE}"/>
    <cellStyle name="Normal 2 4 2 8 3" xfId="5501" xr:uid="{00000000-0005-0000-0000-0000C90F0000}"/>
    <cellStyle name="Normal 2 4 2 8 3 2" xfId="13943" xr:uid="{FB790F4C-6AAD-4D99-82C8-281DA8B1E035}"/>
    <cellStyle name="Normal 2 4 2 8 4" xfId="9725" xr:uid="{ADBBB99F-FC30-4887-82C6-A5771E75FAB4}"/>
    <cellStyle name="Normal 2 4 2 9" xfId="1606" xr:uid="{00000000-0005-0000-0000-0000CA0F0000}"/>
    <cellStyle name="Normal 2 4 2 9 2" xfId="3836" xr:uid="{00000000-0005-0000-0000-0000CB0F0000}"/>
    <cellStyle name="Normal 2 4 2 9 2 2" xfId="8059" xr:uid="{00000000-0005-0000-0000-0000CC0F0000}"/>
    <cellStyle name="Normal 2 4 2 9 2 2 2" xfId="16501" xr:uid="{1EB0656F-0A48-4FB9-9483-8CFC35E08520}"/>
    <cellStyle name="Normal 2 4 2 9 2 3" xfId="12283" xr:uid="{3EDE0FEA-ED4A-420E-B817-89123E050B06}"/>
    <cellStyle name="Normal 2 4 2 9 3" xfId="5914" xr:uid="{00000000-0005-0000-0000-0000CD0F0000}"/>
    <cellStyle name="Normal 2 4 2 9 3 2" xfId="14356" xr:uid="{A74B2DFE-2E33-4869-B1E4-F60FB81B472A}"/>
    <cellStyle name="Normal 2 4 2 9 4" xfId="10138" xr:uid="{54B52D23-A049-4627-8AB5-94EBA632C4F8}"/>
    <cellStyle name="Normal 2 4 3" xfId="296" xr:uid="{00000000-0005-0000-0000-0000CE0F0000}"/>
    <cellStyle name="Normal 2 4 3 10" xfId="8914" xr:uid="{1D4E6C3B-04D5-4AF1-B0A5-C26AE552B194}"/>
    <cellStyle name="Normal 2 4 3 2" xfId="297" xr:uid="{00000000-0005-0000-0000-0000CF0F0000}"/>
    <cellStyle name="Normal 2 4 3 3" xfId="298" xr:uid="{00000000-0005-0000-0000-0000D00F0000}"/>
    <cellStyle name="Normal 2 4 3 3 10" xfId="8915" xr:uid="{FCDACC60-696A-4FDE-AADD-AA462F87EBD6}"/>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2 2 2" xfId="15694" xr:uid="{1CBB109A-381E-4F60-ABC5-DD3A5130902E}"/>
    <cellStyle name="Normal 2 4 3 3 2 2 2 2 3" xfId="11476" xr:uid="{D45198FA-D856-41F8-9555-E55AE2266572}"/>
    <cellStyle name="Normal 2 4 3 3 2 2 2 3" xfId="5107" xr:uid="{00000000-0005-0000-0000-0000D60F0000}"/>
    <cellStyle name="Normal 2 4 3 3 2 2 2 3 2" xfId="13549" xr:uid="{2EEE9A5F-1AA2-4674-AB9D-534199497646}"/>
    <cellStyle name="Normal 2 4 3 3 2 2 2 4" xfId="9331" xr:uid="{9CFB4A82-2335-41C7-8687-05D68274F3E1}"/>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2 2 2" xfId="16107" xr:uid="{F4E2420F-B6FD-4E64-9CB5-2B2938D5EE4E}"/>
    <cellStyle name="Normal 2 4 3 3 2 2 3 2 3" xfId="11889" xr:uid="{ADDBEB36-024A-4CB6-9D61-8D3E9298BC81}"/>
    <cellStyle name="Normal 2 4 3 3 2 2 3 3" xfId="5520" xr:uid="{00000000-0005-0000-0000-0000DA0F0000}"/>
    <cellStyle name="Normal 2 4 3 3 2 2 3 3 2" xfId="13962" xr:uid="{16FF158A-57CA-4B0D-BBDD-A5E46D16FA33}"/>
    <cellStyle name="Normal 2 4 3 3 2 2 3 4" xfId="9744" xr:uid="{CAE58F62-8E59-4E29-81F5-AE591D2181E6}"/>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2 2 2" xfId="16520" xr:uid="{FE8C04AA-A0F5-4D5E-9054-3E5594E0A2DB}"/>
    <cellStyle name="Normal 2 4 3 3 2 2 4 2 3" xfId="12302" xr:uid="{2EC65E4C-BF4A-47A6-8606-5D11CFD505E2}"/>
    <cellStyle name="Normal 2 4 3 3 2 2 4 3" xfId="5933" xr:uid="{00000000-0005-0000-0000-0000DE0F0000}"/>
    <cellStyle name="Normal 2 4 3 3 2 2 4 3 2" xfId="14375" xr:uid="{2D818544-F72C-434B-8BCB-4AEDE9D7000B}"/>
    <cellStyle name="Normal 2 4 3 3 2 2 4 4" xfId="10157" xr:uid="{B21F5F2F-1583-4AFF-B8DE-76FE487CCD3C}"/>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2 2 2" xfId="16933" xr:uid="{C8D41D09-A969-483D-8B55-D9A9C2049CA0}"/>
    <cellStyle name="Normal 2 4 3 3 2 2 5 2 3" xfId="12715" xr:uid="{75C75AA7-1DB2-490D-8A61-6131C85AF8BA}"/>
    <cellStyle name="Normal 2 4 3 3 2 2 5 3" xfId="6346" xr:uid="{00000000-0005-0000-0000-0000E20F0000}"/>
    <cellStyle name="Normal 2 4 3 3 2 2 5 3 2" xfId="14788" xr:uid="{5872B8A5-6972-4CBA-9D48-FF24C692B272}"/>
    <cellStyle name="Normal 2 4 3 3 2 2 5 4" xfId="10570" xr:uid="{D09C7E23-600A-4FD7-A18C-86D6ABF3BE67}"/>
    <cellStyle name="Normal 2 4 3 3 2 2 6" xfId="2475" xr:uid="{00000000-0005-0000-0000-0000E30F0000}"/>
    <cellStyle name="Normal 2 4 3 3 2 2 6 2" xfId="6759" xr:uid="{00000000-0005-0000-0000-0000E40F0000}"/>
    <cellStyle name="Normal 2 4 3 3 2 2 6 2 2" xfId="15201" xr:uid="{6CBF4BBC-8A36-4DA1-B990-15296F42C2AF}"/>
    <cellStyle name="Normal 2 4 3 3 2 2 6 3" xfId="10983" xr:uid="{3BD999C4-FD7E-45BF-A33E-A8A06C058C10}"/>
    <cellStyle name="Normal 2 4 3 3 2 2 7" xfId="4693" xr:uid="{00000000-0005-0000-0000-0000E50F0000}"/>
    <cellStyle name="Normal 2 4 3 3 2 2 7 2" xfId="13135" xr:uid="{098F586E-14B9-47A7-B20D-8ECA8F124523}"/>
    <cellStyle name="Normal 2 4 3 3 2 2 8" xfId="8917" xr:uid="{E63F2641-A873-4E21-8F18-5C113364F881}"/>
    <cellStyle name="Normal 2 4 3 3 2 3" xfId="789" xr:uid="{00000000-0005-0000-0000-0000E60F0000}"/>
    <cellStyle name="Normal 2 4 3 3 2 3 2" xfId="3028" xr:uid="{00000000-0005-0000-0000-0000E70F0000}"/>
    <cellStyle name="Normal 2 4 3 3 2 3 2 2" xfId="7251" xr:uid="{00000000-0005-0000-0000-0000E80F0000}"/>
    <cellStyle name="Normal 2 4 3 3 2 3 2 2 2" xfId="15693" xr:uid="{9AF9CCF0-541E-4F17-B240-ED173CCD5D8E}"/>
    <cellStyle name="Normal 2 4 3 3 2 3 2 3" xfId="11475" xr:uid="{341DAA2C-7B59-4FB3-9933-C32901A20B06}"/>
    <cellStyle name="Normal 2 4 3 3 2 3 3" xfId="5106" xr:uid="{00000000-0005-0000-0000-0000E90F0000}"/>
    <cellStyle name="Normal 2 4 3 3 2 3 3 2" xfId="13548" xr:uid="{93E5A29F-BC17-4945-B644-FC854DD216A6}"/>
    <cellStyle name="Normal 2 4 3 3 2 3 4" xfId="9330" xr:uid="{8386E294-FA60-4A7E-8264-0D3FAA485CDA}"/>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2 2 2" xfId="16106" xr:uid="{80197C4C-1CC3-4045-BB9F-5CB2270709DD}"/>
    <cellStyle name="Normal 2 4 3 3 2 4 2 3" xfId="11888" xr:uid="{80E7A84B-E234-4609-95F8-9C186070D983}"/>
    <cellStyle name="Normal 2 4 3 3 2 4 3" xfId="5519" xr:uid="{00000000-0005-0000-0000-0000ED0F0000}"/>
    <cellStyle name="Normal 2 4 3 3 2 4 3 2" xfId="13961" xr:uid="{30131A0B-F9D4-4607-BD67-401BBBA68E7E}"/>
    <cellStyle name="Normal 2 4 3 3 2 4 4" xfId="9743" xr:uid="{9AF7FABD-F4C9-4205-8D01-CE9F788A45E2}"/>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2 2 2" xfId="16519" xr:uid="{992A92D9-F960-41BE-90EA-A4BA202F8615}"/>
    <cellStyle name="Normal 2 4 3 3 2 5 2 3" xfId="12301" xr:uid="{6CD95868-BF1D-454C-B719-FF0F8DAFF50E}"/>
    <cellStyle name="Normal 2 4 3 3 2 5 3" xfId="5932" xr:uid="{00000000-0005-0000-0000-0000F10F0000}"/>
    <cellStyle name="Normal 2 4 3 3 2 5 3 2" xfId="14374" xr:uid="{44D4041F-95A4-4E3F-BE1B-3994C04A920D}"/>
    <cellStyle name="Normal 2 4 3 3 2 5 4" xfId="10156" xr:uid="{DDF0DA1C-369F-43E0-86D5-C0FD20C6820B}"/>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2 2 2" xfId="16932" xr:uid="{11F977BF-926A-4CDC-87C0-363A33151972}"/>
    <cellStyle name="Normal 2 4 3 3 2 6 2 3" xfId="12714" xr:uid="{E6208EBD-5B4C-475B-BC34-7396C020D820}"/>
    <cellStyle name="Normal 2 4 3 3 2 6 3" xfId="6345" xr:uid="{00000000-0005-0000-0000-0000F50F0000}"/>
    <cellStyle name="Normal 2 4 3 3 2 6 3 2" xfId="14787" xr:uid="{799B6890-8E86-41C2-A369-6CC624BD9C64}"/>
    <cellStyle name="Normal 2 4 3 3 2 6 4" xfId="10569" xr:uid="{0EBD4718-A486-4FBD-8D09-B579B26F7FC2}"/>
    <cellStyle name="Normal 2 4 3 3 2 7" xfId="2474" xr:uid="{00000000-0005-0000-0000-0000F60F0000}"/>
    <cellStyle name="Normal 2 4 3 3 2 7 2" xfId="6758" xr:uid="{00000000-0005-0000-0000-0000F70F0000}"/>
    <cellStyle name="Normal 2 4 3 3 2 7 2 2" xfId="15200" xr:uid="{BF39B79C-B569-4741-91E8-095410D9AC92}"/>
    <cellStyle name="Normal 2 4 3 3 2 7 3" xfId="10982" xr:uid="{5C7F31A8-5C9B-42CE-9A5C-AA8492B2EAAE}"/>
    <cellStyle name="Normal 2 4 3 3 2 8" xfId="4692" xr:uid="{00000000-0005-0000-0000-0000F80F0000}"/>
    <cellStyle name="Normal 2 4 3 3 2 8 2" xfId="13134" xr:uid="{A2611BC2-3A39-44C2-91F7-E685B67A36A2}"/>
    <cellStyle name="Normal 2 4 3 3 2 9" xfId="8916" xr:uid="{28DEC00A-B6EB-4F79-89C3-05BE68E3CD4A}"/>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2 2 2" xfId="15695" xr:uid="{AE0BFDE3-C1AE-43EF-B85D-F17F5B14036F}"/>
    <cellStyle name="Normal 2 4 3 3 3 2 2 3" xfId="11477" xr:uid="{2F2E4F6D-0A73-44B4-8FF6-5B5C0673F40D}"/>
    <cellStyle name="Normal 2 4 3 3 3 2 3" xfId="5108" xr:uid="{00000000-0005-0000-0000-0000FD0F0000}"/>
    <cellStyle name="Normal 2 4 3 3 3 2 3 2" xfId="13550" xr:uid="{30333C78-E0F4-4D51-B421-81E63AEE7B8F}"/>
    <cellStyle name="Normal 2 4 3 3 3 2 4" xfId="9332" xr:uid="{825DCE7D-AA7D-487C-89BE-E9D3D53943B7}"/>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2 2 2" xfId="16108" xr:uid="{BF26E3FF-26D3-4F9C-AC54-C9797992E94D}"/>
    <cellStyle name="Normal 2 4 3 3 3 3 2 3" xfId="11890" xr:uid="{3ABB0BD2-1465-46C4-98DE-635C5F971854}"/>
    <cellStyle name="Normal 2 4 3 3 3 3 3" xfId="5521" xr:uid="{00000000-0005-0000-0000-000001100000}"/>
    <cellStyle name="Normal 2 4 3 3 3 3 3 2" xfId="13963" xr:uid="{ACC97DA6-BCA0-43D2-93AC-85C5DCAC4417}"/>
    <cellStyle name="Normal 2 4 3 3 3 3 4" xfId="9745" xr:uid="{8F9265BF-866B-4D8F-99F4-5F8B5A13BB43}"/>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2 2 2" xfId="16521" xr:uid="{BF390540-176A-4E63-BA23-ADDDCA9A2C97}"/>
    <cellStyle name="Normal 2 4 3 3 3 4 2 3" xfId="12303" xr:uid="{AD182FE4-6957-4D56-A414-25BC9DE6302B}"/>
    <cellStyle name="Normal 2 4 3 3 3 4 3" xfId="5934" xr:uid="{00000000-0005-0000-0000-000005100000}"/>
    <cellStyle name="Normal 2 4 3 3 3 4 3 2" xfId="14376" xr:uid="{C590C9F3-520B-43ED-B734-92B752B3EA6F}"/>
    <cellStyle name="Normal 2 4 3 3 3 4 4" xfId="10158" xr:uid="{A0F68657-20B7-47FF-9EA2-7A2E531F484E}"/>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2 2 2" xfId="16934" xr:uid="{B84DF964-CC29-4413-A01F-C5361E19D37D}"/>
    <cellStyle name="Normal 2 4 3 3 3 5 2 3" xfId="12716" xr:uid="{15543859-5B41-4741-A16B-782DE1043F5B}"/>
    <cellStyle name="Normal 2 4 3 3 3 5 3" xfId="6347" xr:uid="{00000000-0005-0000-0000-000009100000}"/>
    <cellStyle name="Normal 2 4 3 3 3 5 3 2" xfId="14789" xr:uid="{F204F4D6-27BE-4FAC-9FD2-90F21D0615B6}"/>
    <cellStyle name="Normal 2 4 3 3 3 5 4" xfId="10571" xr:uid="{837C2A17-5766-4B37-B092-F515FF6F05B3}"/>
    <cellStyle name="Normal 2 4 3 3 3 6" xfId="2476" xr:uid="{00000000-0005-0000-0000-00000A100000}"/>
    <cellStyle name="Normal 2 4 3 3 3 6 2" xfId="6760" xr:uid="{00000000-0005-0000-0000-00000B100000}"/>
    <cellStyle name="Normal 2 4 3 3 3 6 2 2" xfId="15202" xr:uid="{9528DD79-B1E8-43E5-B7E3-203CE1EAFBCF}"/>
    <cellStyle name="Normal 2 4 3 3 3 6 3" xfId="10984" xr:uid="{46079B6F-6698-4088-A875-3CDF56EC6DB5}"/>
    <cellStyle name="Normal 2 4 3 3 3 7" xfId="4694" xr:uid="{00000000-0005-0000-0000-00000C100000}"/>
    <cellStyle name="Normal 2 4 3 3 3 7 2" xfId="13136" xr:uid="{C0434093-C2CE-4037-A405-8AA365A3B9D1}"/>
    <cellStyle name="Normal 2 4 3 3 3 8" xfId="8918" xr:uid="{D8FC7563-40FE-4152-9BCD-5B8C0F045AFC}"/>
    <cellStyle name="Normal 2 4 3 3 4" xfId="788" xr:uid="{00000000-0005-0000-0000-00000D100000}"/>
    <cellStyle name="Normal 2 4 3 3 4 2" xfId="3027" xr:uid="{00000000-0005-0000-0000-00000E100000}"/>
    <cellStyle name="Normal 2 4 3 3 4 2 2" xfId="7250" xr:uid="{00000000-0005-0000-0000-00000F100000}"/>
    <cellStyle name="Normal 2 4 3 3 4 2 2 2" xfId="15692" xr:uid="{FA6B204D-7288-4DEA-900B-3FA96F7F7637}"/>
    <cellStyle name="Normal 2 4 3 3 4 2 3" xfId="11474" xr:uid="{E44B0227-06C6-47ED-9BD7-614F51266C32}"/>
    <cellStyle name="Normal 2 4 3 3 4 3" xfId="5105" xr:uid="{00000000-0005-0000-0000-000010100000}"/>
    <cellStyle name="Normal 2 4 3 3 4 3 2" xfId="13547" xr:uid="{0BFB89DA-8B6F-40C4-B4BA-9885F5FB2E94}"/>
    <cellStyle name="Normal 2 4 3 3 4 4" xfId="9329" xr:uid="{DDB2199A-D78A-4223-9E22-6053E57B355A}"/>
    <cellStyle name="Normal 2 4 3 3 5" xfId="1210" xr:uid="{00000000-0005-0000-0000-000011100000}"/>
    <cellStyle name="Normal 2 4 3 3 5 2" xfId="3440" xr:uid="{00000000-0005-0000-0000-000012100000}"/>
    <cellStyle name="Normal 2 4 3 3 5 2 2" xfId="7663" xr:uid="{00000000-0005-0000-0000-000013100000}"/>
    <cellStyle name="Normal 2 4 3 3 5 2 2 2" xfId="16105" xr:uid="{217E6B6D-0036-4214-9C51-FFB0DFD45EDD}"/>
    <cellStyle name="Normal 2 4 3 3 5 2 3" xfId="11887" xr:uid="{E97789E3-57A7-4585-ADC4-158F66E0615A}"/>
    <cellStyle name="Normal 2 4 3 3 5 3" xfId="5518" xr:uid="{00000000-0005-0000-0000-000014100000}"/>
    <cellStyle name="Normal 2 4 3 3 5 3 2" xfId="13960" xr:uid="{21733BDB-68BF-4CB4-AB2A-D8BD8ECEA6C9}"/>
    <cellStyle name="Normal 2 4 3 3 5 4" xfId="9742" xr:uid="{673B679D-7369-49E5-9DBB-F29E21AFD63D}"/>
    <cellStyle name="Normal 2 4 3 3 6" xfId="1623" xr:uid="{00000000-0005-0000-0000-000015100000}"/>
    <cellStyle name="Normal 2 4 3 3 6 2" xfId="3853" xr:uid="{00000000-0005-0000-0000-000016100000}"/>
    <cellStyle name="Normal 2 4 3 3 6 2 2" xfId="8076" xr:uid="{00000000-0005-0000-0000-000017100000}"/>
    <cellStyle name="Normal 2 4 3 3 6 2 2 2" xfId="16518" xr:uid="{C8EF3C8D-E280-42F8-BA45-1DB3B227623B}"/>
    <cellStyle name="Normal 2 4 3 3 6 2 3" xfId="12300" xr:uid="{35F71ECF-3056-4125-82B7-0C625952DFE7}"/>
    <cellStyle name="Normal 2 4 3 3 6 3" xfId="5931" xr:uid="{00000000-0005-0000-0000-000018100000}"/>
    <cellStyle name="Normal 2 4 3 3 6 3 2" xfId="14373" xr:uid="{BE279EC1-6A4B-4AF2-A29B-DBA820714503}"/>
    <cellStyle name="Normal 2 4 3 3 6 4" xfId="10155" xr:uid="{27AFCBF5-7B1E-4436-8C1B-9E2F52138567}"/>
    <cellStyle name="Normal 2 4 3 3 7" xfId="2037" xr:uid="{00000000-0005-0000-0000-000019100000}"/>
    <cellStyle name="Normal 2 4 3 3 7 2" xfId="4266" xr:uid="{00000000-0005-0000-0000-00001A100000}"/>
    <cellStyle name="Normal 2 4 3 3 7 2 2" xfId="8489" xr:uid="{00000000-0005-0000-0000-00001B100000}"/>
    <cellStyle name="Normal 2 4 3 3 7 2 2 2" xfId="16931" xr:uid="{247D7034-9B86-4A21-8348-7424E55E6471}"/>
    <cellStyle name="Normal 2 4 3 3 7 2 3" xfId="12713" xr:uid="{E8BDF817-BB15-4BE1-BC04-CC8759280D62}"/>
    <cellStyle name="Normal 2 4 3 3 7 3" xfId="6344" xr:uid="{00000000-0005-0000-0000-00001C100000}"/>
    <cellStyle name="Normal 2 4 3 3 7 3 2" xfId="14786" xr:uid="{77459E57-53EC-436A-9532-7D76D7C9D572}"/>
    <cellStyle name="Normal 2 4 3 3 7 4" xfId="10568" xr:uid="{B0A1010A-2638-4714-821E-7A749F4717B1}"/>
    <cellStyle name="Normal 2 4 3 3 8" xfId="2473" xr:uid="{00000000-0005-0000-0000-00001D100000}"/>
    <cellStyle name="Normal 2 4 3 3 8 2" xfId="6757" xr:uid="{00000000-0005-0000-0000-00001E100000}"/>
    <cellStyle name="Normal 2 4 3 3 8 2 2" xfId="15199" xr:uid="{8B7C1480-B689-469C-89AE-8703BDBBB502}"/>
    <cellStyle name="Normal 2 4 3 3 8 3" xfId="10981" xr:uid="{132378F7-5214-498C-B919-79DB1E5A1557}"/>
    <cellStyle name="Normal 2 4 3 3 9" xfId="4691" xr:uid="{00000000-0005-0000-0000-00001F100000}"/>
    <cellStyle name="Normal 2 4 3 3 9 2" xfId="13133" xr:uid="{48706C9F-32ED-4CD0-B8B7-12EAFE1CC7DB}"/>
    <cellStyle name="Normal 2 4 3 4" xfId="787" xr:uid="{00000000-0005-0000-0000-000020100000}"/>
    <cellStyle name="Normal 2 4 3 4 2" xfId="3026" xr:uid="{00000000-0005-0000-0000-000021100000}"/>
    <cellStyle name="Normal 2 4 3 4 2 2" xfId="7249" xr:uid="{00000000-0005-0000-0000-000022100000}"/>
    <cellStyle name="Normal 2 4 3 4 2 2 2" xfId="15691" xr:uid="{6DC8429E-C894-4635-92E1-0B918D6B609D}"/>
    <cellStyle name="Normal 2 4 3 4 2 3" xfId="11473" xr:uid="{61C70DB5-8673-4435-98F0-F23CB98F85B5}"/>
    <cellStyle name="Normal 2 4 3 4 3" xfId="5104" xr:uid="{00000000-0005-0000-0000-000023100000}"/>
    <cellStyle name="Normal 2 4 3 4 3 2" xfId="13546" xr:uid="{93B65E66-9173-4293-9CB4-A362C4070752}"/>
    <cellStyle name="Normal 2 4 3 4 4" xfId="9328" xr:uid="{A3457783-CA59-4EA3-A755-64A5D693BA48}"/>
    <cellStyle name="Normal 2 4 3 5" xfId="1209" xr:uid="{00000000-0005-0000-0000-000024100000}"/>
    <cellStyle name="Normal 2 4 3 5 2" xfId="3439" xr:uid="{00000000-0005-0000-0000-000025100000}"/>
    <cellStyle name="Normal 2 4 3 5 2 2" xfId="7662" xr:uid="{00000000-0005-0000-0000-000026100000}"/>
    <cellStyle name="Normal 2 4 3 5 2 2 2" xfId="16104" xr:uid="{03C47A75-9FED-4DA3-AF62-E9C1D3B07F43}"/>
    <cellStyle name="Normal 2 4 3 5 2 3" xfId="11886" xr:uid="{416136D0-D8B6-430C-8C6A-86D2FA694734}"/>
    <cellStyle name="Normal 2 4 3 5 3" xfId="5517" xr:uid="{00000000-0005-0000-0000-000027100000}"/>
    <cellStyle name="Normal 2 4 3 5 3 2" xfId="13959" xr:uid="{123E90A8-15B8-4FD4-BB66-4265ED8F7F76}"/>
    <cellStyle name="Normal 2 4 3 5 4" xfId="9741" xr:uid="{9DE96DE5-9E07-43F7-B8F9-3A8BE8B1D0C1}"/>
    <cellStyle name="Normal 2 4 3 6" xfId="1622" xr:uid="{00000000-0005-0000-0000-000028100000}"/>
    <cellStyle name="Normal 2 4 3 6 2" xfId="3852" xr:uid="{00000000-0005-0000-0000-000029100000}"/>
    <cellStyle name="Normal 2 4 3 6 2 2" xfId="8075" xr:uid="{00000000-0005-0000-0000-00002A100000}"/>
    <cellStyle name="Normal 2 4 3 6 2 2 2" xfId="16517" xr:uid="{64FC1DC0-E04D-46A1-A0C3-76618ED66621}"/>
    <cellStyle name="Normal 2 4 3 6 2 3" xfId="12299" xr:uid="{BA516105-6A8A-44C7-89A1-D6D6B05D69D8}"/>
    <cellStyle name="Normal 2 4 3 6 3" xfId="5930" xr:uid="{00000000-0005-0000-0000-00002B100000}"/>
    <cellStyle name="Normal 2 4 3 6 3 2" xfId="14372" xr:uid="{52337E23-8F64-4C5C-A348-0F68EBD09C5A}"/>
    <cellStyle name="Normal 2 4 3 6 4" xfId="10154" xr:uid="{F98DB21C-F1AD-4120-A2B5-E62C88BBAC11}"/>
    <cellStyle name="Normal 2 4 3 7" xfId="2036" xr:uid="{00000000-0005-0000-0000-00002C100000}"/>
    <cellStyle name="Normal 2 4 3 7 2" xfId="4265" xr:uid="{00000000-0005-0000-0000-00002D100000}"/>
    <cellStyle name="Normal 2 4 3 7 2 2" xfId="8488" xr:uid="{00000000-0005-0000-0000-00002E100000}"/>
    <cellStyle name="Normal 2 4 3 7 2 2 2" xfId="16930" xr:uid="{5213BC66-6798-4BA0-99E8-15FE4EC4E9E9}"/>
    <cellStyle name="Normal 2 4 3 7 2 3" xfId="12712" xr:uid="{1E17721D-81DF-4D26-B4BB-FE5FF98294C6}"/>
    <cellStyle name="Normal 2 4 3 7 3" xfId="6343" xr:uid="{00000000-0005-0000-0000-00002F100000}"/>
    <cellStyle name="Normal 2 4 3 7 3 2" xfId="14785" xr:uid="{73C5C8FB-7D36-48F7-9CCE-7081B50116C2}"/>
    <cellStyle name="Normal 2 4 3 7 4" xfId="10567" xr:uid="{18E751FC-D7EE-4863-8BE6-E98F760B9582}"/>
    <cellStyle name="Normal 2 4 3 8" xfId="2472" xr:uid="{00000000-0005-0000-0000-000030100000}"/>
    <cellStyle name="Normal 2 4 3 8 2" xfId="6756" xr:uid="{00000000-0005-0000-0000-000031100000}"/>
    <cellStyle name="Normal 2 4 3 8 2 2" xfId="15198" xr:uid="{90366694-6443-48E0-A4FB-0B22560D7DE8}"/>
    <cellStyle name="Normal 2 4 3 8 3" xfId="10980" xr:uid="{9C13B335-33DB-4CC2-A9FC-D7CB027FB996}"/>
    <cellStyle name="Normal 2 4 3 9" xfId="4690" xr:uid="{00000000-0005-0000-0000-000032100000}"/>
    <cellStyle name="Normal 2 4 3 9 2" xfId="13132" xr:uid="{61804B58-31DD-456E-BE68-5412C3868F70}"/>
    <cellStyle name="Normal 2 4 4" xfId="302" xr:uid="{00000000-0005-0000-0000-000033100000}"/>
    <cellStyle name="Normal 2 4 5" xfId="303" xr:uid="{00000000-0005-0000-0000-000034100000}"/>
    <cellStyle name="Normal 2 4 5 10" xfId="4695" xr:uid="{00000000-0005-0000-0000-000035100000}"/>
    <cellStyle name="Normal 2 4 5 10 2" xfId="13137" xr:uid="{928182FC-0DE9-4010-A9D4-B95B1BDBE9E1}"/>
    <cellStyle name="Normal 2 4 5 11" xfId="8919" xr:uid="{55B8343B-9F94-4D2A-BC2A-F22557374BE0}"/>
    <cellStyle name="Normal 2 4 5 2" xfId="304" xr:uid="{00000000-0005-0000-0000-000036100000}"/>
    <cellStyle name="Normal 2 4 5 2 10" xfId="8920" xr:uid="{7D54F677-AF14-433B-A0FF-6DACF10F7504}"/>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2 2 2" xfId="15699" xr:uid="{A23A7944-17AA-49B9-B7B3-89ECA2BCE148}"/>
    <cellStyle name="Normal 2 4 5 2 2 2 2 2 3" xfId="11481" xr:uid="{D357F25C-9FA9-47E2-801E-510BEEDAD320}"/>
    <cellStyle name="Normal 2 4 5 2 2 2 2 3" xfId="5112" xr:uid="{00000000-0005-0000-0000-00003C100000}"/>
    <cellStyle name="Normal 2 4 5 2 2 2 2 3 2" xfId="13554" xr:uid="{694247A9-5364-4F9C-9420-92CBF6094B73}"/>
    <cellStyle name="Normal 2 4 5 2 2 2 2 4" xfId="9336" xr:uid="{6D88383B-728B-4306-96F6-709CE024E872}"/>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2 2 2" xfId="16112" xr:uid="{70FA7FC0-23CA-45F8-A060-8222A97E7B43}"/>
    <cellStyle name="Normal 2 4 5 2 2 2 3 2 3" xfId="11894" xr:uid="{25A13C29-CDD5-439F-853D-EC081B426DCA}"/>
    <cellStyle name="Normal 2 4 5 2 2 2 3 3" xfId="5525" xr:uid="{00000000-0005-0000-0000-000040100000}"/>
    <cellStyle name="Normal 2 4 5 2 2 2 3 3 2" xfId="13967" xr:uid="{010D1B8E-9AAC-404B-9A2F-1F3262EBDD3B}"/>
    <cellStyle name="Normal 2 4 5 2 2 2 3 4" xfId="9749" xr:uid="{05983B66-668A-4F25-AEAB-EF645A48793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2 2 2" xfId="16525" xr:uid="{05047FC6-0890-4031-81C0-240F3014AF58}"/>
    <cellStyle name="Normal 2 4 5 2 2 2 4 2 3" xfId="12307" xr:uid="{8518D670-BBF1-43A8-BA8B-D9E4B92C76B9}"/>
    <cellStyle name="Normal 2 4 5 2 2 2 4 3" xfId="5938" xr:uid="{00000000-0005-0000-0000-000044100000}"/>
    <cellStyle name="Normal 2 4 5 2 2 2 4 3 2" xfId="14380" xr:uid="{CE80BBF3-61E3-43BE-9134-672E4CAD3B67}"/>
    <cellStyle name="Normal 2 4 5 2 2 2 4 4" xfId="10162" xr:uid="{42E1FDF8-D2B4-4485-8DFA-9A4B2BE25C4D}"/>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2 2 2" xfId="16938" xr:uid="{48A3057E-D541-40C7-9572-68BCE4FD56F6}"/>
    <cellStyle name="Normal 2 4 5 2 2 2 5 2 3" xfId="12720" xr:uid="{FA2696B6-6504-4859-A69F-73CC2F6FF01F}"/>
    <cellStyle name="Normal 2 4 5 2 2 2 5 3" xfId="6351" xr:uid="{00000000-0005-0000-0000-000048100000}"/>
    <cellStyle name="Normal 2 4 5 2 2 2 5 3 2" xfId="14793" xr:uid="{850E7035-B8C6-45FE-A1E9-88F0980A5596}"/>
    <cellStyle name="Normal 2 4 5 2 2 2 5 4" xfId="10575" xr:uid="{D270BA3F-6EEB-4F0C-BBD7-A85CF0BCC101}"/>
    <cellStyle name="Normal 2 4 5 2 2 2 6" xfId="2480" xr:uid="{00000000-0005-0000-0000-000049100000}"/>
    <cellStyle name="Normal 2 4 5 2 2 2 6 2" xfId="6764" xr:uid="{00000000-0005-0000-0000-00004A100000}"/>
    <cellStyle name="Normal 2 4 5 2 2 2 6 2 2" xfId="15206" xr:uid="{6814A5C7-F70F-411C-81F8-39A74BACFD90}"/>
    <cellStyle name="Normal 2 4 5 2 2 2 6 3" xfId="10988" xr:uid="{163B6793-2915-46BF-8E8B-9C274BA400FE}"/>
    <cellStyle name="Normal 2 4 5 2 2 2 7" xfId="4698" xr:uid="{00000000-0005-0000-0000-00004B100000}"/>
    <cellStyle name="Normal 2 4 5 2 2 2 7 2" xfId="13140" xr:uid="{5003CF49-B838-480A-A376-ED50F795F402}"/>
    <cellStyle name="Normal 2 4 5 2 2 2 8" xfId="8922" xr:uid="{50E2CB08-9754-4B87-AFAB-21D3CFE8DE0A}"/>
    <cellStyle name="Normal 2 4 5 2 2 3" xfId="794" xr:uid="{00000000-0005-0000-0000-00004C100000}"/>
    <cellStyle name="Normal 2 4 5 2 2 3 2" xfId="3033" xr:uid="{00000000-0005-0000-0000-00004D100000}"/>
    <cellStyle name="Normal 2 4 5 2 2 3 2 2" xfId="7256" xr:uid="{00000000-0005-0000-0000-00004E100000}"/>
    <cellStyle name="Normal 2 4 5 2 2 3 2 2 2" xfId="15698" xr:uid="{BE3C3208-7B49-4116-A3C9-CA30138B49A3}"/>
    <cellStyle name="Normal 2 4 5 2 2 3 2 3" xfId="11480" xr:uid="{6FB098AB-3B5E-4A3D-BDCC-53329C99F571}"/>
    <cellStyle name="Normal 2 4 5 2 2 3 3" xfId="5111" xr:uid="{00000000-0005-0000-0000-00004F100000}"/>
    <cellStyle name="Normal 2 4 5 2 2 3 3 2" xfId="13553" xr:uid="{184566C8-9BF8-4072-8393-C7528895EF57}"/>
    <cellStyle name="Normal 2 4 5 2 2 3 4" xfId="9335" xr:uid="{46849565-C6F4-463E-AA3B-8BC72F989813}"/>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2 2 2" xfId="16111" xr:uid="{7026E544-92B5-49E8-A979-56199CDFE875}"/>
    <cellStyle name="Normal 2 4 5 2 2 4 2 3" xfId="11893" xr:uid="{8875CD1F-063B-4D53-AABF-C5AF43B013F1}"/>
    <cellStyle name="Normal 2 4 5 2 2 4 3" xfId="5524" xr:uid="{00000000-0005-0000-0000-000053100000}"/>
    <cellStyle name="Normal 2 4 5 2 2 4 3 2" xfId="13966" xr:uid="{DA153F53-654A-4EDC-B2C8-3EC1944A80E0}"/>
    <cellStyle name="Normal 2 4 5 2 2 4 4" xfId="9748" xr:uid="{42B32421-1AA9-4991-BC4C-E7E415935021}"/>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2 2 2" xfId="16524" xr:uid="{FBD07E28-2DC8-49C9-97E1-B417E2256733}"/>
    <cellStyle name="Normal 2 4 5 2 2 5 2 3" xfId="12306" xr:uid="{0117EC21-A19B-44D8-9660-588A7574B532}"/>
    <cellStyle name="Normal 2 4 5 2 2 5 3" xfId="5937" xr:uid="{00000000-0005-0000-0000-000057100000}"/>
    <cellStyle name="Normal 2 4 5 2 2 5 3 2" xfId="14379" xr:uid="{1B44C157-9FBD-47D9-98A8-CA0D3C02ECEE}"/>
    <cellStyle name="Normal 2 4 5 2 2 5 4" xfId="10161" xr:uid="{E35A1771-08A6-4C7D-BC1B-8E0F26950511}"/>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2 2 2" xfId="16937" xr:uid="{DCDC9F87-22BF-4257-B4F5-1D9AF673DA46}"/>
    <cellStyle name="Normal 2 4 5 2 2 6 2 3" xfId="12719" xr:uid="{2474241F-C809-406C-B5CD-D3CF14F63B01}"/>
    <cellStyle name="Normal 2 4 5 2 2 6 3" xfId="6350" xr:uid="{00000000-0005-0000-0000-00005B100000}"/>
    <cellStyle name="Normal 2 4 5 2 2 6 3 2" xfId="14792" xr:uid="{14B22CC4-3F24-4715-ACEA-75358BEA3170}"/>
    <cellStyle name="Normal 2 4 5 2 2 6 4" xfId="10574" xr:uid="{AEC067A3-908B-41CB-A029-A0CD3C61BDF8}"/>
    <cellStyle name="Normal 2 4 5 2 2 7" xfId="2479" xr:uid="{00000000-0005-0000-0000-00005C100000}"/>
    <cellStyle name="Normal 2 4 5 2 2 7 2" xfId="6763" xr:uid="{00000000-0005-0000-0000-00005D100000}"/>
    <cellStyle name="Normal 2 4 5 2 2 7 2 2" xfId="15205" xr:uid="{B7E43D6C-31F1-47F0-927C-82B67E3752A3}"/>
    <cellStyle name="Normal 2 4 5 2 2 7 3" xfId="10987" xr:uid="{C68AC60E-F88C-447E-8EC8-ECBF63A5CF67}"/>
    <cellStyle name="Normal 2 4 5 2 2 8" xfId="4697" xr:uid="{00000000-0005-0000-0000-00005E100000}"/>
    <cellStyle name="Normal 2 4 5 2 2 8 2" xfId="13139" xr:uid="{3CF9113E-F517-4365-A134-D771069CF2EE}"/>
    <cellStyle name="Normal 2 4 5 2 2 9" xfId="8921" xr:uid="{C33AE6B1-33D3-4DB5-9625-A084AA3C4F55}"/>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2 2 2" xfId="15700" xr:uid="{69D4AE13-49AC-4F1F-9363-98F7697A4C15}"/>
    <cellStyle name="Normal 2 4 5 2 3 2 2 3" xfId="11482" xr:uid="{74CBF7A5-6875-47A1-8A8E-06FB2A7797D0}"/>
    <cellStyle name="Normal 2 4 5 2 3 2 3" xfId="5113" xr:uid="{00000000-0005-0000-0000-000063100000}"/>
    <cellStyle name="Normal 2 4 5 2 3 2 3 2" xfId="13555" xr:uid="{C37FCF1E-3159-4F39-87E5-61D4EC671A8B}"/>
    <cellStyle name="Normal 2 4 5 2 3 2 4" xfId="9337" xr:uid="{B3C1C0BF-5CB9-4D35-BB33-58F46FAEC27C}"/>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2 2 2" xfId="16113" xr:uid="{E6733BEB-66A7-4FF7-B488-736D865993B0}"/>
    <cellStyle name="Normal 2 4 5 2 3 3 2 3" xfId="11895" xr:uid="{6AEB98C1-D32D-4AD0-8D55-A3BCD4898F89}"/>
    <cellStyle name="Normal 2 4 5 2 3 3 3" xfId="5526" xr:uid="{00000000-0005-0000-0000-000067100000}"/>
    <cellStyle name="Normal 2 4 5 2 3 3 3 2" xfId="13968" xr:uid="{6FBCE25C-EC8E-4951-A3BA-913A217C72F0}"/>
    <cellStyle name="Normal 2 4 5 2 3 3 4" xfId="9750" xr:uid="{2E9516FA-2568-4E65-8772-728AB27FA5DA}"/>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2 2 2" xfId="16526" xr:uid="{7DF02160-7A5D-4C58-AAA0-7AF4583DEA9F}"/>
    <cellStyle name="Normal 2 4 5 2 3 4 2 3" xfId="12308" xr:uid="{3585EA3C-F020-41FE-8080-16AA7F6B69E2}"/>
    <cellStyle name="Normal 2 4 5 2 3 4 3" xfId="5939" xr:uid="{00000000-0005-0000-0000-00006B100000}"/>
    <cellStyle name="Normal 2 4 5 2 3 4 3 2" xfId="14381" xr:uid="{452E5D7A-9086-4566-9EE7-31FA079EBC9C}"/>
    <cellStyle name="Normal 2 4 5 2 3 4 4" xfId="10163" xr:uid="{0DB9B87B-C915-4A8E-8C3C-E0B0AB581B13}"/>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2 2 2" xfId="16939" xr:uid="{33C8A16F-F667-40B6-84FD-9AE04B9EE211}"/>
    <cellStyle name="Normal 2 4 5 2 3 5 2 3" xfId="12721" xr:uid="{1E0ADB89-FC71-4547-8368-573EC68BB052}"/>
    <cellStyle name="Normal 2 4 5 2 3 5 3" xfId="6352" xr:uid="{00000000-0005-0000-0000-00006F100000}"/>
    <cellStyle name="Normal 2 4 5 2 3 5 3 2" xfId="14794" xr:uid="{F6D73EFB-BA5D-434C-8C2C-AA1963AA56F0}"/>
    <cellStyle name="Normal 2 4 5 2 3 5 4" xfId="10576" xr:uid="{FD883FF3-E309-4DAF-A291-AF3F827B3571}"/>
    <cellStyle name="Normal 2 4 5 2 3 6" xfId="2481" xr:uid="{00000000-0005-0000-0000-000070100000}"/>
    <cellStyle name="Normal 2 4 5 2 3 6 2" xfId="6765" xr:uid="{00000000-0005-0000-0000-000071100000}"/>
    <cellStyle name="Normal 2 4 5 2 3 6 2 2" xfId="15207" xr:uid="{E663496D-0C09-48D3-9CFB-8E47A5A2D656}"/>
    <cellStyle name="Normal 2 4 5 2 3 6 3" xfId="10989" xr:uid="{003341E5-9CCB-4E4A-A21C-2FDAFADA4E2A}"/>
    <cellStyle name="Normal 2 4 5 2 3 7" xfId="4699" xr:uid="{00000000-0005-0000-0000-000072100000}"/>
    <cellStyle name="Normal 2 4 5 2 3 7 2" xfId="13141" xr:uid="{23BD806A-0A29-4759-80A0-2EA1CC5FD1F4}"/>
    <cellStyle name="Normal 2 4 5 2 3 8" xfId="8923" xr:uid="{4779092C-056A-47B7-93F4-BBB9097D49C9}"/>
    <cellStyle name="Normal 2 4 5 2 4" xfId="793" xr:uid="{00000000-0005-0000-0000-000073100000}"/>
    <cellStyle name="Normal 2 4 5 2 4 2" xfId="3032" xr:uid="{00000000-0005-0000-0000-000074100000}"/>
    <cellStyle name="Normal 2 4 5 2 4 2 2" xfId="7255" xr:uid="{00000000-0005-0000-0000-000075100000}"/>
    <cellStyle name="Normal 2 4 5 2 4 2 2 2" xfId="15697" xr:uid="{873C42A0-8654-4635-84C0-E5D91A8F35A9}"/>
    <cellStyle name="Normal 2 4 5 2 4 2 3" xfId="11479" xr:uid="{BEE1EE97-D77D-4128-AC5D-E3AEE4D258C8}"/>
    <cellStyle name="Normal 2 4 5 2 4 3" xfId="5110" xr:uid="{00000000-0005-0000-0000-000076100000}"/>
    <cellStyle name="Normal 2 4 5 2 4 3 2" xfId="13552" xr:uid="{8EB30F5F-7CA6-4179-AE1D-E084D5517976}"/>
    <cellStyle name="Normal 2 4 5 2 4 4" xfId="9334" xr:uid="{A7E27E42-1535-4EE6-B112-07A02A2673C3}"/>
    <cellStyle name="Normal 2 4 5 2 5" xfId="1215" xr:uid="{00000000-0005-0000-0000-000077100000}"/>
    <cellStyle name="Normal 2 4 5 2 5 2" xfId="3445" xr:uid="{00000000-0005-0000-0000-000078100000}"/>
    <cellStyle name="Normal 2 4 5 2 5 2 2" xfId="7668" xr:uid="{00000000-0005-0000-0000-000079100000}"/>
    <cellStyle name="Normal 2 4 5 2 5 2 2 2" xfId="16110" xr:uid="{D5F7E87E-914A-418E-97E6-824AE63808AA}"/>
    <cellStyle name="Normal 2 4 5 2 5 2 3" xfId="11892" xr:uid="{34D99EB1-C9BD-4E3B-A5A0-89E2E74A8032}"/>
    <cellStyle name="Normal 2 4 5 2 5 3" xfId="5523" xr:uid="{00000000-0005-0000-0000-00007A100000}"/>
    <cellStyle name="Normal 2 4 5 2 5 3 2" xfId="13965" xr:uid="{0F13C9FF-7A2F-45FA-922E-38B876283B9B}"/>
    <cellStyle name="Normal 2 4 5 2 5 4" xfId="9747" xr:uid="{0AE91D91-A3D7-4787-8FF3-412BE74AEA45}"/>
    <cellStyle name="Normal 2 4 5 2 6" xfId="1628" xr:uid="{00000000-0005-0000-0000-00007B100000}"/>
    <cellStyle name="Normal 2 4 5 2 6 2" xfId="3858" xr:uid="{00000000-0005-0000-0000-00007C100000}"/>
    <cellStyle name="Normal 2 4 5 2 6 2 2" xfId="8081" xr:uid="{00000000-0005-0000-0000-00007D100000}"/>
    <cellStyle name="Normal 2 4 5 2 6 2 2 2" xfId="16523" xr:uid="{4248CF06-6FBD-488B-9CBA-A28E7EBEF003}"/>
    <cellStyle name="Normal 2 4 5 2 6 2 3" xfId="12305" xr:uid="{E2BFE37A-1F2E-4FE4-B667-9411C107A1D4}"/>
    <cellStyle name="Normal 2 4 5 2 6 3" xfId="5936" xr:uid="{00000000-0005-0000-0000-00007E100000}"/>
    <cellStyle name="Normal 2 4 5 2 6 3 2" xfId="14378" xr:uid="{57428420-05B6-4A22-B6FA-26FA3643DE5B}"/>
    <cellStyle name="Normal 2 4 5 2 6 4" xfId="10160" xr:uid="{EA3B52C5-60D1-41B3-B279-40A65FB8B764}"/>
    <cellStyle name="Normal 2 4 5 2 7" xfId="2042" xr:uid="{00000000-0005-0000-0000-00007F100000}"/>
    <cellStyle name="Normal 2 4 5 2 7 2" xfId="4271" xr:uid="{00000000-0005-0000-0000-000080100000}"/>
    <cellStyle name="Normal 2 4 5 2 7 2 2" xfId="8494" xr:uid="{00000000-0005-0000-0000-000081100000}"/>
    <cellStyle name="Normal 2 4 5 2 7 2 2 2" xfId="16936" xr:uid="{4D6EBFF9-CEDD-47EA-BFE8-C9916C636982}"/>
    <cellStyle name="Normal 2 4 5 2 7 2 3" xfId="12718" xr:uid="{C440895D-C4EA-4E8B-ACCB-C3152D1CE493}"/>
    <cellStyle name="Normal 2 4 5 2 7 3" xfId="6349" xr:uid="{00000000-0005-0000-0000-000082100000}"/>
    <cellStyle name="Normal 2 4 5 2 7 3 2" xfId="14791" xr:uid="{76678D7E-5138-4CF0-9685-BF523E85D42D}"/>
    <cellStyle name="Normal 2 4 5 2 7 4" xfId="10573" xr:uid="{9721B021-2C78-4337-A78D-A1E68A407BB3}"/>
    <cellStyle name="Normal 2 4 5 2 8" xfId="2478" xr:uid="{00000000-0005-0000-0000-000083100000}"/>
    <cellStyle name="Normal 2 4 5 2 8 2" xfId="6762" xr:uid="{00000000-0005-0000-0000-000084100000}"/>
    <cellStyle name="Normal 2 4 5 2 8 2 2" xfId="15204" xr:uid="{243FD18E-2633-4347-8E3B-1369927283CA}"/>
    <cellStyle name="Normal 2 4 5 2 8 3" xfId="10986" xr:uid="{778C8CB1-E32D-4ED1-8BF4-B8B9CB0B9E5D}"/>
    <cellStyle name="Normal 2 4 5 2 9" xfId="4696" xr:uid="{00000000-0005-0000-0000-000085100000}"/>
    <cellStyle name="Normal 2 4 5 2 9 2" xfId="13138" xr:uid="{333E3EC0-DC8F-4C63-AC15-04DCF05FBE7C}"/>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2 2 2" xfId="15702" xr:uid="{7EF66A77-98BC-4884-BD78-C6065C441C74}"/>
    <cellStyle name="Normal 2 4 5 3 2 2 2 3" xfId="11484" xr:uid="{7CE472CA-DDB6-4A34-8892-C9F810F9EFC7}"/>
    <cellStyle name="Normal 2 4 5 3 2 2 3" xfId="5115" xr:uid="{00000000-0005-0000-0000-00008B100000}"/>
    <cellStyle name="Normal 2 4 5 3 2 2 3 2" xfId="13557" xr:uid="{8165083B-7471-4D8D-AA52-AF07CE206907}"/>
    <cellStyle name="Normal 2 4 5 3 2 2 4" xfId="9339" xr:uid="{D1BB5194-2ADF-4BF5-A68A-0BE2A0F9FCDF}"/>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2 2 2" xfId="16115" xr:uid="{34914F95-0487-4BB0-B8EC-8E8D7F0F19B5}"/>
    <cellStyle name="Normal 2 4 5 3 2 3 2 3" xfId="11897" xr:uid="{14A629F2-6C86-4565-8C38-49953A1FB7DF}"/>
    <cellStyle name="Normal 2 4 5 3 2 3 3" xfId="5528" xr:uid="{00000000-0005-0000-0000-00008F100000}"/>
    <cellStyle name="Normal 2 4 5 3 2 3 3 2" xfId="13970" xr:uid="{43BEB477-2C42-4EFD-9EBE-9EBF1136F4E1}"/>
    <cellStyle name="Normal 2 4 5 3 2 3 4" xfId="9752" xr:uid="{0F9D8720-6B09-4BB5-A785-BBB15EA5FC84}"/>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2 2 2" xfId="16528" xr:uid="{3D65636A-1530-45A9-A83A-A4E9270BE13C}"/>
    <cellStyle name="Normal 2 4 5 3 2 4 2 3" xfId="12310" xr:uid="{5B6A41F7-2B5C-4750-AE21-0ECE35D8EB6E}"/>
    <cellStyle name="Normal 2 4 5 3 2 4 3" xfId="5941" xr:uid="{00000000-0005-0000-0000-000093100000}"/>
    <cellStyle name="Normal 2 4 5 3 2 4 3 2" xfId="14383" xr:uid="{D08746FE-5C97-43DE-8433-7A9F5DB97A00}"/>
    <cellStyle name="Normal 2 4 5 3 2 4 4" xfId="10165" xr:uid="{130846C0-2FAA-49FA-A107-F5E25624FD2E}"/>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2 2 2" xfId="16941" xr:uid="{7B717B84-5CE8-4403-8B64-34CEA3A4BE04}"/>
    <cellStyle name="Normal 2 4 5 3 2 5 2 3" xfId="12723" xr:uid="{4601CF5C-35C8-40D6-B4D4-41B6F0A4761C}"/>
    <cellStyle name="Normal 2 4 5 3 2 5 3" xfId="6354" xr:uid="{00000000-0005-0000-0000-000097100000}"/>
    <cellStyle name="Normal 2 4 5 3 2 5 3 2" xfId="14796" xr:uid="{73A88B03-C60C-4A65-B60E-924F7EA0EB04}"/>
    <cellStyle name="Normal 2 4 5 3 2 5 4" xfId="10578" xr:uid="{19879E4B-CDF6-4CF1-B58B-67C61CF04AB7}"/>
    <cellStyle name="Normal 2 4 5 3 2 6" xfId="2483" xr:uid="{00000000-0005-0000-0000-000098100000}"/>
    <cellStyle name="Normal 2 4 5 3 2 6 2" xfId="6767" xr:uid="{00000000-0005-0000-0000-000099100000}"/>
    <cellStyle name="Normal 2 4 5 3 2 6 2 2" xfId="15209" xr:uid="{51BDD2B7-6856-4CCF-B57F-6F7E72E27AA9}"/>
    <cellStyle name="Normal 2 4 5 3 2 6 3" xfId="10991" xr:uid="{451A57C8-CCCD-4CE0-9BFD-03E2FDDD7DB4}"/>
    <cellStyle name="Normal 2 4 5 3 2 7" xfId="4701" xr:uid="{00000000-0005-0000-0000-00009A100000}"/>
    <cellStyle name="Normal 2 4 5 3 2 7 2" xfId="13143" xr:uid="{7DBCA429-2C41-408F-82D5-409526F95483}"/>
    <cellStyle name="Normal 2 4 5 3 2 8" xfId="8925" xr:uid="{67F45BC6-3607-455F-A72D-BB1CF70D50BA}"/>
    <cellStyle name="Normal 2 4 5 3 3" xfId="797" xr:uid="{00000000-0005-0000-0000-00009B100000}"/>
    <cellStyle name="Normal 2 4 5 3 3 2" xfId="3036" xr:uid="{00000000-0005-0000-0000-00009C100000}"/>
    <cellStyle name="Normal 2 4 5 3 3 2 2" xfId="7259" xr:uid="{00000000-0005-0000-0000-00009D100000}"/>
    <cellStyle name="Normal 2 4 5 3 3 2 2 2" xfId="15701" xr:uid="{427F85B2-D74C-4521-BB3D-CD86EFBDD9B3}"/>
    <cellStyle name="Normal 2 4 5 3 3 2 3" xfId="11483" xr:uid="{DC4B4CA6-A5EB-41A4-BED3-B41F3F6A2201}"/>
    <cellStyle name="Normal 2 4 5 3 3 3" xfId="5114" xr:uid="{00000000-0005-0000-0000-00009E100000}"/>
    <cellStyle name="Normal 2 4 5 3 3 3 2" xfId="13556" xr:uid="{5981CC24-4380-4F03-B45C-4A714BAB626D}"/>
    <cellStyle name="Normal 2 4 5 3 3 4" xfId="9338" xr:uid="{437A11A6-04A8-466D-9127-1E6A85F0723F}"/>
    <cellStyle name="Normal 2 4 5 3 4" xfId="1219" xr:uid="{00000000-0005-0000-0000-00009F100000}"/>
    <cellStyle name="Normal 2 4 5 3 4 2" xfId="3449" xr:uid="{00000000-0005-0000-0000-0000A0100000}"/>
    <cellStyle name="Normal 2 4 5 3 4 2 2" xfId="7672" xr:uid="{00000000-0005-0000-0000-0000A1100000}"/>
    <cellStyle name="Normal 2 4 5 3 4 2 2 2" xfId="16114" xr:uid="{D945DC4C-34DF-485E-80ED-BC5A5B1A51C3}"/>
    <cellStyle name="Normal 2 4 5 3 4 2 3" xfId="11896" xr:uid="{FE0EBDAD-1D9C-4BCF-A723-24CDB3E66717}"/>
    <cellStyle name="Normal 2 4 5 3 4 3" xfId="5527" xr:uid="{00000000-0005-0000-0000-0000A2100000}"/>
    <cellStyle name="Normal 2 4 5 3 4 3 2" xfId="13969" xr:uid="{72083A0F-005F-4C2D-9F20-E8AA76CC47C0}"/>
    <cellStyle name="Normal 2 4 5 3 4 4" xfId="9751" xr:uid="{19618059-1086-4080-889C-EC3039A577FB}"/>
    <cellStyle name="Normal 2 4 5 3 5" xfId="1632" xr:uid="{00000000-0005-0000-0000-0000A3100000}"/>
    <cellStyle name="Normal 2 4 5 3 5 2" xfId="3862" xr:uid="{00000000-0005-0000-0000-0000A4100000}"/>
    <cellStyle name="Normal 2 4 5 3 5 2 2" xfId="8085" xr:uid="{00000000-0005-0000-0000-0000A5100000}"/>
    <cellStyle name="Normal 2 4 5 3 5 2 2 2" xfId="16527" xr:uid="{1CF08089-4AC7-4495-95A8-8D662B11DA0B}"/>
    <cellStyle name="Normal 2 4 5 3 5 2 3" xfId="12309" xr:uid="{A011D37B-2D98-4A4F-946D-4449ADFEC9A8}"/>
    <cellStyle name="Normal 2 4 5 3 5 3" xfId="5940" xr:uid="{00000000-0005-0000-0000-0000A6100000}"/>
    <cellStyle name="Normal 2 4 5 3 5 3 2" xfId="14382" xr:uid="{F8D8F521-4B85-4113-8800-FDEEE7756C9D}"/>
    <cellStyle name="Normal 2 4 5 3 5 4" xfId="10164" xr:uid="{7D9F425F-0AD2-4DE9-9DC5-55930F84BD2D}"/>
    <cellStyle name="Normal 2 4 5 3 6" xfId="2046" xr:uid="{00000000-0005-0000-0000-0000A7100000}"/>
    <cellStyle name="Normal 2 4 5 3 6 2" xfId="4275" xr:uid="{00000000-0005-0000-0000-0000A8100000}"/>
    <cellStyle name="Normal 2 4 5 3 6 2 2" xfId="8498" xr:uid="{00000000-0005-0000-0000-0000A9100000}"/>
    <cellStyle name="Normal 2 4 5 3 6 2 2 2" xfId="16940" xr:uid="{F5ECE456-D7D4-41D4-90D5-E273AFE71C8E}"/>
    <cellStyle name="Normal 2 4 5 3 6 2 3" xfId="12722" xr:uid="{58C7C7DA-883B-47C9-BD37-54463FDE9394}"/>
    <cellStyle name="Normal 2 4 5 3 6 3" xfId="6353" xr:uid="{00000000-0005-0000-0000-0000AA100000}"/>
    <cellStyle name="Normal 2 4 5 3 6 3 2" xfId="14795" xr:uid="{7D4E75DB-BD19-451B-B505-249E4F5608BC}"/>
    <cellStyle name="Normal 2 4 5 3 6 4" xfId="10577" xr:uid="{3B297700-83C0-4CE3-B145-CDA1CBC752B7}"/>
    <cellStyle name="Normal 2 4 5 3 7" xfId="2482" xr:uid="{00000000-0005-0000-0000-0000AB100000}"/>
    <cellStyle name="Normal 2 4 5 3 7 2" xfId="6766" xr:uid="{00000000-0005-0000-0000-0000AC100000}"/>
    <cellStyle name="Normal 2 4 5 3 7 2 2" xfId="15208" xr:uid="{0D9FBF1C-E73E-46E2-B6D3-5A6C022E5899}"/>
    <cellStyle name="Normal 2 4 5 3 7 3" xfId="10990" xr:uid="{46BB23E2-7C6D-494E-A071-CAE1EB79943B}"/>
    <cellStyle name="Normal 2 4 5 3 8" xfId="4700" xr:uid="{00000000-0005-0000-0000-0000AD100000}"/>
    <cellStyle name="Normal 2 4 5 3 8 2" xfId="13142" xr:uid="{2FD2001A-9440-46D0-AC6F-1F220F969FAC}"/>
    <cellStyle name="Normal 2 4 5 3 9" xfId="8924" xr:uid="{C221639D-A42E-41E2-B9C9-2C7E92E4B14E}"/>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2 2 2" xfId="15703" xr:uid="{C15AEE7C-8683-4967-8B43-21ED794CDD43}"/>
    <cellStyle name="Normal 2 4 5 4 2 2 3" xfId="11485" xr:uid="{9FF4C0A2-4BA1-4BD5-B74D-998FC405E592}"/>
    <cellStyle name="Normal 2 4 5 4 2 3" xfId="5116" xr:uid="{00000000-0005-0000-0000-0000B2100000}"/>
    <cellStyle name="Normal 2 4 5 4 2 3 2" xfId="13558" xr:uid="{D39BFF6A-E674-4D86-90AE-5CF67B45FCCF}"/>
    <cellStyle name="Normal 2 4 5 4 2 4" xfId="9340" xr:uid="{A848C6DA-52A3-492A-946C-D5C80DE523F1}"/>
    <cellStyle name="Normal 2 4 5 4 3" xfId="1221" xr:uid="{00000000-0005-0000-0000-0000B3100000}"/>
    <cellStyle name="Normal 2 4 5 4 3 2" xfId="3451" xr:uid="{00000000-0005-0000-0000-0000B4100000}"/>
    <cellStyle name="Normal 2 4 5 4 3 2 2" xfId="7674" xr:uid="{00000000-0005-0000-0000-0000B5100000}"/>
    <cellStyle name="Normal 2 4 5 4 3 2 2 2" xfId="16116" xr:uid="{2D3E9963-0910-4F65-835D-F17971D00FF3}"/>
    <cellStyle name="Normal 2 4 5 4 3 2 3" xfId="11898" xr:uid="{303B15D5-8691-4A6E-9D12-1DF9C191E18A}"/>
    <cellStyle name="Normal 2 4 5 4 3 3" xfId="5529" xr:uid="{00000000-0005-0000-0000-0000B6100000}"/>
    <cellStyle name="Normal 2 4 5 4 3 3 2" xfId="13971" xr:uid="{EC73452C-F0FC-486E-B574-3454FEEB0FE4}"/>
    <cellStyle name="Normal 2 4 5 4 3 4" xfId="9753" xr:uid="{BA359C9D-B966-4A72-A660-31F3A623E81D}"/>
    <cellStyle name="Normal 2 4 5 4 4" xfId="1634" xr:uid="{00000000-0005-0000-0000-0000B7100000}"/>
    <cellStyle name="Normal 2 4 5 4 4 2" xfId="3864" xr:uid="{00000000-0005-0000-0000-0000B8100000}"/>
    <cellStyle name="Normal 2 4 5 4 4 2 2" xfId="8087" xr:uid="{00000000-0005-0000-0000-0000B9100000}"/>
    <cellStyle name="Normal 2 4 5 4 4 2 2 2" xfId="16529" xr:uid="{6FFD1C47-68F9-4DDA-A5E8-E8DE7DF02370}"/>
    <cellStyle name="Normal 2 4 5 4 4 2 3" xfId="12311" xr:uid="{AAD1DB2F-05D7-43D0-B24E-863C261CEFF0}"/>
    <cellStyle name="Normal 2 4 5 4 4 3" xfId="5942" xr:uid="{00000000-0005-0000-0000-0000BA100000}"/>
    <cellStyle name="Normal 2 4 5 4 4 3 2" xfId="14384" xr:uid="{B164D008-6365-4CD9-B3E1-10D2AF35E62B}"/>
    <cellStyle name="Normal 2 4 5 4 4 4" xfId="10166" xr:uid="{8A75AFCD-C027-40BB-ABEB-BAB2874D2846}"/>
    <cellStyle name="Normal 2 4 5 4 5" xfId="2048" xr:uid="{00000000-0005-0000-0000-0000BB100000}"/>
    <cellStyle name="Normal 2 4 5 4 5 2" xfId="4277" xr:uid="{00000000-0005-0000-0000-0000BC100000}"/>
    <cellStyle name="Normal 2 4 5 4 5 2 2" xfId="8500" xr:uid="{00000000-0005-0000-0000-0000BD100000}"/>
    <cellStyle name="Normal 2 4 5 4 5 2 2 2" xfId="16942" xr:uid="{E8AAA930-4D02-4938-92CC-F7E2AB80B340}"/>
    <cellStyle name="Normal 2 4 5 4 5 2 3" xfId="12724" xr:uid="{6EAF3C97-8A21-4D56-BC66-85C44105680B}"/>
    <cellStyle name="Normal 2 4 5 4 5 3" xfId="6355" xr:uid="{00000000-0005-0000-0000-0000BE100000}"/>
    <cellStyle name="Normal 2 4 5 4 5 3 2" xfId="14797" xr:uid="{D351C011-490B-40F1-B194-F8587BEE02B1}"/>
    <cellStyle name="Normal 2 4 5 4 5 4" xfId="10579" xr:uid="{C610DDE8-16B1-4C0F-A1D5-962D3AF65BFE}"/>
    <cellStyle name="Normal 2 4 5 4 6" xfId="2484" xr:uid="{00000000-0005-0000-0000-0000BF100000}"/>
    <cellStyle name="Normal 2 4 5 4 6 2" xfId="6768" xr:uid="{00000000-0005-0000-0000-0000C0100000}"/>
    <cellStyle name="Normal 2 4 5 4 6 2 2" xfId="15210" xr:uid="{EC4A153E-2657-41CA-9416-C3AC259B88AB}"/>
    <cellStyle name="Normal 2 4 5 4 6 3" xfId="10992" xr:uid="{C18ABD7F-7D55-4636-8962-0BB843C6BE9C}"/>
    <cellStyle name="Normal 2 4 5 4 7" xfId="4702" xr:uid="{00000000-0005-0000-0000-0000C1100000}"/>
    <cellStyle name="Normal 2 4 5 4 7 2" xfId="13144" xr:uid="{A31AF68B-9294-454D-8EDA-F104F0C59BAA}"/>
    <cellStyle name="Normal 2 4 5 4 8" xfId="8926" xr:uid="{3D5501A3-3B6D-41BF-BA71-9D85C33DBAC8}"/>
    <cellStyle name="Normal 2 4 5 5" xfId="792" xr:uid="{00000000-0005-0000-0000-0000C2100000}"/>
    <cellStyle name="Normal 2 4 5 5 2" xfId="3031" xr:uid="{00000000-0005-0000-0000-0000C3100000}"/>
    <cellStyle name="Normal 2 4 5 5 2 2" xfId="7254" xr:uid="{00000000-0005-0000-0000-0000C4100000}"/>
    <cellStyle name="Normal 2 4 5 5 2 2 2" xfId="15696" xr:uid="{28761082-F9B3-4533-B75B-857BD8A86C6F}"/>
    <cellStyle name="Normal 2 4 5 5 2 3" xfId="11478" xr:uid="{CCE89761-8473-4BF1-9C4C-F879D98EAD70}"/>
    <cellStyle name="Normal 2 4 5 5 3" xfId="5109" xr:uid="{00000000-0005-0000-0000-0000C5100000}"/>
    <cellStyle name="Normal 2 4 5 5 3 2" xfId="13551" xr:uid="{72AA59B6-3E83-49E4-B06B-979FFF587950}"/>
    <cellStyle name="Normal 2 4 5 5 4" xfId="9333" xr:uid="{D63FF7E6-90C4-4788-9415-BFBFD7163B07}"/>
    <cellStyle name="Normal 2 4 5 6" xfId="1214" xr:uid="{00000000-0005-0000-0000-0000C6100000}"/>
    <cellStyle name="Normal 2 4 5 6 2" xfId="3444" xr:uid="{00000000-0005-0000-0000-0000C7100000}"/>
    <cellStyle name="Normal 2 4 5 6 2 2" xfId="7667" xr:uid="{00000000-0005-0000-0000-0000C8100000}"/>
    <cellStyle name="Normal 2 4 5 6 2 2 2" xfId="16109" xr:uid="{911E1D69-2956-4A64-BC98-B7EEE2923F5B}"/>
    <cellStyle name="Normal 2 4 5 6 2 3" xfId="11891" xr:uid="{07384D38-974D-4C75-8C18-15EE9E424440}"/>
    <cellStyle name="Normal 2 4 5 6 3" xfId="5522" xr:uid="{00000000-0005-0000-0000-0000C9100000}"/>
    <cellStyle name="Normal 2 4 5 6 3 2" xfId="13964" xr:uid="{604CBDB4-DEEE-4DF2-96E7-B448755FEA02}"/>
    <cellStyle name="Normal 2 4 5 6 4" xfId="9746" xr:uid="{56C74A25-3AC7-4783-9C75-0F26D6549FC4}"/>
    <cellStyle name="Normal 2 4 5 7" xfId="1627" xr:uid="{00000000-0005-0000-0000-0000CA100000}"/>
    <cellStyle name="Normal 2 4 5 7 2" xfId="3857" xr:uid="{00000000-0005-0000-0000-0000CB100000}"/>
    <cellStyle name="Normal 2 4 5 7 2 2" xfId="8080" xr:uid="{00000000-0005-0000-0000-0000CC100000}"/>
    <cellStyle name="Normal 2 4 5 7 2 2 2" xfId="16522" xr:uid="{0EDF1D90-D984-4DA0-A9DC-741A3D5F6B4E}"/>
    <cellStyle name="Normal 2 4 5 7 2 3" xfId="12304" xr:uid="{F70A63A5-E7E0-4854-88ED-4AA9ED007F02}"/>
    <cellStyle name="Normal 2 4 5 7 3" xfId="5935" xr:uid="{00000000-0005-0000-0000-0000CD100000}"/>
    <cellStyle name="Normal 2 4 5 7 3 2" xfId="14377" xr:uid="{537CAA1C-55D0-4ED3-9A48-B07BEFF7E31D}"/>
    <cellStyle name="Normal 2 4 5 7 4" xfId="10159" xr:uid="{4F1598FD-33AA-4319-8971-FB35CF9B3E82}"/>
    <cellStyle name="Normal 2 4 5 8" xfId="2041" xr:uid="{00000000-0005-0000-0000-0000CE100000}"/>
    <cellStyle name="Normal 2 4 5 8 2" xfId="4270" xr:uid="{00000000-0005-0000-0000-0000CF100000}"/>
    <cellStyle name="Normal 2 4 5 8 2 2" xfId="8493" xr:uid="{00000000-0005-0000-0000-0000D0100000}"/>
    <cellStyle name="Normal 2 4 5 8 2 2 2" xfId="16935" xr:uid="{DFDEBE03-494F-436F-907E-1DD10169C90C}"/>
    <cellStyle name="Normal 2 4 5 8 2 3" xfId="12717" xr:uid="{0806923A-0782-4C85-A34C-2AD8AC06A4C0}"/>
    <cellStyle name="Normal 2 4 5 8 3" xfId="6348" xr:uid="{00000000-0005-0000-0000-0000D1100000}"/>
    <cellStyle name="Normal 2 4 5 8 3 2" xfId="14790" xr:uid="{6DF4296E-8878-4E07-B785-E33F57B9F7F3}"/>
    <cellStyle name="Normal 2 4 5 8 4" xfId="10572" xr:uid="{719956FA-C114-4DCE-90FA-8668CC2E565D}"/>
    <cellStyle name="Normal 2 4 5 9" xfId="2477" xr:uid="{00000000-0005-0000-0000-0000D2100000}"/>
    <cellStyle name="Normal 2 4 5 9 2" xfId="6761" xr:uid="{00000000-0005-0000-0000-0000D3100000}"/>
    <cellStyle name="Normal 2 4 5 9 2 2" xfId="15203" xr:uid="{8497DC40-89E4-4B1E-8067-359652AD7C8C}"/>
    <cellStyle name="Normal 2 4 5 9 3" xfId="10985" xr:uid="{2CE84E84-06DB-474A-B7D2-C5A1839D7005}"/>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2 2 2" xfId="15705" xr:uid="{838C66ED-2190-433F-A17F-0EEC6CB1144A}"/>
    <cellStyle name="Normal 2 4 7 2 2 2 3" xfId="11487" xr:uid="{3CF02D74-D0FB-47DA-940C-E6A3DB4FEA4B}"/>
    <cellStyle name="Normal 2 4 7 2 2 3" xfId="5118" xr:uid="{00000000-0005-0000-0000-0000DA100000}"/>
    <cellStyle name="Normal 2 4 7 2 2 3 2" xfId="13560" xr:uid="{04EFADFF-5136-4DCF-BE52-979490924117}"/>
    <cellStyle name="Normal 2 4 7 2 2 4" xfId="9342" xr:uid="{7180B196-6741-48D0-B374-102601A4EC60}"/>
    <cellStyle name="Normal 2 4 7 2 3" xfId="1223" xr:uid="{00000000-0005-0000-0000-0000DB100000}"/>
    <cellStyle name="Normal 2 4 7 2 3 2" xfId="3453" xr:uid="{00000000-0005-0000-0000-0000DC100000}"/>
    <cellStyle name="Normal 2 4 7 2 3 2 2" xfId="7676" xr:uid="{00000000-0005-0000-0000-0000DD100000}"/>
    <cellStyle name="Normal 2 4 7 2 3 2 2 2" xfId="16118" xr:uid="{811470BB-6591-4182-B001-682AA49709D0}"/>
    <cellStyle name="Normal 2 4 7 2 3 2 3" xfId="11900" xr:uid="{337AFBFF-32E1-43CF-9325-AC34422EF9B9}"/>
    <cellStyle name="Normal 2 4 7 2 3 3" xfId="5531" xr:uid="{00000000-0005-0000-0000-0000DE100000}"/>
    <cellStyle name="Normal 2 4 7 2 3 3 2" xfId="13973" xr:uid="{454BA078-F15F-47D6-96C2-EEA4EA9A184E}"/>
    <cellStyle name="Normal 2 4 7 2 3 4" xfId="9755" xr:uid="{1CC2CFCB-3EDD-4886-81C2-FC08246B2538}"/>
    <cellStyle name="Normal 2 4 7 2 4" xfId="1636" xr:uid="{00000000-0005-0000-0000-0000DF100000}"/>
    <cellStyle name="Normal 2 4 7 2 4 2" xfId="3866" xr:uid="{00000000-0005-0000-0000-0000E0100000}"/>
    <cellStyle name="Normal 2 4 7 2 4 2 2" xfId="8089" xr:uid="{00000000-0005-0000-0000-0000E1100000}"/>
    <cellStyle name="Normal 2 4 7 2 4 2 2 2" xfId="16531" xr:uid="{9DA6BFC0-DFE4-4C13-BC45-324879F4196C}"/>
    <cellStyle name="Normal 2 4 7 2 4 2 3" xfId="12313" xr:uid="{442500D3-AE2C-4163-BCDF-E6AFF7271286}"/>
    <cellStyle name="Normal 2 4 7 2 4 3" xfId="5944" xr:uid="{00000000-0005-0000-0000-0000E2100000}"/>
    <cellStyle name="Normal 2 4 7 2 4 3 2" xfId="14386" xr:uid="{73B49776-7703-4980-9D7A-282DB9C57C9C}"/>
    <cellStyle name="Normal 2 4 7 2 4 4" xfId="10168" xr:uid="{2CB19530-0E3D-4A49-94BE-A6CD5DB70A49}"/>
    <cellStyle name="Normal 2 4 7 2 5" xfId="2050" xr:uid="{00000000-0005-0000-0000-0000E3100000}"/>
    <cellStyle name="Normal 2 4 7 2 5 2" xfId="4279" xr:uid="{00000000-0005-0000-0000-0000E4100000}"/>
    <cellStyle name="Normal 2 4 7 2 5 2 2" xfId="8502" xr:uid="{00000000-0005-0000-0000-0000E5100000}"/>
    <cellStyle name="Normal 2 4 7 2 5 2 2 2" xfId="16944" xr:uid="{049EE0CB-FC01-4576-8978-B3B8C62EE08C}"/>
    <cellStyle name="Normal 2 4 7 2 5 2 3" xfId="12726" xr:uid="{CB3D6801-E940-451F-81CD-F3E7DBE89210}"/>
    <cellStyle name="Normal 2 4 7 2 5 3" xfId="6357" xr:uid="{00000000-0005-0000-0000-0000E6100000}"/>
    <cellStyle name="Normal 2 4 7 2 5 3 2" xfId="14799" xr:uid="{92E5FE6C-C01F-45B5-86D0-02A5E2903189}"/>
    <cellStyle name="Normal 2 4 7 2 5 4" xfId="10581" xr:uid="{533C61B2-ECAF-48EC-A76F-C942116A4B62}"/>
    <cellStyle name="Normal 2 4 7 2 6" xfId="2486" xr:uid="{00000000-0005-0000-0000-0000E7100000}"/>
    <cellStyle name="Normal 2 4 7 2 6 2" xfId="6770" xr:uid="{00000000-0005-0000-0000-0000E8100000}"/>
    <cellStyle name="Normal 2 4 7 2 6 2 2" xfId="15212" xr:uid="{8EC2FEC4-E714-44B5-8E1E-4CAF0A464167}"/>
    <cellStyle name="Normal 2 4 7 2 6 3" xfId="10994" xr:uid="{7822F598-7CEF-41CB-BC8D-A9EBB45058F8}"/>
    <cellStyle name="Normal 2 4 7 2 7" xfId="4704" xr:uid="{00000000-0005-0000-0000-0000E9100000}"/>
    <cellStyle name="Normal 2 4 7 2 7 2" xfId="13146" xr:uid="{80BFFC13-27B4-41DA-B54C-8A0C6098525C}"/>
    <cellStyle name="Normal 2 4 7 2 8" xfId="8928" xr:uid="{5B4F4684-40A0-4699-82A1-B5E48B9A6D63}"/>
    <cellStyle name="Normal 2 4 7 3" xfId="800" xr:uid="{00000000-0005-0000-0000-0000EA100000}"/>
    <cellStyle name="Normal 2 4 7 3 2" xfId="3039" xr:uid="{00000000-0005-0000-0000-0000EB100000}"/>
    <cellStyle name="Normal 2 4 7 3 2 2" xfId="7262" xr:uid="{00000000-0005-0000-0000-0000EC100000}"/>
    <cellStyle name="Normal 2 4 7 3 2 2 2" xfId="15704" xr:uid="{755605F6-E754-4CE2-B34C-C427DFE8B4B4}"/>
    <cellStyle name="Normal 2 4 7 3 2 3" xfId="11486" xr:uid="{19EB397E-5429-4AB3-AF41-A3F78793BDE4}"/>
    <cellStyle name="Normal 2 4 7 3 3" xfId="5117" xr:uid="{00000000-0005-0000-0000-0000ED100000}"/>
    <cellStyle name="Normal 2 4 7 3 3 2" xfId="13559" xr:uid="{3D6580B5-48F6-4823-A4A3-840846C6D15D}"/>
    <cellStyle name="Normal 2 4 7 3 4" xfId="9341" xr:uid="{A8663C9B-3206-4DC8-B55A-B0DC13088433}"/>
    <cellStyle name="Normal 2 4 7 4" xfId="1222" xr:uid="{00000000-0005-0000-0000-0000EE100000}"/>
    <cellStyle name="Normal 2 4 7 4 2" xfId="3452" xr:uid="{00000000-0005-0000-0000-0000EF100000}"/>
    <cellStyle name="Normal 2 4 7 4 2 2" xfId="7675" xr:uid="{00000000-0005-0000-0000-0000F0100000}"/>
    <cellStyle name="Normal 2 4 7 4 2 2 2" xfId="16117" xr:uid="{49013392-A634-4729-B403-E1EE5F833162}"/>
    <cellStyle name="Normal 2 4 7 4 2 3" xfId="11899" xr:uid="{4DEC0C03-68E4-46E9-AEFD-ADF4A944536F}"/>
    <cellStyle name="Normal 2 4 7 4 3" xfId="5530" xr:uid="{00000000-0005-0000-0000-0000F1100000}"/>
    <cellStyle name="Normal 2 4 7 4 3 2" xfId="13972" xr:uid="{C6897C98-C1D7-4981-9C43-3A10A6B3ADF7}"/>
    <cellStyle name="Normal 2 4 7 4 4" xfId="9754" xr:uid="{543FF32A-48C4-43CF-85B5-0E3A96FE5190}"/>
    <cellStyle name="Normal 2 4 7 5" xfId="1635" xr:uid="{00000000-0005-0000-0000-0000F2100000}"/>
    <cellStyle name="Normal 2 4 7 5 2" xfId="3865" xr:uid="{00000000-0005-0000-0000-0000F3100000}"/>
    <cellStyle name="Normal 2 4 7 5 2 2" xfId="8088" xr:uid="{00000000-0005-0000-0000-0000F4100000}"/>
    <cellStyle name="Normal 2 4 7 5 2 2 2" xfId="16530" xr:uid="{C9665CA9-DF89-4142-98A3-C5A785702068}"/>
    <cellStyle name="Normal 2 4 7 5 2 3" xfId="12312" xr:uid="{95DBB01A-A1F1-46EE-8B17-8D94A4C20DEA}"/>
    <cellStyle name="Normal 2 4 7 5 3" xfId="5943" xr:uid="{00000000-0005-0000-0000-0000F5100000}"/>
    <cellStyle name="Normal 2 4 7 5 3 2" xfId="14385" xr:uid="{6B50C5D8-EC4E-4134-BC95-6C77282AEE97}"/>
    <cellStyle name="Normal 2 4 7 5 4" xfId="10167" xr:uid="{95218511-FFA8-46D6-B85C-0DC85FA39144}"/>
    <cellStyle name="Normal 2 4 7 6" xfId="2049" xr:uid="{00000000-0005-0000-0000-0000F6100000}"/>
    <cellStyle name="Normal 2 4 7 6 2" xfId="4278" xr:uid="{00000000-0005-0000-0000-0000F7100000}"/>
    <cellStyle name="Normal 2 4 7 6 2 2" xfId="8501" xr:uid="{00000000-0005-0000-0000-0000F8100000}"/>
    <cellStyle name="Normal 2 4 7 6 2 2 2" xfId="16943" xr:uid="{FFCA41CB-1840-425C-AF4C-4E9F6ED3B030}"/>
    <cellStyle name="Normal 2 4 7 6 2 3" xfId="12725" xr:uid="{2268A1D0-D664-41DF-BC31-00DBB66E3744}"/>
    <cellStyle name="Normal 2 4 7 6 3" xfId="6356" xr:uid="{00000000-0005-0000-0000-0000F9100000}"/>
    <cellStyle name="Normal 2 4 7 6 3 2" xfId="14798" xr:uid="{7AFA2801-3EF8-4B34-AFD6-E31F9C340E2F}"/>
    <cellStyle name="Normal 2 4 7 6 4" xfId="10580" xr:uid="{76789502-7143-41BC-8172-7F4282621769}"/>
    <cellStyle name="Normal 2 4 7 7" xfId="2485" xr:uid="{00000000-0005-0000-0000-0000FA100000}"/>
    <cellStyle name="Normal 2 4 7 7 2" xfId="6769" xr:uid="{00000000-0005-0000-0000-0000FB100000}"/>
    <cellStyle name="Normal 2 4 7 7 2 2" xfId="15211" xr:uid="{DA349410-8CB2-457C-9533-D64E65B999DC}"/>
    <cellStyle name="Normal 2 4 7 7 3" xfId="10993" xr:uid="{08965738-AB55-43A7-A0E1-CF626DF5CDAB}"/>
    <cellStyle name="Normal 2 4 7 8" xfId="4703" xr:uid="{00000000-0005-0000-0000-0000FC100000}"/>
    <cellStyle name="Normal 2 4 7 8 2" xfId="13145" xr:uid="{F102FFB4-1C9A-4529-8A5F-7B601D26D886}"/>
    <cellStyle name="Normal 2 4 7 9" xfId="8927" xr:uid="{0A7A7AAD-68AC-49EB-BBD2-EFB50A4FD25E}"/>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2 2 2" xfId="15706" xr:uid="{E4D81D00-10C2-4DC1-8FB9-1AA4FF2F3DDC}"/>
    <cellStyle name="Normal 2 4 8 2 2 3" xfId="11488" xr:uid="{355CFE3F-888E-40A8-9E86-F3D92D567736}"/>
    <cellStyle name="Normal 2 4 8 2 3" xfId="5119" xr:uid="{00000000-0005-0000-0000-000001110000}"/>
    <cellStyle name="Normal 2 4 8 2 3 2" xfId="13561" xr:uid="{6705820F-D67E-477A-9576-9E4DA81AD74E}"/>
    <cellStyle name="Normal 2 4 8 2 4" xfId="9343" xr:uid="{0536ADB2-963B-45E6-A9E2-F1791E07C083}"/>
    <cellStyle name="Normal 2 4 8 3" xfId="1224" xr:uid="{00000000-0005-0000-0000-000002110000}"/>
    <cellStyle name="Normal 2 4 8 3 2" xfId="3454" xr:uid="{00000000-0005-0000-0000-000003110000}"/>
    <cellStyle name="Normal 2 4 8 3 2 2" xfId="7677" xr:uid="{00000000-0005-0000-0000-000004110000}"/>
    <cellStyle name="Normal 2 4 8 3 2 2 2" xfId="16119" xr:uid="{966688D7-1636-4F61-A663-39709CAB10F8}"/>
    <cellStyle name="Normal 2 4 8 3 2 3" xfId="11901" xr:uid="{D633B211-2D35-415E-B8B0-626EAB721B40}"/>
    <cellStyle name="Normal 2 4 8 3 3" xfId="5532" xr:uid="{00000000-0005-0000-0000-000005110000}"/>
    <cellStyle name="Normal 2 4 8 3 3 2" xfId="13974" xr:uid="{9AA90C25-6CE3-4C67-9DE5-A2E4636576C9}"/>
    <cellStyle name="Normal 2 4 8 3 4" xfId="9756" xr:uid="{B73098A1-34DD-44D2-A611-7CF9A6795343}"/>
    <cellStyle name="Normal 2 4 8 4" xfId="1637" xr:uid="{00000000-0005-0000-0000-000006110000}"/>
    <cellStyle name="Normal 2 4 8 4 2" xfId="3867" xr:uid="{00000000-0005-0000-0000-000007110000}"/>
    <cellStyle name="Normal 2 4 8 4 2 2" xfId="8090" xr:uid="{00000000-0005-0000-0000-000008110000}"/>
    <cellStyle name="Normal 2 4 8 4 2 2 2" xfId="16532" xr:uid="{4D6DD9C6-EA3F-4EC6-AF19-10A1DC224C0F}"/>
    <cellStyle name="Normal 2 4 8 4 2 3" xfId="12314" xr:uid="{3F5520FE-5B2C-49D7-AD83-1361361329F7}"/>
    <cellStyle name="Normal 2 4 8 4 3" xfId="5945" xr:uid="{00000000-0005-0000-0000-000009110000}"/>
    <cellStyle name="Normal 2 4 8 4 3 2" xfId="14387" xr:uid="{3E23A95E-CBAF-453C-BEF1-F9547A263951}"/>
    <cellStyle name="Normal 2 4 8 4 4" xfId="10169" xr:uid="{14A8CC19-5994-4BBE-9E19-2CDA69F6BBB6}"/>
    <cellStyle name="Normal 2 4 8 5" xfId="2051" xr:uid="{00000000-0005-0000-0000-00000A110000}"/>
    <cellStyle name="Normal 2 4 8 5 2" xfId="4280" xr:uid="{00000000-0005-0000-0000-00000B110000}"/>
    <cellStyle name="Normal 2 4 8 5 2 2" xfId="8503" xr:uid="{00000000-0005-0000-0000-00000C110000}"/>
    <cellStyle name="Normal 2 4 8 5 2 2 2" xfId="16945" xr:uid="{377BCC84-9DC6-4EE5-B67C-28B1373A1866}"/>
    <cellStyle name="Normal 2 4 8 5 2 3" xfId="12727" xr:uid="{0677B6A0-0B73-4E0F-B411-5393EB7084B3}"/>
    <cellStyle name="Normal 2 4 8 5 3" xfId="6358" xr:uid="{00000000-0005-0000-0000-00000D110000}"/>
    <cellStyle name="Normal 2 4 8 5 3 2" xfId="14800" xr:uid="{515271DC-3637-47EA-AFD8-9DC728E0EC60}"/>
    <cellStyle name="Normal 2 4 8 5 4" xfId="10582" xr:uid="{7BB35E9A-F485-4628-9C92-B76EB11C6F16}"/>
    <cellStyle name="Normal 2 4 8 6" xfId="2487" xr:uid="{00000000-0005-0000-0000-00000E110000}"/>
    <cellStyle name="Normal 2 4 8 6 2" xfId="6771" xr:uid="{00000000-0005-0000-0000-00000F110000}"/>
    <cellStyle name="Normal 2 4 8 6 2 2" xfId="15213" xr:uid="{1FDED095-FE72-4766-944B-DF2953863ED6}"/>
    <cellStyle name="Normal 2 4 8 6 3" xfId="10995" xr:uid="{2E19B0C8-F7E0-4120-A5EB-FAD549A80D6D}"/>
    <cellStyle name="Normal 2 4 8 7" xfId="4705" xr:uid="{00000000-0005-0000-0000-000010110000}"/>
    <cellStyle name="Normal 2 4 8 7 2" xfId="13147" xr:uid="{DBE848BF-FB6F-4F9E-A43D-1C87E083D623}"/>
    <cellStyle name="Normal 2 4 8 8" xfId="8929" xr:uid="{4F882473-7B1A-49E8-AB71-593B2D908FC3}"/>
    <cellStyle name="Normal 2 5" xfId="315" xr:uid="{00000000-0005-0000-0000-000011110000}"/>
    <cellStyle name="Normal 2 5 10" xfId="4706" xr:uid="{00000000-0005-0000-0000-000012110000}"/>
    <cellStyle name="Normal 2 5 10 2" xfId="13148" xr:uid="{9B58BF0B-4808-48A5-BBDF-59B198E7E3E6}"/>
    <cellStyle name="Normal 2 5 11" xfId="8930" xr:uid="{723163E7-8DED-4441-9A65-0C3911DF9213}"/>
    <cellStyle name="Normal 2 5 2" xfId="316" xr:uid="{00000000-0005-0000-0000-000013110000}"/>
    <cellStyle name="Normal 2 5 3" xfId="317" xr:uid="{00000000-0005-0000-0000-000014110000}"/>
    <cellStyle name="Normal 2 5 4" xfId="318" xr:uid="{00000000-0005-0000-0000-000015110000}"/>
    <cellStyle name="Normal 2 5 4 10" xfId="8931" xr:uid="{27455E6A-499E-496F-8F48-635437CAB679}"/>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2 2 2" xfId="15710" xr:uid="{5F11E41A-9D38-4E87-A121-D1ACF146AD6C}"/>
    <cellStyle name="Normal 2 5 4 2 2 2 2 3" xfId="11492" xr:uid="{F50ED07F-E552-4A1D-BE1A-A6023627C0D5}"/>
    <cellStyle name="Normal 2 5 4 2 2 2 3" xfId="5123" xr:uid="{00000000-0005-0000-0000-00001B110000}"/>
    <cellStyle name="Normal 2 5 4 2 2 2 3 2" xfId="13565" xr:uid="{4CED136B-0AF1-414B-B061-9C2F85213884}"/>
    <cellStyle name="Normal 2 5 4 2 2 2 4" xfId="9347" xr:uid="{437413D1-F34F-4DDD-B46A-DC36D5AA20E3}"/>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2 2 2" xfId="16123" xr:uid="{F6197DC5-2A5B-40F2-B840-D131DD6D50CE}"/>
    <cellStyle name="Normal 2 5 4 2 2 3 2 3" xfId="11905" xr:uid="{FDC0C868-13A8-40BE-9484-D1EB9E154140}"/>
    <cellStyle name="Normal 2 5 4 2 2 3 3" xfId="5536" xr:uid="{00000000-0005-0000-0000-00001F110000}"/>
    <cellStyle name="Normal 2 5 4 2 2 3 3 2" xfId="13978" xr:uid="{0F5B68E7-3745-4375-955D-C7F6C2ADABC5}"/>
    <cellStyle name="Normal 2 5 4 2 2 3 4" xfId="9760" xr:uid="{DD015AF3-1889-463A-87B7-01894516FE23}"/>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2 2 2" xfId="16536" xr:uid="{46856F4C-3471-4EAE-A2E7-6AD081218339}"/>
    <cellStyle name="Normal 2 5 4 2 2 4 2 3" xfId="12318" xr:uid="{A56F1E0A-F01A-44EC-9C56-DC5082243506}"/>
    <cellStyle name="Normal 2 5 4 2 2 4 3" xfId="5949" xr:uid="{00000000-0005-0000-0000-000023110000}"/>
    <cellStyle name="Normal 2 5 4 2 2 4 3 2" xfId="14391" xr:uid="{76FE52A4-2B95-44BF-80E5-3E272DC69A1C}"/>
    <cellStyle name="Normal 2 5 4 2 2 4 4" xfId="10173" xr:uid="{645FF3B5-A20B-4BC4-B040-464D7186DA0F}"/>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2 2 2" xfId="16949" xr:uid="{25E5DA64-05FE-4DBC-AB1B-7766D898B655}"/>
    <cellStyle name="Normal 2 5 4 2 2 5 2 3" xfId="12731" xr:uid="{45C2888A-FE75-4DFC-8714-8B62B673680C}"/>
    <cellStyle name="Normal 2 5 4 2 2 5 3" xfId="6362" xr:uid="{00000000-0005-0000-0000-000027110000}"/>
    <cellStyle name="Normal 2 5 4 2 2 5 3 2" xfId="14804" xr:uid="{0AE95346-C43C-4407-A917-C03E50A705CA}"/>
    <cellStyle name="Normal 2 5 4 2 2 5 4" xfId="10586" xr:uid="{3D76091E-F8A0-4257-A18E-5F7083C6BDE4}"/>
    <cellStyle name="Normal 2 5 4 2 2 6" xfId="2491" xr:uid="{00000000-0005-0000-0000-000028110000}"/>
    <cellStyle name="Normal 2 5 4 2 2 6 2" xfId="6775" xr:uid="{00000000-0005-0000-0000-000029110000}"/>
    <cellStyle name="Normal 2 5 4 2 2 6 2 2" xfId="15217" xr:uid="{145B012B-806B-4F52-B87F-F2BB2F62F9C1}"/>
    <cellStyle name="Normal 2 5 4 2 2 6 3" xfId="10999" xr:uid="{D447801C-4642-47F6-AC61-A0E810C90DFE}"/>
    <cellStyle name="Normal 2 5 4 2 2 7" xfId="4709" xr:uid="{00000000-0005-0000-0000-00002A110000}"/>
    <cellStyle name="Normal 2 5 4 2 2 7 2" xfId="13151" xr:uid="{98E31479-7BB5-4147-95C7-00DDE08E2A12}"/>
    <cellStyle name="Normal 2 5 4 2 2 8" xfId="8933" xr:uid="{3495DA90-3015-4CA1-83D1-2A6CC8E23A46}"/>
    <cellStyle name="Normal 2 5 4 2 3" xfId="805" xr:uid="{00000000-0005-0000-0000-00002B110000}"/>
    <cellStyle name="Normal 2 5 4 2 3 2" xfId="3044" xr:uid="{00000000-0005-0000-0000-00002C110000}"/>
    <cellStyle name="Normal 2 5 4 2 3 2 2" xfId="7267" xr:uid="{00000000-0005-0000-0000-00002D110000}"/>
    <cellStyle name="Normal 2 5 4 2 3 2 2 2" xfId="15709" xr:uid="{95038F9C-FC6D-453A-A96A-97F70C3973D0}"/>
    <cellStyle name="Normal 2 5 4 2 3 2 3" xfId="11491" xr:uid="{BE4377AD-C98E-4DC7-B40F-7846F40A3C75}"/>
    <cellStyle name="Normal 2 5 4 2 3 3" xfId="5122" xr:uid="{00000000-0005-0000-0000-00002E110000}"/>
    <cellStyle name="Normal 2 5 4 2 3 3 2" xfId="13564" xr:uid="{02FE16AD-5503-4810-B8DF-5332EE7D609A}"/>
    <cellStyle name="Normal 2 5 4 2 3 4" xfId="9346" xr:uid="{4904226B-1AD7-4EA1-9D01-73243E6FB700}"/>
    <cellStyle name="Normal 2 5 4 2 4" xfId="1227" xr:uid="{00000000-0005-0000-0000-00002F110000}"/>
    <cellStyle name="Normal 2 5 4 2 4 2" xfId="3457" xr:uid="{00000000-0005-0000-0000-000030110000}"/>
    <cellStyle name="Normal 2 5 4 2 4 2 2" xfId="7680" xr:uid="{00000000-0005-0000-0000-000031110000}"/>
    <cellStyle name="Normal 2 5 4 2 4 2 2 2" xfId="16122" xr:uid="{1498BF25-C117-4EA4-91E3-1A43A52B7FC7}"/>
    <cellStyle name="Normal 2 5 4 2 4 2 3" xfId="11904" xr:uid="{B46438A7-9641-4155-B1EE-8B5059829F02}"/>
    <cellStyle name="Normal 2 5 4 2 4 3" xfId="5535" xr:uid="{00000000-0005-0000-0000-000032110000}"/>
    <cellStyle name="Normal 2 5 4 2 4 3 2" xfId="13977" xr:uid="{EFC54A5E-55CC-433B-9218-362F4173762C}"/>
    <cellStyle name="Normal 2 5 4 2 4 4" xfId="9759" xr:uid="{053B9A4F-AF11-40E2-99DE-43939BC22383}"/>
    <cellStyle name="Normal 2 5 4 2 5" xfId="1640" xr:uid="{00000000-0005-0000-0000-000033110000}"/>
    <cellStyle name="Normal 2 5 4 2 5 2" xfId="3870" xr:uid="{00000000-0005-0000-0000-000034110000}"/>
    <cellStyle name="Normal 2 5 4 2 5 2 2" xfId="8093" xr:uid="{00000000-0005-0000-0000-000035110000}"/>
    <cellStyle name="Normal 2 5 4 2 5 2 2 2" xfId="16535" xr:uid="{123AE7C8-C362-41CC-AFF1-14BFD434E572}"/>
    <cellStyle name="Normal 2 5 4 2 5 2 3" xfId="12317" xr:uid="{0F7C7949-E5F8-48EA-9ECD-56D7F097D4E2}"/>
    <cellStyle name="Normal 2 5 4 2 5 3" xfId="5948" xr:uid="{00000000-0005-0000-0000-000036110000}"/>
    <cellStyle name="Normal 2 5 4 2 5 3 2" xfId="14390" xr:uid="{B4E3D436-8200-487B-A270-5CF3C53A01DC}"/>
    <cellStyle name="Normal 2 5 4 2 5 4" xfId="10172" xr:uid="{DCA0990A-B477-43FE-9A00-DC09A9597EAA}"/>
    <cellStyle name="Normal 2 5 4 2 6" xfId="2054" xr:uid="{00000000-0005-0000-0000-000037110000}"/>
    <cellStyle name="Normal 2 5 4 2 6 2" xfId="4283" xr:uid="{00000000-0005-0000-0000-000038110000}"/>
    <cellStyle name="Normal 2 5 4 2 6 2 2" xfId="8506" xr:uid="{00000000-0005-0000-0000-000039110000}"/>
    <cellStyle name="Normal 2 5 4 2 6 2 2 2" xfId="16948" xr:uid="{ED7F0618-218F-4407-B63F-87C5E0C3C869}"/>
    <cellStyle name="Normal 2 5 4 2 6 2 3" xfId="12730" xr:uid="{7A467774-3F02-4220-8BCE-214E5BBCA7FD}"/>
    <cellStyle name="Normal 2 5 4 2 6 3" xfId="6361" xr:uid="{00000000-0005-0000-0000-00003A110000}"/>
    <cellStyle name="Normal 2 5 4 2 6 3 2" xfId="14803" xr:uid="{FFDD91F6-A112-42C2-99C5-06898B64D3E1}"/>
    <cellStyle name="Normal 2 5 4 2 6 4" xfId="10585" xr:uid="{C322A127-AF5B-4E8A-838F-EB08881E12FD}"/>
    <cellStyle name="Normal 2 5 4 2 7" xfId="2490" xr:uid="{00000000-0005-0000-0000-00003B110000}"/>
    <cellStyle name="Normal 2 5 4 2 7 2" xfId="6774" xr:uid="{00000000-0005-0000-0000-00003C110000}"/>
    <cellStyle name="Normal 2 5 4 2 7 2 2" xfId="15216" xr:uid="{61B35076-62EE-4434-82A6-09A34400103E}"/>
    <cellStyle name="Normal 2 5 4 2 7 3" xfId="10998" xr:uid="{6BDD998B-98FE-40A1-B4B1-ECC4813D2F06}"/>
    <cellStyle name="Normal 2 5 4 2 8" xfId="4708" xr:uid="{00000000-0005-0000-0000-00003D110000}"/>
    <cellStyle name="Normal 2 5 4 2 8 2" xfId="13150" xr:uid="{E8FF4C08-A510-447F-A895-DCBC48253633}"/>
    <cellStyle name="Normal 2 5 4 2 9" xfId="8932" xr:uid="{9EB59154-CF2E-4FCB-B912-7AAB9432EB8D}"/>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2 2 2" xfId="15711" xr:uid="{3F8E377E-8E0F-4DFC-96D1-236228A19237}"/>
    <cellStyle name="Normal 2 5 4 3 2 2 3" xfId="11493" xr:uid="{E1A00603-FEA9-416B-AC7D-90562BD9F165}"/>
    <cellStyle name="Normal 2 5 4 3 2 3" xfId="5124" xr:uid="{00000000-0005-0000-0000-000042110000}"/>
    <cellStyle name="Normal 2 5 4 3 2 3 2" xfId="13566" xr:uid="{A5C7BFF7-B3A1-4FCA-A7CE-1B6D95F45334}"/>
    <cellStyle name="Normal 2 5 4 3 2 4" xfId="9348" xr:uid="{ADA99923-15EB-4C2C-B4D6-E4755F08C426}"/>
    <cellStyle name="Normal 2 5 4 3 3" xfId="1229" xr:uid="{00000000-0005-0000-0000-000043110000}"/>
    <cellStyle name="Normal 2 5 4 3 3 2" xfId="3459" xr:uid="{00000000-0005-0000-0000-000044110000}"/>
    <cellStyle name="Normal 2 5 4 3 3 2 2" xfId="7682" xr:uid="{00000000-0005-0000-0000-000045110000}"/>
    <cellStyle name="Normal 2 5 4 3 3 2 2 2" xfId="16124" xr:uid="{626D86E4-496C-499F-B405-3D9B775C8569}"/>
    <cellStyle name="Normal 2 5 4 3 3 2 3" xfId="11906" xr:uid="{7270ECCB-A09C-4BA6-9810-BE64490FF767}"/>
    <cellStyle name="Normal 2 5 4 3 3 3" xfId="5537" xr:uid="{00000000-0005-0000-0000-000046110000}"/>
    <cellStyle name="Normal 2 5 4 3 3 3 2" xfId="13979" xr:uid="{67E8D126-E2E4-4394-AE0F-EED9B4B70CFA}"/>
    <cellStyle name="Normal 2 5 4 3 3 4" xfId="9761" xr:uid="{30BCD334-111A-4900-A236-BCAC13670DAC}"/>
    <cellStyle name="Normal 2 5 4 3 4" xfId="1642" xr:uid="{00000000-0005-0000-0000-000047110000}"/>
    <cellStyle name="Normal 2 5 4 3 4 2" xfId="3872" xr:uid="{00000000-0005-0000-0000-000048110000}"/>
    <cellStyle name="Normal 2 5 4 3 4 2 2" xfId="8095" xr:uid="{00000000-0005-0000-0000-000049110000}"/>
    <cellStyle name="Normal 2 5 4 3 4 2 2 2" xfId="16537" xr:uid="{DD5A1874-30EC-46AC-A2FA-E20CC129F9A9}"/>
    <cellStyle name="Normal 2 5 4 3 4 2 3" xfId="12319" xr:uid="{B7202712-1CF8-49B2-9C9A-5BEBA7A56E0C}"/>
    <cellStyle name="Normal 2 5 4 3 4 3" xfId="5950" xr:uid="{00000000-0005-0000-0000-00004A110000}"/>
    <cellStyle name="Normal 2 5 4 3 4 3 2" xfId="14392" xr:uid="{4549FB07-56CB-4EDC-B227-C2D678DA23C1}"/>
    <cellStyle name="Normal 2 5 4 3 4 4" xfId="10174" xr:uid="{3B83E6F1-9373-4896-A98D-D7CC7AF58AFA}"/>
    <cellStyle name="Normal 2 5 4 3 5" xfId="2056" xr:uid="{00000000-0005-0000-0000-00004B110000}"/>
    <cellStyle name="Normal 2 5 4 3 5 2" xfId="4285" xr:uid="{00000000-0005-0000-0000-00004C110000}"/>
    <cellStyle name="Normal 2 5 4 3 5 2 2" xfId="8508" xr:uid="{00000000-0005-0000-0000-00004D110000}"/>
    <cellStyle name="Normal 2 5 4 3 5 2 2 2" xfId="16950" xr:uid="{177737C4-6657-4A95-A937-6B5374A0E8DE}"/>
    <cellStyle name="Normal 2 5 4 3 5 2 3" xfId="12732" xr:uid="{EDADD075-F4A3-4965-AECF-5EB647DC0CF5}"/>
    <cellStyle name="Normal 2 5 4 3 5 3" xfId="6363" xr:uid="{00000000-0005-0000-0000-00004E110000}"/>
    <cellStyle name="Normal 2 5 4 3 5 3 2" xfId="14805" xr:uid="{D69A069D-06B7-480A-83BB-CBDCDE85BCD7}"/>
    <cellStyle name="Normal 2 5 4 3 5 4" xfId="10587" xr:uid="{41B9D3AF-B6C9-4313-9FA4-891BF42A58D2}"/>
    <cellStyle name="Normal 2 5 4 3 6" xfId="2492" xr:uid="{00000000-0005-0000-0000-00004F110000}"/>
    <cellStyle name="Normal 2 5 4 3 6 2" xfId="6776" xr:uid="{00000000-0005-0000-0000-000050110000}"/>
    <cellStyle name="Normal 2 5 4 3 6 2 2" xfId="15218" xr:uid="{1A99D44B-1AB3-4166-A3E1-122F40A3E77C}"/>
    <cellStyle name="Normal 2 5 4 3 6 3" xfId="11000" xr:uid="{089241BB-8899-4B9C-80B7-F73ED7B93883}"/>
    <cellStyle name="Normal 2 5 4 3 7" xfId="4710" xr:uid="{00000000-0005-0000-0000-000051110000}"/>
    <cellStyle name="Normal 2 5 4 3 7 2" xfId="13152" xr:uid="{26B19496-DB48-4926-AADB-78BAF14F85A1}"/>
    <cellStyle name="Normal 2 5 4 3 8" xfId="8934" xr:uid="{409CAE1D-19A3-4E1B-9224-36028B62A14E}"/>
    <cellStyle name="Normal 2 5 4 4" xfId="804" xr:uid="{00000000-0005-0000-0000-000052110000}"/>
    <cellStyle name="Normal 2 5 4 4 2" xfId="3043" xr:uid="{00000000-0005-0000-0000-000053110000}"/>
    <cellStyle name="Normal 2 5 4 4 2 2" xfId="7266" xr:uid="{00000000-0005-0000-0000-000054110000}"/>
    <cellStyle name="Normal 2 5 4 4 2 2 2" xfId="15708" xr:uid="{98BA525D-C65F-4879-8AA3-39CC8F9D6F56}"/>
    <cellStyle name="Normal 2 5 4 4 2 3" xfId="11490" xr:uid="{CA9B1EDA-0A0B-42A9-A3C4-F60FE38E2534}"/>
    <cellStyle name="Normal 2 5 4 4 3" xfId="5121" xr:uid="{00000000-0005-0000-0000-000055110000}"/>
    <cellStyle name="Normal 2 5 4 4 3 2" xfId="13563" xr:uid="{2594F954-D1DB-4764-89EC-285BDC0DDA38}"/>
    <cellStyle name="Normal 2 5 4 4 4" xfId="9345" xr:uid="{A5114C46-A318-4EE2-B394-84B0DABA67A6}"/>
    <cellStyle name="Normal 2 5 4 5" xfId="1226" xr:uid="{00000000-0005-0000-0000-000056110000}"/>
    <cellStyle name="Normal 2 5 4 5 2" xfId="3456" xr:uid="{00000000-0005-0000-0000-000057110000}"/>
    <cellStyle name="Normal 2 5 4 5 2 2" xfId="7679" xr:uid="{00000000-0005-0000-0000-000058110000}"/>
    <cellStyle name="Normal 2 5 4 5 2 2 2" xfId="16121" xr:uid="{474A32A2-0B57-43BE-B6A1-A68C719E4FC5}"/>
    <cellStyle name="Normal 2 5 4 5 2 3" xfId="11903" xr:uid="{8D7B111B-D064-4DF0-86E7-6E70AEDBB5E9}"/>
    <cellStyle name="Normal 2 5 4 5 3" xfId="5534" xr:uid="{00000000-0005-0000-0000-000059110000}"/>
    <cellStyle name="Normal 2 5 4 5 3 2" xfId="13976" xr:uid="{D0710CC0-2677-4758-8487-E169CBD6B513}"/>
    <cellStyle name="Normal 2 5 4 5 4" xfId="9758" xr:uid="{461C5DFF-7315-460E-ABD6-45CF76E1350A}"/>
    <cellStyle name="Normal 2 5 4 6" xfId="1639" xr:uid="{00000000-0005-0000-0000-00005A110000}"/>
    <cellStyle name="Normal 2 5 4 6 2" xfId="3869" xr:uid="{00000000-0005-0000-0000-00005B110000}"/>
    <cellStyle name="Normal 2 5 4 6 2 2" xfId="8092" xr:uid="{00000000-0005-0000-0000-00005C110000}"/>
    <cellStyle name="Normal 2 5 4 6 2 2 2" xfId="16534" xr:uid="{2C479E80-6C0C-443F-B254-CDA336BBB62D}"/>
    <cellStyle name="Normal 2 5 4 6 2 3" xfId="12316" xr:uid="{5ACBE177-8FCB-42E8-B1CF-1FE24C372974}"/>
    <cellStyle name="Normal 2 5 4 6 3" xfId="5947" xr:uid="{00000000-0005-0000-0000-00005D110000}"/>
    <cellStyle name="Normal 2 5 4 6 3 2" xfId="14389" xr:uid="{CBE755A1-EB36-4AE7-9834-C570255A553F}"/>
    <cellStyle name="Normal 2 5 4 6 4" xfId="10171" xr:uid="{7050AB47-8CB5-4959-8710-20C3C82A6948}"/>
    <cellStyle name="Normal 2 5 4 7" xfId="2053" xr:uid="{00000000-0005-0000-0000-00005E110000}"/>
    <cellStyle name="Normal 2 5 4 7 2" xfId="4282" xr:uid="{00000000-0005-0000-0000-00005F110000}"/>
    <cellStyle name="Normal 2 5 4 7 2 2" xfId="8505" xr:uid="{00000000-0005-0000-0000-000060110000}"/>
    <cellStyle name="Normal 2 5 4 7 2 2 2" xfId="16947" xr:uid="{347AAC96-2600-47F4-A3A4-123BFB44A92D}"/>
    <cellStyle name="Normal 2 5 4 7 2 3" xfId="12729" xr:uid="{3D12C994-D151-40F0-88F6-B826688FD061}"/>
    <cellStyle name="Normal 2 5 4 7 3" xfId="6360" xr:uid="{00000000-0005-0000-0000-000061110000}"/>
    <cellStyle name="Normal 2 5 4 7 3 2" xfId="14802" xr:uid="{D1FC4A38-C09D-43E2-AF7D-E0D8D004A8B6}"/>
    <cellStyle name="Normal 2 5 4 7 4" xfId="10584" xr:uid="{9B4F0982-D513-4612-8EE1-7C58B67D8FB8}"/>
    <cellStyle name="Normal 2 5 4 8" xfId="2489" xr:uid="{00000000-0005-0000-0000-000062110000}"/>
    <cellStyle name="Normal 2 5 4 8 2" xfId="6773" xr:uid="{00000000-0005-0000-0000-000063110000}"/>
    <cellStyle name="Normal 2 5 4 8 2 2" xfId="15215" xr:uid="{54A5AE0B-AE3C-4E91-A3B7-0A798A63AA62}"/>
    <cellStyle name="Normal 2 5 4 8 3" xfId="10997" xr:uid="{F8D3293A-E8B0-417E-8890-99CC60B4DD09}"/>
    <cellStyle name="Normal 2 5 4 9" xfId="4707" xr:uid="{00000000-0005-0000-0000-000064110000}"/>
    <cellStyle name="Normal 2 5 4 9 2" xfId="13149" xr:uid="{03BF38AD-DBE5-4504-8568-F7527D39013E}"/>
    <cellStyle name="Normal 2 5 5" xfId="803" xr:uid="{00000000-0005-0000-0000-000065110000}"/>
    <cellStyle name="Normal 2 5 5 2" xfId="3042" xr:uid="{00000000-0005-0000-0000-000066110000}"/>
    <cellStyle name="Normal 2 5 5 2 2" xfId="7265" xr:uid="{00000000-0005-0000-0000-000067110000}"/>
    <cellStyle name="Normal 2 5 5 2 2 2" xfId="15707" xr:uid="{BFFB6817-AD83-4FBF-B8CF-8BD7F9019746}"/>
    <cellStyle name="Normal 2 5 5 2 3" xfId="11489" xr:uid="{F2842134-F2AD-4ED2-802C-90730ED2C35B}"/>
    <cellStyle name="Normal 2 5 5 3" xfId="5120" xr:uid="{00000000-0005-0000-0000-000068110000}"/>
    <cellStyle name="Normal 2 5 5 3 2" xfId="13562" xr:uid="{25773807-DAD6-4DB7-8C96-63911BECB11C}"/>
    <cellStyle name="Normal 2 5 5 4" xfId="9344" xr:uid="{B92168B2-53CE-4EF8-8AF9-F40A221FDDAE}"/>
    <cellStyle name="Normal 2 5 6" xfId="1225" xr:uid="{00000000-0005-0000-0000-000069110000}"/>
    <cellStyle name="Normal 2 5 6 2" xfId="3455" xr:uid="{00000000-0005-0000-0000-00006A110000}"/>
    <cellStyle name="Normal 2 5 6 2 2" xfId="7678" xr:uid="{00000000-0005-0000-0000-00006B110000}"/>
    <cellStyle name="Normal 2 5 6 2 2 2" xfId="16120" xr:uid="{70A23067-09C6-4F38-B166-E4D66B5407B8}"/>
    <cellStyle name="Normal 2 5 6 2 3" xfId="11902" xr:uid="{0EC32605-FAD9-4628-B9F0-BEB1B857989A}"/>
    <cellStyle name="Normal 2 5 6 3" xfId="5533" xr:uid="{00000000-0005-0000-0000-00006C110000}"/>
    <cellStyle name="Normal 2 5 6 3 2" xfId="13975" xr:uid="{1C649E1A-3BC1-4376-A77E-6EC601C0411F}"/>
    <cellStyle name="Normal 2 5 6 4" xfId="9757" xr:uid="{8B9E6256-BA47-4A57-8F79-EC3C1DB5FB13}"/>
    <cellStyle name="Normal 2 5 7" xfId="1638" xr:uid="{00000000-0005-0000-0000-00006D110000}"/>
    <cellStyle name="Normal 2 5 7 2" xfId="3868" xr:uid="{00000000-0005-0000-0000-00006E110000}"/>
    <cellStyle name="Normal 2 5 7 2 2" xfId="8091" xr:uid="{00000000-0005-0000-0000-00006F110000}"/>
    <cellStyle name="Normal 2 5 7 2 2 2" xfId="16533" xr:uid="{5FD65668-63AD-476F-820E-BC90AD1E56B5}"/>
    <cellStyle name="Normal 2 5 7 2 3" xfId="12315" xr:uid="{7902A1CD-EDFC-4F11-830A-F505C8AEB98A}"/>
    <cellStyle name="Normal 2 5 7 3" xfId="5946" xr:uid="{00000000-0005-0000-0000-000070110000}"/>
    <cellStyle name="Normal 2 5 7 3 2" xfId="14388" xr:uid="{55C35997-B580-4628-9D2C-5AB34259B093}"/>
    <cellStyle name="Normal 2 5 7 4" xfId="10170" xr:uid="{3A7CF802-FD10-494D-8115-D415F4346FA3}"/>
    <cellStyle name="Normal 2 5 8" xfId="2052" xr:uid="{00000000-0005-0000-0000-000071110000}"/>
    <cellStyle name="Normal 2 5 8 2" xfId="4281" xr:uid="{00000000-0005-0000-0000-000072110000}"/>
    <cellStyle name="Normal 2 5 8 2 2" xfId="8504" xr:uid="{00000000-0005-0000-0000-000073110000}"/>
    <cellStyle name="Normal 2 5 8 2 2 2" xfId="16946" xr:uid="{A1CC95C3-2A28-485B-8CB4-1553A316A959}"/>
    <cellStyle name="Normal 2 5 8 2 3" xfId="12728" xr:uid="{6207C85E-28E2-42E3-A5DF-FDA7AE90268F}"/>
    <cellStyle name="Normal 2 5 8 3" xfId="6359" xr:uid="{00000000-0005-0000-0000-000074110000}"/>
    <cellStyle name="Normal 2 5 8 3 2" xfId="14801" xr:uid="{48C9067D-17A6-40EC-B7FD-97ABC7256BBE}"/>
    <cellStyle name="Normal 2 5 8 4" xfId="10583" xr:uid="{3F781ACC-7847-4AC1-B4EC-C2203032E69F}"/>
    <cellStyle name="Normal 2 5 9" xfId="2488" xr:uid="{00000000-0005-0000-0000-000075110000}"/>
    <cellStyle name="Normal 2 5 9 2" xfId="6772" xr:uid="{00000000-0005-0000-0000-000076110000}"/>
    <cellStyle name="Normal 2 5 9 2 2" xfId="15214" xr:uid="{AA4DD13C-0E04-4AD1-BE48-1E5395F98E91}"/>
    <cellStyle name="Normal 2 5 9 3" xfId="10996" xr:uid="{3E232BDC-5098-4B8D-BDE9-8D45BE93B958}"/>
    <cellStyle name="Normal 2 6" xfId="322" xr:uid="{00000000-0005-0000-0000-000077110000}"/>
    <cellStyle name="Normal 2 7" xfId="769" xr:uid="{00000000-0005-0000-0000-000078110000}"/>
    <cellStyle name="Normal 2 8" xfId="4495" xr:uid="{00000000-0005-0000-0000-000079110000}"/>
    <cellStyle name="Normal 2 8 2" xfId="12940" xr:uid="{B855BF73-9CEC-4B3C-8BF4-04D54F0EC5E0}"/>
    <cellStyle name="Normal 3" xfId="323" xr:uid="{00000000-0005-0000-0000-00007A110000}"/>
    <cellStyle name="Normal 3 2" xfId="324" xr:uid="{00000000-0005-0000-0000-00007B110000}"/>
    <cellStyle name="Normal 3 2 10" xfId="8935" xr:uid="{11CEDC23-EEB6-4C06-8DA5-3BAA5C775FAB}"/>
    <cellStyle name="Normal 3 2 2" xfId="325" xr:uid="{00000000-0005-0000-0000-00007C110000}"/>
    <cellStyle name="Normal 3 2 2 2" xfId="810" xr:uid="{00000000-0005-0000-0000-00007D110000}"/>
    <cellStyle name="Normal 3 2 3" xfId="326" xr:uid="{00000000-0005-0000-0000-00007E110000}"/>
    <cellStyle name="Normal 3 2 3 10" xfId="8936" xr:uid="{FEA18B9A-E22F-403E-84E5-FDC1F5AFA1C3}"/>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2 2 2" xfId="15715" xr:uid="{2CF831E2-B066-43E5-AA87-774A7B018364}"/>
    <cellStyle name="Normal 3 2 3 2 2 2 2 3" xfId="11497" xr:uid="{47220202-92A6-4405-8F2B-6E152584E9AB}"/>
    <cellStyle name="Normal 3 2 3 2 2 2 3" xfId="5128" xr:uid="{00000000-0005-0000-0000-000084110000}"/>
    <cellStyle name="Normal 3 2 3 2 2 2 3 2" xfId="13570" xr:uid="{CCD59C3D-DB93-46AC-A301-4BB20D6B819A}"/>
    <cellStyle name="Normal 3 2 3 2 2 2 4" xfId="9352" xr:uid="{F22D1EBD-9A91-4480-A417-79FC34C47FF5}"/>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2 2 2" xfId="16128" xr:uid="{5751DD11-E40A-4780-8AD5-006BF08CC49D}"/>
    <cellStyle name="Normal 3 2 3 2 2 3 2 3" xfId="11910" xr:uid="{CD76FA2C-3C73-4620-8789-B8A519F5C9E3}"/>
    <cellStyle name="Normal 3 2 3 2 2 3 3" xfId="5541" xr:uid="{00000000-0005-0000-0000-000088110000}"/>
    <cellStyle name="Normal 3 2 3 2 2 3 3 2" xfId="13983" xr:uid="{9BC2C11B-5770-4207-A72E-280E5CCD3C48}"/>
    <cellStyle name="Normal 3 2 3 2 2 3 4" xfId="9765" xr:uid="{16184D6A-A28C-4A15-9262-3105452399F7}"/>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2 2 2" xfId="16541" xr:uid="{E10D7C89-9F15-41BF-95F4-02E17F9ECC22}"/>
    <cellStyle name="Normal 3 2 3 2 2 4 2 3" xfId="12323" xr:uid="{738BA8F0-4F92-4ECB-A698-03676B41FF5D}"/>
    <cellStyle name="Normal 3 2 3 2 2 4 3" xfId="5954" xr:uid="{00000000-0005-0000-0000-00008C110000}"/>
    <cellStyle name="Normal 3 2 3 2 2 4 3 2" xfId="14396" xr:uid="{574877AC-89AC-40C9-AA9A-0B50B4E35E56}"/>
    <cellStyle name="Normal 3 2 3 2 2 4 4" xfId="10178" xr:uid="{7892D94B-406C-4963-9BC7-568D40BFB287}"/>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2 2 2" xfId="16954" xr:uid="{F4B9B248-C222-4EA7-9CD6-D786D12E3682}"/>
    <cellStyle name="Normal 3 2 3 2 2 5 2 3" xfId="12736" xr:uid="{3B21F517-D63F-484A-B9E3-02F811C7155F}"/>
    <cellStyle name="Normal 3 2 3 2 2 5 3" xfId="6367" xr:uid="{00000000-0005-0000-0000-000090110000}"/>
    <cellStyle name="Normal 3 2 3 2 2 5 3 2" xfId="14809" xr:uid="{954AD3B2-71E1-48E4-9E9E-98045C577A32}"/>
    <cellStyle name="Normal 3 2 3 2 2 5 4" xfId="10591" xr:uid="{7CFDFC03-FC03-4181-AE80-A9192151D6CA}"/>
    <cellStyle name="Normal 3 2 3 2 2 6" xfId="2496" xr:uid="{00000000-0005-0000-0000-000091110000}"/>
    <cellStyle name="Normal 3 2 3 2 2 6 2" xfId="6780" xr:uid="{00000000-0005-0000-0000-000092110000}"/>
    <cellStyle name="Normal 3 2 3 2 2 6 2 2" xfId="15222" xr:uid="{5420AE44-D99F-4F52-87B4-C8ED84DAE734}"/>
    <cellStyle name="Normal 3 2 3 2 2 6 3" xfId="11004" xr:uid="{DCF97C5E-6828-408E-A1FB-ECEB74118BB9}"/>
    <cellStyle name="Normal 3 2 3 2 2 7" xfId="4714" xr:uid="{00000000-0005-0000-0000-000093110000}"/>
    <cellStyle name="Normal 3 2 3 2 2 7 2" xfId="13156" xr:uid="{A7B2C2DE-AA80-41D8-9CB4-986D0489FB64}"/>
    <cellStyle name="Normal 3 2 3 2 2 8" xfId="8938" xr:uid="{5C6A730D-B954-4F48-BB28-3B2E3C28DAC0}"/>
    <cellStyle name="Normal 3 2 3 2 3" xfId="812" xr:uid="{00000000-0005-0000-0000-000094110000}"/>
    <cellStyle name="Normal 3 2 3 2 3 2" xfId="3049" xr:uid="{00000000-0005-0000-0000-000095110000}"/>
    <cellStyle name="Normal 3 2 3 2 3 2 2" xfId="7272" xr:uid="{00000000-0005-0000-0000-000096110000}"/>
    <cellStyle name="Normal 3 2 3 2 3 2 2 2" xfId="15714" xr:uid="{5E00550E-F49A-4BFF-9D34-8A1E8FFABE91}"/>
    <cellStyle name="Normal 3 2 3 2 3 2 3" xfId="11496" xr:uid="{C7EAACE2-E11F-4336-BA4C-83B15970C6A6}"/>
    <cellStyle name="Normal 3 2 3 2 3 3" xfId="5127" xr:uid="{00000000-0005-0000-0000-000097110000}"/>
    <cellStyle name="Normal 3 2 3 2 3 3 2" xfId="13569" xr:uid="{50A8B6B2-2502-4EC9-954D-CC8CB673E1DA}"/>
    <cellStyle name="Normal 3 2 3 2 3 4" xfId="9351" xr:uid="{D72BDC1B-7946-4C91-A508-C7F3338C49D7}"/>
    <cellStyle name="Normal 3 2 3 2 4" xfId="1232" xr:uid="{00000000-0005-0000-0000-000098110000}"/>
    <cellStyle name="Normal 3 2 3 2 4 2" xfId="3462" xr:uid="{00000000-0005-0000-0000-000099110000}"/>
    <cellStyle name="Normal 3 2 3 2 4 2 2" xfId="7685" xr:uid="{00000000-0005-0000-0000-00009A110000}"/>
    <cellStyle name="Normal 3 2 3 2 4 2 2 2" xfId="16127" xr:uid="{4483E59B-FD82-44A8-85BD-CE42C640D9E3}"/>
    <cellStyle name="Normal 3 2 3 2 4 2 3" xfId="11909" xr:uid="{BBD9FF53-1EAF-48C2-9019-990E96E10E55}"/>
    <cellStyle name="Normal 3 2 3 2 4 3" xfId="5540" xr:uid="{00000000-0005-0000-0000-00009B110000}"/>
    <cellStyle name="Normal 3 2 3 2 4 3 2" xfId="13982" xr:uid="{98E60B91-52FD-436E-BBF9-65914A95E11B}"/>
    <cellStyle name="Normal 3 2 3 2 4 4" xfId="9764" xr:uid="{752A9B8B-FDDA-49E5-A50A-B039D4E61EE8}"/>
    <cellStyle name="Normal 3 2 3 2 5" xfId="1645" xr:uid="{00000000-0005-0000-0000-00009C110000}"/>
    <cellStyle name="Normal 3 2 3 2 5 2" xfId="3875" xr:uid="{00000000-0005-0000-0000-00009D110000}"/>
    <cellStyle name="Normal 3 2 3 2 5 2 2" xfId="8098" xr:uid="{00000000-0005-0000-0000-00009E110000}"/>
    <cellStyle name="Normal 3 2 3 2 5 2 2 2" xfId="16540" xr:uid="{4D8A797F-2299-4BEB-9A93-BC4F95671089}"/>
    <cellStyle name="Normal 3 2 3 2 5 2 3" xfId="12322" xr:uid="{7301897B-F43B-49B9-8A59-935EC83D4037}"/>
    <cellStyle name="Normal 3 2 3 2 5 3" xfId="5953" xr:uid="{00000000-0005-0000-0000-00009F110000}"/>
    <cellStyle name="Normal 3 2 3 2 5 3 2" xfId="14395" xr:uid="{63DA3791-61CB-4ADF-84E7-97D30AE97122}"/>
    <cellStyle name="Normal 3 2 3 2 5 4" xfId="10177" xr:uid="{44FED530-29D2-42CE-9BB9-8985E53C1743}"/>
    <cellStyle name="Normal 3 2 3 2 6" xfId="2059" xr:uid="{00000000-0005-0000-0000-0000A0110000}"/>
    <cellStyle name="Normal 3 2 3 2 6 2" xfId="4288" xr:uid="{00000000-0005-0000-0000-0000A1110000}"/>
    <cellStyle name="Normal 3 2 3 2 6 2 2" xfId="8511" xr:uid="{00000000-0005-0000-0000-0000A2110000}"/>
    <cellStyle name="Normal 3 2 3 2 6 2 2 2" xfId="16953" xr:uid="{E7EC5AB9-F8C2-4AB0-A982-58019C88AA75}"/>
    <cellStyle name="Normal 3 2 3 2 6 2 3" xfId="12735" xr:uid="{CFA9F829-BE17-49A8-9C72-BFDFC6C0D17D}"/>
    <cellStyle name="Normal 3 2 3 2 6 3" xfId="6366" xr:uid="{00000000-0005-0000-0000-0000A3110000}"/>
    <cellStyle name="Normal 3 2 3 2 6 3 2" xfId="14808" xr:uid="{D24754AE-9505-44F1-9F6A-C2194C726CF2}"/>
    <cellStyle name="Normal 3 2 3 2 6 4" xfId="10590" xr:uid="{BF4941FD-31F6-4301-81AC-6FDCED22CE17}"/>
    <cellStyle name="Normal 3 2 3 2 7" xfId="2495" xr:uid="{00000000-0005-0000-0000-0000A4110000}"/>
    <cellStyle name="Normal 3 2 3 2 7 2" xfId="6779" xr:uid="{00000000-0005-0000-0000-0000A5110000}"/>
    <cellStyle name="Normal 3 2 3 2 7 2 2" xfId="15221" xr:uid="{9E47634F-9E8F-4D68-B9D1-3DD365747575}"/>
    <cellStyle name="Normal 3 2 3 2 7 3" xfId="11003" xr:uid="{211E3992-104C-4279-952B-675EFF81BCF7}"/>
    <cellStyle name="Normal 3 2 3 2 8" xfId="4713" xr:uid="{00000000-0005-0000-0000-0000A6110000}"/>
    <cellStyle name="Normal 3 2 3 2 8 2" xfId="13155" xr:uid="{F0A1CE47-9B55-4D93-B8E2-3EF63788BB11}"/>
    <cellStyle name="Normal 3 2 3 2 9" xfId="8937" xr:uid="{BCA92813-BD20-407A-9FF0-155EA1704052}"/>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2 2 2" xfId="15716" xr:uid="{F9D35EB4-9578-4C79-9D37-3BC6069C2C5E}"/>
    <cellStyle name="Normal 3 2 3 3 2 2 3" xfId="11498" xr:uid="{56D26705-1F82-4D59-8C92-FCF056FE910A}"/>
    <cellStyle name="Normal 3 2 3 3 2 3" xfId="5129" xr:uid="{00000000-0005-0000-0000-0000AB110000}"/>
    <cellStyle name="Normal 3 2 3 3 2 3 2" xfId="13571" xr:uid="{E55555BE-210E-42E3-9219-CD0857CB8603}"/>
    <cellStyle name="Normal 3 2 3 3 2 4" xfId="9353" xr:uid="{90211AE6-DC2E-427A-AF18-1A113D931CB4}"/>
    <cellStyle name="Normal 3 2 3 3 3" xfId="1234" xr:uid="{00000000-0005-0000-0000-0000AC110000}"/>
    <cellStyle name="Normal 3 2 3 3 3 2" xfId="3464" xr:uid="{00000000-0005-0000-0000-0000AD110000}"/>
    <cellStyle name="Normal 3 2 3 3 3 2 2" xfId="7687" xr:uid="{00000000-0005-0000-0000-0000AE110000}"/>
    <cellStyle name="Normal 3 2 3 3 3 2 2 2" xfId="16129" xr:uid="{53F5A100-9012-4B84-A17E-7CC37AC9DA21}"/>
    <cellStyle name="Normal 3 2 3 3 3 2 3" xfId="11911" xr:uid="{3BC14C3F-1291-48F2-B899-BB3C5119A490}"/>
    <cellStyle name="Normal 3 2 3 3 3 3" xfId="5542" xr:uid="{00000000-0005-0000-0000-0000AF110000}"/>
    <cellStyle name="Normal 3 2 3 3 3 3 2" xfId="13984" xr:uid="{A5F5F71A-5C1A-4CF5-8686-E30514BFE615}"/>
    <cellStyle name="Normal 3 2 3 3 3 4" xfId="9766" xr:uid="{F6C03E35-BD53-4C0E-8F85-BDCF913099A2}"/>
    <cellStyle name="Normal 3 2 3 3 4" xfId="1647" xr:uid="{00000000-0005-0000-0000-0000B0110000}"/>
    <cellStyle name="Normal 3 2 3 3 4 2" xfId="3877" xr:uid="{00000000-0005-0000-0000-0000B1110000}"/>
    <cellStyle name="Normal 3 2 3 3 4 2 2" xfId="8100" xr:uid="{00000000-0005-0000-0000-0000B2110000}"/>
    <cellStyle name="Normal 3 2 3 3 4 2 2 2" xfId="16542" xr:uid="{C0D279A8-0CAF-4DBA-BFFD-80C7C131DDD5}"/>
    <cellStyle name="Normal 3 2 3 3 4 2 3" xfId="12324" xr:uid="{BF1CDB3A-2466-4038-B667-8303E22C4C21}"/>
    <cellStyle name="Normal 3 2 3 3 4 3" xfId="5955" xr:uid="{00000000-0005-0000-0000-0000B3110000}"/>
    <cellStyle name="Normal 3 2 3 3 4 3 2" xfId="14397" xr:uid="{E59340E6-E89B-422C-9653-AC218F9F5C36}"/>
    <cellStyle name="Normal 3 2 3 3 4 4" xfId="10179" xr:uid="{DC03DE7C-EB64-4392-9076-72A389B9D31C}"/>
    <cellStyle name="Normal 3 2 3 3 5" xfId="2061" xr:uid="{00000000-0005-0000-0000-0000B4110000}"/>
    <cellStyle name="Normal 3 2 3 3 5 2" xfId="4290" xr:uid="{00000000-0005-0000-0000-0000B5110000}"/>
    <cellStyle name="Normal 3 2 3 3 5 2 2" xfId="8513" xr:uid="{00000000-0005-0000-0000-0000B6110000}"/>
    <cellStyle name="Normal 3 2 3 3 5 2 2 2" xfId="16955" xr:uid="{0FB150E4-D80D-4581-8A00-FF45357BAAAC}"/>
    <cellStyle name="Normal 3 2 3 3 5 2 3" xfId="12737" xr:uid="{15975C5D-C6EE-4D49-A4A7-AD01A8023EE4}"/>
    <cellStyle name="Normal 3 2 3 3 5 3" xfId="6368" xr:uid="{00000000-0005-0000-0000-0000B7110000}"/>
    <cellStyle name="Normal 3 2 3 3 5 3 2" xfId="14810" xr:uid="{2E5EAA4A-8EFC-4CCC-A292-A94EA4BB9473}"/>
    <cellStyle name="Normal 3 2 3 3 5 4" xfId="10592" xr:uid="{8B24F197-8A8D-4A9F-AA0A-EF55A57EB340}"/>
    <cellStyle name="Normal 3 2 3 3 6" xfId="2497" xr:uid="{00000000-0005-0000-0000-0000B8110000}"/>
    <cellStyle name="Normal 3 2 3 3 6 2" xfId="6781" xr:uid="{00000000-0005-0000-0000-0000B9110000}"/>
    <cellStyle name="Normal 3 2 3 3 6 2 2" xfId="15223" xr:uid="{5354B00A-2D4D-4BC1-8268-8894A752ED1F}"/>
    <cellStyle name="Normal 3 2 3 3 6 3" xfId="11005" xr:uid="{B9F92028-5603-464F-B740-9B43820FD587}"/>
    <cellStyle name="Normal 3 2 3 3 7" xfId="4715" xr:uid="{00000000-0005-0000-0000-0000BA110000}"/>
    <cellStyle name="Normal 3 2 3 3 7 2" xfId="13157" xr:uid="{7C9CB499-CE77-4AE0-9829-98D995985663}"/>
    <cellStyle name="Normal 3 2 3 3 8" xfId="8939" xr:uid="{94BBEFA8-3C2E-4C51-89CA-D6F45338A5A8}"/>
    <cellStyle name="Normal 3 2 3 4" xfId="811" xr:uid="{00000000-0005-0000-0000-0000BB110000}"/>
    <cellStyle name="Normal 3 2 3 4 2" xfId="3048" xr:uid="{00000000-0005-0000-0000-0000BC110000}"/>
    <cellStyle name="Normal 3 2 3 4 2 2" xfId="7271" xr:uid="{00000000-0005-0000-0000-0000BD110000}"/>
    <cellStyle name="Normal 3 2 3 4 2 2 2" xfId="15713" xr:uid="{43EE8495-7361-4DBB-B6FC-5EF46687A49E}"/>
    <cellStyle name="Normal 3 2 3 4 2 3" xfId="11495" xr:uid="{A2CBE732-E6A6-4901-A001-4B23C711B34D}"/>
    <cellStyle name="Normal 3 2 3 4 3" xfId="5126" xr:uid="{00000000-0005-0000-0000-0000BE110000}"/>
    <cellStyle name="Normal 3 2 3 4 3 2" xfId="13568" xr:uid="{110CEBBC-F14E-4D0E-A81C-B38EBFD31038}"/>
    <cellStyle name="Normal 3 2 3 4 4" xfId="9350" xr:uid="{27EAA427-CF5B-4FD2-A401-2B34880F91C2}"/>
    <cellStyle name="Normal 3 2 3 5" xfId="1231" xr:uid="{00000000-0005-0000-0000-0000BF110000}"/>
    <cellStyle name="Normal 3 2 3 5 2" xfId="3461" xr:uid="{00000000-0005-0000-0000-0000C0110000}"/>
    <cellStyle name="Normal 3 2 3 5 2 2" xfId="7684" xr:uid="{00000000-0005-0000-0000-0000C1110000}"/>
    <cellStyle name="Normal 3 2 3 5 2 2 2" xfId="16126" xr:uid="{FB922032-1692-4D02-AA2C-4B347430DF7E}"/>
    <cellStyle name="Normal 3 2 3 5 2 3" xfId="11908" xr:uid="{E7EF8D2B-9117-4BED-A2E5-4E8CC11EC13D}"/>
    <cellStyle name="Normal 3 2 3 5 3" xfId="5539" xr:uid="{00000000-0005-0000-0000-0000C2110000}"/>
    <cellStyle name="Normal 3 2 3 5 3 2" xfId="13981" xr:uid="{7EEB89A4-0A78-4FF5-91B0-18F5AC963493}"/>
    <cellStyle name="Normal 3 2 3 5 4" xfId="9763" xr:uid="{182AD664-F588-4C9B-A088-2BE6046140F3}"/>
    <cellStyle name="Normal 3 2 3 6" xfId="1644" xr:uid="{00000000-0005-0000-0000-0000C3110000}"/>
    <cellStyle name="Normal 3 2 3 6 2" xfId="3874" xr:uid="{00000000-0005-0000-0000-0000C4110000}"/>
    <cellStyle name="Normal 3 2 3 6 2 2" xfId="8097" xr:uid="{00000000-0005-0000-0000-0000C5110000}"/>
    <cellStyle name="Normal 3 2 3 6 2 2 2" xfId="16539" xr:uid="{A1CA20C5-4299-4577-A489-A01F8AF6E409}"/>
    <cellStyle name="Normal 3 2 3 6 2 3" xfId="12321" xr:uid="{DE3A908C-6C28-4941-87A9-AB46E07356D1}"/>
    <cellStyle name="Normal 3 2 3 6 3" xfId="5952" xr:uid="{00000000-0005-0000-0000-0000C6110000}"/>
    <cellStyle name="Normal 3 2 3 6 3 2" xfId="14394" xr:uid="{F94B8122-34B7-40B4-B935-5507492F0AA2}"/>
    <cellStyle name="Normal 3 2 3 6 4" xfId="10176" xr:uid="{406D2FD0-DE6A-444B-B6A1-404E10364B9F}"/>
    <cellStyle name="Normal 3 2 3 7" xfId="2058" xr:uid="{00000000-0005-0000-0000-0000C7110000}"/>
    <cellStyle name="Normal 3 2 3 7 2" xfId="4287" xr:uid="{00000000-0005-0000-0000-0000C8110000}"/>
    <cellStyle name="Normal 3 2 3 7 2 2" xfId="8510" xr:uid="{00000000-0005-0000-0000-0000C9110000}"/>
    <cellStyle name="Normal 3 2 3 7 2 2 2" xfId="16952" xr:uid="{F8DAB2FA-3FAF-4209-BCC8-AD879CEA36E5}"/>
    <cellStyle name="Normal 3 2 3 7 2 3" xfId="12734" xr:uid="{0CE8F23D-813D-49A6-93EF-F4CC313843C3}"/>
    <cellStyle name="Normal 3 2 3 7 3" xfId="6365" xr:uid="{00000000-0005-0000-0000-0000CA110000}"/>
    <cellStyle name="Normal 3 2 3 7 3 2" xfId="14807" xr:uid="{24C9312C-CC43-4825-9925-ED95FDC7FE13}"/>
    <cellStyle name="Normal 3 2 3 7 4" xfId="10589" xr:uid="{769A02B6-0DA4-4A8F-9E25-7EE9514005FA}"/>
    <cellStyle name="Normal 3 2 3 8" xfId="2494" xr:uid="{00000000-0005-0000-0000-0000CB110000}"/>
    <cellStyle name="Normal 3 2 3 8 2" xfId="6778" xr:uid="{00000000-0005-0000-0000-0000CC110000}"/>
    <cellStyle name="Normal 3 2 3 8 2 2" xfId="15220" xr:uid="{1AA6268E-E8DC-4DF6-B354-DA878039548C}"/>
    <cellStyle name="Normal 3 2 3 8 3" xfId="11002" xr:uid="{97D80A21-6C0E-4B57-A43B-D7F70B143464}"/>
    <cellStyle name="Normal 3 2 3 9" xfId="4712" xr:uid="{00000000-0005-0000-0000-0000CD110000}"/>
    <cellStyle name="Normal 3 2 3 9 2" xfId="13154" xr:uid="{6FFCFE3F-C1CB-4D23-BD0B-1C715B9084FB}"/>
    <cellStyle name="Normal 3 2 4" xfId="809" xr:uid="{00000000-0005-0000-0000-0000CE110000}"/>
    <cellStyle name="Normal 3 2 4 2" xfId="3047" xr:uid="{00000000-0005-0000-0000-0000CF110000}"/>
    <cellStyle name="Normal 3 2 4 2 2" xfId="7270" xr:uid="{00000000-0005-0000-0000-0000D0110000}"/>
    <cellStyle name="Normal 3 2 4 2 2 2" xfId="15712" xr:uid="{E07B4D4F-F99C-4546-9E77-FE19B2A56F2E}"/>
    <cellStyle name="Normal 3 2 4 2 3" xfId="11494" xr:uid="{D2DA919B-E9BC-4F2E-920A-6677B54F99A9}"/>
    <cellStyle name="Normal 3 2 4 3" xfId="5125" xr:uid="{00000000-0005-0000-0000-0000D1110000}"/>
    <cellStyle name="Normal 3 2 4 3 2" xfId="13567" xr:uid="{7D5E1F17-DA07-4742-9B38-8B5ED9E223B5}"/>
    <cellStyle name="Normal 3 2 4 4" xfId="9349" xr:uid="{89FD089A-10A3-47D1-B484-11A98335791D}"/>
    <cellStyle name="Normal 3 2 5" xfId="1230" xr:uid="{00000000-0005-0000-0000-0000D2110000}"/>
    <cellStyle name="Normal 3 2 5 2" xfId="3460" xr:uid="{00000000-0005-0000-0000-0000D3110000}"/>
    <cellStyle name="Normal 3 2 5 2 2" xfId="7683" xr:uid="{00000000-0005-0000-0000-0000D4110000}"/>
    <cellStyle name="Normal 3 2 5 2 2 2" xfId="16125" xr:uid="{42831996-661B-4F77-816D-014131C60054}"/>
    <cellStyle name="Normal 3 2 5 2 3" xfId="11907" xr:uid="{1EF91018-841B-44A4-B74C-99FE54AE7AFE}"/>
    <cellStyle name="Normal 3 2 5 3" xfId="5538" xr:uid="{00000000-0005-0000-0000-0000D5110000}"/>
    <cellStyle name="Normal 3 2 5 3 2" xfId="13980" xr:uid="{A22F1095-E748-4ADA-8B03-5A8C96DCA4A5}"/>
    <cellStyle name="Normal 3 2 5 4" xfId="9762" xr:uid="{9AB744DA-578A-4E80-8212-B785904A76D5}"/>
    <cellStyle name="Normal 3 2 6" xfId="1643" xr:uid="{00000000-0005-0000-0000-0000D6110000}"/>
    <cellStyle name="Normal 3 2 6 2" xfId="3873" xr:uid="{00000000-0005-0000-0000-0000D7110000}"/>
    <cellStyle name="Normal 3 2 6 2 2" xfId="8096" xr:uid="{00000000-0005-0000-0000-0000D8110000}"/>
    <cellStyle name="Normal 3 2 6 2 2 2" xfId="16538" xr:uid="{79E6D52B-5DEE-479D-BDB5-50B027BF0F37}"/>
    <cellStyle name="Normal 3 2 6 2 3" xfId="12320" xr:uid="{C72A036B-009E-4D5C-B608-5746DC41ECD5}"/>
    <cellStyle name="Normal 3 2 6 3" xfId="5951" xr:uid="{00000000-0005-0000-0000-0000D9110000}"/>
    <cellStyle name="Normal 3 2 6 3 2" xfId="14393" xr:uid="{1AB03836-B7DC-4325-998F-559E8FBDA79A}"/>
    <cellStyle name="Normal 3 2 6 4" xfId="10175" xr:uid="{DDE84510-F612-44EE-AB45-D1386DDAFF71}"/>
    <cellStyle name="Normal 3 2 7" xfId="2057" xr:uid="{00000000-0005-0000-0000-0000DA110000}"/>
    <cellStyle name="Normal 3 2 7 2" xfId="4286" xr:uid="{00000000-0005-0000-0000-0000DB110000}"/>
    <cellStyle name="Normal 3 2 7 2 2" xfId="8509" xr:uid="{00000000-0005-0000-0000-0000DC110000}"/>
    <cellStyle name="Normal 3 2 7 2 2 2" xfId="16951" xr:uid="{9A701BFB-E1C1-4770-8751-03E374346F1F}"/>
    <cellStyle name="Normal 3 2 7 2 3" xfId="12733" xr:uid="{37A8EB8F-80DC-4DAE-ADEE-587D8B677237}"/>
    <cellStyle name="Normal 3 2 7 3" xfId="6364" xr:uid="{00000000-0005-0000-0000-0000DD110000}"/>
    <cellStyle name="Normal 3 2 7 3 2" xfId="14806" xr:uid="{BFD6044B-2A0D-4489-98BF-D895AFA20B0C}"/>
    <cellStyle name="Normal 3 2 7 4" xfId="10588" xr:uid="{362C1F13-88CB-4503-B0B2-5039E747F958}"/>
    <cellStyle name="Normal 3 2 8" xfId="2493" xr:uid="{00000000-0005-0000-0000-0000DE110000}"/>
    <cellStyle name="Normal 3 2 8 2" xfId="6777" xr:uid="{00000000-0005-0000-0000-0000DF110000}"/>
    <cellStyle name="Normal 3 2 8 2 2" xfId="15219" xr:uid="{38E3FA90-352D-4B7D-BE9A-8A30F8397B0B}"/>
    <cellStyle name="Normal 3 2 8 3" xfId="11001" xr:uid="{30487BE5-F8B7-4077-AC8B-AE1DDA5ECA07}"/>
    <cellStyle name="Normal 3 2 9" xfId="4711" xr:uid="{00000000-0005-0000-0000-0000E0110000}"/>
    <cellStyle name="Normal 3 2 9 2" xfId="13153" xr:uid="{E540F699-B077-4CDD-84D6-728DA96B2EC2}"/>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10" xfId="8940" xr:uid="{C2782845-7871-4AA6-B331-84BB2A82765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2 2 2" xfId="16956" xr:uid="{CEEC2897-ADA7-4C1F-8795-1A1F832075D8}"/>
    <cellStyle name="Normal 4 2 2 10 2 3" xfId="12738" xr:uid="{ABAA47A1-04F8-497E-8502-ED804BC63728}"/>
    <cellStyle name="Normal 4 2 2 10 3" xfId="6369" xr:uid="{00000000-0005-0000-0000-0000ED110000}"/>
    <cellStyle name="Normal 4 2 2 10 3 2" xfId="14811" xr:uid="{70320F56-A7D2-42A2-9E78-B915805E4678}"/>
    <cellStyle name="Normal 4 2 2 10 4" xfId="10593" xr:uid="{F3F776D3-FA61-41A5-A963-91534CE83BBF}"/>
    <cellStyle name="Normal 4 2 2 11" xfId="2498" xr:uid="{00000000-0005-0000-0000-0000EE110000}"/>
    <cellStyle name="Normal 4 2 2 11 2" xfId="6782" xr:uid="{00000000-0005-0000-0000-0000EF110000}"/>
    <cellStyle name="Normal 4 2 2 11 2 2" xfId="15224" xr:uid="{C2D6D19A-DAD4-47AA-8437-9424F2C1A267}"/>
    <cellStyle name="Normal 4 2 2 11 3" xfId="11006" xr:uid="{AE12074E-1921-49B9-84A0-F76C4611E074}"/>
    <cellStyle name="Normal 4 2 2 12" xfId="4717" xr:uid="{00000000-0005-0000-0000-0000F0110000}"/>
    <cellStyle name="Normal 4 2 2 12 2" xfId="13159" xr:uid="{8A33E0A7-F178-403E-A5E7-F9F90A6E5CE3}"/>
    <cellStyle name="Normal 4 2 2 13" xfId="8941" xr:uid="{969F89A0-9E2A-41EB-B0CA-38CFB69486ED}"/>
    <cellStyle name="Normal 4 2 2 2" xfId="338" xr:uid="{00000000-0005-0000-0000-0000F1110000}"/>
    <cellStyle name="Normal 4 2 2 3" xfId="339" xr:uid="{00000000-0005-0000-0000-0000F2110000}"/>
    <cellStyle name="Normal 4 2 2 3 10" xfId="4718" xr:uid="{00000000-0005-0000-0000-0000F3110000}"/>
    <cellStyle name="Normal 4 2 2 3 10 2" xfId="13160" xr:uid="{E7E2ECB6-5150-4661-9E63-B7BD4A5FC910}"/>
    <cellStyle name="Normal 4 2 2 3 11" xfId="8942" xr:uid="{23E63E67-CF9B-4DE9-95E0-F305E29D43B8}"/>
    <cellStyle name="Normal 4 2 2 3 2" xfId="340" xr:uid="{00000000-0005-0000-0000-0000F4110000}"/>
    <cellStyle name="Normal 4 2 2 3 2 10" xfId="8943" xr:uid="{6EB613A9-5EE9-4A76-8B9B-F5350A66576F}"/>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2 2 2" xfId="15721" xr:uid="{54F7DE67-62C6-464B-90DD-1A40C369EB14}"/>
    <cellStyle name="Normal 4 2 2 3 2 2 2 2 2 3" xfId="11503" xr:uid="{B482D961-4D09-4213-875B-E9E8F9AE8D9D}"/>
    <cellStyle name="Normal 4 2 2 3 2 2 2 2 3" xfId="5134" xr:uid="{00000000-0005-0000-0000-0000FA110000}"/>
    <cellStyle name="Normal 4 2 2 3 2 2 2 2 3 2" xfId="13576" xr:uid="{DA590B8E-F7B8-4739-A72C-F05DE948FE9E}"/>
    <cellStyle name="Normal 4 2 2 3 2 2 2 2 4" xfId="9358" xr:uid="{6E544E50-964C-4780-8FFA-1E87EB32539E}"/>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2 2 2" xfId="16134" xr:uid="{7F86ECCF-9475-4717-ADF0-3E15D85493A0}"/>
    <cellStyle name="Normal 4 2 2 3 2 2 2 3 2 3" xfId="11916" xr:uid="{3A7D638A-17B2-4447-8E15-5A55EF5E793F}"/>
    <cellStyle name="Normal 4 2 2 3 2 2 2 3 3" xfId="5547" xr:uid="{00000000-0005-0000-0000-0000FE110000}"/>
    <cellStyle name="Normal 4 2 2 3 2 2 2 3 3 2" xfId="13989" xr:uid="{C402611C-7407-4C7B-AB9F-235D6C6F6EFB}"/>
    <cellStyle name="Normal 4 2 2 3 2 2 2 3 4" xfId="9771" xr:uid="{4823FEED-31AB-466C-9E07-91005E71C065}"/>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2 2 2" xfId="16547" xr:uid="{CCB66987-DD83-449C-898F-0EE0F90A0F78}"/>
    <cellStyle name="Normal 4 2 2 3 2 2 2 4 2 3" xfId="12329" xr:uid="{BE45F93C-1DCE-480E-9B9B-D466B65013A7}"/>
    <cellStyle name="Normal 4 2 2 3 2 2 2 4 3" xfId="5960" xr:uid="{00000000-0005-0000-0000-000002120000}"/>
    <cellStyle name="Normal 4 2 2 3 2 2 2 4 3 2" xfId="14402" xr:uid="{A344F6BE-15BA-4CBC-83E2-DC9FA637B0F2}"/>
    <cellStyle name="Normal 4 2 2 3 2 2 2 4 4" xfId="10184" xr:uid="{EBAE2F39-1D07-491A-A4E4-FCA8E21B47F4}"/>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2 2 2" xfId="16960" xr:uid="{8D9885F0-680F-4EEC-8915-8E1A723178B5}"/>
    <cellStyle name="Normal 4 2 2 3 2 2 2 5 2 3" xfId="12742" xr:uid="{02E0D521-0095-41BD-82D8-B011C4FD8C40}"/>
    <cellStyle name="Normal 4 2 2 3 2 2 2 5 3" xfId="6373" xr:uid="{00000000-0005-0000-0000-000006120000}"/>
    <cellStyle name="Normal 4 2 2 3 2 2 2 5 3 2" xfId="14815" xr:uid="{91BC4795-ED25-4001-9CBE-220027B23047}"/>
    <cellStyle name="Normal 4 2 2 3 2 2 2 5 4" xfId="10597" xr:uid="{88AB5B74-CA9D-40E8-A04B-6CE0EB66AEC7}"/>
    <cellStyle name="Normal 4 2 2 3 2 2 2 6" xfId="2502" xr:uid="{00000000-0005-0000-0000-000007120000}"/>
    <cellStyle name="Normal 4 2 2 3 2 2 2 6 2" xfId="6786" xr:uid="{00000000-0005-0000-0000-000008120000}"/>
    <cellStyle name="Normal 4 2 2 3 2 2 2 6 2 2" xfId="15228" xr:uid="{4871059B-5C8A-4DC7-9C9D-DDD2E3A1A25D}"/>
    <cellStyle name="Normal 4 2 2 3 2 2 2 6 3" xfId="11010" xr:uid="{CAFC5592-B1CD-4B2D-B064-07808A2B3841}"/>
    <cellStyle name="Normal 4 2 2 3 2 2 2 7" xfId="4721" xr:uid="{00000000-0005-0000-0000-000009120000}"/>
    <cellStyle name="Normal 4 2 2 3 2 2 2 7 2" xfId="13163" xr:uid="{CF68FB58-0E0C-4473-BB94-FA8A76F115F4}"/>
    <cellStyle name="Normal 4 2 2 3 2 2 2 8" xfId="8945" xr:uid="{4AF7C6DD-45FF-40B0-AA13-8DB7AAFCB9CF}"/>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2 2 2" xfId="15720" xr:uid="{EC8B0DAF-01B2-4357-A0EF-2DA460F11F55}"/>
    <cellStyle name="Normal 4 2 2 3 2 2 3 2 3" xfId="11502" xr:uid="{6E76BC8D-2576-4229-9D9E-71083A0ED68D}"/>
    <cellStyle name="Normal 4 2 2 3 2 2 3 3" xfId="5133" xr:uid="{00000000-0005-0000-0000-00000D120000}"/>
    <cellStyle name="Normal 4 2 2 3 2 2 3 3 2" xfId="13575" xr:uid="{396E396F-0324-44D2-B403-CC1EA6DE9B65}"/>
    <cellStyle name="Normal 4 2 2 3 2 2 3 4" xfId="9357" xr:uid="{347930A6-C9EA-46E1-B4D3-0368C1671887}"/>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2 2 2" xfId="16133" xr:uid="{9A532A90-BB9F-4ADA-BADF-A5B3E4849B9F}"/>
    <cellStyle name="Normal 4 2 2 3 2 2 4 2 3" xfId="11915" xr:uid="{DED5118D-CF75-416E-8A7E-73F3F9BFA659}"/>
    <cellStyle name="Normal 4 2 2 3 2 2 4 3" xfId="5546" xr:uid="{00000000-0005-0000-0000-000011120000}"/>
    <cellStyle name="Normal 4 2 2 3 2 2 4 3 2" xfId="13988" xr:uid="{255A8C82-9686-4880-A90F-D8912BDD9B4B}"/>
    <cellStyle name="Normal 4 2 2 3 2 2 4 4" xfId="9770" xr:uid="{BEAD7148-C7C2-4DF4-BFAC-8BDCB4702E7C}"/>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2 2 2" xfId="16546" xr:uid="{578C7299-7AD2-4C55-A9B2-A659E0FA7E3D}"/>
    <cellStyle name="Normal 4 2 2 3 2 2 5 2 3" xfId="12328" xr:uid="{220C65A0-36C7-41A4-B529-CC668CE46C71}"/>
    <cellStyle name="Normal 4 2 2 3 2 2 5 3" xfId="5959" xr:uid="{00000000-0005-0000-0000-000015120000}"/>
    <cellStyle name="Normal 4 2 2 3 2 2 5 3 2" xfId="14401" xr:uid="{263A991D-AA2C-479A-B429-5D1EF4850E83}"/>
    <cellStyle name="Normal 4 2 2 3 2 2 5 4" xfId="10183" xr:uid="{7B542109-016D-42BA-96AA-4A1020C3F562}"/>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2 2 2" xfId="16959" xr:uid="{C385E99C-78FB-4FEC-B4DD-EE5868677991}"/>
    <cellStyle name="Normal 4 2 2 3 2 2 6 2 3" xfId="12741" xr:uid="{C0924AF8-E516-4417-A9DF-D2FBED0A3337}"/>
    <cellStyle name="Normal 4 2 2 3 2 2 6 3" xfId="6372" xr:uid="{00000000-0005-0000-0000-000019120000}"/>
    <cellStyle name="Normal 4 2 2 3 2 2 6 3 2" xfId="14814" xr:uid="{2C661EBD-A585-4D56-95E4-D4650E68EB94}"/>
    <cellStyle name="Normal 4 2 2 3 2 2 6 4" xfId="10596" xr:uid="{8CE7887A-1602-466E-B6C1-02DEA77AF340}"/>
    <cellStyle name="Normal 4 2 2 3 2 2 7" xfId="2501" xr:uid="{00000000-0005-0000-0000-00001A120000}"/>
    <cellStyle name="Normal 4 2 2 3 2 2 7 2" xfId="6785" xr:uid="{00000000-0005-0000-0000-00001B120000}"/>
    <cellStyle name="Normal 4 2 2 3 2 2 7 2 2" xfId="15227" xr:uid="{E0483948-AA16-435E-9638-87E900982796}"/>
    <cellStyle name="Normal 4 2 2 3 2 2 7 3" xfId="11009" xr:uid="{D57405E9-BCDE-4E70-8AD9-A35F31AA7F3E}"/>
    <cellStyle name="Normal 4 2 2 3 2 2 8" xfId="4720" xr:uid="{00000000-0005-0000-0000-00001C120000}"/>
    <cellStyle name="Normal 4 2 2 3 2 2 8 2" xfId="13162" xr:uid="{103DAE0B-C2C8-44A9-8B70-1CDDE392D89D}"/>
    <cellStyle name="Normal 4 2 2 3 2 2 9" xfId="8944" xr:uid="{A9DFEE27-4B49-4D05-A286-EFED4E74F977}"/>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2 2 2" xfId="15722" xr:uid="{EB217F52-4CE3-4257-AC67-F9E07EAF4D78}"/>
    <cellStyle name="Normal 4 2 2 3 2 3 2 2 3" xfId="11504" xr:uid="{37FF1767-E467-4F6E-A01B-943A10513129}"/>
    <cellStyle name="Normal 4 2 2 3 2 3 2 3" xfId="5135" xr:uid="{00000000-0005-0000-0000-000021120000}"/>
    <cellStyle name="Normal 4 2 2 3 2 3 2 3 2" xfId="13577" xr:uid="{A1FF3618-4EFB-42A7-B193-A2BFFBAD3F1B}"/>
    <cellStyle name="Normal 4 2 2 3 2 3 2 4" xfId="9359" xr:uid="{E87B7A3E-ACEA-4624-B71F-65E191301531}"/>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2 2 2" xfId="16135" xr:uid="{427B66CF-B5FF-498E-B36B-7503EC9C03A4}"/>
    <cellStyle name="Normal 4 2 2 3 2 3 3 2 3" xfId="11917" xr:uid="{E344472B-43CA-4747-86F9-70064A528E35}"/>
    <cellStyle name="Normal 4 2 2 3 2 3 3 3" xfId="5548" xr:uid="{00000000-0005-0000-0000-000025120000}"/>
    <cellStyle name="Normal 4 2 2 3 2 3 3 3 2" xfId="13990" xr:uid="{4DA8BDEF-4097-4E1A-9373-DBDD8AF862FA}"/>
    <cellStyle name="Normal 4 2 2 3 2 3 3 4" xfId="9772" xr:uid="{7B320C42-DEDB-4C2B-87F5-34651FBC0ADF}"/>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2 2 2" xfId="16548" xr:uid="{4B25F5EE-0D37-4CC0-96DE-C97C2CC0D315}"/>
    <cellStyle name="Normal 4 2 2 3 2 3 4 2 3" xfId="12330" xr:uid="{AE16CBDA-959D-4AE5-A91C-9AE518954BE9}"/>
    <cellStyle name="Normal 4 2 2 3 2 3 4 3" xfId="5961" xr:uid="{00000000-0005-0000-0000-000029120000}"/>
    <cellStyle name="Normal 4 2 2 3 2 3 4 3 2" xfId="14403" xr:uid="{0E71A7F2-3450-4684-8148-93B056FE9DEF}"/>
    <cellStyle name="Normal 4 2 2 3 2 3 4 4" xfId="10185" xr:uid="{C523C0B2-F031-4B73-81EC-BB65ACC0E7E1}"/>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2 2 2" xfId="16961" xr:uid="{A30FFD71-64C3-4020-B0F4-EFEFF64D885D}"/>
    <cellStyle name="Normal 4 2 2 3 2 3 5 2 3" xfId="12743" xr:uid="{9D07531A-BAF7-4D4B-8512-2F60BB4654CA}"/>
    <cellStyle name="Normal 4 2 2 3 2 3 5 3" xfId="6374" xr:uid="{00000000-0005-0000-0000-00002D120000}"/>
    <cellStyle name="Normal 4 2 2 3 2 3 5 3 2" xfId="14816" xr:uid="{C646B405-AB20-4B2D-8308-B85DCCCA1043}"/>
    <cellStyle name="Normal 4 2 2 3 2 3 5 4" xfId="10598" xr:uid="{A8137F0B-DADD-4A9C-AE42-9BD172C9C93C}"/>
    <cellStyle name="Normal 4 2 2 3 2 3 6" xfId="2503" xr:uid="{00000000-0005-0000-0000-00002E120000}"/>
    <cellStyle name="Normal 4 2 2 3 2 3 6 2" xfId="6787" xr:uid="{00000000-0005-0000-0000-00002F120000}"/>
    <cellStyle name="Normal 4 2 2 3 2 3 6 2 2" xfId="15229" xr:uid="{77575851-4CED-4561-8C76-811BDB493B44}"/>
    <cellStyle name="Normal 4 2 2 3 2 3 6 3" xfId="11011" xr:uid="{35F3AACE-D9A6-454B-9331-2F754F31CFF8}"/>
    <cellStyle name="Normal 4 2 2 3 2 3 7" xfId="4722" xr:uid="{00000000-0005-0000-0000-000030120000}"/>
    <cellStyle name="Normal 4 2 2 3 2 3 7 2" xfId="13164" xr:uid="{8BC2BD03-4CAF-45A9-BE6D-1537C43B1E64}"/>
    <cellStyle name="Normal 4 2 2 3 2 3 8" xfId="8946" xr:uid="{E382002D-E720-4C16-943A-7CF99B78C3FF}"/>
    <cellStyle name="Normal 4 2 2 3 2 4" xfId="817" xr:uid="{00000000-0005-0000-0000-000031120000}"/>
    <cellStyle name="Normal 4 2 2 3 2 4 2" xfId="3054" xr:uid="{00000000-0005-0000-0000-000032120000}"/>
    <cellStyle name="Normal 4 2 2 3 2 4 2 2" xfId="7277" xr:uid="{00000000-0005-0000-0000-000033120000}"/>
    <cellStyle name="Normal 4 2 2 3 2 4 2 2 2" xfId="15719" xr:uid="{4C733B49-73B6-4E94-ACCD-205911A33B21}"/>
    <cellStyle name="Normal 4 2 2 3 2 4 2 3" xfId="11501" xr:uid="{FEE6F071-C785-4B1D-97D3-46F46F03400A}"/>
    <cellStyle name="Normal 4 2 2 3 2 4 3" xfId="5132" xr:uid="{00000000-0005-0000-0000-000034120000}"/>
    <cellStyle name="Normal 4 2 2 3 2 4 3 2" xfId="13574" xr:uid="{ADCAF711-57DF-412B-9995-F1557B77A97E}"/>
    <cellStyle name="Normal 4 2 2 3 2 4 4" xfId="9356" xr:uid="{486B810B-8570-408B-9FA0-C71DB53495C8}"/>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2 2 2" xfId="16132" xr:uid="{2D18B98D-A53F-483E-8641-DF855A851F20}"/>
    <cellStyle name="Normal 4 2 2 3 2 5 2 3" xfId="11914" xr:uid="{C6D26DC8-7D3C-44A0-981D-709C9C3E4312}"/>
    <cellStyle name="Normal 4 2 2 3 2 5 3" xfId="5545" xr:uid="{00000000-0005-0000-0000-000038120000}"/>
    <cellStyle name="Normal 4 2 2 3 2 5 3 2" xfId="13987" xr:uid="{BCED055F-62D0-4D5D-8E59-162B460BA784}"/>
    <cellStyle name="Normal 4 2 2 3 2 5 4" xfId="9769" xr:uid="{F73B9E87-52BA-479B-BEE1-A9F2E6178BA3}"/>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2 2 2" xfId="16545" xr:uid="{E26BBC9A-13EB-4594-899C-D2E4194D0FE6}"/>
    <cellStyle name="Normal 4 2 2 3 2 6 2 3" xfId="12327" xr:uid="{E8593272-DEE3-4A57-B91F-BECC0BF19688}"/>
    <cellStyle name="Normal 4 2 2 3 2 6 3" xfId="5958" xr:uid="{00000000-0005-0000-0000-00003C120000}"/>
    <cellStyle name="Normal 4 2 2 3 2 6 3 2" xfId="14400" xr:uid="{B1E0E4A0-1CE3-4621-B65F-2C46688D8078}"/>
    <cellStyle name="Normal 4 2 2 3 2 6 4" xfId="10182" xr:uid="{474C4931-AAFA-4308-948D-5E656049567C}"/>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2 2 2" xfId="16958" xr:uid="{0DE94B16-D295-4204-A677-4BE2614BB3C6}"/>
    <cellStyle name="Normal 4 2 2 3 2 7 2 3" xfId="12740" xr:uid="{A68DADFE-92CB-431D-85C0-E94DBD3B50C1}"/>
    <cellStyle name="Normal 4 2 2 3 2 7 3" xfId="6371" xr:uid="{00000000-0005-0000-0000-000040120000}"/>
    <cellStyle name="Normal 4 2 2 3 2 7 3 2" xfId="14813" xr:uid="{CBBD86CE-6D73-4FE1-B867-8FEEE44C5F40}"/>
    <cellStyle name="Normal 4 2 2 3 2 7 4" xfId="10595" xr:uid="{4DE68E04-3260-4542-8D1D-FF759EBE7D1A}"/>
    <cellStyle name="Normal 4 2 2 3 2 8" xfId="2500" xr:uid="{00000000-0005-0000-0000-000041120000}"/>
    <cellStyle name="Normal 4 2 2 3 2 8 2" xfId="6784" xr:uid="{00000000-0005-0000-0000-000042120000}"/>
    <cellStyle name="Normal 4 2 2 3 2 8 2 2" xfId="15226" xr:uid="{4D3C54FD-E31A-4A1C-80EE-852C6E076F6D}"/>
    <cellStyle name="Normal 4 2 2 3 2 8 3" xfId="11008" xr:uid="{5A4A9C04-FA9D-4022-BF91-14762674FD3A}"/>
    <cellStyle name="Normal 4 2 2 3 2 9" xfId="4719" xr:uid="{00000000-0005-0000-0000-000043120000}"/>
    <cellStyle name="Normal 4 2 2 3 2 9 2" xfId="13161" xr:uid="{82E12135-771C-47D2-9E37-B2795B4BAD5F}"/>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2 2 2" xfId="15724" xr:uid="{9D459E17-1BAF-4ECF-AAE3-D73B748F9363}"/>
    <cellStyle name="Normal 4 2 2 3 3 2 2 2 3" xfId="11506" xr:uid="{2C9FB2B6-0460-43A1-A6B4-4FFF7262F555}"/>
    <cellStyle name="Normal 4 2 2 3 3 2 2 3" xfId="5137" xr:uid="{00000000-0005-0000-0000-000049120000}"/>
    <cellStyle name="Normal 4 2 2 3 3 2 2 3 2" xfId="13579" xr:uid="{AF513BC9-6F5E-4D2F-BC91-E60F45944F9E}"/>
    <cellStyle name="Normal 4 2 2 3 3 2 2 4" xfId="9361" xr:uid="{614F9514-458B-43AC-AAC4-8BF9D14231B7}"/>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2 2 2" xfId="16137" xr:uid="{896E4F3F-E565-4A8C-9EC3-F3D8ED57682D}"/>
    <cellStyle name="Normal 4 2 2 3 3 2 3 2 3" xfId="11919" xr:uid="{5FE0D200-D555-4F8D-9625-5E24CC1AF113}"/>
    <cellStyle name="Normal 4 2 2 3 3 2 3 3" xfId="5550" xr:uid="{00000000-0005-0000-0000-00004D120000}"/>
    <cellStyle name="Normal 4 2 2 3 3 2 3 3 2" xfId="13992" xr:uid="{8A8F10BF-D29E-43F7-90BE-2A62B68FDEA8}"/>
    <cellStyle name="Normal 4 2 2 3 3 2 3 4" xfId="9774" xr:uid="{1BF3190D-7EA6-4C4C-A7B5-A7C150B25FA3}"/>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2 2 2" xfId="16550" xr:uid="{B9A3776A-D4C5-434D-9D08-634F63019B99}"/>
    <cellStyle name="Normal 4 2 2 3 3 2 4 2 3" xfId="12332" xr:uid="{F5A9F240-08D1-4473-8378-4A252F8A5F65}"/>
    <cellStyle name="Normal 4 2 2 3 3 2 4 3" xfId="5963" xr:uid="{00000000-0005-0000-0000-000051120000}"/>
    <cellStyle name="Normal 4 2 2 3 3 2 4 3 2" xfId="14405" xr:uid="{6323DE3E-9B86-4480-9449-26CE50C02E85}"/>
    <cellStyle name="Normal 4 2 2 3 3 2 4 4" xfId="10187" xr:uid="{F2EC270D-E5F6-495C-929C-562DBB26BCA7}"/>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2 2 2" xfId="16963" xr:uid="{07FB9407-2350-4BCD-A9DA-1FEE2A2D3394}"/>
    <cellStyle name="Normal 4 2 2 3 3 2 5 2 3" xfId="12745" xr:uid="{84047B10-47B4-45D3-8A0A-AC15A8F4226F}"/>
    <cellStyle name="Normal 4 2 2 3 3 2 5 3" xfId="6376" xr:uid="{00000000-0005-0000-0000-000055120000}"/>
    <cellStyle name="Normal 4 2 2 3 3 2 5 3 2" xfId="14818" xr:uid="{C63A986D-3109-4338-9AE4-61F770B0AA56}"/>
    <cellStyle name="Normal 4 2 2 3 3 2 5 4" xfId="10600" xr:uid="{C434E690-30B7-4BAA-8471-2CBC73260DD3}"/>
    <cellStyle name="Normal 4 2 2 3 3 2 6" xfId="2505" xr:uid="{00000000-0005-0000-0000-000056120000}"/>
    <cellStyle name="Normal 4 2 2 3 3 2 6 2" xfId="6789" xr:uid="{00000000-0005-0000-0000-000057120000}"/>
    <cellStyle name="Normal 4 2 2 3 3 2 6 2 2" xfId="15231" xr:uid="{D65B17B8-C606-40DF-A16C-A71226C1B732}"/>
    <cellStyle name="Normal 4 2 2 3 3 2 6 3" xfId="11013" xr:uid="{5D2C5F00-9CB1-404A-B0CE-28DCDF148884}"/>
    <cellStyle name="Normal 4 2 2 3 3 2 7" xfId="4724" xr:uid="{00000000-0005-0000-0000-000058120000}"/>
    <cellStyle name="Normal 4 2 2 3 3 2 7 2" xfId="13166" xr:uid="{50999D75-217E-4838-8D53-74B174479102}"/>
    <cellStyle name="Normal 4 2 2 3 3 2 8" xfId="8948" xr:uid="{58F76E29-672C-4113-845D-9524D750174E}"/>
    <cellStyle name="Normal 4 2 2 3 3 3" xfId="821" xr:uid="{00000000-0005-0000-0000-000059120000}"/>
    <cellStyle name="Normal 4 2 2 3 3 3 2" xfId="3058" xr:uid="{00000000-0005-0000-0000-00005A120000}"/>
    <cellStyle name="Normal 4 2 2 3 3 3 2 2" xfId="7281" xr:uid="{00000000-0005-0000-0000-00005B120000}"/>
    <cellStyle name="Normal 4 2 2 3 3 3 2 2 2" xfId="15723" xr:uid="{9E602539-696A-4B00-AF2B-22F316603D80}"/>
    <cellStyle name="Normal 4 2 2 3 3 3 2 3" xfId="11505" xr:uid="{9351D223-7F38-4BD9-8741-21CDB08C1B83}"/>
    <cellStyle name="Normal 4 2 2 3 3 3 3" xfId="5136" xr:uid="{00000000-0005-0000-0000-00005C120000}"/>
    <cellStyle name="Normal 4 2 2 3 3 3 3 2" xfId="13578" xr:uid="{D579F382-4B66-4153-99E8-1FA85455866D}"/>
    <cellStyle name="Normal 4 2 2 3 3 3 4" xfId="9360" xr:uid="{3D08DD60-7BCD-439D-84A5-0D2CDEC789C9}"/>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2 2 2" xfId="16136" xr:uid="{73966135-3578-4048-9C72-327E121BBA9A}"/>
    <cellStyle name="Normal 4 2 2 3 3 4 2 3" xfId="11918" xr:uid="{3EF2354A-0F71-441D-A80A-CB865B64A44D}"/>
    <cellStyle name="Normal 4 2 2 3 3 4 3" xfId="5549" xr:uid="{00000000-0005-0000-0000-000060120000}"/>
    <cellStyle name="Normal 4 2 2 3 3 4 3 2" xfId="13991" xr:uid="{AD618C37-4041-4489-9074-942FB6833D70}"/>
    <cellStyle name="Normal 4 2 2 3 3 4 4" xfId="9773" xr:uid="{9CF96148-75FC-4ECA-BB82-93C069AD5B08}"/>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2 2 2" xfId="16549" xr:uid="{298F38DC-3593-40C8-880F-CA65E4E131B5}"/>
    <cellStyle name="Normal 4 2 2 3 3 5 2 3" xfId="12331" xr:uid="{8E5DE0F4-66CF-4862-9A5B-6627284176F6}"/>
    <cellStyle name="Normal 4 2 2 3 3 5 3" xfId="5962" xr:uid="{00000000-0005-0000-0000-000064120000}"/>
    <cellStyle name="Normal 4 2 2 3 3 5 3 2" xfId="14404" xr:uid="{9963B797-5C7A-4CD8-9E3A-554DAA372955}"/>
    <cellStyle name="Normal 4 2 2 3 3 5 4" xfId="10186" xr:uid="{2530A2C9-C8E8-45A5-8551-F33A875FF924}"/>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2 2 2" xfId="16962" xr:uid="{47DD170D-FE16-44B2-A054-07B1AE73BC33}"/>
    <cellStyle name="Normal 4 2 2 3 3 6 2 3" xfId="12744" xr:uid="{51B6EBFC-3F02-4789-ABB2-CC1DF57CFFEB}"/>
    <cellStyle name="Normal 4 2 2 3 3 6 3" xfId="6375" xr:uid="{00000000-0005-0000-0000-000068120000}"/>
    <cellStyle name="Normal 4 2 2 3 3 6 3 2" xfId="14817" xr:uid="{297C885E-D9CC-487D-A807-8AC502244EB2}"/>
    <cellStyle name="Normal 4 2 2 3 3 6 4" xfId="10599" xr:uid="{DDDEB159-62E1-416D-A84B-2AA8FE3CA921}"/>
    <cellStyle name="Normal 4 2 2 3 3 7" xfId="2504" xr:uid="{00000000-0005-0000-0000-000069120000}"/>
    <cellStyle name="Normal 4 2 2 3 3 7 2" xfId="6788" xr:uid="{00000000-0005-0000-0000-00006A120000}"/>
    <cellStyle name="Normal 4 2 2 3 3 7 2 2" xfId="15230" xr:uid="{05EFDDAA-E9B3-4CFE-B461-921C7D8600B3}"/>
    <cellStyle name="Normal 4 2 2 3 3 7 3" xfId="11012" xr:uid="{91D76D47-B925-4333-889E-3DE2AEEBE627}"/>
    <cellStyle name="Normal 4 2 2 3 3 8" xfId="4723" xr:uid="{00000000-0005-0000-0000-00006B120000}"/>
    <cellStyle name="Normal 4 2 2 3 3 8 2" xfId="13165" xr:uid="{777CD6EB-9E11-4AB3-9C83-4EE29149EB98}"/>
    <cellStyle name="Normal 4 2 2 3 3 9" xfId="8947" xr:uid="{0415F1A2-BD40-43B1-AB8E-5418216CF276}"/>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2 2 2" xfId="15725" xr:uid="{404E30DF-DECF-400F-8B28-4131DE20BFBF}"/>
    <cellStyle name="Normal 4 2 2 3 4 2 2 3" xfId="11507" xr:uid="{6B0E3789-EC51-467D-8437-76220918872B}"/>
    <cellStyle name="Normal 4 2 2 3 4 2 3" xfId="5138" xr:uid="{00000000-0005-0000-0000-000070120000}"/>
    <cellStyle name="Normal 4 2 2 3 4 2 3 2" xfId="13580" xr:uid="{D072FD46-FF6F-4539-8CAD-F1F8B2BDDE4E}"/>
    <cellStyle name="Normal 4 2 2 3 4 2 4" xfId="9362" xr:uid="{4D9BAA36-B65C-40D8-B302-6EB3B282AF8C}"/>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2 2 2" xfId="16138" xr:uid="{436EFA8F-08FA-4865-8A73-9AD2479F1A78}"/>
    <cellStyle name="Normal 4 2 2 3 4 3 2 3" xfId="11920" xr:uid="{8DE42541-ACE9-45FD-8A4F-169F8B8383F4}"/>
    <cellStyle name="Normal 4 2 2 3 4 3 3" xfId="5551" xr:uid="{00000000-0005-0000-0000-000074120000}"/>
    <cellStyle name="Normal 4 2 2 3 4 3 3 2" xfId="13993" xr:uid="{A00814A3-AFB0-42BB-9C7C-FE33849D528B}"/>
    <cellStyle name="Normal 4 2 2 3 4 3 4" xfId="9775" xr:uid="{67D1F623-CF7C-4264-BEA0-8D95257B6321}"/>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2 2 2" xfId="16551" xr:uid="{673716F3-FA68-4D40-B4B5-2EF025933166}"/>
    <cellStyle name="Normal 4 2 2 3 4 4 2 3" xfId="12333" xr:uid="{A8EA3130-4440-4031-9C5F-EBC9EA03B0F7}"/>
    <cellStyle name="Normal 4 2 2 3 4 4 3" xfId="5964" xr:uid="{00000000-0005-0000-0000-000078120000}"/>
    <cellStyle name="Normal 4 2 2 3 4 4 3 2" xfId="14406" xr:uid="{D563D86D-0E3C-458B-8952-A53CF29834FC}"/>
    <cellStyle name="Normal 4 2 2 3 4 4 4" xfId="10188" xr:uid="{84EA90F1-EDD4-4D4F-B0C7-7C4BB79520C9}"/>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2 2 2" xfId="16964" xr:uid="{DD00882B-81EB-4CDC-8D6E-F4E3BBE1B5B4}"/>
    <cellStyle name="Normal 4 2 2 3 4 5 2 3" xfId="12746" xr:uid="{4D94B55C-655D-4968-817B-72AD7679714B}"/>
    <cellStyle name="Normal 4 2 2 3 4 5 3" xfId="6377" xr:uid="{00000000-0005-0000-0000-00007C120000}"/>
    <cellStyle name="Normal 4 2 2 3 4 5 3 2" xfId="14819" xr:uid="{F6CC4240-8C8C-4FC7-81D9-64F0A5E95A93}"/>
    <cellStyle name="Normal 4 2 2 3 4 5 4" xfId="10601" xr:uid="{585C204E-9E2F-4071-8DAE-D73D79F8812C}"/>
    <cellStyle name="Normal 4 2 2 3 4 6" xfId="2506" xr:uid="{00000000-0005-0000-0000-00007D120000}"/>
    <cellStyle name="Normal 4 2 2 3 4 6 2" xfId="6790" xr:uid="{00000000-0005-0000-0000-00007E120000}"/>
    <cellStyle name="Normal 4 2 2 3 4 6 2 2" xfId="15232" xr:uid="{12C7BC00-7A6F-4C60-B0BA-36EC846B422A}"/>
    <cellStyle name="Normal 4 2 2 3 4 6 3" xfId="11014" xr:uid="{FF01AF0E-84A1-4B1E-BDD9-4A41544B9C07}"/>
    <cellStyle name="Normal 4 2 2 3 4 7" xfId="4725" xr:uid="{00000000-0005-0000-0000-00007F120000}"/>
    <cellStyle name="Normal 4 2 2 3 4 7 2" xfId="13167" xr:uid="{2ACCB3EB-85C5-403A-8795-11CA349F0EEC}"/>
    <cellStyle name="Normal 4 2 2 3 4 8" xfId="8949" xr:uid="{09D84316-8327-4ADE-AEE8-846BB5AACEDF}"/>
    <cellStyle name="Normal 4 2 2 3 5" xfId="816" xr:uid="{00000000-0005-0000-0000-000080120000}"/>
    <cellStyle name="Normal 4 2 2 3 5 2" xfId="3053" xr:uid="{00000000-0005-0000-0000-000081120000}"/>
    <cellStyle name="Normal 4 2 2 3 5 2 2" xfId="7276" xr:uid="{00000000-0005-0000-0000-000082120000}"/>
    <cellStyle name="Normal 4 2 2 3 5 2 2 2" xfId="15718" xr:uid="{5BA3292C-5BC7-45E6-9260-9D0D7973F460}"/>
    <cellStyle name="Normal 4 2 2 3 5 2 3" xfId="11500" xr:uid="{BAEC9532-FC4F-4C05-8A1B-BFEE97197A14}"/>
    <cellStyle name="Normal 4 2 2 3 5 3" xfId="5131" xr:uid="{00000000-0005-0000-0000-000083120000}"/>
    <cellStyle name="Normal 4 2 2 3 5 3 2" xfId="13573" xr:uid="{06375EF6-B95D-4672-9C7B-B27315A37621}"/>
    <cellStyle name="Normal 4 2 2 3 5 4" xfId="9355" xr:uid="{7E974D33-4C8B-4187-B12C-DA3A8B5A673F}"/>
    <cellStyle name="Normal 4 2 2 3 6" xfId="1236" xr:uid="{00000000-0005-0000-0000-000084120000}"/>
    <cellStyle name="Normal 4 2 2 3 6 2" xfId="3466" xr:uid="{00000000-0005-0000-0000-000085120000}"/>
    <cellStyle name="Normal 4 2 2 3 6 2 2" xfId="7689" xr:uid="{00000000-0005-0000-0000-000086120000}"/>
    <cellStyle name="Normal 4 2 2 3 6 2 2 2" xfId="16131" xr:uid="{07CC7E0C-DFD9-4F17-A1A4-5D8803AC1103}"/>
    <cellStyle name="Normal 4 2 2 3 6 2 3" xfId="11913" xr:uid="{04CFC643-5886-488D-BE7F-951AF80963A0}"/>
    <cellStyle name="Normal 4 2 2 3 6 3" xfId="5544" xr:uid="{00000000-0005-0000-0000-000087120000}"/>
    <cellStyle name="Normal 4 2 2 3 6 3 2" xfId="13986" xr:uid="{56915F73-8D68-4D48-94E5-FDF16C9747DA}"/>
    <cellStyle name="Normal 4 2 2 3 6 4" xfId="9768" xr:uid="{FF20B769-8E6A-402B-92F8-4CD351E9E9B1}"/>
    <cellStyle name="Normal 4 2 2 3 7" xfId="1649" xr:uid="{00000000-0005-0000-0000-000088120000}"/>
    <cellStyle name="Normal 4 2 2 3 7 2" xfId="3879" xr:uid="{00000000-0005-0000-0000-000089120000}"/>
    <cellStyle name="Normal 4 2 2 3 7 2 2" xfId="8102" xr:uid="{00000000-0005-0000-0000-00008A120000}"/>
    <cellStyle name="Normal 4 2 2 3 7 2 2 2" xfId="16544" xr:uid="{1A266F36-E7FE-4920-85A0-07107F3FD643}"/>
    <cellStyle name="Normal 4 2 2 3 7 2 3" xfId="12326" xr:uid="{33F5F001-3367-405A-B17E-720D766D4C62}"/>
    <cellStyle name="Normal 4 2 2 3 7 3" xfId="5957" xr:uid="{00000000-0005-0000-0000-00008B120000}"/>
    <cellStyle name="Normal 4 2 2 3 7 3 2" xfId="14399" xr:uid="{0D5D8B57-DF23-4CAB-A028-F1AE6AD08097}"/>
    <cellStyle name="Normal 4 2 2 3 7 4" xfId="10181" xr:uid="{CC0126AB-67A5-4C06-96E9-04466294EDFC}"/>
    <cellStyle name="Normal 4 2 2 3 8" xfId="2063" xr:uid="{00000000-0005-0000-0000-00008C120000}"/>
    <cellStyle name="Normal 4 2 2 3 8 2" xfId="4292" xr:uid="{00000000-0005-0000-0000-00008D120000}"/>
    <cellStyle name="Normal 4 2 2 3 8 2 2" xfId="8515" xr:uid="{00000000-0005-0000-0000-00008E120000}"/>
    <cellStyle name="Normal 4 2 2 3 8 2 2 2" xfId="16957" xr:uid="{CA6FF80D-087E-4C91-A48D-E47361D37A39}"/>
    <cellStyle name="Normal 4 2 2 3 8 2 3" xfId="12739" xr:uid="{AE705392-262A-48F7-B59B-17B07D432A43}"/>
    <cellStyle name="Normal 4 2 2 3 8 3" xfId="6370" xr:uid="{00000000-0005-0000-0000-00008F120000}"/>
    <cellStyle name="Normal 4 2 2 3 8 3 2" xfId="14812" xr:uid="{406072DE-6101-4159-8586-31C64BFA018A}"/>
    <cellStyle name="Normal 4 2 2 3 8 4" xfId="10594" xr:uid="{1225F03A-596E-4D6D-B37D-D4924313F6EF}"/>
    <cellStyle name="Normal 4 2 2 3 9" xfId="2499" xr:uid="{00000000-0005-0000-0000-000090120000}"/>
    <cellStyle name="Normal 4 2 2 3 9 2" xfId="6783" xr:uid="{00000000-0005-0000-0000-000091120000}"/>
    <cellStyle name="Normal 4 2 2 3 9 2 2" xfId="15225" xr:uid="{98919978-FAC9-4401-B8B3-AC1F3EEEA8FF}"/>
    <cellStyle name="Normal 4 2 2 3 9 3" xfId="11007" xr:uid="{BA56BDF3-CDF7-4C38-B8A2-347D5121B1BA}"/>
    <cellStyle name="Normal 4 2 2 4" xfId="347" xr:uid="{00000000-0005-0000-0000-000092120000}"/>
    <cellStyle name="Normal 4 2 2 4 10" xfId="8950" xr:uid="{BE606C42-8792-4C84-BBD6-CCDB07B3C2C6}"/>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2 2 2" xfId="15728" xr:uid="{9422A6CA-E22D-498D-B5D8-471393D3154F}"/>
    <cellStyle name="Normal 4 2 2 4 2 2 2 2 3" xfId="11510" xr:uid="{D731A2B6-65FF-4047-914F-83BAE36858CC}"/>
    <cellStyle name="Normal 4 2 2 4 2 2 2 3" xfId="5141" xr:uid="{00000000-0005-0000-0000-000098120000}"/>
    <cellStyle name="Normal 4 2 2 4 2 2 2 3 2" xfId="13583" xr:uid="{A2DCA402-70C3-4B25-8AA6-37D648A3A3BE}"/>
    <cellStyle name="Normal 4 2 2 4 2 2 2 4" xfId="9365" xr:uid="{05683D8D-3410-4384-BDD3-6ED750A1DC9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2 2 2" xfId="16141" xr:uid="{0A9DDC77-12FC-48B1-A700-B8E1BEECF62B}"/>
    <cellStyle name="Normal 4 2 2 4 2 2 3 2 3" xfId="11923" xr:uid="{AA7AF75C-60E2-4924-B45C-7FCA087B5BF0}"/>
    <cellStyle name="Normal 4 2 2 4 2 2 3 3" xfId="5554" xr:uid="{00000000-0005-0000-0000-00009C120000}"/>
    <cellStyle name="Normal 4 2 2 4 2 2 3 3 2" xfId="13996" xr:uid="{DD339B5F-BEE1-43A8-91AE-BDE22BD7D7F4}"/>
    <cellStyle name="Normal 4 2 2 4 2 2 3 4" xfId="9778" xr:uid="{758F5BC2-4D63-45BC-BF05-F70EC1F76B1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2 2 2" xfId="16554" xr:uid="{B4B7678F-53F6-48A2-9440-06A946A4E588}"/>
    <cellStyle name="Normal 4 2 2 4 2 2 4 2 3" xfId="12336" xr:uid="{8F5BD988-13CF-4C4D-9DDB-6FF380B514C3}"/>
    <cellStyle name="Normal 4 2 2 4 2 2 4 3" xfId="5967" xr:uid="{00000000-0005-0000-0000-0000A0120000}"/>
    <cellStyle name="Normal 4 2 2 4 2 2 4 3 2" xfId="14409" xr:uid="{F99218E9-BE08-46EC-847B-901D9FB0ED3A}"/>
    <cellStyle name="Normal 4 2 2 4 2 2 4 4" xfId="10191" xr:uid="{56531808-B3CD-4EF9-910C-3E925C431F18}"/>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2 2 2" xfId="16967" xr:uid="{A7D6B564-DF37-4924-811C-72B11E16400B}"/>
    <cellStyle name="Normal 4 2 2 4 2 2 5 2 3" xfId="12749" xr:uid="{C19FE613-7B22-4836-9A8B-E902E645E675}"/>
    <cellStyle name="Normal 4 2 2 4 2 2 5 3" xfId="6380" xr:uid="{00000000-0005-0000-0000-0000A4120000}"/>
    <cellStyle name="Normal 4 2 2 4 2 2 5 3 2" xfId="14822" xr:uid="{2AC1C9E6-15AF-4E60-9E66-18A6692653AC}"/>
    <cellStyle name="Normal 4 2 2 4 2 2 5 4" xfId="10604" xr:uid="{3EDF257E-2BE8-4269-ACBA-8B48AD80CA45}"/>
    <cellStyle name="Normal 4 2 2 4 2 2 6" xfId="2509" xr:uid="{00000000-0005-0000-0000-0000A5120000}"/>
    <cellStyle name="Normal 4 2 2 4 2 2 6 2" xfId="6793" xr:uid="{00000000-0005-0000-0000-0000A6120000}"/>
    <cellStyle name="Normal 4 2 2 4 2 2 6 2 2" xfId="15235" xr:uid="{651A5342-C566-48A9-8CA4-CC05AFD39E48}"/>
    <cellStyle name="Normal 4 2 2 4 2 2 6 3" xfId="11017" xr:uid="{4721883D-1DEE-417C-AF5F-D94C6163FC90}"/>
    <cellStyle name="Normal 4 2 2 4 2 2 7" xfId="4728" xr:uid="{00000000-0005-0000-0000-0000A7120000}"/>
    <cellStyle name="Normal 4 2 2 4 2 2 7 2" xfId="13170" xr:uid="{525C11CE-380A-4002-B024-A48652971709}"/>
    <cellStyle name="Normal 4 2 2 4 2 2 8" xfId="8952" xr:uid="{FC4FB0FA-1A95-44CD-887A-5AAB9365FD6C}"/>
    <cellStyle name="Normal 4 2 2 4 2 3" xfId="825" xr:uid="{00000000-0005-0000-0000-0000A8120000}"/>
    <cellStyle name="Normal 4 2 2 4 2 3 2" xfId="3062" xr:uid="{00000000-0005-0000-0000-0000A9120000}"/>
    <cellStyle name="Normal 4 2 2 4 2 3 2 2" xfId="7285" xr:uid="{00000000-0005-0000-0000-0000AA120000}"/>
    <cellStyle name="Normal 4 2 2 4 2 3 2 2 2" xfId="15727" xr:uid="{16E05153-950E-42E8-8962-87D2B1724013}"/>
    <cellStyle name="Normal 4 2 2 4 2 3 2 3" xfId="11509" xr:uid="{6C08BD93-DC5A-4197-9ED9-9D654F4496A6}"/>
    <cellStyle name="Normal 4 2 2 4 2 3 3" xfId="5140" xr:uid="{00000000-0005-0000-0000-0000AB120000}"/>
    <cellStyle name="Normal 4 2 2 4 2 3 3 2" xfId="13582" xr:uid="{4FE23939-FEC0-4145-AF10-5A886262B538}"/>
    <cellStyle name="Normal 4 2 2 4 2 3 4" xfId="9364" xr:uid="{35E94CC3-2156-4E37-8944-69C6819598B2}"/>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2 2 2" xfId="16140" xr:uid="{54C4CAC1-305C-400E-9212-672BDF38050F}"/>
    <cellStyle name="Normal 4 2 2 4 2 4 2 3" xfId="11922" xr:uid="{7474823D-1782-4C4F-BD1A-CBA9880B2115}"/>
    <cellStyle name="Normal 4 2 2 4 2 4 3" xfId="5553" xr:uid="{00000000-0005-0000-0000-0000AF120000}"/>
    <cellStyle name="Normal 4 2 2 4 2 4 3 2" xfId="13995" xr:uid="{B7E814F6-DEE7-4293-AF00-4E72A9C744E8}"/>
    <cellStyle name="Normal 4 2 2 4 2 4 4" xfId="9777" xr:uid="{27B251AE-999B-43CE-92A1-BDD04576EB0B}"/>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2 2 2" xfId="16553" xr:uid="{DCE66575-DBAB-4963-9674-D16E66D7C05B}"/>
    <cellStyle name="Normal 4 2 2 4 2 5 2 3" xfId="12335" xr:uid="{509DD056-47C1-48A7-B7FA-6D9AB25314F0}"/>
    <cellStyle name="Normal 4 2 2 4 2 5 3" xfId="5966" xr:uid="{00000000-0005-0000-0000-0000B3120000}"/>
    <cellStyle name="Normal 4 2 2 4 2 5 3 2" xfId="14408" xr:uid="{A5A5F10C-6712-47A7-AC56-4D2E49A7D51F}"/>
    <cellStyle name="Normal 4 2 2 4 2 5 4" xfId="10190" xr:uid="{1EDF9E76-8671-4C8E-8E73-D03E035260CC}"/>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2 2 2" xfId="16966" xr:uid="{F1A1AB43-7092-4E27-985C-ACDAEA4CB888}"/>
    <cellStyle name="Normal 4 2 2 4 2 6 2 3" xfId="12748" xr:uid="{14980875-1DA5-4001-B649-C765363C1A51}"/>
    <cellStyle name="Normal 4 2 2 4 2 6 3" xfId="6379" xr:uid="{00000000-0005-0000-0000-0000B7120000}"/>
    <cellStyle name="Normal 4 2 2 4 2 6 3 2" xfId="14821" xr:uid="{BEE9265F-331A-4F69-9AED-B3BBA25A34D1}"/>
    <cellStyle name="Normal 4 2 2 4 2 6 4" xfId="10603" xr:uid="{E86DF549-1457-442D-95C6-59A328123AB4}"/>
    <cellStyle name="Normal 4 2 2 4 2 7" xfId="2508" xr:uid="{00000000-0005-0000-0000-0000B8120000}"/>
    <cellStyle name="Normal 4 2 2 4 2 7 2" xfId="6792" xr:uid="{00000000-0005-0000-0000-0000B9120000}"/>
    <cellStyle name="Normal 4 2 2 4 2 7 2 2" xfId="15234" xr:uid="{89AB6090-11BE-475C-B28E-BADCF5122CE6}"/>
    <cellStyle name="Normal 4 2 2 4 2 7 3" xfId="11016" xr:uid="{CB632FC6-7D53-44AD-96AC-49B193C7AB41}"/>
    <cellStyle name="Normal 4 2 2 4 2 8" xfId="4727" xr:uid="{00000000-0005-0000-0000-0000BA120000}"/>
    <cellStyle name="Normal 4 2 2 4 2 8 2" xfId="13169" xr:uid="{DE37A824-9ED3-467E-918B-1E6DC5C464C5}"/>
    <cellStyle name="Normal 4 2 2 4 2 9" xfId="8951" xr:uid="{1186F17B-F3E0-430A-B249-456EA1D2EE0C}"/>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2 2 2" xfId="15729" xr:uid="{F399E4F2-6900-4A0D-8106-C9C110603EAC}"/>
    <cellStyle name="Normal 4 2 2 4 3 2 2 3" xfId="11511" xr:uid="{222CC95E-873F-4FCC-858A-9F5F26B72084}"/>
    <cellStyle name="Normal 4 2 2 4 3 2 3" xfId="5142" xr:uid="{00000000-0005-0000-0000-0000BF120000}"/>
    <cellStyle name="Normal 4 2 2 4 3 2 3 2" xfId="13584" xr:uid="{875F9A43-B222-4B69-829D-8AE45A27EF95}"/>
    <cellStyle name="Normal 4 2 2 4 3 2 4" xfId="9366" xr:uid="{FAA0528A-E616-47D8-80D0-6404E2D41B98}"/>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2 2 2" xfId="16142" xr:uid="{956D7860-4C98-4018-BD09-105B1A1324A5}"/>
    <cellStyle name="Normal 4 2 2 4 3 3 2 3" xfId="11924" xr:uid="{F5FA94BE-99B0-42A1-B0C3-2F7E2DE9FF1A}"/>
    <cellStyle name="Normal 4 2 2 4 3 3 3" xfId="5555" xr:uid="{00000000-0005-0000-0000-0000C3120000}"/>
    <cellStyle name="Normal 4 2 2 4 3 3 3 2" xfId="13997" xr:uid="{5CB5F529-57FF-4956-AD87-264DD9D87FD5}"/>
    <cellStyle name="Normal 4 2 2 4 3 3 4" xfId="9779" xr:uid="{706D58F7-5CD6-4F45-AB42-002DDFDD832B}"/>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2 2 2" xfId="16555" xr:uid="{A0D00881-7049-4AED-84C1-CD17EE09F638}"/>
    <cellStyle name="Normal 4 2 2 4 3 4 2 3" xfId="12337" xr:uid="{DA914B9D-0888-4CC8-A2B9-535B45FE232C}"/>
    <cellStyle name="Normal 4 2 2 4 3 4 3" xfId="5968" xr:uid="{00000000-0005-0000-0000-0000C7120000}"/>
    <cellStyle name="Normal 4 2 2 4 3 4 3 2" xfId="14410" xr:uid="{365DD234-47BC-4094-849D-CFACF7B6DF11}"/>
    <cellStyle name="Normal 4 2 2 4 3 4 4" xfId="10192" xr:uid="{3E280D73-F38E-47B2-BA7D-B757D26ABE35}"/>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2 2 2" xfId="16968" xr:uid="{27DE63DF-2515-4488-B94E-10CA7F8A11C9}"/>
    <cellStyle name="Normal 4 2 2 4 3 5 2 3" xfId="12750" xr:uid="{982AAFA6-A4EB-4C80-B635-7FD4DC8AC813}"/>
    <cellStyle name="Normal 4 2 2 4 3 5 3" xfId="6381" xr:uid="{00000000-0005-0000-0000-0000CB120000}"/>
    <cellStyle name="Normal 4 2 2 4 3 5 3 2" xfId="14823" xr:uid="{B2AEF319-A750-4894-AAE2-E2157DCB9013}"/>
    <cellStyle name="Normal 4 2 2 4 3 5 4" xfId="10605" xr:uid="{EB96D03A-79DC-45A2-BDD3-5FD89B1E81DF}"/>
    <cellStyle name="Normal 4 2 2 4 3 6" xfId="2510" xr:uid="{00000000-0005-0000-0000-0000CC120000}"/>
    <cellStyle name="Normal 4 2 2 4 3 6 2" xfId="6794" xr:uid="{00000000-0005-0000-0000-0000CD120000}"/>
    <cellStyle name="Normal 4 2 2 4 3 6 2 2" xfId="15236" xr:uid="{0484C27A-FD84-4216-B9D3-2C4C066B6F86}"/>
    <cellStyle name="Normal 4 2 2 4 3 6 3" xfId="11018" xr:uid="{513DF255-53F3-47D7-AED2-7C112C3E79E9}"/>
    <cellStyle name="Normal 4 2 2 4 3 7" xfId="4729" xr:uid="{00000000-0005-0000-0000-0000CE120000}"/>
    <cellStyle name="Normal 4 2 2 4 3 7 2" xfId="13171" xr:uid="{BA797278-6E83-4E8C-93A1-8C192254DE43}"/>
    <cellStyle name="Normal 4 2 2 4 3 8" xfId="8953" xr:uid="{9A67F5DD-1EAC-4B91-AF63-F03E94D573B4}"/>
    <cellStyle name="Normal 4 2 2 4 4" xfId="824" xr:uid="{00000000-0005-0000-0000-0000CF120000}"/>
    <cellStyle name="Normal 4 2 2 4 4 2" xfId="3061" xr:uid="{00000000-0005-0000-0000-0000D0120000}"/>
    <cellStyle name="Normal 4 2 2 4 4 2 2" xfId="7284" xr:uid="{00000000-0005-0000-0000-0000D1120000}"/>
    <cellStyle name="Normal 4 2 2 4 4 2 2 2" xfId="15726" xr:uid="{90F96633-4D91-4B36-8C26-B69EF624A673}"/>
    <cellStyle name="Normal 4 2 2 4 4 2 3" xfId="11508" xr:uid="{8E07F9C5-E30F-43B5-A8D2-E44DFD0224D3}"/>
    <cellStyle name="Normal 4 2 2 4 4 3" xfId="5139" xr:uid="{00000000-0005-0000-0000-0000D2120000}"/>
    <cellStyle name="Normal 4 2 2 4 4 3 2" xfId="13581" xr:uid="{925A59A2-30B6-4ABE-8593-AE2227F1BB4D}"/>
    <cellStyle name="Normal 4 2 2 4 4 4" xfId="9363" xr:uid="{0280ABCD-A194-4990-91B5-8324D036D9D2}"/>
    <cellStyle name="Normal 4 2 2 4 5" xfId="1244" xr:uid="{00000000-0005-0000-0000-0000D3120000}"/>
    <cellStyle name="Normal 4 2 2 4 5 2" xfId="3474" xr:uid="{00000000-0005-0000-0000-0000D4120000}"/>
    <cellStyle name="Normal 4 2 2 4 5 2 2" xfId="7697" xr:uid="{00000000-0005-0000-0000-0000D5120000}"/>
    <cellStyle name="Normal 4 2 2 4 5 2 2 2" xfId="16139" xr:uid="{96DD300A-39F8-4E84-971C-3DAA64187334}"/>
    <cellStyle name="Normal 4 2 2 4 5 2 3" xfId="11921" xr:uid="{74E13C2E-84AE-4E9B-AA52-6C103DCF9DC4}"/>
    <cellStyle name="Normal 4 2 2 4 5 3" xfId="5552" xr:uid="{00000000-0005-0000-0000-0000D6120000}"/>
    <cellStyle name="Normal 4 2 2 4 5 3 2" xfId="13994" xr:uid="{8059CBEE-BB53-48A8-AC75-04DCA7C3A472}"/>
    <cellStyle name="Normal 4 2 2 4 5 4" xfId="9776" xr:uid="{CCD6D445-5683-4436-8273-CCC6A39919C7}"/>
    <cellStyle name="Normal 4 2 2 4 6" xfId="1657" xr:uid="{00000000-0005-0000-0000-0000D7120000}"/>
    <cellStyle name="Normal 4 2 2 4 6 2" xfId="3887" xr:uid="{00000000-0005-0000-0000-0000D8120000}"/>
    <cellStyle name="Normal 4 2 2 4 6 2 2" xfId="8110" xr:uid="{00000000-0005-0000-0000-0000D9120000}"/>
    <cellStyle name="Normal 4 2 2 4 6 2 2 2" xfId="16552" xr:uid="{DDD7F6D2-242D-4A02-A0EC-3562D57ED7EB}"/>
    <cellStyle name="Normal 4 2 2 4 6 2 3" xfId="12334" xr:uid="{9CA05761-A60F-41B9-9EBC-18807B70973D}"/>
    <cellStyle name="Normal 4 2 2 4 6 3" xfId="5965" xr:uid="{00000000-0005-0000-0000-0000DA120000}"/>
    <cellStyle name="Normal 4 2 2 4 6 3 2" xfId="14407" xr:uid="{92112C97-D638-4CE7-8C80-513075F3BF6E}"/>
    <cellStyle name="Normal 4 2 2 4 6 4" xfId="10189" xr:uid="{03402C48-B3F6-492D-AC16-B32167155784}"/>
    <cellStyle name="Normal 4 2 2 4 7" xfId="2071" xr:uid="{00000000-0005-0000-0000-0000DB120000}"/>
    <cellStyle name="Normal 4 2 2 4 7 2" xfId="4300" xr:uid="{00000000-0005-0000-0000-0000DC120000}"/>
    <cellStyle name="Normal 4 2 2 4 7 2 2" xfId="8523" xr:uid="{00000000-0005-0000-0000-0000DD120000}"/>
    <cellStyle name="Normal 4 2 2 4 7 2 2 2" xfId="16965" xr:uid="{E85B874C-29FD-4D3E-BEA9-07706B324526}"/>
    <cellStyle name="Normal 4 2 2 4 7 2 3" xfId="12747" xr:uid="{B1E877CB-0690-4798-87FB-078165BB05C1}"/>
    <cellStyle name="Normal 4 2 2 4 7 3" xfId="6378" xr:uid="{00000000-0005-0000-0000-0000DE120000}"/>
    <cellStyle name="Normal 4 2 2 4 7 3 2" xfId="14820" xr:uid="{55C80CE8-3EC0-4CC1-B972-0821423A80B6}"/>
    <cellStyle name="Normal 4 2 2 4 7 4" xfId="10602" xr:uid="{34C91958-9E31-42BE-83E1-67C6078A3CBD}"/>
    <cellStyle name="Normal 4 2 2 4 8" xfId="2507" xr:uid="{00000000-0005-0000-0000-0000DF120000}"/>
    <cellStyle name="Normal 4 2 2 4 8 2" xfId="6791" xr:uid="{00000000-0005-0000-0000-0000E0120000}"/>
    <cellStyle name="Normal 4 2 2 4 8 2 2" xfId="15233" xr:uid="{4BE5D0B4-60B0-4839-98E0-467D92038AE6}"/>
    <cellStyle name="Normal 4 2 2 4 8 3" xfId="11015" xr:uid="{61A170E1-07A9-4895-ACD0-EAC66DECEE57}"/>
    <cellStyle name="Normal 4 2 2 4 9" xfId="4726" xr:uid="{00000000-0005-0000-0000-0000E1120000}"/>
    <cellStyle name="Normal 4 2 2 4 9 2" xfId="13168" xr:uid="{9F59DAB2-48EA-49F2-854A-7B4903643483}"/>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2 2 2" xfId="15731" xr:uid="{88748FA2-A8E7-458B-9A46-87B14338A8C5}"/>
    <cellStyle name="Normal 4 2 2 5 2 2 2 3" xfId="11513" xr:uid="{33DCAD43-D74D-4185-BC73-624FE821C5F0}"/>
    <cellStyle name="Normal 4 2 2 5 2 2 3" xfId="5144" xr:uid="{00000000-0005-0000-0000-0000E7120000}"/>
    <cellStyle name="Normal 4 2 2 5 2 2 3 2" xfId="13586" xr:uid="{2A66A748-6A63-4DA1-9C08-B3B1EEBD26F7}"/>
    <cellStyle name="Normal 4 2 2 5 2 2 4" xfId="9368" xr:uid="{C870D69E-CA4C-4CF4-BB4B-3D0CEB7999BA}"/>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2 2 2" xfId="16144" xr:uid="{C019ADDF-8B1C-47E4-BCCC-646C1DA0AD0C}"/>
    <cellStyle name="Normal 4 2 2 5 2 3 2 3" xfId="11926" xr:uid="{06B6919D-2A81-4C1D-9BDE-D22FEA678822}"/>
    <cellStyle name="Normal 4 2 2 5 2 3 3" xfId="5557" xr:uid="{00000000-0005-0000-0000-0000EB120000}"/>
    <cellStyle name="Normal 4 2 2 5 2 3 3 2" xfId="13999" xr:uid="{DE68EF95-F014-409E-96F2-4559173B7009}"/>
    <cellStyle name="Normal 4 2 2 5 2 3 4" xfId="9781" xr:uid="{E490923E-B814-4299-B4E7-70A37F8D667D}"/>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2 2 2" xfId="16557" xr:uid="{A750F259-6CDE-470D-97D0-A4A82E41FC6A}"/>
    <cellStyle name="Normal 4 2 2 5 2 4 2 3" xfId="12339" xr:uid="{80EC32B4-41FB-4542-AFFA-07AEBBB9EF88}"/>
    <cellStyle name="Normal 4 2 2 5 2 4 3" xfId="5970" xr:uid="{00000000-0005-0000-0000-0000EF120000}"/>
    <cellStyle name="Normal 4 2 2 5 2 4 3 2" xfId="14412" xr:uid="{15A58F6C-9301-4919-BBE4-9663FCBCFE66}"/>
    <cellStyle name="Normal 4 2 2 5 2 4 4" xfId="10194" xr:uid="{F3B8CB94-804B-41CB-9557-C88AC37DCC04}"/>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2 2 2" xfId="16970" xr:uid="{099CB0E5-58F4-41A3-B516-6058CB9509CC}"/>
    <cellStyle name="Normal 4 2 2 5 2 5 2 3" xfId="12752" xr:uid="{C7D86D6A-EF97-4442-89DD-F7DD3AE8EE68}"/>
    <cellStyle name="Normal 4 2 2 5 2 5 3" xfId="6383" xr:uid="{00000000-0005-0000-0000-0000F3120000}"/>
    <cellStyle name="Normal 4 2 2 5 2 5 3 2" xfId="14825" xr:uid="{D20963B9-D5C6-4F68-A377-E57C4D7C67EA}"/>
    <cellStyle name="Normal 4 2 2 5 2 5 4" xfId="10607" xr:uid="{2823B8FF-A092-48C6-99FA-A3943DA37C48}"/>
    <cellStyle name="Normal 4 2 2 5 2 6" xfId="2512" xr:uid="{00000000-0005-0000-0000-0000F4120000}"/>
    <cellStyle name="Normal 4 2 2 5 2 6 2" xfId="6796" xr:uid="{00000000-0005-0000-0000-0000F5120000}"/>
    <cellStyle name="Normal 4 2 2 5 2 6 2 2" xfId="15238" xr:uid="{265EA046-EDBA-495E-80E7-6061B1883DD5}"/>
    <cellStyle name="Normal 4 2 2 5 2 6 3" xfId="11020" xr:uid="{052B7F8C-AEE3-4238-B401-7A444E2B3B29}"/>
    <cellStyle name="Normal 4 2 2 5 2 7" xfId="4731" xr:uid="{00000000-0005-0000-0000-0000F6120000}"/>
    <cellStyle name="Normal 4 2 2 5 2 7 2" xfId="13173" xr:uid="{EE27678F-735A-48C5-B14F-A5BEBEC02D55}"/>
    <cellStyle name="Normal 4 2 2 5 2 8" xfId="8955" xr:uid="{7998BD64-4BE5-44A8-A5DA-18C3DE98F3F9}"/>
    <cellStyle name="Normal 4 2 2 5 3" xfId="828" xr:uid="{00000000-0005-0000-0000-0000F7120000}"/>
    <cellStyle name="Normal 4 2 2 5 3 2" xfId="3065" xr:uid="{00000000-0005-0000-0000-0000F8120000}"/>
    <cellStyle name="Normal 4 2 2 5 3 2 2" xfId="7288" xr:uid="{00000000-0005-0000-0000-0000F9120000}"/>
    <cellStyle name="Normal 4 2 2 5 3 2 2 2" xfId="15730" xr:uid="{BBD59AB9-0B02-40F4-B134-61621A3696D5}"/>
    <cellStyle name="Normal 4 2 2 5 3 2 3" xfId="11512" xr:uid="{944A9A0E-05E5-4BB8-BA8A-0E384A5FF0A3}"/>
    <cellStyle name="Normal 4 2 2 5 3 3" xfId="5143" xr:uid="{00000000-0005-0000-0000-0000FA120000}"/>
    <cellStyle name="Normal 4 2 2 5 3 3 2" xfId="13585" xr:uid="{EBD19619-86A8-46FA-80A0-75CA917A8C83}"/>
    <cellStyle name="Normal 4 2 2 5 3 4" xfId="9367" xr:uid="{9A74C81D-57E8-406D-AE7A-A54D6503B87C}"/>
    <cellStyle name="Normal 4 2 2 5 4" xfId="1248" xr:uid="{00000000-0005-0000-0000-0000FB120000}"/>
    <cellStyle name="Normal 4 2 2 5 4 2" xfId="3478" xr:uid="{00000000-0005-0000-0000-0000FC120000}"/>
    <cellStyle name="Normal 4 2 2 5 4 2 2" xfId="7701" xr:uid="{00000000-0005-0000-0000-0000FD120000}"/>
    <cellStyle name="Normal 4 2 2 5 4 2 2 2" xfId="16143" xr:uid="{70D6AEC3-C3FB-48B5-89CB-58A7E76AE267}"/>
    <cellStyle name="Normal 4 2 2 5 4 2 3" xfId="11925" xr:uid="{04DEBD6E-76A9-473B-8CAC-A58A67CD0260}"/>
    <cellStyle name="Normal 4 2 2 5 4 3" xfId="5556" xr:uid="{00000000-0005-0000-0000-0000FE120000}"/>
    <cellStyle name="Normal 4 2 2 5 4 3 2" xfId="13998" xr:uid="{471713A1-8FE3-4301-8A6E-B1800D914F5B}"/>
    <cellStyle name="Normal 4 2 2 5 4 4" xfId="9780" xr:uid="{F8BA5838-5E97-4DD4-B99D-0242590BCA95}"/>
    <cellStyle name="Normal 4 2 2 5 5" xfId="1661" xr:uid="{00000000-0005-0000-0000-0000FF120000}"/>
    <cellStyle name="Normal 4 2 2 5 5 2" xfId="3891" xr:uid="{00000000-0005-0000-0000-000000130000}"/>
    <cellStyle name="Normal 4 2 2 5 5 2 2" xfId="8114" xr:uid="{00000000-0005-0000-0000-000001130000}"/>
    <cellStyle name="Normal 4 2 2 5 5 2 2 2" xfId="16556" xr:uid="{BDE4D52D-45D5-4B33-BA76-8EF56FBC4049}"/>
    <cellStyle name="Normal 4 2 2 5 5 2 3" xfId="12338" xr:uid="{C8D9B746-8D3F-44AB-B1F0-11AEC43B5C33}"/>
    <cellStyle name="Normal 4 2 2 5 5 3" xfId="5969" xr:uid="{00000000-0005-0000-0000-000002130000}"/>
    <cellStyle name="Normal 4 2 2 5 5 3 2" xfId="14411" xr:uid="{89F4D09D-BF12-4C03-81BC-B6E89DD89805}"/>
    <cellStyle name="Normal 4 2 2 5 5 4" xfId="10193" xr:uid="{7C574443-8EA3-4F64-8A95-176F3AF29B19}"/>
    <cellStyle name="Normal 4 2 2 5 6" xfId="2075" xr:uid="{00000000-0005-0000-0000-000003130000}"/>
    <cellStyle name="Normal 4 2 2 5 6 2" xfId="4304" xr:uid="{00000000-0005-0000-0000-000004130000}"/>
    <cellStyle name="Normal 4 2 2 5 6 2 2" xfId="8527" xr:uid="{00000000-0005-0000-0000-000005130000}"/>
    <cellStyle name="Normal 4 2 2 5 6 2 2 2" xfId="16969" xr:uid="{0533E38E-2CE3-4DF8-BB76-5888FE807035}"/>
    <cellStyle name="Normal 4 2 2 5 6 2 3" xfId="12751" xr:uid="{B2513ED5-83CA-4B1A-9E68-4F440F225DAD}"/>
    <cellStyle name="Normal 4 2 2 5 6 3" xfId="6382" xr:uid="{00000000-0005-0000-0000-000006130000}"/>
    <cellStyle name="Normal 4 2 2 5 6 3 2" xfId="14824" xr:uid="{A6BA7361-B86C-40CE-8DD6-4486AE89D6B7}"/>
    <cellStyle name="Normal 4 2 2 5 6 4" xfId="10606" xr:uid="{97791294-931D-4833-BD1F-69BA3492B995}"/>
    <cellStyle name="Normal 4 2 2 5 7" xfId="2511" xr:uid="{00000000-0005-0000-0000-000007130000}"/>
    <cellStyle name="Normal 4 2 2 5 7 2" xfId="6795" xr:uid="{00000000-0005-0000-0000-000008130000}"/>
    <cellStyle name="Normal 4 2 2 5 7 2 2" xfId="15237" xr:uid="{3624FF9C-6E6E-4CB5-B52F-C94A4D609A40}"/>
    <cellStyle name="Normal 4 2 2 5 7 3" xfId="11019" xr:uid="{ADD21B49-1975-480A-849E-A5BF64A57252}"/>
    <cellStyle name="Normal 4 2 2 5 8" xfId="4730" xr:uid="{00000000-0005-0000-0000-000009130000}"/>
    <cellStyle name="Normal 4 2 2 5 8 2" xfId="13172" xr:uid="{ECFA297C-46B8-44A0-A620-525679FF5F52}"/>
    <cellStyle name="Normal 4 2 2 5 9" xfId="8954" xr:uid="{923D7EB2-B920-4581-BCCF-7FEA67ABD559}"/>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2 2 2" xfId="15732" xr:uid="{AA616323-CF03-4720-B32E-04A4131AD0F7}"/>
    <cellStyle name="Normal 4 2 2 6 2 2 3" xfId="11514" xr:uid="{433A0C7E-5826-4B61-AF0E-A77C100E30E8}"/>
    <cellStyle name="Normal 4 2 2 6 2 3" xfId="5145" xr:uid="{00000000-0005-0000-0000-00000E130000}"/>
    <cellStyle name="Normal 4 2 2 6 2 3 2" xfId="13587" xr:uid="{7DC5B8CD-0258-4FEA-95A1-3C54A8C434C1}"/>
    <cellStyle name="Normal 4 2 2 6 2 4" xfId="9369" xr:uid="{8B019E8F-C8CD-4B79-AE35-2C0044C95D23}"/>
    <cellStyle name="Normal 4 2 2 6 3" xfId="1250" xr:uid="{00000000-0005-0000-0000-00000F130000}"/>
    <cellStyle name="Normal 4 2 2 6 3 2" xfId="3480" xr:uid="{00000000-0005-0000-0000-000010130000}"/>
    <cellStyle name="Normal 4 2 2 6 3 2 2" xfId="7703" xr:uid="{00000000-0005-0000-0000-000011130000}"/>
    <cellStyle name="Normal 4 2 2 6 3 2 2 2" xfId="16145" xr:uid="{3B37BB9F-8D14-40D2-86F3-7011451E66B3}"/>
    <cellStyle name="Normal 4 2 2 6 3 2 3" xfId="11927" xr:uid="{57385EDC-4E75-4FA5-B264-7B79777CCD27}"/>
    <cellStyle name="Normal 4 2 2 6 3 3" xfId="5558" xr:uid="{00000000-0005-0000-0000-000012130000}"/>
    <cellStyle name="Normal 4 2 2 6 3 3 2" xfId="14000" xr:uid="{8B8B4F3D-A76B-4998-A3F7-35D94CFF35A8}"/>
    <cellStyle name="Normal 4 2 2 6 3 4" xfId="9782" xr:uid="{EECEF8A4-B4C6-4691-B7A0-FF33F3AAB80C}"/>
    <cellStyle name="Normal 4 2 2 6 4" xfId="1663" xr:uid="{00000000-0005-0000-0000-000013130000}"/>
    <cellStyle name="Normal 4 2 2 6 4 2" xfId="3893" xr:uid="{00000000-0005-0000-0000-000014130000}"/>
    <cellStyle name="Normal 4 2 2 6 4 2 2" xfId="8116" xr:uid="{00000000-0005-0000-0000-000015130000}"/>
    <cellStyle name="Normal 4 2 2 6 4 2 2 2" xfId="16558" xr:uid="{6EE3AF97-384D-4FA3-9B7F-F7BDEB93B195}"/>
    <cellStyle name="Normal 4 2 2 6 4 2 3" xfId="12340" xr:uid="{E1A7F4FA-57B5-48AF-A3C9-77C6ED3875CC}"/>
    <cellStyle name="Normal 4 2 2 6 4 3" xfId="5971" xr:uid="{00000000-0005-0000-0000-000016130000}"/>
    <cellStyle name="Normal 4 2 2 6 4 3 2" xfId="14413" xr:uid="{C2DFF8F3-5A8A-4713-908E-5483EAB35B65}"/>
    <cellStyle name="Normal 4 2 2 6 4 4" xfId="10195" xr:uid="{7C1C9013-D6E9-4274-88C3-FDFD3DD037F1}"/>
    <cellStyle name="Normal 4 2 2 6 5" xfId="2077" xr:uid="{00000000-0005-0000-0000-000017130000}"/>
    <cellStyle name="Normal 4 2 2 6 5 2" xfId="4306" xr:uid="{00000000-0005-0000-0000-000018130000}"/>
    <cellStyle name="Normal 4 2 2 6 5 2 2" xfId="8529" xr:uid="{00000000-0005-0000-0000-000019130000}"/>
    <cellStyle name="Normal 4 2 2 6 5 2 2 2" xfId="16971" xr:uid="{4623C1D9-5AED-4475-8F99-77DA515529DD}"/>
    <cellStyle name="Normal 4 2 2 6 5 2 3" xfId="12753" xr:uid="{00839650-B7F7-4B00-AC15-4DABD60A7FD2}"/>
    <cellStyle name="Normal 4 2 2 6 5 3" xfId="6384" xr:uid="{00000000-0005-0000-0000-00001A130000}"/>
    <cellStyle name="Normal 4 2 2 6 5 3 2" xfId="14826" xr:uid="{B0F56946-E584-4CBF-B601-72D3DAD4200A}"/>
    <cellStyle name="Normal 4 2 2 6 5 4" xfId="10608" xr:uid="{3F8684DF-49B1-41D4-AC68-63D536C72E72}"/>
    <cellStyle name="Normal 4 2 2 6 6" xfId="2513" xr:uid="{00000000-0005-0000-0000-00001B130000}"/>
    <cellStyle name="Normal 4 2 2 6 6 2" xfId="6797" xr:uid="{00000000-0005-0000-0000-00001C130000}"/>
    <cellStyle name="Normal 4 2 2 6 6 2 2" xfId="15239" xr:uid="{1FFCDE78-8A8A-49E8-9A02-901F4B3CA2B9}"/>
    <cellStyle name="Normal 4 2 2 6 6 3" xfId="11021" xr:uid="{96CFE331-3741-4D93-88D4-23395AF77C5B}"/>
    <cellStyle name="Normal 4 2 2 6 7" xfId="4732" xr:uid="{00000000-0005-0000-0000-00001D130000}"/>
    <cellStyle name="Normal 4 2 2 6 7 2" xfId="13174" xr:uid="{E93AED02-D927-4449-AC0C-0F8052A187BD}"/>
    <cellStyle name="Normal 4 2 2 6 8" xfId="8956" xr:uid="{2F733F77-37A9-4D3D-B411-104063DBB846}"/>
    <cellStyle name="Normal 4 2 2 7" xfId="815" xr:uid="{00000000-0005-0000-0000-00001E130000}"/>
    <cellStyle name="Normal 4 2 2 7 2" xfId="3052" xr:uid="{00000000-0005-0000-0000-00001F130000}"/>
    <cellStyle name="Normal 4 2 2 7 2 2" xfId="7275" xr:uid="{00000000-0005-0000-0000-000020130000}"/>
    <cellStyle name="Normal 4 2 2 7 2 2 2" xfId="15717" xr:uid="{DCFF84E0-2FFA-44EF-89EC-CC08D082F576}"/>
    <cellStyle name="Normal 4 2 2 7 2 3" xfId="11499" xr:uid="{AC9CFC32-8535-4164-B291-25438BFB3B8F}"/>
    <cellStyle name="Normal 4 2 2 7 3" xfId="5130" xr:uid="{00000000-0005-0000-0000-000021130000}"/>
    <cellStyle name="Normal 4 2 2 7 3 2" xfId="13572" xr:uid="{433A94D3-0C70-463A-B5B4-7530848F3C09}"/>
    <cellStyle name="Normal 4 2 2 7 4" xfId="9354" xr:uid="{6173689F-5B12-44FC-9794-E5C239F6DE4F}"/>
    <cellStyle name="Normal 4 2 2 8" xfId="1235" xr:uid="{00000000-0005-0000-0000-000022130000}"/>
    <cellStyle name="Normal 4 2 2 8 2" xfId="3465" xr:uid="{00000000-0005-0000-0000-000023130000}"/>
    <cellStyle name="Normal 4 2 2 8 2 2" xfId="7688" xr:uid="{00000000-0005-0000-0000-000024130000}"/>
    <cellStyle name="Normal 4 2 2 8 2 2 2" xfId="16130" xr:uid="{6C1FC9A9-B3A9-4FFE-B80B-E2794468507A}"/>
    <cellStyle name="Normal 4 2 2 8 2 3" xfId="11912" xr:uid="{291EB6C1-E804-428F-A8C5-B3315FB80929}"/>
    <cellStyle name="Normal 4 2 2 8 3" xfId="5543" xr:uid="{00000000-0005-0000-0000-000025130000}"/>
    <cellStyle name="Normal 4 2 2 8 3 2" xfId="13985" xr:uid="{86183A3E-BCE2-462E-8F22-F2C1C7E33D77}"/>
    <cellStyle name="Normal 4 2 2 8 4" xfId="9767" xr:uid="{4890E91C-5FAB-43EC-98B3-C81A59CC3E44}"/>
    <cellStyle name="Normal 4 2 2 9" xfId="1648" xr:uid="{00000000-0005-0000-0000-000026130000}"/>
    <cellStyle name="Normal 4 2 2 9 2" xfId="3878" xr:uid="{00000000-0005-0000-0000-000027130000}"/>
    <cellStyle name="Normal 4 2 2 9 2 2" xfId="8101" xr:uid="{00000000-0005-0000-0000-000028130000}"/>
    <cellStyle name="Normal 4 2 2 9 2 2 2" xfId="16543" xr:uid="{EB9493FD-6CBB-40F5-B557-6DC252BFD005}"/>
    <cellStyle name="Normal 4 2 2 9 2 3" xfId="12325" xr:uid="{8A356D6D-8BBA-47FA-AB03-CBF2522EB78C}"/>
    <cellStyle name="Normal 4 2 2 9 3" xfId="5956" xr:uid="{00000000-0005-0000-0000-000029130000}"/>
    <cellStyle name="Normal 4 2 2 9 3 2" xfId="14398" xr:uid="{0BC539DB-8D33-4323-95CC-490E38A2C735}"/>
    <cellStyle name="Normal 4 2 2 9 4" xfId="10180" xr:uid="{220BFF7E-61E6-4F04-9F8B-6C77413D66D3}"/>
    <cellStyle name="Normal 4 2 3" xfId="354" xr:uid="{00000000-0005-0000-0000-00002A130000}"/>
    <cellStyle name="Normal 4 2 4" xfId="355" xr:uid="{00000000-0005-0000-0000-00002B130000}"/>
    <cellStyle name="Normal 4 2 4 10" xfId="4733" xr:uid="{00000000-0005-0000-0000-00002C130000}"/>
    <cellStyle name="Normal 4 2 4 10 2" xfId="13175" xr:uid="{121429B7-8C6C-4E02-B8B5-E2606898F930}"/>
    <cellStyle name="Normal 4 2 4 11" xfId="8957" xr:uid="{3B7ABBEA-938C-4CF4-B51A-09C55CF11FE6}"/>
    <cellStyle name="Normal 4 2 4 2" xfId="356" xr:uid="{00000000-0005-0000-0000-00002D130000}"/>
    <cellStyle name="Normal 4 2 4 2 10" xfId="8958" xr:uid="{1054C945-E034-46DE-9E11-D3C5E2B66D5C}"/>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2 2 2" xfId="15736" xr:uid="{435EBFED-D11E-4AF9-B7D7-015D2276DAF9}"/>
    <cellStyle name="Normal 4 2 4 2 2 2 2 2 3" xfId="11518" xr:uid="{5A85DCB7-8061-456E-A1D3-AD99B67BF48E}"/>
    <cellStyle name="Normal 4 2 4 2 2 2 2 3" xfId="5149" xr:uid="{00000000-0005-0000-0000-000033130000}"/>
    <cellStyle name="Normal 4 2 4 2 2 2 2 3 2" xfId="13591" xr:uid="{1B12FDFD-BAD7-4406-AE28-28E0F9E65FCC}"/>
    <cellStyle name="Normal 4 2 4 2 2 2 2 4" xfId="9373" xr:uid="{B3CFDD96-0526-48D3-8DDE-BE5BF7346CAC}"/>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2 2 2" xfId="16149" xr:uid="{DBB619FB-2083-441C-A2EC-D572483E6F44}"/>
    <cellStyle name="Normal 4 2 4 2 2 2 3 2 3" xfId="11931" xr:uid="{AB8B339D-F787-4E89-814F-33F3ECF02EDF}"/>
    <cellStyle name="Normal 4 2 4 2 2 2 3 3" xfId="5562" xr:uid="{00000000-0005-0000-0000-000037130000}"/>
    <cellStyle name="Normal 4 2 4 2 2 2 3 3 2" xfId="14004" xr:uid="{91A15F9C-9AA2-4C74-B828-C59F31987175}"/>
    <cellStyle name="Normal 4 2 4 2 2 2 3 4" xfId="9786" xr:uid="{359C1519-5B5E-407F-9222-CB33317B92F4}"/>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2 2 2" xfId="16562" xr:uid="{11C6D1DF-B1C3-48B8-ADD4-F6F2E7288965}"/>
    <cellStyle name="Normal 4 2 4 2 2 2 4 2 3" xfId="12344" xr:uid="{37AB8625-BD7C-4BC3-8F02-5B7303D8AEB7}"/>
    <cellStyle name="Normal 4 2 4 2 2 2 4 3" xfId="5975" xr:uid="{00000000-0005-0000-0000-00003B130000}"/>
    <cellStyle name="Normal 4 2 4 2 2 2 4 3 2" xfId="14417" xr:uid="{15EDCB90-DF32-42C3-943C-2D15A1C92648}"/>
    <cellStyle name="Normal 4 2 4 2 2 2 4 4" xfId="10199" xr:uid="{5F33BD99-91F6-4C57-BBBD-2B3F2DF2D587}"/>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2 2 2" xfId="16975" xr:uid="{17CA28DD-961B-4810-A17B-43A888F3D6F1}"/>
    <cellStyle name="Normal 4 2 4 2 2 2 5 2 3" xfId="12757" xr:uid="{23106C9F-FF8E-40F6-9F7B-FC55175CED36}"/>
    <cellStyle name="Normal 4 2 4 2 2 2 5 3" xfId="6388" xr:uid="{00000000-0005-0000-0000-00003F130000}"/>
    <cellStyle name="Normal 4 2 4 2 2 2 5 3 2" xfId="14830" xr:uid="{C5E315DB-8F4F-4682-B5E2-4BB6A0D6BF1C}"/>
    <cellStyle name="Normal 4 2 4 2 2 2 5 4" xfId="10612" xr:uid="{BB1FDA1E-02B6-4C37-B87C-28C6B249C90F}"/>
    <cellStyle name="Normal 4 2 4 2 2 2 6" xfId="2517" xr:uid="{00000000-0005-0000-0000-000040130000}"/>
    <cellStyle name="Normal 4 2 4 2 2 2 6 2" xfId="6801" xr:uid="{00000000-0005-0000-0000-000041130000}"/>
    <cellStyle name="Normal 4 2 4 2 2 2 6 2 2" xfId="15243" xr:uid="{35711764-FCD8-47C9-861E-9A1F6D1D168C}"/>
    <cellStyle name="Normal 4 2 4 2 2 2 6 3" xfId="11025" xr:uid="{0DD8BD2D-B40E-4490-9188-01E15D0146BF}"/>
    <cellStyle name="Normal 4 2 4 2 2 2 7" xfId="4736" xr:uid="{00000000-0005-0000-0000-000042130000}"/>
    <cellStyle name="Normal 4 2 4 2 2 2 7 2" xfId="13178" xr:uid="{7C9D9B6C-A742-4784-B01B-BFBD9F6A5595}"/>
    <cellStyle name="Normal 4 2 4 2 2 2 8" xfId="8960" xr:uid="{F7E57859-2919-4CB1-A080-38499B61A0A3}"/>
    <cellStyle name="Normal 4 2 4 2 2 3" xfId="833" xr:uid="{00000000-0005-0000-0000-000043130000}"/>
    <cellStyle name="Normal 4 2 4 2 2 3 2" xfId="3070" xr:uid="{00000000-0005-0000-0000-000044130000}"/>
    <cellStyle name="Normal 4 2 4 2 2 3 2 2" xfId="7293" xr:uid="{00000000-0005-0000-0000-000045130000}"/>
    <cellStyle name="Normal 4 2 4 2 2 3 2 2 2" xfId="15735" xr:uid="{9F588C10-393A-49F4-9A43-05B68D0C865E}"/>
    <cellStyle name="Normal 4 2 4 2 2 3 2 3" xfId="11517" xr:uid="{BA3ED9B4-45D6-4B2A-8F0D-5603C5F3D1CC}"/>
    <cellStyle name="Normal 4 2 4 2 2 3 3" xfId="5148" xr:uid="{00000000-0005-0000-0000-000046130000}"/>
    <cellStyle name="Normal 4 2 4 2 2 3 3 2" xfId="13590" xr:uid="{321C6184-C20A-4592-9043-0630093BC5FB}"/>
    <cellStyle name="Normal 4 2 4 2 2 3 4" xfId="9372" xr:uid="{E8170129-9B8B-44F9-B7A7-EF4DA4A0E778}"/>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2 2 2" xfId="16148" xr:uid="{5C31602C-D45F-4C11-BBDC-A9715AAD9E99}"/>
    <cellStyle name="Normal 4 2 4 2 2 4 2 3" xfId="11930" xr:uid="{17F4E3F1-B521-416C-8663-C881900F2553}"/>
    <cellStyle name="Normal 4 2 4 2 2 4 3" xfId="5561" xr:uid="{00000000-0005-0000-0000-00004A130000}"/>
    <cellStyle name="Normal 4 2 4 2 2 4 3 2" xfId="14003" xr:uid="{DD044381-CBE5-4E6D-9F02-4AFC8E5B54CA}"/>
    <cellStyle name="Normal 4 2 4 2 2 4 4" xfId="9785" xr:uid="{3010F218-7959-4173-B4F2-31900A7580B1}"/>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2 2 2" xfId="16561" xr:uid="{60A93003-FA8B-4700-9057-08CEF71F6B25}"/>
    <cellStyle name="Normal 4 2 4 2 2 5 2 3" xfId="12343" xr:uid="{21E8CFE9-0480-4A1E-AEB5-40926B6E4D58}"/>
    <cellStyle name="Normal 4 2 4 2 2 5 3" xfId="5974" xr:uid="{00000000-0005-0000-0000-00004E130000}"/>
    <cellStyle name="Normal 4 2 4 2 2 5 3 2" xfId="14416" xr:uid="{66C6BE24-A2D7-4682-AAED-745F9FF9F623}"/>
    <cellStyle name="Normal 4 2 4 2 2 5 4" xfId="10198" xr:uid="{A1B7AAFF-EF44-4171-9097-5F45DE3D802C}"/>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2 2 2" xfId="16974" xr:uid="{A72E02C7-3977-41AE-AFFE-689804307703}"/>
    <cellStyle name="Normal 4 2 4 2 2 6 2 3" xfId="12756" xr:uid="{665CBE25-0FD3-4340-A010-AF42187A9B0A}"/>
    <cellStyle name="Normal 4 2 4 2 2 6 3" xfId="6387" xr:uid="{00000000-0005-0000-0000-000052130000}"/>
    <cellStyle name="Normal 4 2 4 2 2 6 3 2" xfId="14829" xr:uid="{202DC009-28B1-401C-9AB9-A855CA39D2ED}"/>
    <cellStyle name="Normal 4 2 4 2 2 6 4" xfId="10611" xr:uid="{44EC6703-DD6A-4DA1-B09B-C03782C26A65}"/>
    <cellStyle name="Normal 4 2 4 2 2 7" xfId="2516" xr:uid="{00000000-0005-0000-0000-000053130000}"/>
    <cellStyle name="Normal 4 2 4 2 2 7 2" xfId="6800" xr:uid="{00000000-0005-0000-0000-000054130000}"/>
    <cellStyle name="Normal 4 2 4 2 2 7 2 2" xfId="15242" xr:uid="{2327076B-926F-4801-A41D-F69A429C8CCC}"/>
    <cellStyle name="Normal 4 2 4 2 2 7 3" xfId="11024" xr:uid="{C225A8AE-52C9-4A59-8D33-13A5D6A6EF70}"/>
    <cellStyle name="Normal 4 2 4 2 2 8" xfId="4735" xr:uid="{00000000-0005-0000-0000-000055130000}"/>
    <cellStyle name="Normal 4 2 4 2 2 8 2" xfId="13177" xr:uid="{6297389D-B546-4FEB-96C0-F6DAA15B7E3B}"/>
    <cellStyle name="Normal 4 2 4 2 2 9" xfId="8959" xr:uid="{A566C37F-18DA-4224-9173-C8CF456596C4}"/>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2 2 2" xfId="15737" xr:uid="{42DD1195-B580-4D8F-921D-E5E826ACC663}"/>
    <cellStyle name="Normal 4 2 4 2 3 2 2 3" xfId="11519" xr:uid="{AB04DED9-50AD-4718-A698-E3FBA8B23490}"/>
    <cellStyle name="Normal 4 2 4 2 3 2 3" xfId="5150" xr:uid="{00000000-0005-0000-0000-00005A130000}"/>
    <cellStyle name="Normal 4 2 4 2 3 2 3 2" xfId="13592" xr:uid="{3BC50C7B-4EE8-48FC-941C-DAAD86E6347B}"/>
    <cellStyle name="Normal 4 2 4 2 3 2 4" xfId="9374" xr:uid="{A0E5FEA2-D5B4-44B0-A6BA-CB5FFD1C26BC}"/>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2 2 2" xfId="16150" xr:uid="{A99AB4AD-4359-4916-8B69-CC9055A1D37D}"/>
    <cellStyle name="Normal 4 2 4 2 3 3 2 3" xfId="11932" xr:uid="{A1C8D4C3-CD3A-4631-8FA4-F66B74D250A8}"/>
    <cellStyle name="Normal 4 2 4 2 3 3 3" xfId="5563" xr:uid="{00000000-0005-0000-0000-00005E130000}"/>
    <cellStyle name="Normal 4 2 4 2 3 3 3 2" xfId="14005" xr:uid="{9D26FE79-F6A0-494A-BB22-6ECE10AED62B}"/>
    <cellStyle name="Normal 4 2 4 2 3 3 4" xfId="9787" xr:uid="{BF53A570-13DA-4D35-90EE-56CF11BEAC9E}"/>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2 2 2" xfId="16563" xr:uid="{4808417F-DE7D-4BC9-A433-89FB86D5817E}"/>
    <cellStyle name="Normal 4 2 4 2 3 4 2 3" xfId="12345" xr:uid="{90F090AA-E7CB-44B8-B742-3E553564D959}"/>
    <cellStyle name="Normal 4 2 4 2 3 4 3" xfId="5976" xr:uid="{00000000-0005-0000-0000-000062130000}"/>
    <cellStyle name="Normal 4 2 4 2 3 4 3 2" xfId="14418" xr:uid="{DFFD6EE0-48F2-4213-9E56-DF82F1F50B5D}"/>
    <cellStyle name="Normal 4 2 4 2 3 4 4" xfId="10200" xr:uid="{271CFCE6-4055-45DF-AB9E-2922D3BDE74F}"/>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2 2 2" xfId="16976" xr:uid="{EAD0E942-274D-491A-AB72-4D6156CAB1F0}"/>
    <cellStyle name="Normal 4 2 4 2 3 5 2 3" xfId="12758" xr:uid="{346344DC-5218-4E3E-AF8F-F7221AFDEEE1}"/>
    <cellStyle name="Normal 4 2 4 2 3 5 3" xfId="6389" xr:uid="{00000000-0005-0000-0000-000066130000}"/>
    <cellStyle name="Normal 4 2 4 2 3 5 3 2" xfId="14831" xr:uid="{ED210946-B66A-4F23-BCA0-B0E119ABD6AF}"/>
    <cellStyle name="Normal 4 2 4 2 3 5 4" xfId="10613" xr:uid="{6F3E96B9-36CC-4AD4-9CA3-0BA9859FCF51}"/>
    <cellStyle name="Normal 4 2 4 2 3 6" xfId="2518" xr:uid="{00000000-0005-0000-0000-000067130000}"/>
    <cellStyle name="Normal 4 2 4 2 3 6 2" xfId="6802" xr:uid="{00000000-0005-0000-0000-000068130000}"/>
    <cellStyle name="Normal 4 2 4 2 3 6 2 2" xfId="15244" xr:uid="{DBD2C5C7-C381-47CB-BBAA-BEA8A63C8048}"/>
    <cellStyle name="Normal 4 2 4 2 3 6 3" xfId="11026" xr:uid="{0D66C1A9-73D8-4A50-914C-EDA886A8D09E}"/>
    <cellStyle name="Normal 4 2 4 2 3 7" xfId="4737" xr:uid="{00000000-0005-0000-0000-000069130000}"/>
    <cellStyle name="Normal 4 2 4 2 3 7 2" xfId="13179" xr:uid="{BF446177-2287-43C1-9600-BB2E51E521AB}"/>
    <cellStyle name="Normal 4 2 4 2 3 8" xfId="8961" xr:uid="{AB12C169-D223-4F5B-8169-99F7ADB8DBC3}"/>
    <cellStyle name="Normal 4 2 4 2 4" xfId="832" xr:uid="{00000000-0005-0000-0000-00006A130000}"/>
    <cellStyle name="Normal 4 2 4 2 4 2" xfId="3069" xr:uid="{00000000-0005-0000-0000-00006B130000}"/>
    <cellStyle name="Normal 4 2 4 2 4 2 2" xfId="7292" xr:uid="{00000000-0005-0000-0000-00006C130000}"/>
    <cellStyle name="Normal 4 2 4 2 4 2 2 2" xfId="15734" xr:uid="{2B884766-7EC4-417B-B7BA-6888BA996442}"/>
    <cellStyle name="Normal 4 2 4 2 4 2 3" xfId="11516" xr:uid="{7864718F-2E59-436B-9447-0105E66DF001}"/>
    <cellStyle name="Normal 4 2 4 2 4 3" xfId="5147" xr:uid="{00000000-0005-0000-0000-00006D130000}"/>
    <cellStyle name="Normal 4 2 4 2 4 3 2" xfId="13589" xr:uid="{3FE0CC2D-73AD-4CC9-BA0B-D4800FB2CBF0}"/>
    <cellStyle name="Normal 4 2 4 2 4 4" xfId="9371" xr:uid="{AC80A635-22F2-480A-BEC2-82E25C7C51E0}"/>
    <cellStyle name="Normal 4 2 4 2 5" xfId="1252" xr:uid="{00000000-0005-0000-0000-00006E130000}"/>
    <cellStyle name="Normal 4 2 4 2 5 2" xfId="3482" xr:uid="{00000000-0005-0000-0000-00006F130000}"/>
    <cellStyle name="Normal 4 2 4 2 5 2 2" xfId="7705" xr:uid="{00000000-0005-0000-0000-000070130000}"/>
    <cellStyle name="Normal 4 2 4 2 5 2 2 2" xfId="16147" xr:uid="{4540A32C-DF53-45BE-B4B1-A9E65F464C05}"/>
    <cellStyle name="Normal 4 2 4 2 5 2 3" xfId="11929" xr:uid="{D102D0AA-BC08-4481-BF7F-9565B1B36982}"/>
    <cellStyle name="Normal 4 2 4 2 5 3" xfId="5560" xr:uid="{00000000-0005-0000-0000-000071130000}"/>
    <cellStyle name="Normal 4 2 4 2 5 3 2" xfId="14002" xr:uid="{C8C2BFDE-AB26-41D5-A504-2779DEB3B2E2}"/>
    <cellStyle name="Normal 4 2 4 2 5 4" xfId="9784" xr:uid="{4711E6BE-2FF8-4D39-8402-3A16F30C3231}"/>
    <cellStyle name="Normal 4 2 4 2 6" xfId="1665" xr:uid="{00000000-0005-0000-0000-000072130000}"/>
    <cellStyle name="Normal 4 2 4 2 6 2" xfId="3895" xr:uid="{00000000-0005-0000-0000-000073130000}"/>
    <cellStyle name="Normal 4 2 4 2 6 2 2" xfId="8118" xr:uid="{00000000-0005-0000-0000-000074130000}"/>
    <cellStyle name="Normal 4 2 4 2 6 2 2 2" xfId="16560" xr:uid="{708053BE-6642-4AAE-9971-BB4B349A6175}"/>
    <cellStyle name="Normal 4 2 4 2 6 2 3" xfId="12342" xr:uid="{B3023AAB-F627-4D69-8FE5-D398B2640030}"/>
    <cellStyle name="Normal 4 2 4 2 6 3" xfId="5973" xr:uid="{00000000-0005-0000-0000-000075130000}"/>
    <cellStyle name="Normal 4 2 4 2 6 3 2" xfId="14415" xr:uid="{EFA03D4E-0CB8-430B-9F72-0FB63C154443}"/>
    <cellStyle name="Normal 4 2 4 2 6 4" xfId="10197" xr:uid="{D50D12F4-FE55-409B-BDB0-E137E0F1D67D}"/>
    <cellStyle name="Normal 4 2 4 2 7" xfId="2079" xr:uid="{00000000-0005-0000-0000-000076130000}"/>
    <cellStyle name="Normal 4 2 4 2 7 2" xfId="4308" xr:uid="{00000000-0005-0000-0000-000077130000}"/>
    <cellStyle name="Normal 4 2 4 2 7 2 2" xfId="8531" xr:uid="{00000000-0005-0000-0000-000078130000}"/>
    <cellStyle name="Normal 4 2 4 2 7 2 2 2" xfId="16973" xr:uid="{9D887834-F62F-419C-8DDF-635936F37F9B}"/>
    <cellStyle name="Normal 4 2 4 2 7 2 3" xfId="12755" xr:uid="{89B23806-20B6-4169-A700-2E43DE904968}"/>
    <cellStyle name="Normal 4 2 4 2 7 3" xfId="6386" xr:uid="{00000000-0005-0000-0000-000079130000}"/>
    <cellStyle name="Normal 4 2 4 2 7 3 2" xfId="14828" xr:uid="{BE564A98-59DF-4912-B9A6-32D50F8A8218}"/>
    <cellStyle name="Normal 4 2 4 2 7 4" xfId="10610" xr:uid="{0D92B31B-7A2C-4FCE-A23E-73040D0C89AB}"/>
    <cellStyle name="Normal 4 2 4 2 8" xfId="2515" xr:uid="{00000000-0005-0000-0000-00007A130000}"/>
    <cellStyle name="Normal 4 2 4 2 8 2" xfId="6799" xr:uid="{00000000-0005-0000-0000-00007B130000}"/>
    <cellStyle name="Normal 4 2 4 2 8 2 2" xfId="15241" xr:uid="{17027C8E-4330-4485-BC30-A6DB7E1A1B66}"/>
    <cellStyle name="Normal 4 2 4 2 8 3" xfId="11023" xr:uid="{6756AD86-4F28-4AE6-A2FB-BF9BC80475BB}"/>
    <cellStyle name="Normal 4 2 4 2 9" xfId="4734" xr:uid="{00000000-0005-0000-0000-00007C130000}"/>
    <cellStyle name="Normal 4 2 4 2 9 2" xfId="13176" xr:uid="{CF5544E1-3C15-497C-ADAE-05C7013F6B63}"/>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2 2 2" xfId="15739" xr:uid="{31B1F237-0DC5-4FD6-9710-FD389E36F2FA}"/>
    <cellStyle name="Normal 4 2 4 3 2 2 2 3" xfId="11521" xr:uid="{D9EE0B14-93FA-4D6A-A892-35C1E80E223D}"/>
    <cellStyle name="Normal 4 2 4 3 2 2 3" xfId="5152" xr:uid="{00000000-0005-0000-0000-000082130000}"/>
    <cellStyle name="Normal 4 2 4 3 2 2 3 2" xfId="13594" xr:uid="{34E43269-1B27-4C2A-A699-45B6C310B0B3}"/>
    <cellStyle name="Normal 4 2 4 3 2 2 4" xfId="9376" xr:uid="{9A586547-BB15-4C15-8C84-1F80886D31EA}"/>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2 2 2" xfId="16152" xr:uid="{CB451A56-1A37-401A-9EDC-66F3A0BCEC79}"/>
    <cellStyle name="Normal 4 2 4 3 2 3 2 3" xfId="11934" xr:uid="{0E187A56-482F-410C-8235-DB01B3138D04}"/>
    <cellStyle name="Normal 4 2 4 3 2 3 3" xfId="5565" xr:uid="{00000000-0005-0000-0000-000086130000}"/>
    <cellStyle name="Normal 4 2 4 3 2 3 3 2" xfId="14007" xr:uid="{38099D7E-1AAB-43D2-81C2-6DF2183D5D8B}"/>
    <cellStyle name="Normal 4 2 4 3 2 3 4" xfId="9789" xr:uid="{93DC5CBA-DA48-45FC-A2B7-19558283F057}"/>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2 2 2" xfId="16565" xr:uid="{1EC77774-F854-4033-8D53-6807907A5E75}"/>
    <cellStyle name="Normal 4 2 4 3 2 4 2 3" xfId="12347" xr:uid="{4B05ABEA-910A-4865-9A65-AE0EC2D7DA3D}"/>
    <cellStyle name="Normal 4 2 4 3 2 4 3" xfId="5978" xr:uid="{00000000-0005-0000-0000-00008A130000}"/>
    <cellStyle name="Normal 4 2 4 3 2 4 3 2" xfId="14420" xr:uid="{1F5FC17D-A0D4-42BE-A566-7180D167D5FA}"/>
    <cellStyle name="Normal 4 2 4 3 2 4 4" xfId="10202" xr:uid="{9F5F896F-B167-4A3D-B2F0-A0625185A58B}"/>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2 2 2" xfId="16978" xr:uid="{8D7021BB-8C85-4E5A-8E2D-1B42BDA0AAC9}"/>
    <cellStyle name="Normal 4 2 4 3 2 5 2 3" xfId="12760" xr:uid="{2C956D40-5048-4176-A458-6EA09D7F76B1}"/>
    <cellStyle name="Normal 4 2 4 3 2 5 3" xfId="6391" xr:uid="{00000000-0005-0000-0000-00008E130000}"/>
    <cellStyle name="Normal 4 2 4 3 2 5 3 2" xfId="14833" xr:uid="{5CEE6E37-0DB2-4DCB-AFDF-03FF726F1268}"/>
    <cellStyle name="Normal 4 2 4 3 2 5 4" xfId="10615" xr:uid="{CB77C748-FC61-49B8-95FB-ABC7858A29C8}"/>
    <cellStyle name="Normal 4 2 4 3 2 6" xfId="2520" xr:uid="{00000000-0005-0000-0000-00008F130000}"/>
    <cellStyle name="Normal 4 2 4 3 2 6 2" xfId="6804" xr:uid="{00000000-0005-0000-0000-000090130000}"/>
    <cellStyle name="Normal 4 2 4 3 2 6 2 2" xfId="15246" xr:uid="{56987A87-1095-46B3-8048-4FAF829B387F}"/>
    <cellStyle name="Normal 4 2 4 3 2 6 3" xfId="11028" xr:uid="{04CC91EC-EE21-4657-B73C-D5F27ECD4134}"/>
    <cellStyle name="Normal 4 2 4 3 2 7" xfId="4739" xr:uid="{00000000-0005-0000-0000-000091130000}"/>
    <cellStyle name="Normal 4 2 4 3 2 7 2" xfId="13181" xr:uid="{0E8DA289-02FB-4562-8919-F17240FEAD2D}"/>
    <cellStyle name="Normal 4 2 4 3 2 8" xfId="8963" xr:uid="{B704AE64-3455-4928-9CB6-E1C8996931EA}"/>
    <cellStyle name="Normal 4 2 4 3 3" xfId="836" xr:uid="{00000000-0005-0000-0000-000092130000}"/>
    <cellStyle name="Normal 4 2 4 3 3 2" xfId="3073" xr:uid="{00000000-0005-0000-0000-000093130000}"/>
    <cellStyle name="Normal 4 2 4 3 3 2 2" xfId="7296" xr:uid="{00000000-0005-0000-0000-000094130000}"/>
    <cellStyle name="Normal 4 2 4 3 3 2 2 2" xfId="15738" xr:uid="{D69043B9-2536-41C3-BFDC-8D03CF793BEF}"/>
    <cellStyle name="Normal 4 2 4 3 3 2 3" xfId="11520" xr:uid="{CF3B6E9F-29DD-47F4-AAF9-1A176AB84592}"/>
    <cellStyle name="Normal 4 2 4 3 3 3" xfId="5151" xr:uid="{00000000-0005-0000-0000-000095130000}"/>
    <cellStyle name="Normal 4 2 4 3 3 3 2" xfId="13593" xr:uid="{786D2301-2457-4257-B908-66AD13BBD274}"/>
    <cellStyle name="Normal 4 2 4 3 3 4" xfId="9375" xr:uid="{48EB57AA-27B3-46D8-B62F-D00CC292079D}"/>
    <cellStyle name="Normal 4 2 4 3 4" xfId="1256" xr:uid="{00000000-0005-0000-0000-000096130000}"/>
    <cellStyle name="Normal 4 2 4 3 4 2" xfId="3486" xr:uid="{00000000-0005-0000-0000-000097130000}"/>
    <cellStyle name="Normal 4 2 4 3 4 2 2" xfId="7709" xr:uid="{00000000-0005-0000-0000-000098130000}"/>
    <cellStyle name="Normal 4 2 4 3 4 2 2 2" xfId="16151" xr:uid="{E1224062-8D8D-42D5-A987-516F2B0DEADD}"/>
    <cellStyle name="Normal 4 2 4 3 4 2 3" xfId="11933" xr:uid="{84D0731F-3C86-40C0-B23D-C7F7CE6F8D5A}"/>
    <cellStyle name="Normal 4 2 4 3 4 3" xfId="5564" xr:uid="{00000000-0005-0000-0000-000099130000}"/>
    <cellStyle name="Normal 4 2 4 3 4 3 2" xfId="14006" xr:uid="{5DF1D34B-07A5-4D3D-B865-BD624DF0F9CA}"/>
    <cellStyle name="Normal 4 2 4 3 4 4" xfId="9788" xr:uid="{635E4A73-D17F-4EE8-81C0-FA8347B0F406}"/>
    <cellStyle name="Normal 4 2 4 3 5" xfId="1669" xr:uid="{00000000-0005-0000-0000-00009A130000}"/>
    <cellStyle name="Normal 4 2 4 3 5 2" xfId="3899" xr:uid="{00000000-0005-0000-0000-00009B130000}"/>
    <cellStyle name="Normal 4 2 4 3 5 2 2" xfId="8122" xr:uid="{00000000-0005-0000-0000-00009C130000}"/>
    <cellStyle name="Normal 4 2 4 3 5 2 2 2" xfId="16564" xr:uid="{B607E1BB-B854-4355-911C-927F63386987}"/>
    <cellStyle name="Normal 4 2 4 3 5 2 3" xfId="12346" xr:uid="{55F86765-42B4-420E-A23F-A9890D5142DE}"/>
    <cellStyle name="Normal 4 2 4 3 5 3" xfId="5977" xr:uid="{00000000-0005-0000-0000-00009D130000}"/>
    <cellStyle name="Normal 4 2 4 3 5 3 2" xfId="14419" xr:uid="{CCC49B50-00C0-4DAA-AA78-E9EF88A27802}"/>
    <cellStyle name="Normal 4 2 4 3 5 4" xfId="10201" xr:uid="{BBB57E1B-1C65-4411-A743-3A12B89B1492}"/>
    <cellStyle name="Normal 4 2 4 3 6" xfId="2083" xr:uid="{00000000-0005-0000-0000-00009E130000}"/>
    <cellStyle name="Normal 4 2 4 3 6 2" xfId="4312" xr:uid="{00000000-0005-0000-0000-00009F130000}"/>
    <cellStyle name="Normal 4 2 4 3 6 2 2" xfId="8535" xr:uid="{00000000-0005-0000-0000-0000A0130000}"/>
    <cellStyle name="Normal 4 2 4 3 6 2 2 2" xfId="16977" xr:uid="{B1F88536-165E-43E3-9935-BD4E75506EE4}"/>
    <cellStyle name="Normal 4 2 4 3 6 2 3" xfId="12759" xr:uid="{108117F0-3937-4B47-ADCE-3D458833B5CE}"/>
    <cellStyle name="Normal 4 2 4 3 6 3" xfId="6390" xr:uid="{00000000-0005-0000-0000-0000A1130000}"/>
    <cellStyle name="Normal 4 2 4 3 6 3 2" xfId="14832" xr:uid="{5E7D4862-342A-4B17-B71E-95E455C39AA9}"/>
    <cellStyle name="Normal 4 2 4 3 6 4" xfId="10614" xr:uid="{A6502794-F321-45E3-B2E2-534D93D6F070}"/>
    <cellStyle name="Normal 4 2 4 3 7" xfId="2519" xr:uid="{00000000-0005-0000-0000-0000A2130000}"/>
    <cellStyle name="Normal 4 2 4 3 7 2" xfId="6803" xr:uid="{00000000-0005-0000-0000-0000A3130000}"/>
    <cellStyle name="Normal 4 2 4 3 7 2 2" xfId="15245" xr:uid="{FEF130AF-46FE-46C8-8068-ED68941C0428}"/>
    <cellStyle name="Normal 4 2 4 3 7 3" xfId="11027" xr:uid="{CC2D4F80-EBC1-4B2C-8C22-C7E74DD180FE}"/>
    <cellStyle name="Normal 4 2 4 3 8" xfId="4738" xr:uid="{00000000-0005-0000-0000-0000A4130000}"/>
    <cellStyle name="Normal 4 2 4 3 8 2" xfId="13180" xr:uid="{3F87CF7D-3A95-47D4-B68F-87CBE5A62EF3}"/>
    <cellStyle name="Normal 4 2 4 3 9" xfId="8962" xr:uid="{5E5890C2-EE23-4081-B652-5032BA17B94F}"/>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2 2 2" xfId="15740" xr:uid="{374451DD-841C-4EC7-A944-81DC678A214A}"/>
    <cellStyle name="Normal 4 2 4 4 2 2 3" xfId="11522" xr:uid="{7F9D5BF7-7BB3-4063-B9B4-CAFA296B0F2A}"/>
    <cellStyle name="Normal 4 2 4 4 2 3" xfId="5153" xr:uid="{00000000-0005-0000-0000-0000A9130000}"/>
    <cellStyle name="Normal 4 2 4 4 2 3 2" xfId="13595" xr:uid="{2E697DBB-74B1-4825-AF01-0E6E0851A105}"/>
    <cellStyle name="Normal 4 2 4 4 2 4" xfId="9377" xr:uid="{12CB9975-2E12-484E-AABA-075EA711C06C}"/>
    <cellStyle name="Normal 4 2 4 4 3" xfId="1258" xr:uid="{00000000-0005-0000-0000-0000AA130000}"/>
    <cellStyle name="Normal 4 2 4 4 3 2" xfId="3488" xr:uid="{00000000-0005-0000-0000-0000AB130000}"/>
    <cellStyle name="Normal 4 2 4 4 3 2 2" xfId="7711" xr:uid="{00000000-0005-0000-0000-0000AC130000}"/>
    <cellStyle name="Normal 4 2 4 4 3 2 2 2" xfId="16153" xr:uid="{03E4A636-52DF-43AE-BA13-B288B1FD6A97}"/>
    <cellStyle name="Normal 4 2 4 4 3 2 3" xfId="11935" xr:uid="{0E78EC41-904D-4C27-87C5-35ED8C65E76A}"/>
    <cellStyle name="Normal 4 2 4 4 3 3" xfId="5566" xr:uid="{00000000-0005-0000-0000-0000AD130000}"/>
    <cellStyle name="Normal 4 2 4 4 3 3 2" xfId="14008" xr:uid="{12AE68E1-DD50-491F-B614-1152611BE919}"/>
    <cellStyle name="Normal 4 2 4 4 3 4" xfId="9790" xr:uid="{EAE3F8EA-6162-4B41-92D3-8189F946C3D4}"/>
    <cellStyle name="Normal 4 2 4 4 4" xfId="1671" xr:uid="{00000000-0005-0000-0000-0000AE130000}"/>
    <cellStyle name="Normal 4 2 4 4 4 2" xfId="3901" xr:uid="{00000000-0005-0000-0000-0000AF130000}"/>
    <cellStyle name="Normal 4 2 4 4 4 2 2" xfId="8124" xr:uid="{00000000-0005-0000-0000-0000B0130000}"/>
    <cellStyle name="Normal 4 2 4 4 4 2 2 2" xfId="16566" xr:uid="{DCEB0D45-E385-4193-8372-F402CC2F51D9}"/>
    <cellStyle name="Normal 4 2 4 4 4 2 3" xfId="12348" xr:uid="{40DE691B-84C3-4B3C-A296-74A3C5E2E674}"/>
    <cellStyle name="Normal 4 2 4 4 4 3" xfId="5979" xr:uid="{00000000-0005-0000-0000-0000B1130000}"/>
    <cellStyle name="Normal 4 2 4 4 4 3 2" xfId="14421" xr:uid="{2FF62FE6-53CB-4BF2-B774-B7179AFFEAD8}"/>
    <cellStyle name="Normal 4 2 4 4 4 4" xfId="10203" xr:uid="{D8F15D91-2DF4-4FAC-A7A7-E15FC516F09F}"/>
    <cellStyle name="Normal 4 2 4 4 5" xfId="2085" xr:uid="{00000000-0005-0000-0000-0000B2130000}"/>
    <cellStyle name="Normal 4 2 4 4 5 2" xfId="4314" xr:uid="{00000000-0005-0000-0000-0000B3130000}"/>
    <cellStyle name="Normal 4 2 4 4 5 2 2" xfId="8537" xr:uid="{00000000-0005-0000-0000-0000B4130000}"/>
    <cellStyle name="Normal 4 2 4 4 5 2 2 2" xfId="16979" xr:uid="{142B2961-0345-4016-B6E6-7BE4B78AB6D6}"/>
    <cellStyle name="Normal 4 2 4 4 5 2 3" xfId="12761" xr:uid="{4D012126-C914-4361-825C-3FD8417B04BD}"/>
    <cellStyle name="Normal 4 2 4 4 5 3" xfId="6392" xr:uid="{00000000-0005-0000-0000-0000B5130000}"/>
    <cellStyle name="Normal 4 2 4 4 5 3 2" xfId="14834" xr:uid="{D5E8E072-10F3-42CA-B90C-6A4C483601D8}"/>
    <cellStyle name="Normal 4 2 4 4 5 4" xfId="10616" xr:uid="{EE7AE0EC-5582-4CC0-B8E3-5DE04E68241C}"/>
    <cellStyle name="Normal 4 2 4 4 6" xfId="2521" xr:uid="{00000000-0005-0000-0000-0000B6130000}"/>
    <cellStyle name="Normal 4 2 4 4 6 2" xfId="6805" xr:uid="{00000000-0005-0000-0000-0000B7130000}"/>
    <cellStyle name="Normal 4 2 4 4 6 2 2" xfId="15247" xr:uid="{EA9ACB66-C524-4C82-A037-2DAE52B959A8}"/>
    <cellStyle name="Normal 4 2 4 4 6 3" xfId="11029" xr:uid="{8413F95D-8867-4D1B-A275-AEDE1BE92CB3}"/>
    <cellStyle name="Normal 4 2 4 4 7" xfId="4740" xr:uid="{00000000-0005-0000-0000-0000B8130000}"/>
    <cellStyle name="Normal 4 2 4 4 7 2" xfId="13182" xr:uid="{5A774933-DDF0-4739-A01C-9997EA6A994A}"/>
    <cellStyle name="Normal 4 2 4 4 8" xfId="8964" xr:uid="{3D21288D-9637-43E8-A12C-61987B6F2CFC}"/>
    <cellStyle name="Normal 4 2 4 5" xfId="831" xr:uid="{00000000-0005-0000-0000-0000B9130000}"/>
    <cellStyle name="Normal 4 2 4 5 2" xfId="3068" xr:uid="{00000000-0005-0000-0000-0000BA130000}"/>
    <cellStyle name="Normal 4 2 4 5 2 2" xfId="7291" xr:uid="{00000000-0005-0000-0000-0000BB130000}"/>
    <cellStyle name="Normal 4 2 4 5 2 2 2" xfId="15733" xr:uid="{BCC0FE55-A9C1-467B-A3D1-81DD468087D9}"/>
    <cellStyle name="Normal 4 2 4 5 2 3" xfId="11515" xr:uid="{EB4BF34F-3F87-4584-AA42-E38730120CAC}"/>
    <cellStyle name="Normal 4 2 4 5 3" xfId="5146" xr:uid="{00000000-0005-0000-0000-0000BC130000}"/>
    <cellStyle name="Normal 4 2 4 5 3 2" xfId="13588" xr:uid="{4B92F734-E2D3-4B81-89E0-53E9EE7F5CCA}"/>
    <cellStyle name="Normal 4 2 4 5 4" xfId="9370" xr:uid="{B50D1D9C-FDFB-4E1C-980E-B7D0E4A39E3D}"/>
    <cellStyle name="Normal 4 2 4 6" xfId="1251" xr:uid="{00000000-0005-0000-0000-0000BD130000}"/>
    <cellStyle name="Normal 4 2 4 6 2" xfId="3481" xr:uid="{00000000-0005-0000-0000-0000BE130000}"/>
    <cellStyle name="Normal 4 2 4 6 2 2" xfId="7704" xr:uid="{00000000-0005-0000-0000-0000BF130000}"/>
    <cellStyle name="Normal 4 2 4 6 2 2 2" xfId="16146" xr:uid="{E5CFB536-C23B-4887-964B-D2C6E34F9D96}"/>
    <cellStyle name="Normal 4 2 4 6 2 3" xfId="11928" xr:uid="{EFE04650-FBAB-4712-9CA6-73AED943D935}"/>
    <cellStyle name="Normal 4 2 4 6 3" xfId="5559" xr:uid="{00000000-0005-0000-0000-0000C0130000}"/>
    <cellStyle name="Normal 4 2 4 6 3 2" xfId="14001" xr:uid="{AA3A4611-23F2-450A-A9D8-A996EC9868CD}"/>
    <cellStyle name="Normal 4 2 4 6 4" xfId="9783" xr:uid="{11E8E09C-CF71-4DD2-85AF-90E15B623E75}"/>
    <cellStyle name="Normal 4 2 4 7" xfId="1664" xr:uid="{00000000-0005-0000-0000-0000C1130000}"/>
    <cellStyle name="Normal 4 2 4 7 2" xfId="3894" xr:uid="{00000000-0005-0000-0000-0000C2130000}"/>
    <cellStyle name="Normal 4 2 4 7 2 2" xfId="8117" xr:uid="{00000000-0005-0000-0000-0000C3130000}"/>
    <cellStyle name="Normal 4 2 4 7 2 2 2" xfId="16559" xr:uid="{2C465AB6-40C9-4E1A-A9B5-3A44C7B4EFB9}"/>
    <cellStyle name="Normal 4 2 4 7 2 3" xfId="12341" xr:uid="{021D0D81-9161-4D18-8E0F-C5DD2BE8C8FE}"/>
    <cellStyle name="Normal 4 2 4 7 3" xfId="5972" xr:uid="{00000000-0005-0000-0000-0000C4130000}"/>
    <cellStyle name="Normal 4 2 4 7 3 2" xfId="14414" xr:uid="{90285D68-6552-4FE8-8E7C-147370EB3610}"/>
    <cellStyle name="Normal 4 2 4 7 4" xfId="10196" xr:uid="{ED8D0B90-E62E-4416-ACE9-79A0B335C3A7}"/>
    <cellStyle name="Normal 4 2 4 8" xfId="2078" xr:uid="{00000000-0005-0000-0000-0000C5130000}"/>
    <cellStyle name="Normal 4 2 4 8 2" xfId="4307" xr:uid="{00000000-0005-0000-0000-0000C6130000}"/>
    <cellStyle name="Normal 4 2 4 8 2 2" xfId="8530" xr:uid="{00000000-0005-0000-0000-0000C7130000}"/>
    <cellStyle name="Normal 4 2 4 8 2 2 2" xfId="16972" xr:uid="{12B6F65E-9D32-4326-B7E3-C760F10F6B52}"/>
    <cellStyle name="Normal 4 2 4 8 2 3" xfId="12754" xr:uid="{F7439002-ADC5-4C83-B152-E4B1F3909550}"/>
    <cellStyle name="Normal 4 2 4 8 3" xfId="6385" xr:uid="{00000000-0005-0000-0000-0000C8130000}"/>
    <cellStyle name="Normal 4 2 4 8 3 2" xfId="14827" xr:uid="{79C024A9-4ADC-4662-8A04-D10ACA92440F}"/>
    <cellStyle name="Normal 4 2 4 8 4" xfId="10609" xr:uid="{E2F36C1C-A48E-4E4E-9CAF-BBBDF0B5ABEC}"/>
    <cellStyle name="Normal 4 2 4 9" xfId="2514" xr:uid="{00000000-0005-0000-0000-0000C9130000}"/>
    <cellStyle name="Normal 4 2 4 9 2" xfId="6798" xr:uid="{00000000-0005-0000-0000-0000CA130000}"/>
    <cellStyle name="Normal 4 2 4 9 2 2" xfId="15240" xr:uid="{E3821828-CFBD-4FD7-B0BC-4C6C555D3DDF}"/>
    <cellStyle name="Normal 4 2 4 9 3" xfId="11022" xr:uid="{3B41D729-235B-40FC-BB79-50E5F6ECD1CA}"/>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2 2 2" xfId="15742" xr:uid="{9D17E3FB-82A6-408A-8C83-DC0CC6255AB4}"/>
    <cellStyle name="Normal 4 2 5 2 2 2 3" xfId="11524" xr:uid="{117FA123-D822-4392-AE84-CCE6193C2C0E}"/>
    <cellStyle name="Normal 4 2 5 2 2 3" xfId="5155" xr:uid="{00000000-0005-0000-0000-0000D0130000}"/>
    <cellStyle name="Normal 4 2 5 2 2 3 2" xfId="13597" xr:uid="{CA710852-1512-4E15-B82E-C347CC85464C}"/>
    <cellStyle name="Normal 4 2 5 2 2 4" xfId="9379" xr:uid="{31DFF8FB-2B66-4954-B216-10598432DBED}"/>
    <cellStyle name="Normal 4 2 5 2 3" xfId="1260" xr:uid="{00000000-0005-0000-0000-0000D1130000}"/>
    <cellStyle name="Normal 4 2 5 2 3 2" xfId="3490" xr:uid="{00000000-0005-0000-0000-0000D2130000}"/>
    <cellStyle name="Normal 4 2 5 2 3 2 2" xfId="7713" xr:uid="{00000000-0005-0000-0000-0000D3130000}"/>
    <cellStyle name="Normal 4 2 5 2 3 2 2 2" xfId="16155" xr:uid="{5E338BE4-48A2-4F65-A846-7038D0E4E414}"/>
    <cellStyle name="Normal 4 2 5 2 3 2 3" xfId="11937" xr:uid="{FAC4FE6B-FC04-4FFD-9339-FB77BDE117BF}"/>
    <cellStyle name="Normal 4 2 5 2 3 3" xfId="5568" xr:uid="{00000000-0005-0000-0000-0000D4130000}"/>
    <cellStyle name="Normal 4 2 5 2 3 3 2" xfId="14010" xr:uid="{E71B10B7-411E-49F4-BFC4-81E78C615125}"/>
    <cellStyle name="Normal 4 2 5 2 3 4" xfId="9792" xr:uid="{A3D8A85D-001D-42DA-9103-DA474D868309}"/>
    <cellStyle name="Normal 4 2 5 2 4" xfId="1673" xr:uid="{00000000-0005-0000-0000-0000D5130000}"/>
    <cellStyle name="Normal 4 2 5 2 4 2" xfId="3903" xr:uid="{00000000-0005-0000-0000-0000D6130000}"/>
    <cellStyle name="Normal 4 2 5 2 4 2 2" xfId="8126" xr:uid="{00000000-0005-0000-0000-0000D7130000}"/>
    <cellStyle name="Normal 4 2 5 2 4 2 2 2" xfId="16568" xr:uid="{17F6EC47-B6C5-4765-A639-B6812D0AA5EF}"/>
    <cellStyle name="Normal 4 2 5 2 4 2 3" xfId="12350" xr:uid="{636ACED5-5EE8-4F05-8C9D-B9F7C65982E5}"/>
    <cellStyle name="Normal 4 2 5 2 4 3" xfId="5981" xr:uid="{00000000-0005-0000-0000-0000D8130000}"/>
    <cellStyle name="Normal 4 2 5 2 4 3 2" xfId="14423" xr:uid="{03BC839E-5732-4155-B1CA-BD9608F00077}"/>
    <cellStyle name="Normal 4 2 5 2 4 4" xfId="10205" xr:uid="{841C6987-B7C0-46FD-A6B0-4B5EA7153E6A}"/>
    <cellStyle name="Normal 4 2 5 2 5" xfId="2087" xr:uid="{00000000-0005-0000-0000-0000D9130000}"/>
    <cellStyle name="Normal 4 2 5 2 5 2" xfId="4316" xr:uid="{00000000-0005-0000-0000-0000DA130000}"/>
    <cellStyle name="Normal 4 2 5 2 5 2 2" xfId="8539" xr:uid="{00000000-0005-0000-0000-0000DB130000}"/>
    <cellStyle name="Normal 4 2 5 2 5 2 2 2" xfId="16981" xr:uid="{5388E993-A1F7-417D-BDFC-B74B60F07EAB}"/>
    <cellStyle name="Normal 4 2 5 2 5 2 3" xfId="12763" xr:uid="{865D2339-BE14-4D28-A036-C5B205813FA5}"/>
    <cellStyle name="Normal 4 2 5 2 5 3" xfId="6394" xr:uid="{00000000-0005-0000-0000-0000DC130000}"/>
    <cellStyle name="Normal 4 2 5 2 5 3 2" xfId="14836" xr:uid="{B6E95BCE-01CF-4259-868F-8DBA2E7FA585}"/>
    <cellStyle name="Normal 4 2 5 2 5 4" xfId="10618" xr:uid="{3402AB91-4A0A-4D1E-B012-6395161171FA}"/>
    <cellStyle name="Normal 4 2 5 2 6" xfId="2523" xr:uid="{00000000-0005-0000-0000-0000DD130000}"/>
    <cellStyle name="Normal 4 2 5 2 6 2" xfId="6807" xr:uid="{00000000-0005-0000-0000-0000DE130000}"/>
    <cellStyle name="Normal 4 2 5 2 6 2 2" xfId="15249" xr:uid="{C52CC64B-384C-498F-B8B2-A5B88BDAEED4}"/>
    <cellStyle name="Normal 4 2 5 2 6 3" xfId="11031" xr:uid="{8CA7DB26-0C25-4C54-AF21-287DEE68C3DB}"/>
    <cellStyle name="Normal 4 2 5 2 7" xfId="4742" xr:uid="{00000000-0005-0000-0000-0000DF130000}"/>
    <cellStyle name="Normal 4 2 5 2 7 2" xfId="13184" xr:uid="{02408DEB-7BB2-414E-9914-144EC1CEA787}"/>
    <cellStyle name="Normal 4 2 5 2 8" xfId="8966" xr:uid="{1BD076E7-7DD8-4F99-92A9-8F2918696EFF}"/>
    <cellStyle name="Normal 4 2 5 3" xfId="839" xr:uid="{00000000-0005-0000-0000-0000E0130000}"/>
    <cellStyle name="Normal 4 2 5 3 2" xfId="3076" xr:uid="{00000000-0005-0000-0000-0000E1130000}"/>
    <cellStyle name="Normal 4 2 5 3 2 2" xfId="7299" xr:uid="{00000000-0005-0000-0000-0000E2130000}"/>
    <cellStyle name="Normal 4 2 5 3 2 2 2" xfId="15741" xr:uid="{5D945923-82AE-428B-BB38-068CB9F6289A}"/>
    <cellStyle name="Normal 4 2 5 3 2 3" xfId="11523" xr:uid="{42BD848A-1C2C-4391-8D11-675B3F8D9D6B}"/>
    <cellStyle name="Normal 4 2 5 3 3" xfId="5154" xr:uid="{00000000-0005-0000-0000-0000E3130000}"/>
    <cellStyle name="Normal 4 2 5 3 3 2" xfId="13596" xr:uid="{8BD999BB-B7D6-4CC9-A9F9-0BC695ECB6F8}"/>
    <cellStyle name="Normal 4 2 5 3 4" xfId="9378" xr:uid="{A76D445D-B3C2-48BE-8358-459AC80578DA}"/>
    <cellStyle name="Normal 4 2 5 4" xfId="1259" xr:uid="{00000000-0005-0000-0000-0000E4130000}"/>
    <cellStyle name="Normal 4 2 5 4 2" xfId="3489" xr:uid="{00000000-0005-0000-0000-0000E5130000}"/>
    <cellStyle name="Normal 4 2 5 4 2 2" xfId="7712" xr:uid="{00000000-0005-0000-0000-0000E6130000}"/>
    <cellStyle name="Normal 4 2 5 4 2 2 2" xfId="16154" xr:uid="{02410485-2D11-47AF-864D-41C7AB480EA5}"/>
    <cellStyle name="Normal 4 2 5 4 2 3" xfId="11936" xr:uid="{7D4CAB14-9402-4F01-ACB5-D6FA5808BEC5}"/>
    <cellStyle name="Normal 4 2 5 4 3" xfId="5567" xr:uid="{00000000-0005-0000-0000-0000E7130000}"/>
    <cellStyle name="Normal 4 2 5 4 3 2" xfId="14009" xr:uid="{43F9316D-9661-4023-AE67-CAFC1A01D475}"/>
    <cellStyle name="Normal 4 2 5 4 4" xfId="9791" xr:uid="{6CCF6064-63CC-4AD7-8FD4-664289C8382F}"/>
    <cellStyle name="Normal 4 2 5 5" xfId="1672" xr:uid="{00000000-0005-0000-0000-0000E8130000}"/>
    <cellStyle name="Normal 4 2 5 5 2" xfId="3902" xr:uid="{00000000-0005-0000-0000-0000E9130000}"/>
    <cellStyle name="Normal 4 2 5 5 2 2" xfId="8125" xr:uid="{00000000-0005-0000-0000-0000EA130000}"/>
    <cellStyle name="Normal 4 2 5 5 2 2 2" xfId="16567" xr:uid="{A3BDF180-FD31-4803-A90B-F6A1C8F2FD17}"/>
    <cellStyle name="Normal 4 2 5 5 2 3" xfId="12349" xr:uid="{11629D63-D88D-42B6-86E3-EE201EADC409}"/>
    <cellStyle name="Normal 4 2 5 5 3" xfId="5980" xr:uid="{00000000-0005-0000-0000-0000EB130000}"/>
    <cellStyle name="Normal 4 2 5 5 3 2" xfId="14422" xr:uid="{75E00D3D-2A40-417A-AAF2-A6D9049708FE}"/>
    <cellStyle name="Normal 4 2 5 5 4" xfId="10204" xr:uid="{0B0833C6-4379-4D05-AFD8-C2A1BE69AB87}"/>
    <cellStyle name="Normal 4 2 5 6" xfId="2086" xr:uid="{00000000-0005-0000-0000-0000EC130000}"/>
    <cellStyle name="Normal 4 2 5 6 2" xfId="4315" xr:uid="{00000000-0005-0000-0000-0000ED130000}"/>
    <cellStyle name="Normal 4 2 5 6 2 2" xfId="8538" xr:uid="{00000000-0005-0000-0000-0000EE130000}"/>
    <cellStyle name="Normal 4 2 5 6 2 2 2" xfId="16980" xr:uid="{4E631E6A-3ABD-40EC-8985-CDB4582C5573}"/>
    <cellStyle name="Normal 4 2 5 6 2 3" xfId="12762" xr:uid="{A3072B38-A007-413D-93F6-F18D655A5964}"/>
    <cellStyle name="Normal 4 2 5 6 3" xfId="6393" xr:uid="{00000000-0005-0000-0000-0000EF130000}"/>
    <cellStyle name="Normal 4 2 5 6 3 2" xfId="14835" xr:uid="{901D33DD-C9B3-452F-A120-8DDBC23D52FC}"/>
    <cellStyle name="Normal 4 2 5 6 4" xfId="10617" xr:uid="{38122ED5-A779-43B6-B31D-4F0D20CE654B}"/>
    <cellStyle name="Normal 4 2 5 7" xfId="2522" xr:uid="{00000000-0005-0000-0000-0000F0130000}"/>
    <cellStyle name="Normal 4 2 5 7 2" xfId="6806" xr:uid="{00000000-0005-0000-0000-0000F1130000}"/>
    <cellStyle name="Normal 4 2 5 7 2 2" xfId="15248" xr:uid="{79823733-ACFE-4C14-8DD0-C712F1B50468}"/>
    <cellStyle name="Normal 4 2 5 7 3" xfId="11030" xr:uid="{C46ABA34-0969-4C00-8FEC-2B532EC2AA5D}"/>
    <cellStyle name="Normal 4 2 5 8" xfId="4741" xr:uid="{00000000-0005-0000-0000-0000F2130000}"/>
    <cellStyle name="Normal 4 2 5 8 2" xfId="13183" xr:uid="{A19D9A3E-E2B1-42FB-B27A-935BBD1551A3}"/>
    <cellStyle name="Normal 4 2 5 9" xfId="8965" xr:uid="{B6E92437-75B8-4B40-AF17-1D6ACBC4F736}"/>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2 2 2" xfId="15743" xr:uid="{3C2F4E9A-5794-4E9B-AAC5-1A3E97100F42}"/>
    <cellStyle name="Normal 4 2 6 2 2 3" xfId="11525" xr:uid="{A8EA842D-2992-4AD1-B77E-BBD4681D6CDE}"/>
    <cellStyle name="Normal 4 2 6 2 3" xfId="5156" xr:uid="{00000000-0005-0000-0000-0000F7130000}"/>
    <cellStyle name="Normal 4 2 6 2 3 2" xfId="13598" xr:uid="{F6EA86D2-6E06-4F79-AC7E-E977EBC8DC7D}"/>
    <cellStyle name="Normal 4 2 6 2 4" xfId="9380" xr:uid="{2904E6BA-F453-4729-8A27-2162ED442CBB}"/>
    <cellStyle name="Normal 4 2 6 3" xfId="1261" xr:uid="{00000000-0005-0000-0000-0000F8130000}"/>
    <cellStyle name="Normal 4 2 6 3 2" xfId="3491" xr:uid="{00000000-0005-0000-0000-0000F9130000}"/>
    <cellStyle name="Normal 4 2 6 3 2 2" xfId="7714" xr:uid="{00000000-0005-0000-0000-0000FA130000}"/>
    <cellStyle name="Normal 4 2 6 3 2 2 2" xfId="16156" xr:uid="{6DE2DF2A-AE01-46A1-AB78-2A83885690D1}"/>
    <cellStyle name="Normal 4 2 6 3 2 3" xfId="11938" xr:uid="{41968E53-AEF0-4EBC-92A7-71F3C6CCB00A}"/>
    <cellStyle name="Normal 4 2 6 3 3" xfId="5569" xr:uid="{00000000-0005-0000-0000-0000FB130000}"/>
    <cellStyle name="Normal 4 2 6 3 3 2" xfId="14011" xr:uid="{12643940-1EA3-4851-83EB-827BFE04F0BD}"/>
    <cellStyle name="Normal 4 2 6 3 4" xfId="9793" xr:uid="{23FCAA9C-BAD1-472D-8A12-74904FC0ECEC}"/>
    <cellStyle name="Normal 4 2 6 4" xfId="1674" xr:uid="{00000000-0005-0000-0000-0000FC130000}"/>
    <cellStyle name="Normal 4 2 6 4 2" xfId="3904" xr:uid="{00000000-0005-0000-0000-0000FD130000}"/>
    <cellStyle name="Normal 4 2 6 4 2 2" xfId="8127" xr:uid="{00000000-0005-0000-0000-0000FE130000}"/>
    <cellStyle name="Normal 4 2 6 4 2 2 2" xfId="16569" xr:uid="{85FA454B-A8D5-4C08-B62A-3CFC07490537}"/>
    <cellStyle name="Normal 4 2 6 4 2 3" xfId="12351" xr:uid="{6805670D-2495-4471-BE6F-CFCE2F39985F}"/>
    <cellStyle name="Normal 4 2 6 4 3" xfId="5982" xr:uid="{00000000-0005-0000-0000-0000FF130000}"/>
    <cellStyle name="Normal 4 2 6 4 3 2" xfId="14424" xr:uid="{4D68EC5F-145B-45FC-B480-E157BB84CEC4}"/>
    <cellStyle name="Normal 4 2 6 4 4" xfId="10206" xr:uid="{BD5923FC-4EA0-482E-BB84-DEC7C2064B98}"/>
    <cellStyle name="Normal 4 2 6 5" xfId="2088" xr:uid="{00000000-0005-0000-0000-000000140000}"/>
    <cellStyle name="Normal 4 2 6 5 2" xfId="4317" xr:uid="{00000000-0005-0000-0000-000001140000}"/>
    <cellStyle name="Normal 4 2 6 5 2 2" xfId="8540" xr:uid="{00000000-0005-0000-0000-000002140000}"/>
    <cellStyle name="Normal 4 2 6 5 2 2 2" xfId="16982" xr:uid="{44C7540F-DD7B-445D-9A5B-E6647A98D869}"/>
    <cellStyle name="Normal 4 2 6 5 2 3" xfId="12764" xr:uid="{3A8BC3F2-130E-4819-BF89-DEDA6363DF98}"/>
    <cellStyle name="Normal 4 2 6 5 3" xfId="6395" xr:uid="{00000000-0005-0000-0000-000003140000}"/>
    <cellStyle name="Normal 4 2 6 5 3 2" xfId="14837" xr:uid="{D97B49B8-1747-4363-B378-18CDB390819C}"/>
    <cellStyle name="Normal 4 2 6 5 4" xfId="10619" xr:uid="{46651AE1-C9F3-402E-9195-6A94CCF7C757}"/>
    <cellStyle name="Normal 4 2 6 6" xfId="2524" xr:uid="{00000000-0005-0000-0000-000004140000}"/>
    <cellStyle name="Normal 4 2 6 6 2" xfId="6808" xr:uid="{00000000-0005-0000-0000-000005140000}"/>
    <cellStyle name="Normal 4 2 6 6 2 2" xfId="15250" xr:uid="{73D26CBF-1779-4755-B07D-FDD825743D5A}"/>
    <cellStyle name="Normal 4 2 6 6 3" xfId="11032" xr:uid="{96AD1EEE-25BC-4BD8-AEF5-54C0BA329165}"/>
    <cellStyle name="Normal 4 2 6 7" xfId="4743" xr:uid="{00000000-0005-0000-0000-000006140000}"/>
    <cellStyle name="Normal 4 2 6 7 2" xfId="13185" xr:uid="{D18BBC63-3715-43C2-B9C7-F8AD63F37139}"/>
    <cellStyle name="Normal 4 2 6 8" xfId="8967" xr:uid="{6706FAE4-F89C-4CA5-95D8-59428A88C8A8}"/>
    <cellStyle name="Normal 4 3" xfId="366" xr:uid="{00000000-0005-0000-0000-000007140000}"/>
    <cellStyle name="Normal 4 3 10" xfId="8968" xr:uid="{08E16FBF-2038-45AB-9632-E9B1EF9A1916}"/>
    <cellStyle name="Normal 4 3 2" xfId="367" xr:uid="{00000000-0005-0000-0000-000008140000}"/>
    <cellStyle name="Normal 4 3 2 2" xfId="368" xr:uid="{00000000-0005-0000-0000-000009140000}"/>
    <cellStyle name="Normal 4 3 2 2 2" xfId="369" xr:uid="{00000000-0005-0000-0000-00000A140000}"/>
    <cellStyle name="Normal 4 3 2 2 2 10" xfId="8969" xr:uid="{B65BB390-CBFC-4DC4-96BB-07E5B77A6F2A}"/>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2 2 2" xfId="15747" xr:uid="{043040F9-C3F7-47FB-9D7A-853BF633DDDD}"/>
    <cellStyle name="Normal 4 3 2 2 2 2 2 2 2 3" xfId="11529" xr:uid="{2B810787-1787-437A-AF31-AE5BE150B8B7}"/>
    <cellStyle name="Normal 4 3 2 2 2 2 2 2 3" xfId="5160" xr:uid="{00000000-0005-0000-0000-000010140000}"/>
    <cellStyle name="Normal 4 3 2 2 2 2 2 2 3 2" xfId="13602" xr:uid="{EC7FEE9A-9692-4ABF-9B21-CE056CA75126}"/>
    <cellStyle name="Normal 4 3 2 2 2 2 2 2 4" xfId="9384" xr:uid="{C03ABC22-9790-466A-93B2-BA71F7701588}"/>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2 2 2" xfId="16160" xr:uid="{6708A9BD-C86B-427D-B007-AA68174AE88F}"/>
    <cellStyle name="Normal 4 3 2 2 2 2 2 3 2 3" xfId="11942" xr:uid="{8023C39C-B4CC-4B72-A143-584175C8CAE3}"/>
    <cellStyle name="Normal 4 3 2 2 2 2 2 3 3" xfId="5573" xr:uid="{00000000-0005-0000-0000-000014140000}"/>
    <cellStyle name="Normal 4 3 2 2 2 2 2 3 3 2" xfId="14015" xr:uid="{7CC922C0-BD9C-4A0A-ABE2-482922BDFB96}"/>
    <cellStyle name="Normal 4 3 2 2 2 2 2 3 4" xfId="9797" xr:uid="{50FF4CAD-4F76-456D-9664-6A7772870059}"/>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2 2 2" xfId="16573" xr:uid="{D495CCE9-34C5-41C1-8EC2-40A5BE8A8F70}"/>
    <cellStyle name="Normal 4 3 2 2 2 2 2 4 2 3" xfId="12355" xr:uid="{29907042-FBC3-40A7-BD57-1C007C65C7F9}"/>
    <cellStyle name="Normal 4 3 2 2 2 2 2 4 3" xfId="5986" xr:uid="{00000000-0005-0000-0000-000018140000}"/>
    <cellStyle name="Normal 4 3 2 2 2 2 2 4 3 2" xfId="14428" xr:uid="{B79A989D-C564-465D-8E6B-3DB5E17D7B4F}"/>
    <cellStyle name="Normal 4 3 2 2 2 2 2 4 4" xfId="10210" xr:uid="{9C44CC17-801A-47E7-8A46-74F62B0C27AE}"/>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2 2 2" xfId="16986" xr:uid="{CCDD8809-742D-4D28-B976-2224814A6A7B}"/>
    <cellStyle name="Normal 4 3 2 2 2 2 2 5 2 3" xfId="12768" xr:uid="{3EA07409-831F-4C16-B267-AE69AEF96906}"/>
    <cellStyle name="Normal 4 3 2 2 2 2 2 5 3" xfId="6399" xr:uid="{00000000-0005-0000-0000-00001C140000}"/>
    <cellStyle name="Normal 4 3 2 2 2 2 2 5 3 2" xfId="14841" xr:uid="{41CE7742-77E7-4B22-ABE5-861380DC8302}"/>
    <cellStyle name="Normal 4 3 2 2 2 2 2 5 4" xfId="10623" xr:uid="{5BBA66F9-D2CA-4C0E-A72D-E035FA8D687A}"/>
    <cellStyle name="Normal 4 3 2 2 2 2 2 6" xfId="2528" xr:uid="{00000000-0005-0000-0000-00001D140000}"/>
    <cellStyle name="Normal 4 3 2 2 2 2 2 6 2" xfId="6812" xr:uid="{00000000-0005-0000-0000-00001E140000}"/>
    <cellStyle name="Normal 4 3 2 2 2 2 2 6 2 2" xfId="15254" xr:uid="{5A666BDC-2363-491E-BC8C-DBC959B547EC}"/>
    <cellStyle name="Normal 4 3 2 2 2 2 2 6 3" xfId="11036" xr:uid="{F88D3EDE-0B5F-4900-A103-A882DD3973ED}"/>
    <cellStyle name="Normal 4 3 2 2 2 2 2 7" xfId="4747" xr:uid="{00000000-0005-0000-0000-00001F140000}"/>
    <cellStyle name="Normal 4 3 2 2 2 2 2 7 2" xfId="13189" xr:uid="{E6567495-FAA5-4E01-855C-19C397EBF78A}"/>
    <cellStyle name="Normal 4 3 2 2 2 2 2 8" xfId="8971" xr:uid="{9E18DF07-6D92-458E-A9C6-FCBB89624343}"/>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2 2 2" xfId="15746" xr:uid="{0699DC0B-373D-4EF8-9E83-494E0C58B515}"/>
    <cellStyle name="Normal 4 3 2 2 2 2 3 2 3" xfId="11528" xr:uid="{2A4A6611-2355-4F65-B868-862B0B95C37F}"/>
    <cellStyle name="Normal 4 3 2 2 2 2 3 3" xfId="5159" xr:uid="{00000000-0005-0000-0000-000023140000}"/>
    <cellStyle name="Normal 4 3 2 2 2 2 3 3 2" xfId="13601" xr:uid="{BA6DD66D-2BC3-49F3-A25A-ABC387E08698}"/>
    <cellStyle name="Normal 4 3 2 2 2 2 3 4" xfId="9383" xr:uid="{66BCE99E-9D6E-478A-A74F-0D47C6A634AB}"/>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2 2 2" xfId="16159" xr:uid="{B9507E72-B0EF-4AA5-A45F-EE0594030AFD}"/>
    <cellStyle name="Normal 4 3 2 2 2 2 4 2 3" xfId="11941" xr:uid="{634816B0-261D-4839-A132-D714CEF65787}"/>
    <cellStyle name="Normal 4 3 2 2 2 2 4 3" xfId="5572" xr:uid="{00000000-0005-0000-0000-000027140000}"/>
    <cellStyle name="Normal 4 3 2 2 2 2 4 3 2" xfId="14014" xr:uid="{4B13A3BE-4AA9-4544-AC79-7620E21CA15C}"/>
    <cellStyle name="Normal 4 3 2 2 2 2 4 4" xfId="9796" xr:uid="{5EE29393-99C2-4F77-95F7-FC2B5D995899}"/>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2 2 2" xfId="16572" xr:uid="{1D740C6E-0E59-43EC-9672-712F3A784349}"/>
    <cellStyle name="Normal 4 3 2 2 2 2 5 2 3" xfId="12354" xr:uid="{5FEC77C3-78E4-4A41-80D5-967CBC8BF118}"/>
    <cellStyle name="Normal 4 3 2 2 2 2 5 3" xfId="5985" xr:uid="{00000000-0005-0000-0000-00002B140000}"/>
    <cellStyle name="Normal 4 3 2 2 2 2 5 3 2" xfId="14427" xr:uid="{D6711669-D520-41C1-A413-1B6FB92AECBA}"/>
    <cellStyle name="Normal 4 3 2 2 2 2 5 4" xfId="10209" xr:uid="{4826CCF1-E28A-42CE-846C-50BF1742725D}"/>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2 2 2" xfId="16985" xr:uid="{940D9C0F-396B-438A-8D28-A57512B8CFAB}"/>
    <cellStyle name="Normal 4 3 2 2 2 2 6 2 3" xfId="12767" xr:uid="{34CF395E-AD2D-480A-ABA4-86ED579E7D6C}"/>
    <cellStyle name="Normal 4 3 2 2 2 2 6 3" xfId="6398" xr:uid="{00000000-0005-0000-0000-00002F140000}"/>
    <cellStyle name="Normal 4 3 2 2 2 2 6 3 2" xfId="14840" xr:uid="{C766B21A-196F-48C2-BB73-76945CA0DDCE}"/>
    <cellStyle name="Normal 4 3 2 2 2 2 6 4" xfId="10622" xr:uid="{FF7B1940-BA6B-4E3D-8D67-88695AE67814}"/>
    <cellStyle name="Normal 4 3 2 2 2 2 7" xfId="2527" xr:uid="{00000000-0005-0000-0000-000030140000}"/>
    <cellStyle name="Normal 4 3 2 2 2 2 7 2" xfId="6811" xr:uid="{00000000-0005-0000-0000-000031140000}"/>
    <cellStyle name="Normal 4 3 2 2 2 2 7 2 2" xfId="15253" xr:uid="{61E93D62-D645-46E8-8CD6-6F74DCDBBB73}"/>
    <cellStyle name="Normal 4 3 2 2 2 2 7 3" xfId="11035" xr:uid="{661E2E41-8DCB-48E7-8032-34CAFC382A7D}"/>
    <cellStyle name="Normal 4 3 2 2 2 2 8" xfId="4746" xr:uid="{00000000-0005-0000-0000-000032140000}"/>
    <cellStyle name="Normal 4 3 2 2 2 2 8 2" xfId="13188" xr:uid="{246AF5C8-79AA-41E5-AC7A-A3B156419864}"/>
    <cellStyle name="Normal 4 3 2 2 2 2 9" xfId="8970" xr:uid="{2C55745A-A608-4ED7-8FB9-0046492CB38B}"/>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2 2 2" xfId="15748" xr:uid="{B794C94B-07F3-42DD-8106-61D81E5B3A41}"/>
    <cellStyle name="Normal 4 3 2 2 2 3 2 2 3" xfId="11530" xr:uid="{8D66A4E7-9BB2-481F-8FCA-6F598C3D9C40}"/>
    <cellStyle name="Normal 4 3 2 2 2 3 2 3" xfId="5161" xr:uid="{00000000-0005-0000-0000-000037140000}"/>
    <cellStyle name="Normal 4 3 2 2 2 3 2 3 2" xfId="13603" xr:uid="{6965C580-FA55-42D9-B3AC-C359BA4A795B}"/>
    <cellStyle name="Normal 4 3 2 2 2 3 2 4" xfId="9385" xr:uid="{27617B28-9944-4FE2-943C-8CDFEECA1C13}"/>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2 2 2" xfId="16161" xr:uid="{13771AD1-C8FC-4E4A-995B-B8016EE0703F}"/>
    <cellStyle name="Normal 4 3 2 2 2 3 3 2 3" xfId="11943" xr:uid="{781030AF-A8E9-4B64-B9F0-B1028EADABBB}"/>
    <cellStyle name="Normal 4 3 2 2 2 3 3 3" xfId="5574" xr:uid="{00000000-0005-0000-0000-00003B140000}"/>
    <cellStyle name="Normal 4 3 2 2 2 3 3 3 2" xfId="14016" xr:uid="{D0C7609D-936B-4AD0-A936-416B0B2E20EA}"/>
    <cellStyle name="Normal 4 3 2 2 2 3 3 4" xfId="9798" xr:uid="{477DA7CC-9D2D-4057-8B0D-4E4BA002A8FB}"/>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2 2 2" xfId="16574" xr:uid="{F44B3AB1-EF8B-4B6D-B4D9-0B9778370C19}"/>
    <cellStyle name="Normal 4 3 2 2 2 3 4 2 3" xfId="12356" xr:uid="{2FFE9B78-E662-4FCA-B6FC-F47DF2B4744D}"/>
    <cellStyle name="Normal 4 3 2 2 2 3 4 3" xfId="5987" xr:uid="{00000000-0005-0000-0000-00003F140000}"/>
    <cellStyle name="Normal 4 3 2 2 2 3 4 3 2" xfId="14429" xr:uid="{DFC93246-729F-4640-B2FB-7692255F7E07}"/>
    <cellStyle name="Normal 4 3 2 2 2 3 4 4" xfId="10211" xr:uid="{54BA3445-3010-4C1D-9E5B-BD018C01CE01}"/>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2 2 2" xfId="16987" xr:uid="{306B8085-F3D3-49C5-B80D-EAB36DC21D6C}"/>
    <cellStyle name="Normal 4 3 2 2 2 3 5 2 3" xfId="12769" xr:uid="{201D4C7C-05EE-44C1-920C-3E915512E7EF}"/>
    <cellStyle name="Normal 4 3 2 2 2 3 5 3" xfId="6400" xr:uid="{00000000-0005-0000-0000-000043140000}"/>
    <cellStyle name="Normal 4 3 2 2 2 3 5 3 2" xfId="14842" xr:uid="{E3C81D9A-05B2-493F-B0F6-CC027811D996}"/>
    <cellStyle name="Normal 4 3 2 2 2 3 5 4" xfId="10624" xr:uid="{45E27F8C-4BF1-4E7B-B452-9FA945AEF863}"/>
    <cellStyle name="Normal 4 3 2 2 2 3 6" xfId="2529" xr:uid="{00000000-0005-0000-0000-000044140000}"/>
    <cellStyle name="Normal 4 3 2 2 2 3 6 2" xfId="6813" xr:uid="{00000000-0005-0000-0000-000045140000}"/>
    <cellStyle name="Normal 4 3 2 2 2 3 6 2 2" xfId="15255" xr:uid="{D34CAC8D-6EC9-4926-B690-6DF81B62BD48}"/>
    <cellStyle name="Normal 4 3 2 2 2 3 6 3" xfId="11037" xr:uid="{6ECABF64-495B-4FC9-90C7-F719EF1E6351}"/>
    <cellStyle name="Normal 4 3 2 2 2 3 7" xfId="4748" xr:uid="{00000000-0005-0000-0000-000046140000}"/>
    <cellStyle name="Normal 4 3 2 2 2 3 7 2" xfId="13190" xr:uid="{80FCA800-86E9-4B0A-A26A-3F572079DDBF}"/>
    <cellStyle name="Normal 4 3 2 2 2 3 8" xfId="8972" xr:uid="{882E355F-6E20-40D0-87FA-E5D5B2DA7C5F}"/>
    <cellStyle name="Normal 4 3 2 2 2 4" xfId="844" xr:uid="{00000000-0005-0000-0000-000047140000}"/>
    <cellStyle name="Normal 4 3 2 2 2 4 2" xfId="3080" xr:uid="{00000000-0005-0000-0000-000048140000}"/>
    <cellStyle name="Normal 4 3 2 2 2 4 2 2" xfId="7303" xr:uid="{00000000-0005-0000-0000-000049140000}"/>
    <cellStyle name="Normal 4 3 2 2 2 4 2 2 2" xfId="15745" xr:uid="{FCACF663-BF1F-47A1-9259-960529092B05}"/>
    <cellStyle name="Normal 4 3 2 2 2 4 2 3" xfId="11527" xr:uid="{3F5F22B5-52D1-42A8-984C-DAA85C98CD1D}"/>
    <cellStyle name="Normal 4 3 2 2 2 4 3" xfId="5158" xr:uid="{00000000-0005-0000-0000-00004A140000}"/>
    <cellStyle name="Normal 4 3 2 2 2 4 3 2" xfId="13600" xr:uid="{8BF8C1E1-B7A8-4302-8345-3EF8CB314230}"/>
    <cellStyle name="Normal 4 3 2 2 2 4 4" xfId="9382" xr:uid="{F128830D-3AA7-4E5D-B899-E31967B76316}"/>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2 2 2" xfId="16158" xr:uid="{BBF82388-7C87-4D34-A716-285E371FCE90}"/>
    <cellStyle name="Normal 4 3 2 2 2 5 2 3" xfId="11940" xr:uid="{E4A99F31-EA04-46D5-85AF-9EEC5D706D37}"/>
    <cellStyle name="Normal 4 3 2 2 2 5 3" xfId="5571" xr:uid="{00000000-0005-0000-0000-00004E140000}"/>
    <cellStyle name="Normal 4 3 2 2 2 5 3 2" xfId="14013" xr:uid="{13F71FCA-A1C4-4937-8C77-EC28E178321B}"/>
    <cellStyle name="Normal 4 3 2 2 2 5 4" xfId="9795" xr:uid="{CA62A34A-0983-4367-A67C-D523ABCFDF94}"/>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2 2 2" xfId="16571" xr:uid="{D825FD49-824E-439C-B242-0ECB89A994AC}"/>
    <cellStyle name="Normal 4 3 2 2 2 6 2 3" xfId="12353" xr:uid="{F75D016C-D91B-4CF5-80A4-39FEFF22FEAE}"/>
    <cellStyle name="Normal 4 3 2 2 2 6 3" xfId="5984" xr:uid="{00000000-0005-0000-0000-000052140000}"/>
    <cellStyle name="Normal 4 3 2 2 2 6 3 2" xfId="14426" xr:uid="{24DF3898-8F0D-4A1D-A9EE-458C96C16FEA}"/>
    <cellStyle name="Normal 4 3 2 2 2 6 4" xfId="10208" xr:uid="{D0D83D36-AB65-4F4B-8955-7362EE14BA3C}"/>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2 2 2" xfId="16984" xr:uid="{DAB02FDA-8BD7-4CBB-9221-A843A1E55973}"/>
    <cellStyle name="Normal 4 3 2 2 2 7 2 3" xfId="12766" xr:uid="{479C28F7-92D7-43BE-AC45-86BDE99892E7}"/>
    <cellStyle name="Normal 4 3 2 2 2 7 3" xfId="6397" xr:uid="{00000000-0005-0000-0000-000056140000}"/>
    <cellStyle name="Normal 4 3 2 2 2 7 3 2" xfId="14839" xr:uid="{A7454CF9-5319-4F29-A778-0F2632DE38C4}"/>
    <cellStyle name="Normal 4 3 2 2 2 7 4" xfId="10621" xr:uid="{5ADF2947-AD14-4695-A1ED-834EC29179CE}"/>
    <cellStyle name="Normal 4 3 2 2 2 8" xfId="2526" xr:uid="{00000000-0005-0000-0000-000057140000}"/>
    <cellStyle name="Normal 4 3 2 2 2 8 2" xfId="6810" xr:uid="{00000000-0005-0000-0000-000058140000}"/>
    <cellStyle name="Normal 4 3 2 2 2 8 2 2" xfId="15252" xr:uid="{BDA79C55-CBA2-47AA-896D-56111C495CD9}"/>
    <cellStyle name="Normal 4 3 2 2 2 8 3" xfId="11034" xr:uid="{E1E48296-813D-4A51-9F25-87167857B3C0}"/>
    <cellStyle name="Normal 4 3 2 2 2 9" xfId="4745" xr:uid="{00000000-0005-0000-0000-000059140000}"/>
    <cellStyle name="Normal 4 3 2 2 2 9 2" xfId="13187" xr:uid="{BAABB468-5D9D-48C8-83AD-06453A289541}"/>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10" xfId="8973" xr:uid="{DF4D76D0-020C-4146-9DE4-DE4DE8D0D98C}"/>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2 2 2" xfId="15751" xr:uid="{B4B1EF9F-A144-4829-9A61-00ED36D3F41F}"/>
    <cellStyle name="Normal 4 3 3 2 2 2 2 3" xfId="11533" xr:uid="{063A4E89-43A7-44EB-99C7-BFF7DFCF8AA7}"/>
    <cellStyle name="Normal 4 3 3 2 2 2 3" xfId="5164" xr:uid="{00000000-0005-0000-0000-000063140000}"/>
    <cellStyle name="Normal 4 3 3 2 2 2 3 2" xfId="13606" xr:uid="{2DCE3EAA-D1AE-4C41-B16C-1D7E55FEC448}"/>
    <cellStyle name="Normal 4 3 3 2 2 2 4" xfId="9388" xr:uid="{C5033663-DAD5-4A5D-854B-19DA1B279D7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2 2 2" xfId="16164" xr:uid="{D74EBD77-FB01-4C4B-9BF1-5B0822E00D64}"/>
    <cellStyle name="Normal 4 3 3 2 2 3 2 3" xfId="11946" xr:uid="{84B5F51A-B7E6-4E97-97A5-936C6BEF0650}"/>
    <cellStyle name="Normal 4 3 3 2 2 3 3" xfId="5577" xr:uid="{00000000-0005-0000-0000-000067140000}"/>
    <cellStyle name="Normal 4 3 3 2 2 3 3 2" xfId="14019" xr:uid="{4B1B4E42-781E-4E71-B81F-4AFD972569C2}"/>
    <cellStyle name="Normal 4 3 3 2 2 3 4" xfId="9801" xr:uid="{D537FA4F-0472-4A27-AEEA-FA19A156C552}"/>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2 2 2" xfId="16577" xr:uid="{9069C03F-512F-4E42-95BC-A20F3B807D44}"/>
    <cellStyle name="Normal 4 3 3 2 2 4 2 3" xfId="12359" xr:uid="{ADEBEF86-EA92-4859-842F-52482F497F3F}"/>
    <cellStyle name="Normal 4 3 3 2 2 4 3" xfId="5990" xr:uid="{00000000-0005-0000-0000-00006B140000}"/>
    <cellStyle name="Normal 4 3 3 2 2 4 3 2" xfId="14432" xr:uid="{3FA32363-F2E5-47A9-9C70-97D1FB459C9B}"/>
    <cellStyle name="Normal 4 3 3 2 2 4 4" xfId="10214" xr:uid="{7C98A750-AF7C-4107-A4E5-B8BAC0EE9194}"/>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2 2 2" xfId="16990" xr:uid="{35BCB4F1-E4D1-4787-82CF-F8A93EF162EE}"/>
    <cellStyle name="Normal 4 3 3 2 2 5 2 3" xfId="12772" xr:uid="{49D093AD-051D-4353-B1DF-0A74889D1FF6}"/>
    <cellStyle name="Normal 4 3 3 2 2 5 3" xfId="6403" xr:uid="{00000000-0005-0000-0000-00006F140000}"/>
    <cellStyle name="Normal 4 3 3 2 2 5 3 2" xfId="14845" xr:uid="{38C650A7-E757-4F43-8E6A-3FAF357A32CF}"/>
    <cellStyle name="Normal 4 3 3 2 2 5 4" xfId="10627" xr:uid="{9AF84E33-9CF0-40CB-B5A4-63075574FA00}"/>
    <cellStyle name="Normal 4 3 3 2 2 6" xfId="2532" xr:uid="{00000000-0005-0000-0000-000070140000}"/>
    <cellStyle name="Normal 4 3 3 2 2 6 2" xfId="6816" xr:uid="{00000000-0005-0000-0000-000071140000}"/>
    <cellStyle name="Normal 4 3 3 2 2 6 2 2" xfId="15258" xr:uid="{2527AE02-16C3-479F-B385-807876F7EE79}"/>
    <cellStyle name="Normal 4 3 3 2 2 6 3" xfId="11040" xr:uid="{1102F0F4-7120-45E8-BF12-A6AE892F7562}"/>
    <cellStyle name="Normal 4 3 3 2 2 7" xfId="4751" xr:uid="{00000000-0005-0000-0000-000072140000}"/>
    <cellStyle name="Normal 4 3 3 2 2 7 2" xfId="13193" xr:uid="{DE5FE14C-74D2-4E89-B6AC-6124B8394091}"/>
    <cellStyle name="Normal 4 3 3 2 2 8" xfId="8975" xr:uid="{C282A368-BA85-4816-905F-99AB6E79214C}"/>
    <cellStyle name="Normal 4 3 3 2 3" xfId="850" xr:uid="{00000000-0005-0000-0000-000073140000}"/>
    <cellStyle name="Normal 4 3 3 2 3 2" xfId="3085" xr:uid="{00000000-0005-0000-0000-000074140000}"/>
    <cellStyle name="Normal 4 3 3 2 3 2 2" xfId="7308" xr:uid="{00000000-0005-0000-0000-000075140000}"/>
    <cellStyle name="Normal 4 3 3 2 3 2 2 2" xfId="15750" xr:uid="{81C05F17-CDA4-4B09-8C9C-26BF21C86820}"/>
    <cellStyle name="Normal 4 3 3 2 3 2 3" xfId="11532" xr:uid="{B3AF5760-10B1-4FC2-817C-02B8FA9E093B}"/>
    <cellStyle name="Normal 4 3 3 2 3 3" xfId="5163" xr:uid="{00000000-0005-0000-0000-000076140000}"/>
    <cellStyle name="Normal 4 3 3 2 3 3 2" xfId="13605" xr:uid="{935389F6-C888-484C-892D-E4248AE93B7A}"/>
    <cellStyle name="Normal 4 3 3 2 3 4" xfId="9387" xr:uid="{9061526C-E6B9-4040-937D-C3740C134F26}"/>
    <cellStyle name="Normal 4 3 3 2 4" xfId="1268" xr:uid="{00000000-0005-0000-0000-000077140000}"/>
    <cellStyle name="Normal 4 3 3 2 4 2" xfId="3498" xr:uid="{00000000-0005-0000-0000-000078140000}"/>
    <cellStyle name="Normal 4 3 3 2 4 2 2" xfId="7721" xr:uid="{00000000-0005-0000-0000-000079140000}"/>
    <cellStyle name="Normal 4 3 3 2 4 2 2 2" xfId="16163" xr:uid="{1A65D8B0-1551-40E9-B065-976577E66B46}"/>
    <cellStyle name="Normal 4 3 3 2 4 2 3" xfId="11945" xr:uid="{E96662FA-F3FD-494C-A5D1-9EE1B6C81897}"/>
    <cellStyle name="Normal 4 3 3 2 4 3" xfId="5576" xr:uid="{00000000-0005-0000-0000-00007A140000}"/>
    <cellStyle name="Normal 4 3 3 2 4 3 2" xfId="14018" xr:uid="{E8DDFA3C-1C83-47FB-99EC-F97EE3483FC3}"/>
    <cellStyle name="Normal 4 3 3 2 4 4" xfId="9800" xr:uid="{98A4B4ED-7446-4B23-B611-78F4B5CE31DF}"/>
    <cellStyle name="Normal 4 3 3 2 5" xfId="1681" xr:uid="{00000000-0005-0000-0000-00007B140000}"/>
    <cellStyle name="Normal 4 3 3 2 5 2" xfId="3911" xr:uid="{00000000-0005-0000-0000-00007C140000}"/>
    <cellStyle name="Normal 4 3 3 2 5 2 2" xfId="8134" xr:uid="{00000000-0005-0000-0000-00007D140000}"/>
    <cellStyle name="Normal 4 3 3 2 5 2 2 2" xfId="16576" xr:uid="{380992CC-DD20-4426-ABEB-23B518F2605B}"/>
    <cellStyle name="Normal 4 3 3 2 5 2 3" xfId="12358" xr:uid="{96C0EBE2-63FD-4390-82F3-BF750B56BB27}"/>
    <cellStyle name="Normal 4 3 3 2 5 3" xfId="5989" xr:uid="{00000000-0005-0000-0000-00007E140000}"/>
    <cellStyle name="Normal 4 3 3 2 5 3 2" xfId="14431" xr:uid="{1CD1ACAD-5C6A-4974-9A73-C8E8D6827AA8}"/>
    <cellStyle name="Normal 4 3 3 2 5 4" xfId="10213" xr:uid="{30FA7288-6D51-44B2-A812-C3886BAB9B7C}"/>
    <cellStyle name="Normal 4 3 3 2 6" xfId="2095" xr:uid="{00000000-0005-0000-0000-00007F140000}"/>
    <cellStyle name="Normal 4 3 3 2 6 2" xfId="4324" xr:uid="{00000000-0005-0000-0000-000080140000}"/>
    <cellStyle name="Normal 4 3 3 2 6 2 2" xfId="8547" xr:uid="{00000000-0005-0000-0000-000081140000}"/>
    <cellStyle name="Normal 4 3 3 2 6 2 2 2" xfId="16989" xr:uid="{AD1ED456-5267-42B0-9AD4-5BEFAFFD703B}"/>
    <cellStyle name="Normal 4 3 3 2 6 2 3" xfId="12771" xr:uid="{F28C316B-20C7-4FCE-AC1D-CAB62F63590E}"/>
    <cellStyle name="Normal 4 3 3 2 6 3" xfId="6402" xr:uid="{00000000-0005-0000-0000-000082140000}"/>
    <cellStyle name="Normal 4 3 3 2 6 3 2" xfId="14844" xr:uid="{3F5759F7-CBC5-430D-961A-8341086EF218}"/>
    <cellStyle name="Normal 4 3 3 2 6 4" xfId="10626" xr:uid="{24ECE540-0335-4939-8EC9-53A3FF3B4182}"/>
    <cellStyle name="Normal 4 3 3 2 7" xfId="2531" xr:uid="{00000000-0005-0000-0000-000083140000}"/>
    <cellStyle name="Normal 4 3 3 2 7 2" xfId="6815" xr:uid="{00000000-0005-0000-0000-000084140000}"/>
    <cellStyle name="Normal 4 3 3 2 7 2 2" xfId="15257" xr:uid="{EFFA19B4-1263-48B5-9E8B-76BF9DD1C129}"/>
    <cellStyle name="Normal 4 3 3 2 7 3" xfId="11039" xr:uid="{B3CC4924-4CBF-4C16-866B-FF749BF3118B}"/>
    <cellStyle name="Normal 4 3 3 2 8" xfId="4750" xr:uid="{00000000-0005-0000-0000-000085140000}"/>
    <cellStyle name="Normal 4 3 3 2 8 2" xfId="13192" xr:uid="{7F0F3FD0-BB83-4A41-9110-1AC07C55A6CB}"/>
    <cellStyle name="Normal 4 3 3 2 9" xfId="8974" xr:uid="{F81450EE-8BCD-4FF8-AD03-64B9B91DA236}"/>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2 2 2" xfId="15752" xr:uid="{351639B4-166C-4764-A83D-B50456CC4306}"/>
    <cellStyle name="Normal 4 3 3 3 2 2 3" xfId="11534" xr:uid="{D9DFA228-FC8A-4F4B-A995-FB2CEA652A2E}"/>
    <cellStyle name="Normal 4 3 3 3 2 3" xfId="5165" xr:uid="{00000000-0005-0000-0000-00008A140000}"/>
    <cellStyle name="Normal 4 3 3 3 2 3 2" xfId="13607" xr:uid="{1E6541CC-F972-41D9-B93B-186FA3F3F5A7}"/>
    <cellStyle name="Normal 4 3 3 3 2 4" xfId="9389" xr:uid="{7EEA7577-BCAC-494F-82AE-E7990A66B7E0}"/>
    <cellStyle name="Normal 4 3 3 3 3" xfId="1270" xr:uid="{00000000-0005-0000-0000-00008B140000}"/>
    <cellStyle name="Normal 4 3 3 3 3 2" xfId="3500" xr:uid="{00000000-0005-0000-0000-00008C140000}"/>
    <cellStyle name="Normal 4 3 3 3 3 2 2" xfId="7723" xr:uid="{00000000-0005-0000-0000-00008D140000}"/>
    <cellStyle name="Normal 4 3 3 3 3 2 2 2" xfId="16165" xr:uid="{03B58B95-E71C-46AD-AFC6-9CD98D9C903A}"/>
    <cellStyle name="Normal 4 3 3 3 3 2 3" xfId="11947" xr:uid="{1BE6D25D-0D48-46A2-BC62-15579499BAAA}"/>
    <cellStyle name="Normal 4 3 3 3 3 3" xfId="5578" xr:uid="{00000000-0005-0000-0000-00008E140000}"/>
    <cellStyle name="Normal 4 3 3 3 3 3 2" xfId="14020" xr:uid="{A2D929BD-7745-456F-903C-0956048BF1A5}"/>
    <cellStyle name="Normal 4 3 3 3 3 4" xfId="9802" xr:uid="{9F0CEA0E-C770-42CF-A25D-E4D4EE737E4F}"/>
    <cellStyle name="Normal 4 3 3 3 4" xfId="1683" xr:uid="{00000000-0005-0000-0000-00008F140000}"/>
    <cellStyle name="Normal 4 3 3 3 4 2" xfId="3913" xr:uid="{00000000-0005-0000-0000-000090140000}"/>
    <cellStyle name="Normal 4 3 3 3 4 2 2" xfId="8136" xr:uid="{00000000-0005-0000-0000-000091140000}"/>
    <cellStyle name="Normal 4 3 3 3 4 2 2 2" xfId="16578" xr:uid="{16422A30-274E-46F3-A24E-C2D6A35D6273}"/>
    <cellStyle name="Normal 4 3 3 3 4 2 3" xfId="12360" xr:uid="{D23BB869-8D95-4988-BDC4-69F187B463DC}"/>
    <cellStyle name="Normal 4 3 3 3 4 3" xfId="5991" xr:uid="{00000000-0005-0000-0000-000092140000}"/>
    <cellStyle name="Normal 4 3 3 3 4 3 2" xfId="14433" xr:uid="{26664CFF-3D76-422C-BBEA-B310B4879C39}"/>
    <cellStyle name="Normal 4 3 3 3 4 4" xfId="10215" xr:uid="{25353D4B-7B41-454C-B577-1F32BE6ADDEA}"/>
    <cellStyle name="Normal 4 3 3 3 5" xfId="2097" xr:uid="{00000000-0005-0000-0000-000093140000}"/>
    <cellStyle name="Normal 4 3 3 3 5 2" xfId="4326" xr:uid="{00000000-0005-0000-0000-000094140000}"/>
    <cellStyle name="Normal 4 3 3 3 5 2 2" xfId="8549" xr:uid="{00000000-0005-0000-0000-000095140000}"/>
    <cellStyle name="Normal 4 3 3 3 5 2 2 2" xfId="16991" xr:uid="{865FDEB8-2593-4CBE-80BC-393A92E78A01}"/>
    <cellStyle name="Normal 4 3 3 3 5 2 3" xfId="12773" xr:uid="{5220B5CE-914B-490A-9E22-066E88D27194}"/>
    <cellStyle name="Normal 4 3 3 3 5 3" xfId="6404" xr:uid="{00000000-0005-0000-0000-000096140000}"/>
    <cellStyle name="Normal 4 3 3 3 5 3 2" xfId="14846" xr:uid="{67CD3EF9-0521-46FA-917A-2B3B6ED3576B}"/>
    <cellStyle name="Normal 4 3 3 3 5 4" xfId="10628" xr:uid="{EAF07287-F7F9-41A6-983D-56060BB72736}"/>
    <cellStyle name="Normal 4 3 3 3 6" xfId="2533" xr:uid="{00000000-0005-0000-0000-000097140000}"/>
    <cellStyle name="Normal 4 3 3 3 6 2" xfId="6817" xr:uid="{00000000-0005-0000-0000-000098140000}"/>
    <cellStyle name="Normal 4 3 3 3 6 2 2" xfId="15259" xr:uid="{489A9404-0263-4855-A154-BAA101A96F53}"/>
    <cellStyle name="Normal 4 3 3 3 6 3" xfId="11041" xr:uid="{D378C429-8B25-4D79-85A4-89E3BE30DFFF}"/>
    <cellStyle name="Normal 4 3 3 3 7" xfId="4752" xr:uid="{00000000-0005-0000-0000-000099140000}"/>
    <cellStyle name="Normal 4 3 3 3 7 2" xfId="13194" xr:uid="{CA215316-B53C-4D49-8D21-065D8E99E5BE}"/>
    <cellStyle name="Normal 4 3 3 3 8" xfId="8976" xr:uid="{A15AB820-28DE-4BFC-AE7A-9CD48C8C6971}"/>
    <cellStyle name="Normal 4 3 3 4" xfId="849" xr:uid="{00000000-0005-0000-0000-00009A140000}"/>
    <cellStyle name="Normal 4 3 3 4 2" xfId="3084" xr:uid="{00000000-0005-0000-0000-00009B140000}"/>
    <cellStyle name="Normal 4 3 3 4 2 2" xfId="7307" xr:uid="{00000000-0005-0000-0000-00009C140000}"/>
    <cellStyle name="Normal 4 3 3 4 2 2 2" xfId="15749" xr:uid="{A5A34784-99F4-4A2A-B97B-7504360D1E7E}"/>
    <cellStyle name="Normal 4 3 3 4 2 3" xfId="11531" xr:uid="{44F949AE-6BA0-4228-BE63-843D46C44F66}"/>
    <cellStyle name="Normal 4 3 3 4 3" xfId="5162" xr:uid="{00000000-0005-0000-0000-00009D140000}"/>
    <cellStyle name="Normal 4 3 3 4 3 2" xfId="13604" xr:uid="{BFC4E97F-4153-4B03-B0C2-66DB89441428}"/>
    <cellStyle name="Normal 4 3 3 4 4" xfId="9386" xr:uid="{AEBF8009-A158-4414-ACBB-60100845EB7D}"/>
    <cellStyle name="Normal 4 3 3 5" xfId="1267" xr:uid="{00000000-0005-0000-0000-00009E140000}"/>
    <cellStyle name="Normal 4 3 3 5 2" xfId="3497" xr:uid="{00000000-0005-0000-0000-00009F140000}"/>
    <cellStyle name="Normal 4 3 3 5 2 2" xfId="7720" xr:uid="{00000000-0005-0000-0000-0000A0140000}"/>
    <cellStyle name="Normal 4 3 3 5 2 2 2" xfId="16162" xr:uid="{C329E43C-B521-45CC-8064-0712D942CAF1}"/>
    <cellStyle name="Normal 4 3 3 5 2 3" xfId="11944" xr:uid="{5C18B06E-84BD-444B-BEB1-D69E20681CA8}"/>
    <cellStyle name="Normal 4 3 3 5 3" xfId="5575" xr:uid="{00000000-0005-0000-0000-0000A1140000}"/>
    <cellStyle name="Normal 4 3 3 5 3 2" xfId="14017" xr:uid="{32882973-B17C-4FF9-9CDC-89E606F530F9}"/>
    <cellStyle name="Normal 4 3 3 5 4" xfId="9799" xr:uid="{C0BC13BE-C715-4520-8A99-7A0D1EFCC209}"/>
    <cellStyle name="Normal 4 3 3 6" xfId="1680" xr:uid="{00000000-0005-0000-0000-0000A2140000}"/>
    <cellStyle name="Normal 4 3 3 6 2" xfId="3910" xr:uid="{00000000-0005-0000-0000-0000A3140000}"/>
    <cellStyle name="Normal 4 3 3 6 2 2" xfId="8133" xr:uid="{00000000-0005-0000-0000-0000A4140000}"/>
    <cellStyle name="Normal 4 3 3 6 2 2 2" xfId="16575" xr:uid="{F25E6D50-42D0-4D7D-ABEE-FE066D433BBD}"/>
    <cellStyle name="Normal 4 3 3 6 2 3" xfId="12357" xr:uid="{D345E4CD-9B98-438C-B4CB-7F8C31476C5D}"/>
    <cellStyle name="Normal 4 3 3 6 3" xfId="5988" xr:uid="{00000000-0005-0000-0000-0000A5140000}"/>
    <cellStyle name="Normal 4 3 3 6 3 2" xfId="14430" xr:uid="{BCCCAF13-C2DB-4107-BD53-CD40666B1A0D}"/>
    <cellStyle name="Normal 4 3 3 6 4" xfId="10212" xr:uid="{987485B6-BC28-4B54-B872-3F887083B19C}"/>
    <cellStyle name="Normal 4 3 3 7" xfId="2094" xr:uid="{00000000-0005-0000-0000-0000A6140000}"/>
    <cellStyle name="Normal 4 3 3 7 2" xfId="4323" xr:uid="{00000000-0005-0000-0000-0000A7140000}"/>
    <cellStyle name="Normal 4 3 3 7 2 2" xfId="8546" xr:uid="{00000000-0005-0000-0000-0000A8140000}"/>
    <cellStyle name="Normal 4 3 3 7 2 2 2" xfId="16988" xr:uid="{70CCACA3-D4F8-4596-BDF0-5C560C239AD6}"/>
    <cellStyle name="Normal 4 3 3 7 2 3" xfId="12770" xr:uid="{4914D300-8E2E-46C5-B24F-1D5A30EC1607}"/>
    <cellStyle name="Normal 4 3 3 7 3" xfId="6401" xr:uid="{00000000-0005-0000-0000-0000A9140000}"/>
    <cellStyle name="Normal 4 3 3 7 3 2" xfId="14843" xr:uid="{D51E8426-654F-447B-BDA9-A8FDD254F02B}"/>
    <cellStyle name="Normal 4 3 3 7 4" xfId="10625" xr:uid="{181849E4-0132-4BF7-8986-2DBBA44A8AF4}"/>
    <cellStyle name="Normal 4 3 3 8" xfId="2530" xr:uid="{00000000-0005-0000-0000-0000AA140000}"/>
    <cellStyle name="Normal 4 3 3 8 2" xfId="6814" xr:uid="{00000000-0005-0000-0000-0000AB140000}"/>
    <cellStyle name="Normal 4 3 3 8 2 2" xfId="15256" xr:uid="{CEC7C39C-1114-4F17-8BB4-652589FABB4D}"/>
    <cellStyle name="Normal 4 3 3 8 3" xfId="11038" xr:uid="{5E23ECC2-6312-4A2D-8517-3CCF2F62DA38}"/>
    <cellStyle name="Normal 4 3 3 9" xfId="4749" xr:uid="{00000000-0005-0000-0000-0000AC140000}"/>
    <cellStyle name="Normal 4 3 3 9 2" xfId="13191" xr:uid="{8FC6F01C-4687-4E7B-BCEE-210701B6F967}"/>
    <cellStyle name="Normal 4 3 4" xfId="842" xr:uid="{00000000-0005-0000-0000-0000AD140000}"/>
    <cellStyle name="Normal 4 3 4 2" xfId="3079" xr:uid="{00000000-0005-0000-0000-0000AE140000}"/>
    <cellStyle name="Normal 4 3 4 2 2" xfId="7302" xr:uid="{00000000-0005-0000-0000-0000AF140000}"/>
    <cellStyle name="Normal 4 3 4 2 2 2" xfId="15744" xr:uid="{EF273EE9-270A-4291-8EC9-52EAC6F38C3F}"/>
    <cellStyle name="Normal 4 3 4 2 3" xfId="11526" xr:uid="{85458449-89FA-4AD2-BAD7-C183D564C755}"/>
    <cellStyle name="Normal 4 3 4 3" xfId="5157" xr:uid="{00000000-0005-0000-0000-0000B0140000}"/>
    <cellStyle name="Normal 4 3 4 3 2" xfId="13599" xr:uid="{EBB32E9C-1A47-4881-BAF7-095CA511C1AE}"/>
    <cellStyle name="Normal 4 3 4 4" xfId="9381" xr:uid="{6CE66628-80B3-44DC-923C-F25EF4593324}"/>
    <cellStyle name="Normal 4 3 5" xfId="1262" xr:uid="{00000000-0005-0000-0000-0000B1140000}"/>
    <cellStyle name="Normal 4 3 5 2" xfId="3492" xr:uid="{00000000-0005-0000-0000-0000B2140000}"/>
    <cellStyle name="Normal 4 3 5 2 2" xfId="7715" xr:uid="{00000000-0005-0000-0000-0000B3140000}"/>
    <cellStyle name="Normal 4 3 5 2 2 2" xfId="16157" xr:uid="{DE2B08E4-6051-4F72-B1E8-EC5C66FE7A01}"/>
    <cellStyle name="Normal 4 3 5 2 3" xfId="11939" xr:uid="{20237D7B-4536-467A-879A-06C5BA4DA0B0}"/>
    <cellStyle name="Normal 4 3 5 3" xfId="5570" xr:uid="{00000000-0005-0000-0000-0000B4140000}"/>
    <cellStyle name="Normal 4 3 5 3 2" xfId="14012" xr:uid="{E455C8A7-5830-4003-AA2F-AC39E2E47188}"/>
    <cellStyle name="Normal 4 3 5 4" xfId="9794" xr:uid="{5B44FA38-9FED-465D-ACA8-B9F9DAB92921}"/>
    <cellStyle name="Normal 4 3 6" xfId="1675" xr:uid="{00000000-0005-0000-0000-0000B5140000}"/>
    <cellStyle name="Normal 4 3 6 2" xfId="3905" xr:uid="{00000000-0005-0000-0000-0000B6140000}"/>
    <cellStyle name="Normal 4 3 6 2 2" xfId="8128" xr:uid="{00000000-0005-0000-0000-0000B7140000}"/>
    <cellStyle name="Normal 4 3 6 2 2 2" xfId="16570" xr:uid="{DFB6BBC4-C753-4645-828A-6B8BADDB4FDA}"/>
    <cellStyle name="Normal 4 3 6 2 3" xfId="12352" xr:uid="{0D4E52E0-2A28-4B7A-BDEE-754869CA110D}"/>
    <cellStyle name="Normal 4 3 6 3" xfId="5983" xr:uid="{00000000-0005-0000-0000-0000B8140000}"/>
    <cellStyle name="Normal 4 3 6 3 2" xfId="14425" xr:uid="{7CC21ADA-C12C-4662-BDE5-BA80DBFFF05B}"/>
    <cellStyle name="Normal 4 3 6 4" xfId="10207" xr:uid="{EE6C7AD9-4FAA-42D9-BD90-A0E40310DFEE}"/>
    <cellStyle name="Normal 4 3 7" xfId="2089" xr:uid="{00000000-0005-0000-0000-0000B9140000}"/>
    <cellStyle name="Normal 4 3 7 2" xfId="4318" xr:uid="{00000000-0005-0000-0000-0000BA140000}"/>
    <cellStyle name="Normal 4 3 7 2 2" xfId="8541" xr:uid="{00000000-0005-0000-0000-0000BB140000}"/>
    <cellStyle name="Normal 4 3 7 2 2 2" xfId="16983" xr:uid="{0E2D7A74-C663-4AFB-90AA-BC7940D02157}"/>
    <cellStyle name="Normal 4 3 7 2 3" xfId="12765" xr:uid="{EB2546C9-A0FE-4BA5-A6ED-A367CDAF2B3F}"/>
    <cellStyle name="Normal 4 3 7 3" xfId="6396" xr:uid="{00000000-0005-0000-0000-0000BC140000}"/>
    <cellStyle name="Normal 4 3 7 3 2" xfId="14838" xr:uid="{E5285AA9-6747-4B74-A0E8-CD2B574CC0A3}"/>
    <cellStyle name="Normal 4 3 7 4" xfId="10620" xr:uid="{4690FC19-26BB-4012-A3B0-F726DB344C74}"/>
    <cellStyle name="Normal 4 3 8" xfId="2525" xr:uid="{00000000-0005-0000-0000-0000BD140000}"/>
    <cellStyle name="Normal 4 3 8 2" xfId="6809" xr:uid="{00000000-0005-0000-0000-0000BE140000}"/>
    <cellStyle name="Normal 4 3 8 2 2" xfId="15251" xr:uid="{9D46B199-5021-4B0D-8475-E015B4A5EA0C}"/>
    <cellStyle name="Normal 4 3 8 3" xfId="11033" xr:uid="{99E8364B-26C5-447F-9088-024BB0269CD4}"/>
    <cellStyle name="Normal 4 3 9" xfId="4744" xr:uid="{00000000-0005-0000-0000-0000BF140000}"/>
    <cellStyle name="Normal 4 3 9 2" xfId="13186" xr:uid="{B4F2BA1B-F5AB-42F1-8FA0-266447C129EB}"/>
    <cellStyle name="Normal 4 4" xfId="378" xr:uid="{00000000-0005-0000-0000-0000C0140000}"/>
    <cellStyle name="Normal 4 4 10" xfId="2534" xr:uid="{00000000-0005-0000-0000-0000C1140000}"/>
    <cellStyle name="Normal 4 4 10 2" xfId="6818" xr:uid="{00000000-0005-0000-0000-0000C2140000}"/>
    <cellStyle name="Normal 4 4 10 2 2" xfId="15260" xr:uid="{942EDE22-02DE-4DF6-8DA7-854A0294FB8B}"/>
    <cellStyle name="Normal 4 4 10 3" xfId="11042" xr:uid="{7214DAA9-CFFB-49BD-BF39-FBF8F2EF52BC}"/>
    <cellStyle name="Normal 4 4 11" xfId="4753" xr:uid="{00000000-0005-0000-0000-0000C3140000}"/>
    <cellStyle name="Normal 4 4 11 2" xfId="13195" xr:uid="{293D0896-7980-4222-87F6-C2BDB8FA8D91}"/>
    <cellStyle name="Normal 4 4 12" xfId="8977" xr:uid="{C9DC09F5-395D-4B6A-8664-D5EB224186CF}"/>
    <cellStyle name="Normal 4 4 2" xfId="379" xr:uid="{00000000-0005-0000-0000-0000C4140000}"/>
    <cellStyle name="Normal 4 4 2 10" xfId="4754" xr:uid="{00000000-0005-0000-0000-0000C5140000}"/>
    <cellStyle name="Normal 4 4 2 10 2" xfId="13196" xr:uid="{0C4EF03B-18F7-4465-89CF-45E38D4A3887}"/>
    <cellStyle name="Normal 4 4 2 11" xfId="8978" xr:uid="{BA753F4E-663C-4BE2-A85C-A176F00B0AF4}"/>
    <cellStyle name="Normal 4 4 2 2" xfId="380" xr:uid="{00000000-0005-0000-0000-0000C6140000}"/>
    <cellStyle name="Normal 4 4 2 2 10" xfId="8979" xr:uid="{CEF63449-2E31-46F2-BF55-48B33640AAE3}"/>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2 2 2" xfId="15757" xr:uid="{A4BE32E0-110C-49B0-8DBA-E7A2CC58172E}"/>
    <cellStyle name="Normal 4 4 2 2 2 2 2 2 3" xfId="11539" xr:uid="{2FF3609C-666E-4864-8871-BC49BD6E1717}"/>
    <cellStyle name="Normal 4 4 2 2 2 2 2 3" xfId="5170" xr:uid="{00000000-0005-0000-0000-0000CC140000}"/>
    <cellStyle name="Normal 4 4 2 2 2 2 2 3 2" xfId="13612" xr:uid="{2CD33507-8CEA-4B34-B5F8-D0BEE96DAD19}"/>
    <cellStyle name="Normal 4 4 2 2 2 2 2 4" xfId="9394" xr:uid="{32F6D870-C0B1-425E-A38B-85270EF69507}"/>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2 2 2" xfId="16170" xr:uid="{3545E471-36ED-4563-8C30-C3DCF574C11F}"/>
    <cellStyle name="Normal 4 4 2 2 2 2 3 2 3" xfId="11952" xr:uid="{AA74BF23-6495-42D9-A548-44A3D594B742}"/>
    <cellStyle name="Normal 4 4 2 2 2 2 3 3" xfId="5583" xr:uid="{00000000-0005-0000-0000-0000D0140000}"/>
    <cellStyle name="Normal 4 4 2 2 2 2 3 3 2" xfId="14025" xr:uid="{4B97EE13-37BF-4BF8-82E7-79FF1D65FA9D}"/>
    <cellStyle name="Normal 4 4 2 2 2 2 3 4" xfId="9807" xr:uid="{44F6E501-691C-4C8E-AA39-2955DF8012AA}"/>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2 2 2" xfId="16583" xr:uid="{C4DC0350-F7EF-478E-970B-F76A2BAA3108}"/>
    <cellStyle name="Normal 4 4 2 2 2 2 4 2 3" xfId="12365" xr:uid="{1AB57D3A-1926-4C34-AE8F-B341F2D213AE}"/>
    <cellStyle name="Normal 4 4 2 2 2 2 4 3" xfId="5996" xr:uid="{00000000-0005-0000-0000-0000D4140000}"/>
    <cellStyle name="Normal 4 4 2 2 2 2 4 3 2" xfId="14438" xr:uid="{D55E856A-B919-42AD-884F-3A82D209F750}"/>
    <cellStyle name="Normal 4 4 2 2 2 2 4 4" xfId="10220" xr:uid="{6515A263-0174-4685-9ED0-957D8F377C42}"/>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2 2 2" xfId="16996" xr:uid="{6B4B3B7D-8DE4-45F1-9ABE-FCBDE0918D7E}"/>
    <cellStyle name="Normal 4 4 2 2 2 2 5 2 3" xfId="12778" xr:uid="{462E5EB6-2C10-489B-A503-3E321A700AD1}"/>
    <cellStyle name="Normal 4 4 2 2 2 2 5 3" xfId="6409" xr:uid="{00000000-0005-0000-0000-0000D8140000}"/>
    <cellStyle name="Normal 4 4 2 2 2 2 5 3 2" xfId="14851" xr:uid="{87260DF2-F417-49B2-9DE8-ED9E95B019E1}"/>
    <cellStyle name="Normal 4 4 2 2 2 2 5 4" xfId="10633" xr:uid="{7B9794A0-745E-4E16-8BA2-7CCE4D7F3A06}"/>
    <cellStyle name="Normal 4 4 2 2 2 2 6" xfId="2538" xr:uid="{00000000-0005-0000-0000-0000D9140000}"/>
    <cellStyle name="Normal 4 4 2 2 2 2 6 2" xfId="6822" xr:uid="{00000000-0005-0000-0000-0000DA140000}"/>
    <cellStyle name="Normal 4 4 2 2 2 2 6 2 2" xfId="15264" xr:uid="{E2C48A69-6547-44C3-BFD6-AC1C705AD0C4}"/>
    <cellStyle name="Normal 4 4 2 2 2 2 6 3" xfId="11046" xr:uid="{B49D58BA-D29D-4E75-938C-3B71CF7F9722}"/>
    <cellStyle name="Normal 4 4 2 2 2 2 7" xfId="4757" xr:uid="{00000000-0005-0000-0000-0000DB140000}"/>
    <cellStyle name="Normal 4 4 2 2 2 2 7 2" xfId="13199" xr:uid="{9163D96E-1159-46F5-AC59-C65E9B0DE5BE}"/>
    <cellStyle name="Normal 4 4 2 2 2 2 8" xfId="8981" xr:uid="{6193463F-0B15-454C-9A87-0C37ECE2F24F}"/>
    <cellStyle name="Normal 4 4 2 2 2 3" xfId="856" xr:uid="{00000000-0005-0000-0000-0000DC140000}"/>
    <cellStyle name="Normal 4 4 2 2 2 3 2" xfId="3091" xr:uid="{00000000-0005-0000-0000-0000DD140000}"/>
    <cellStyle name="Normal 4 4 2 2 2 3 2 2" xfId="7314" xr:uid="{00000000-0005-0000-0000-0000DE140000}"/>
    <cellStyle name="Normal 4 4 2 2 2 3 2 2 2" xfId="15756" xr:uid="{D574FB01-D34A-4F5B-856C-24D4FF11AFAB}"/>
    <cellStyle name="Normal 4 4 2 2 2 3 2 3" xfId="11538" xr:uid="{19CC4841-712F-4703-8CA1-20BF46BDD589}"/>
    <cellStyle name="Normal 4 4 2 2 2 3 3" xfId="5169" xr:uid="{00000000-0005-0000-0000-0000DF140000}"/>
    <cellStyle name="Normal 4 4 2 2 2 3 3 2" xfId="13611" xr:uid="{752497AF-55EF-4B89-ACD8-530CCB9EF02A}"/>
    <cellStyle name="Normal 4 4 2 2 2 3 4" xfId="9393" xr:uid="{2233C4D4-09C0-4890-91E7-542EF4B61CFE}"/>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2 2 2" xfId="16169" xr:uid="{A0B09AE1-1C32-49BB-997D-F01FEACC1156}"/>
    <cellStyle name="Normal 4 4 2 2 2 4 2 3" xfId="11951" xr:uid="{7D5CB0DE-B7F9-4774-A881-D46C35497687}"/>
    <cellStyle name="Normal 4 4 2 2 2 4 3" xfId="5582" xr:uid="{00000000-0005-0000-0000-0000E3140000}"/>
    <cellStyle name="Normal 4 4 2 2 2 4 3 2" xfId="14024" xr:uid="{86E172C8-798A-4755-A28A-20A2D9318B84}"/>
    <cellStyle name="Normal 4 4 2 2 2 4 4" xfId="9806" xr:uid="{591D5BDB-2BF5-4D8E-8D39-61FB8A545F3C}"/>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2 2 2" xfId="16582" xr:uid="{51315652-4AF7-4503-8A85-66852921931A}"/>
    <cellStyle name="Normal 4 4 2 2 2 5 2 3" xfId="12364" xr:uid="{FA0B16FC-130D-49A2-B5E4-CE48E7234C48}"/>
    <cellStyle name="Normal 4 4 2 2 2 5 3" xfId="5995" xr:uid="{00000000-0005-0000-0000-0000E7140000}"/>
    <cellStyle name="Normal 4 4 2 2 2 5 3 2" xfId="14437" xr:uid="{EC71E260-853D-4156-9AB4-060CE1605E51}"/>
    <cellStyle name="Normal 4 4 2 2 2 5 4" xfId="10219" xr:uid="{E4967FE4-7080-41B2-939D-5083D50BDB8A}"/>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2 2 2" xfId="16995" xr:uid="{614F7E7D-4DB4-4DA8-96C0-8145207B50A0}"/>
    <cellStyle name="Normal 4 4 2 2 2 6 2 3" xfId="12777" xr:uid="{27E17EB7-D322-4E38-85FE-07D06E7E7381}"/>
    <cellStyle name="Normal 4 4 2 2 2 6 3" xfId="6408" xr:uid="{00000000-0005-0000-0000-0000EB140000}"/>
    <cellStyle name="Normal 4 4 2 2 2 6 3 2" xfId="14850" xr:uid="{B542E47F-AED7-458B-AAA5-019D023F4F1D}"/>
    <cellStyle name="Normal 4 4 2 2 2 6 4" xfId="10632" xr:uid="{09F112DE-C442-4F0C-B144-CBD1AA42F494}"/>
    <cellStyle name="Normal 4 4 2 2 2 7" xfId="2537" xr:uid="{00000000-0005-0000-0000-0000EC140000}"/>
    <cellStyle name="Normal 4 4 2 2 2 7 2" xfId="6821" xr:uid="{00000000-0005-0000-0000-0000ED140000}"/>
    <cellStyle name="Normal 4 4 2 2 2 7 2 2" xfId="15263" xr:uid="{CAB9064F-7CC0-4ADE-A6DC-ED400300E996}"/>
    <cellStyle name="Normal 4 4 2 2 2 7 3" xfId="11045" xr:uid="{913E291F-56FE-4298-B1E1-F794309B6BD3}"/>
    <cellStyle name="Normal 4 4 2 2 2 8" xfId="4756" xr:uid="{00000000-0005-0000-0000-0000EE140000}"/>
    <cellStyle name="Normal 4 4 2 2 2 8 2" xfId="13198" xr:uid="{B192D9C4-D6B6-4816-ACD7-CC194EC6881E}"/>
    <cellStyle name="Normal 4 4 2 2 2 9" xfId="8980" xr:uid="{1074BAAF-A4A1-4314-92EA-6CE237329653}"/>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2 2 2" xfId="15758" xr:uid="{441DC2BE-C882-45E2-B3B1-0B4BA9FDE97D}"/>
    <cellStyle name="Normal 4 4 2 2 3 2 2 3" xfId="11540" xr:uid="{BBE93460-CDFC-4979-84B4-04A326A2BD4D}"/>
    <cellStyle name="Normal 4 4 2 2 3 2 3" xfId="5171" xr:uid="{00000000-0005-0000-0000-0000F3140000}"/>
    <cellStyle name="Normal 4 4 2 2 3 2 3 2" xfId="13613" xr:uid="{CF76BFE8-BCF9-483E-8EBF-334AF53DEA0A}"/>
    <cellStyle name="Normal 4 4 2 2 3 2 4" xfId="9395" xr:uid="{0FADC992-5F87-484E-A51B-0C06A9E17E0F}"/>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2 2 2" xfId="16171" xr:uid="{7C63F56D-3068-4023-AD86-2AB72832D97B}"/>
    <cellStyle name="Normal 4 4 2 2 3 3 2 3" xfId="11953" xr:uid="{854652AE-A23D-40D6-87E3-E3E3353004F9}"/>
    <cellStyle name="Normal 4 4 2 2 3 3 3" xfId="5584" xr:uid="{00000000-0005-0000-0000-0000F7140000}"/>
    <cellStyle name="Normal 4 4 2 2 3 3 3 2" xfId="14026" xr:uid="{B740B5DF-1640-4D94-AC23-7A36C59DDBC4}"/>
    <cellStyle name="Normal 4 4 2 2 3 3 4" xfId="9808" xr:uid="{7FB66172-80F0-47C3-994C-3A5324ADC498}"/>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2 2 2" xfId="16584" xr:uid="{CE9E4FE8-F18B-450A-896D-2F85AE9C6DEF}"/>
    <cellStyle name="Normal 4 4 2 2 3 4 2 3" xfId="12366" xr:uid="{35847D6C-2E50-4867-A21C-BD2243091E6D}"/>
    <cellStyle name="Normal 4 4 2 2 3 4 3" xfId="5997" xr:uid="{00000000-0005-0000-0000-0000FB140000}"/>
    <cellStyle name="Normal 4 4 2 2 3 4 3 2" xfId="14439" xr:uid="{B66F16AF-3A3B-4B0C-9EBA-36C0D9411014}"/>
    <cellStyle name="Normal 4 4 2 2 3 4 4" xfId="10221" xr:uid="{E7628FC8-AD9D-4C04-B44B-F8B226678819}"/>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2 2 2" xfId="16997" xr:uid="{D05024EC-D58C-4016-8DD0-F12DF043AA67}"/>
    <cellStyle name="Normal 4 4 2 2 3 5 2 3" xfId="12779" xr:uid="{24A2B246-F755-48B3-B093-3FF670564F41}"/>
    <cellStyle name="Normal 4 4 2 2 3 5 3" xfId="6410" xr:uid="{00000000-0005-0000-0000-0000FF140000}"/>
    <cellStyle name="Normal 4 4 2 2 3 5 3 2" xfId="14852" xr:uid="{3121E564-772A-41BB-B3D9-7BE0DF0881DC}"/>
    <cellStyle name="Normal 4 4 2 2 3 5 4" xfId="10634" xr:uid="{351884A2-ED0E-4017-BC31-2AAA880FB19E}"/>
    <cellStyle name="Normal 4 4 2 2 3 6" xfId="2539" xr:uid="{00000000-0005-0000-0000-000000150000}"/>
    <cellStyle name="Normal 4 4 2 2 3 6 2" xfId="6823" xr:uid="{00000000-0005-0000-0000-000001150000}"/>
    <cellStyle name="Normal 4 4 2 2 3 6 2 2" xfId="15265" xr:uid="{CB4E13A4-06FA-4023-992D-D6BDB171C19E}"/>
    <cellStyle name="Normal 4 4 2 2 3 6 3" xfId="11047" xr:uid="{A69D45C7-5746-4362-BACA-60CA777A6F70}"/>
    <cellStyle name="Normal 4 4 2 2 3 7" xfId="4758" xr:uid="{00000000-0005-0000-0000-000002150000}"/>
    <cellStyle name="Normal 4 4 2 2 3 7 2" xfId="13200" xr:uid="{AD325DAD-C9E2-4B7B-8B40-656FC157099E}"/>
    <cellStyle name="Normal 4 4 2 2 3 8" xfId="8982" xr:uid="{6F0F6F48-401A-43D3-A948-63410C008995}"/>
    <cellStyle name="Normal 4 4 2 2 4" xfId="855" xr:uid="{00000000-0005-0000-0000-000003150000}"/>
    <cellStyle name="Normal 4 4 2 2 4 2" xfId="3090" xr:uid="{00000000-0005-0000-0000-000004150000}"/>
    <cellStyle name="Normal 4 4 2 2 4 2 2" xfId="7313" xr:uid="{00000000-0005-0000-0000-000005150000}"/>
    <cellStyle name="Normal 4 4 2 2 4 2 2 2" xfId="15755" xr:uid="{E2862AD2-0995-42F4-AC67-41A5ACA765B6}"/>
    <cellStyle name="Normal 4 4 2 2 4 2 3" xfId="11537" xr:uid="{9500EBEC-AC49-40D9-9008-A819CD49C020}"/>
    <cellStyle name="Normal 4 4 2 2 4 3" xfId="5168" xr:uid="{00000000-0005-0000-0000-000006150000}"/>
    <cellStyle name="Normal 4 4 2 2 4 3 2" xfId="13610" xr:uid="{51182FC2-A6FB-4981-8F78-08DA2C5C7212}"/>
    <cellStyle name="Normal 4 4 2 2 4 4" xfId="9392" xr:uid="{AA1FA81D-4C12-4583-8897-D92FC591393A}"/>
    <cellStyle name="Normal 4 4 2 2 5" xfId="1273" xr:uid="{00000000-0005-0000-0000-000007150000}"/>
    <cellStyle name="Normal 4 4 2 2 5 2" xfId="3503" xr:uid="{00000000-0005-0000-0000-000008150000}"/>
    <cellStyle name="Normal 4 4 2 2 5 2 2" xfId="7726" xr:uid="{00000000-0005-0000-0000-000009150000}"/>
    <cellStyle name="Normal 4 4 2 2 5 2 2 2" xfId="16168" xr:uid="{86AC935F-B75A-4E66-BCB2-2CB2B4C75589}"/>
    <cellStyle name="Normal 4 4 2 2 5 2 3" xfId="11950" xr:uid="{94BA69E7-9C9F-4D6B-A77E-10F7846CDF57}"/>
    <cellStyle name="Normal 4 4 2 2 5 3" xfId="5581" xr:uid="{00000000-0005-0000-0000-00000A150000}"/>
    <cellStyle name="Normal 4 4 2 2 5 3 2" xfId="14023" xr:uid="{BB744376-09AD-4382-8545-67F05F55ABF8}"/>
    <cellStyle name="Normal 4 4 2 2 5 4" xfId="9805" xr:uid="{F8165161-0328-462E-B053-EE85ED8CE1F0}"/>
    <cellStyle name="Normal 4 4 2 2 6" xfId="1686" xr:uid="{00000000-0005-0000-0000-00000B150000}"/>
    <cellStyle name="Normal 4 4 2 2 6 2" xfId="3916" xr:uid="{00000000-0005-0000-0000-00000C150000}"/>
    <cellStyle name="Normal 4 4 2 2 6 2 2" xfId="8139" xr:uid="{00000000-0005-0000-0000-00000D150000}"/>
    <cellStyle name="Normal 4 4 2 2 6 2 2 2" xfId="16581" xr:uid="{AA676CE6-1047-456F-A288-82B3C7D03055}"/>
    <cellStyle name="Normal 4 4 2 2 6 2 3" xfId="12363" xr:uid="{3A588524-5D0B-40F4-9FFB-2945E16E3FEF}"/>
    <cellStyle name="Normal 4 4 2 2 6 3" xfId="5994" xr:uid="{00000000-0005-0000-0000-00000E150000}"/>
    <cellStyle name="Normal 4 4 2 2 6 3 2" xfId="14436" xr:uid="{24A4B365-55C4-48C2-B970-29F02BA52DA3}"/>
    <cellStyle name="Normal 4 4 2 2 6 4" xfId="10218" xr:uid="{084B8818-FDA0-4D2E-933B-1643C9939BC6}"/>
    <cellStyle name="Normal 4 4 2 2 7" xfId="2100" xr:uid="{00000000-0005-0000-0000-00000F150000}"/>
    <cellStyle name="Normal 4 4 2 2 7 2" xfId="4329" xr:uid="{00000000-0005-0000-0000-000010150000}"/>
    <cellStyle name="Normal 4 4 2 2 7 2 2" xfId="8552" xr:uid="{00000000-0005-0000-0000-000011150000}"/>
    <cellStyle name="Normal 4 4 2 2 7 2 2 2" xfId="16994" xr:uid="{7F689609-F63B-4DAC-9AB2-02ACACBE7C16}"/>
    <cellStyle name="Normal 4 4 2 2 7 2 3" xfId="12776" xr:uid="{2AA405F7-AFEB-4FF6-8755-C57C922864DE}"/>
    <cellStyle name="Normal 4 4 2 2 7 3" xfId="6407" xr:uid="{00000000-0005-0000-0000-000012150000}"/>
    <cellStyle name="Normal 4 4 2 2 7 3 2" xfId="14849" xr:uid="{722363A4-0E30-43D9-8A2D-F31FAF82EAE0}"/>
    <cellStyle name="Normal 4 4 2 2 7 4" xfId="10631" xr:uid="{41C664CB-3023-4B02-9F25-D7A16275D04C}"/>
    <cellStyle name="Normal 4 4 2 2 8" xfId="2536" xr:uid="{00000000-0005-0000-0000-000013150000}"/>
    <cellStyle name="Normal 4 4 2 2 8 2" xfId="6820" xr:uid="{00000000-0005-0000-0000-000014150000}"/>
    <cellStyle name="Normal 4 4 2 2 8 2 2" xfId="15262" xr:uid="{1265FCD9-EE67-4D89-A31E-8BA25967B4BF}"/>
    <cellStyle name="Normal 4 4 2 2 8 3" xfId="11044" xr:uid="{31A3E43E-6EBD-4C70-A539-AA8D639CB536}"/>
    <cellStyle name="Normal 4 4 2 2 9" xfId="4755" xr:uid="{00000000-0005-0000-0000-000015150000}"/>
    <cellStyle name="Normal 4 4 2 2 9 2" xfId="13197" xr:uid="{9EA21AB7-DC54-4DFB-BA60-8DC7C24CA46F}"/>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2 2 2" xfId="15760" xr:uid="{80F6CF08-2324-4651-B19B-387E7D0D6808}"/>
    <cellStyle name="Normal 4 4 2 3 2 2 2 3" xfId="11542" xr:uid="{FF3BD23D-CD55-49B6-AF0B-225C82C70831}"/>
    <cellStyle name="Normal 4 4 2 3 2 2 3" xfId="5173" xr:uid="{00000000-0005-0000-0000-00001B150000}"/>
    <cellStyle name="Normal 4 4 2 3 2 2 3 2" xfId="13615" xr:uid="{E94FECEE-F8B8-4D29-A9C9-AF87904B3BE1}"/>
    <cellStyle name="Normal 4 4 2 3 2 2 4" xfId="9397" xr:uid="{E4D064C8-6B71-42B2-99E8-3E572B95E0A1}"/>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2 2 2" xfId="16173" xr:uid="{600CCB6F-B75C-4103-BB61-F205071AE6A3}"/>
    <cellStyle name="Normal 4 4 2 3 2 3 2 3" xfId="11955" xr:uid="{06F54E87-C2FD-48D2-9683-F805011739D1}"/>
    <cellStyle name="Normal 4 4 2 3 2 3 3" xfId="5586" xr:uid="{00000000-0005-0000-0000-00001F150000}"/>
    <cellStyle name="Normal 4 4 2 3 2 3 3 2" xfId="14028" xr:uid="{0229B581-ED78-4AD7-814B-7B76AFC37EF8}"/>
    <cellStyle name="Normal 4 4 2 3 2 3 4" xfId="9810" xr:uid="{613B3373-AB27-40AC-B701-E1EF2E4CAFB8}"/>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2 2 2" xfId="16586" xr:uid="{71A7A5F9-C13E-4BD6-8806-4FB4E4E2711E}"/>
    <cellStyle name="Normal 4 4 2 3 2 4 2 3" xfId="12368" xr:uid="{8E6B281C-3116-45F5-80C1-317D86825DDD}"/>
    <cellStyle name="Normal 4 4 2 3 2 4 3" xfId="5999" xr:uid="{00000000-0005-0000-0000-000023150000}"/>
    <cellStyle name="Normal 4 4 2 3 2 4 3 2" xfId="14441" xr:uid="{DA2449C2-D88C-4E9A-AE74-930C64164999}"/>
    <cellStyle name="Normal 4 4 2 3 2 4 4" xfId="10223" xr:uid="{D91CA118-98E2-4F02-8111-793CC5AED0FF}"/>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2 2 2" xfId="16999" xr:uid="{47BF6BFB-70DA-45DA-87A6-4DF3D24022F3}"/>
    <cellStyle name="Normal 4 4 2 3 2 5 2 3" xfId="12781" xr:uid="{8AEC777A-6937-4452-BFA7-2ED0EEEF8FDB}"/>
    <cellStyle name="Normal 4 4 2 3 2 5 3" xfId="6412" xr:uid="{00000000-0005-0000-0000-000027150000}"/>
    <cellStyle name="Normal 4 4 2 3 2 5 3 2" xfId="14854" xr:uid="{FF3D5DF7-1C25-4922-BAB6-5278B272208F}"/>
    <cellStyle name="Normal 4 4 2 3 2 5 4" xfId="10636" xr:uid="{C814F21C-729B-4F2C-992E-6D6300EACF2E}"/>
    <cellStyle name="Normal 4 4 2 3 2 6" xfId="2541" xr:uid="{00000000-0005-0000-0000-000028150000}"/>
    <cellStyle name="Normal 4 4 2 3 2 6 2" xfId="6825" xr:uid="{00000000-0005-0000-0000-000029150000}"/>
    <cellStyle name="Normal 4 4 2 3 2 6 2 2" xfId="15267" xr:uid="{39D5F71B-07D5-4FB1-AB4A-3E8DDF801C9D}"/>
    <cellStyle name="Normal 4 4 2 3 2 6 3" xfId="11049" xr:uid="{E1DB319F-77BE-4DD8-B811-4F2909895759}"/>
    <cellStyle name="Normal 4 4 2 3 2 7" xfId="4760" xr:uid="{00000000-0005-0000-0000-00002A150000}"/>
    <cellStyle name="Normal 4 4 2 3 2 7 2" xfId="13202" xr:uid="{60AD5AE2-CDFE-493F-8539-C7D684C8FA01}"/>
    <cellStyle name="Normal 4 4 2 3 2 8" xfId="8984" xr:uid="{BF928C09-A81E-46FC-9FA0-92705F78E033}"/>
    <cellStyle name="Normal 4 4 2 3 3" xfId="859" xr:uid="{00000000-0005-0000-0000-00002B150000}"/>
    <cellStyle name="Normal 4 4 2 3 3 2" xfId="3094" xr:uid="{00000000-0005-0000-0000-00002C150000}"/>
    <cellStyle name="Normal 4 4 2 3 3 2 2" xfId="7317" xr:uid="{00000000-0005-0000-0000-00002D150000}"/>
    <cellStyle name="Normal 4 4 2 3 3 2 2 2" xfId="15759" xr:uid="{93321695-9EAB-4DE3-9BA5-932A5B139F56}"/>
    <cellStyle name="Normal 4 4 2 3 3 2 3" xfId="11541" xr:uid="{1E59677E-2AE6-4818-AD3E-23331EED155A}"/>
    <cellStyle name="Normal 4 4 2 3 3 3" xfId="5172" xr:uid="{00000000-0005-0000-0000-00002E150000}"/>
    <cellStyle name="Normal 4 4 2 3 3 3 2" xfId="13614" xr:uid="{FA767C09-7249-40F5-8EC9-E521B5515C2E}"/>
    <cellStyle name="Normal 4 4 2 3 3 4" xfId="9396" xr:uid="{593D98A7-1374-494B-AF7F-ECD0161519D0}"/>
    <cellStyle name="Normal 4 4 2 3 4" xfId="1277" xr:uid="{00000000-0005-0000-0000-00002F150000}"/>
    <cellStyle name="Normal 4 4 2 3 4 2" xfId="3507" xr:uid="{00000000-0005-0000-0000-000030150000}"/>
    <cellStyle name="Normal 4 4 2 3 4 2 2" xfId="7730" xr:uid="{00000000-0005-0000-0000-000031150000}"/>
    <cellStyle name="Normal 4 4 2 3 4 2 2 2" xfId="16172" xr:uid="{F15D6A07-E633-48D5-8B99-D5DE2A01827A}"/>
    <cellStyle name="Normal 4 4 2 3 4 2 3" xfId="11954" xr:uid="{939A8BDA-BA37-46CE-961A-95EBD76D1FF8}"/>
    <cellStyle name="Normal 4 4 2 3 4 3" xfId="5585" xr:uid="{00000000-0005-0000-0000-000032150000}"/>
    <cellStyle name="Normal 4 4 2 3 4 3 2" xfId="14027" xr:uid="{560B2651-D586-4ED4-9B3C-0B14F9A41A3C}"/>
    <cellStyle name="Normal 4 4 2 3 4 4" xfId="9809" xr:uid="{758059D2-3A82-4DC3-8A35-C321BD549610}"/>
    <cellStyle name="Normal 4 4 2 3 5" xfId="1690" xr:uid="{00000000-0005-0000-0000-000033150000}"/>
    <cellStyle name="Normal 4 4 2 3 5 2" xfId="3920" xr:uid="{00000000-0005-0000-0000-000034150000}"/>
    <cellStyle name="Normal 4 4 2 3 5 2 2" xfId="8143" xr:uid="{00000000-0005-0000-0000-000035150000}"/>
    <cellStyle name="Normal 4 4 2 3 5 2 2 2" xfId="16585" xr:uid="{3F4221F2-7F4D-4BC0-8319-640333BF7324}"/>
    <cellStyle name="Normal 4 4 2 3 5 2 3" xfId="12367" xr:uid="{66A234EC-3041-413A-9CD6-0989F546FC4A}"/>
    <cellStyle name="Normal 4 4 2 3 5 3" xfId="5998" xr:uid="{00000000-0005-0000-0000-000036150000}"/>
    <cellStyle name="Normal 4 4 2 3 5 3 2" xfId="14440" xr:uid="{E8A1BD44-4A7A-451A-92D7-232AE09BACF8}"/>
    <cellStyle name="Normal 4 4 2 3 5 4" xfId="10222" xr:uid="{60FF6DAA-59F8-4B3F-8629-17A6CA8E55FF}"/>
    <cellStyle name="Normal 4 4 2 3 6" xfId="2104" xr:uid="{00000000-0005-0000-0000-000037150000}"/>
    <cellStyle name="Normal 4 4 2 3 6 2" xfId="4333" xr:uid="{00000000-0005-0000-0000-000038150000}"/>
    <cellStyle name="Normal 4 4 2 3 6 2 2" xfId="8556" xr:uid="{00000000-0005-0000-0000-000039150000}"/>
    <cellStyle name="Normal 4 4 2 3 6 2 2 2" xfId="16998" xr:uid="{422A6C2E-1DB7-4F68-967A-DD65896A4386}"/>
    <cellStyle name="Normal 4 4 2 3 6 2 3" xfId="12780" xr:uid="{242DED92-9A2D-4C4E-AEB0-97ECC9CA71B6}"/>
    <cellStyle name="Normal 4 4 2 3 6 3" xfId="6411" xr:uid="{00000000-0005-0000-0000-00003A150000}"/>
    <cellStyle name="Normal 4 4 2 3 6 3 2" xfId="14853" xr:uid="{FB901358-FA91-4105-A61D-CCF62333F4C7}"/>
    <cellStyle name="Normal 4 4 2 3 6 4" xfId="10635" xr:uid="{69E2C086-DA52-4272-8269-D6E6F602543E}"/>
    <cellStyle name="Normal 4 4 2 3 7" xfId="2540" xr:uid="{00000000-0005-0000-0000-00003B150000}"/>
    <cellStyle name="Normal 4 4 2 3 7 2" xfId="6824" xr:uid="{00000000-0005-0000-0000-00003C150000}"/>
    <cellStyle name="Normal 4 4 2 3 7 2 2" xfId="15266" xr:uid="{F1674C4F-C9A6-4D8B-9A39-8A586502DC43}"/>
    <cellStyle name="Normal 4 4 2 3 7 3" xfId="11048" xr:uid="{951F721C-56BF-421B-A0D9-8D3744350B33}"/>
    <cellStyle name="Normal 4 4 2 3 8" xfId="4759" xr:uid="{00000000-0005-0000-0000-00003D150000}"/>
    <cellStyle name="Normal 4 4 2 3 8 2" xfId="13201" xr:uid="{53C84F65-43A3-4769-8D99-EFDB666A1D03}"/>
    <cellStyle name="Normal 4 4 2 3 9" xfId="8983" xr:uid="{73F2BADF-1CDC-492A-A24E-01C51F2EFB32}"/>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2 2 2" xfId="15761" xr:uid="{7D442C92-E3E4-44A5-87BC-F4CFD0115B75}"/>
    <cellStyle name="Normal 4 4 2 4 2 2 3" xfId="11543" xr:uid="{E1C6DDEF-3958-49C3-B809-968BA24A52F7}"/>
    <cellStyle name="Normal 4 4 2 4 2 3" xfId="5174" xr:uid="{00000000-0005-0000-0000-000042150000}"/>
    <cellStyle name="Normal 4 4 2 4 2 3 2" xfId="13616" xr:uid="{54DBF4F1-0F35-4148-BAE4-792F0541435A}"/>
    <cellStyle name="Normal 4 4 2 4 2 4" xfId="9398" xr:uid="{B583C478-FF0D-47E4-BCF7-6110BA04294D}"/>
    <cellStyle name="Normal 4 4 2 4 3" xfId="1279" xr:uid="{00000000-0005-0000-0000-000043150000}"/>
    <cellStyle name="Normal 4 4 2 4 3 2" xfId="3509" xr:uid="{00000000-0005-0000-0000-000044150000}"/>
    <cellStyle name="Normal 4 4 2 4 3 2 2" xfId="7732" xr:uid="{00000000-0005-0000-0000-000045150000}"/>
    <cellStyle name="Normal 4 4 2 4 3 2 2 2" xfId="16174" xr:uid="{74D27FEA-E9CB-4A5F-BCE4-63E95A42EE07}"/>
    <cellStyle name="Normal 4 4 2 4 3 2 3" xfId="11956" xr:uid="{09B47CF6-7589-467B-8282-AF5135773AE5}"/>
    <cellStyle name="Normal 4 4 2 4 3 3" xfId="5587" xr:uid="{00000000-0005-0000-0000-000046150000}"/>
    <cellStyle name="Normal 4 4 2 4 3 3 2" xfId="14029" xr:uid="{4FF2A362-7924-452D-B2DC-F6E8280FFFEE}"/>
    <cellStyle name="Normal 4 4 2 4 3 4" xfId="9811" xr:uid="{75FABD1E-BFCD-4252-B534-9ADDF05D3D2D}"/>
    <cellStyle name="Normal 4 4 2 4 4" xfId="1692" xr:uid="{00000000-0005-0000-0000-000047150000}"/>
    <cellStyle name="Normal 4 4 2 4 4 2" xfId="3922" xr:uid="{00000000-0005-0000-0000-000048150000}"/>
    <cellStyle name="Normal 4 4 2 4 4 2 2" xfId="8145" xr:uid="{00000000-0005-0000-0000-000049150000}"/>
    <cellStyle name="Normal 4 4 2 4 4 2 2 2" xfId="16587" xr:uid="{171288E0-8869-4F03-9993-EE9D88EB7E1C}"/>
    <cellStyle name="Normal 4 4 2 4 4 2 3" xfId="12369" xr:uid="{30860D77-5871-44FF-A181-D25D11A59723}"/>
    <cellStyle name="Normal 4 4 2 4 4 3" xfId="6000" xr:uid="{00000000-0005-0000-0000-00004A150000}"/>
    <cellStyle name="Normal 4 4 2 4 4 3 2" xfId="14442" xr:uid="{3F66682A-B9F5-4B12-B241-77739387A95E}"/>
    <cellStyle name="Normal 4 4 2 4 4 4" xfId="10224" xr:uid="{FDB2F867-C0F5-4A0A-8A6C-64C1167C9AF9}"/>
    <cellStyle name="Normal 4 4 2 4 5" xfId="2106" xr:uid="{00000000-0005-0000-0000-00004B150000}"/>
    <cellStyle name="Normal 4 4 2 4 5 2" xfId="4335" xr:uid="{00000000-0005-0000-0000-00004C150000}"/>
    <cellStyle name="Normal 4 4 2 4 5 2 2" xfId="8558" xr:uid="{00000000-0005-0000-0000-00004D150000}"/>
    <cellStyle name="Normal 4 4 2 4 5 2 2 2" xfId="17000" xr:uid="{D01DAAA9-8916-472F-81AA-B58CD7102B34}"/>
    <cellStyle name="Normal 4 4 2 4 5 2 3" xfId="12782" xr:uid="{03559142-DF5E-4027-8559-08C121E803DD}"/>
    <cellStyle name="Normal 4 4 2 4 5 3" xfId="6413" xr:uid="{00000000-0005-0000-0000-00004E150000}"/>
    <cellStyle name="Normal 4 4 2 4 5 3 2" xfId="14855" xr:uid="{BC16B156-B765-4551-9711-5396A08797CE}"/>
    <cellStyle name="Normal 4 4 2 4 5 4" xfId="10637" xr:uid="{D007E2EB-3903-47E5-870C-EBEEB8DF2090}"/>
    <cellStyle name="Normal 4 4 2 4 6" xfId="2542" xr:uid="{00000000-0005-0000-0000-00004F150000}"/>
    <cellStyle name="Normal 4 4 2 4 6 2" xfId="6826" xr:uid="{00000000-0005-0000-0000-000050150000}"/>
    <cellStyle name="Normal 4 4 2 4 6 2 2" xfId="15268" xr:uid="{CD26BA5D-781D-425C-A18C-559A9B9DBCA2}"/>
    <cellStyle name="Normal 4 4 2 4 6 3" xfId="11050" xr:uid="{80A1DA94-C6A5-44D7-B7ED-D84BBB549B41}"/>
    <cellStyle name="Normal 4 4 2 4 7" xfId="4761" xr:uid="{00000000-0005-0000-0000-000051150000}"/>
    <cellStyle name="Normal 4 4 2 4 7 2" xfId="13203" xr:uid="{BA90FEF8-1429-469B-8A49-67B4CA1EE472}"/>
    <cellStyle name="Normal 4 4 2 4 8" xfId="8985" xr:uid="{4ABEF8CA-1888-42C4-860B-72DB6A43F1CD}"/>
    <cellStyle name="Normal 4 4 2 5" xfId="854" xr:uid="{00000000-0005-0000-0000-000052150000}"/>
    <cellStyle name="Normal 4 4 2 5 2" xfId="3089" xr:uid="{00000000-0005-0000-0000-000053150000}"/>
    <cellStyle name="Normal 4 4 2 5 2 2" xfId="7312" xr:uid="{00000000-0005-0000-0000-000054150000}"/>
    <cellStyle name="Normal 4 4 2 5 2 2 2" xfId="15754" xr:uid="{576D0DDE-BC37-4B54-BCD0-5D544C5698A6}"/>
    <cellStyle name="Normal 4 4 2 5 2 3" xfId="11536" xr:uid="{ECB26404-6038-49FD-BA0A-30FD8B067427}"/>
    <cellStyle name="Normal 4 4 2 5 3" xfId="5167" xr:uid="{00000000-0005-0000-0000-000055150000}"/>
    <cellStyle name="Normal 4 4 2 5 3 2" xfId="13609" xr:uid="{724E3EDD-4622-4D06-A46F-F71A933A6FEF}"/>
    <cellStyle name="Normal 4 4 2 5 4" xfId="9391" xr:uid="{52C094D8-97C2-47CC-BD60-2CDC4FFF9498}"/>
    <cellStyle name="Normal 4 4 2 6" xfId="1272" xr:uid="{00000000-0005-0000-0000-000056150000}"/>
    <cellStyle name="Normal 4 4 2 6 2" xfId="3502" xr:uid="{00000000-0005-0000-0000-000057150000}"/>
    <cellStyle name="Normal 4 4 2 6 2 2" xfId="7725" xr:uid="{00000000-0005-0000-0000-000058150000}"/>
    <cellStyle name="Normal 4 4 2 6 2 2 2" xfId="16167" xr:uid="{A332F0C2-9E70-4C35-908E-E3424F1D0159}"/>
    <cellStyle name="Normal 4 4 2 6 2 3" xfId="11949" xr:uid="{F82AF50F-8222-43B6-9A73-8629626608F7}"/>
    <cellStyle name="Normal 4 4 2 6 3" xfId="5580" xr:uid="{00000000-0005-0000-0000-000059150000}"/>
    <cellStyle name="Normal 4 4 2 6 3 2" xfId="14022" xr:uid="{573C5DCD-34A8-4A5B-B600-6B87D2A2797F}"/>
    <cellStyle name="Normal 4 4 2 6 4" xfId="9804" xr:uid="{F20D8934-6A6A-4F15-9A2F-8860F80388AD}"/>
    <cellStyle name="Normal 4 4 2 7" xfId="1685" xr:uid="{00000000-0005-0000-0000-00005A150000}"/>
    <cellStyle name="Normal 4 4 2 7 2" xfId="3915" xr:uid="{00000000-0005-0000-0000-00005B150000}"/>
    <cellStyle name="Normal 4 4 2 7 2 2" xfId="8138" xr:uid="{00000000-0005-0000-0000-00005C150000}"/>
    <cellStyle name="Normal 4 4 2 7 2 2 2" xfId="16580" xr:uid="{20A1DF44-2820-49B3-B3AE-5BB225E67354}"/>
    <cellStyle name="Normal 4 4 2 7 2 3" xfId="12362" xr:uid="{790EA7A4-F667-4006-9A2C-F616FBBB914F}"/>
    <cellStyle name="Normal 4 4 2 7 3" xfId="5993" xr:uid="{00000000-0005-0000-0000-00005D150000}"/>
    <cellStyle name="Normal 4 4 2 7 3 2" xfId="14435" xr:uid="{D920138C-E822-4DB7-859A-CD3A4DE2BF98}"/>
    <cellStyle name="Normal 4 4 2 7 4" xfId="10217" xr:uid="{E8490225-9182-40B2-A651-AE754507A4B5}"/>
    <cellStyle name="Normal 4 4 2 8" xfId="2099" xr:uid="{00000000-0005-0000-0000-00005E150000}"/>
    <cellStyle name="Normal 4 4 2 8 2" xfId="4328" xr:uid="{00000000-0005-0000-0000-00005F150000}"/>
    <cellStyle name="Normal 4 4 2 8 2 2" xfId="8551" xr:uid="{00000000-0005-0000-0000-000060150000}"/>
    <cellStyle name="Normal 4 4 2 8 2 2 2" xfId="16993" xr:uid="{FAC5C962-9628-4D11-85B8-A2DC10593AAF}"/>
    <cellStyle name="Normal 4 4 2 8 2 3" xfId="12775" xr:uid="{B1A568F8-F245-4899-AE8B-279259E72117}"/>
    <cellStyle name="Normal 4 4 2 8 3" xfId="6406" xr:uid="{00000000-0005-0000-0000-000061150000}"/>
    <cellStyle name="Normal 4 4 2 8 3 2" xfId="14848" xr:uid="{67F5CA92-A59A-4EA4-BDB0-5DA11B5A2E03}"/>
    <cellStyle name="Normal 4 4 2 8 4" xfId="10630" xr:uid="{60204981-19D8-4268-8B63-E1BC4B0033DC}"/>
    <cellStyle name="Normal 4 4 2 9" xfId="2535" xr:uid="{00000000-0005-0000-0000-000062150000}"/>
    <cellStyle name="Normal 4 4 2 9 2" xfId="6819" xr:uid="{00000000-0005-0000-0000-000063150000}"/>
    <cellStyle name="Normal 4 4 2 9 2 2" xfId="15261" xr:uid="{AC13A00E-6785-4DB0-99BB-1B79F39DDEDE}"/>
    <cellStyle name="Normal 4 4 2 9 3" xfId="11043" xr:uid="{A3DEB0D3-9C8C-4DB7-88C5-E59BC201BE39}"/>
    <cellStyle name="Normal 4 4 3" xfId="387" xr:uid="{00000000-0005-0000-0000-000064150000}"/>
    <cellStyle name="Normal 4 4 3 10" xfId="8986" xr:uid="{482F49FB-85FE-4206-B13E-D2A61186DCF7}"/>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2 2 2" xfId="15764" xr:uid="{7B879270-3B5A-4AE0-893B-665857E780DE}"/>
    <cellStyle name="Normal 4 4 3 2 2 2 2 3" xfId="11546" xr:uid="{2E30FD5C-401A-4F63-BC99-471C03A21F2A}"/>
    <cellStyle name="Normal 4 4 3 2 2 2 3" xfId="5177" xr:uid="{00000000-0005-0000-0000-00006A150000}"/>
    <cellStyle name="Normal 4 4 3 2 2 2 3 2" xfId="13619" xr:uid="{DD475F39-F8F1-46BC-B234-4FBB96230ADB}"/>
    <cellStyle name="Normal 4 4 3 2 2 2 4" xfId="9401" xr:uid="{B86A08F1-5C9B-4EC3-834D-91EF22C5D801}"/>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2 2 2" xfId="16177" xr:uid="{DC3B864F-6496-4A1F-9103-6412529F0759}"/>
    <cellStyle name="Normal 4 4 3 2 2 3 2 3" xfId="11959" xr:uid="{B9889234-45DD-4993-A2D7-320A4934E6DF}"/>
    <cellStyle name="Normal 4 4 3 2 2 3 3" xfId="5590" xr:uid="{00000000-0005-0000-0000-00006E150000}"/>
    <cellStyle name="Normal 4 4 3 2 2 3 3 2" xfId="14032" xr:uid="{4C48AB04-E2A3-42DF-A5A9-9CDE0B86BAB5}"/>
    <cellStyle name="Normal 4 4 3 2 2 3 4" xfId="9814" xr:uid="{5F236086-D972-4992-9C1E-89638DAEC1B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2 2 2" xfId="16590" xr:uid="{7967413A-25A4-4B67-AF86-53BC84024AB8}"/>
    <cellStyle name="Normal 4 4 3 2 2 4 2 3" xfId="12372" xr:uid="{AB18EE1F-BB50-4BED-8B07-8B655A38A722}"/>
    <cellStyle name="Normal 4 4 3 2 2 4 3" xfId="6003" xr:uid="{00000000-0005-0000-0000-000072150000}"/>
    <cellStyle name="Normal 4 4 3 2 2 4 3 2" xfId="14445" xr:uid="{E9DA2441-FD60-4382-9543-EE795F3AB290}"/>
    <cellStyle name="Normal 4 4 3 2 2 4 4" xfId="10227" xr:uid="{33B43FCB-269B-47AE-9B25-53D0F82CD5C1}"/>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2 2 2" xfId="17003" xr:uid="{DC814180-4E41-4035-A556-3674800E1754}"/>
    <cellStyle name="Normal 4 4 3 2 2 5 2 3" xfId="12785" xr:uid="{51773DF1-5BC9-4E65-A472-644C15C65B3F}"/>
    <cellStyle name="Normal 4 4 3 2 2 5 3" xfId="6416" xr:uid="{00000000-0005-0000-0000-000076150000}"/>
    <cellStyle name="Normal 4 4 3 2 2 5 3 2" xfId="14858" xr:uid="{7D4A0A75-6E3E-4EB0-AF3E-06722A0294F5}"/>
    <cellStyle name="Normal 4 4 3 2 2 5 4" xfId="10640" xr:uid="{92F5E829-AA3A-41B6-8E9C-92FEE945F4C1}"/>
    <cellStyle name="Normal 4 4 3 2 2 6" xfId="2545" xr:uid="{00000000-0005-0000-0000-000077150000}"/>
    <cellStyle name="Normal 4 4 3 2 2 6 2" xfId="6829" xr:uid="{00000000-0005-0000-0000-000078150000}"/>
    <cellStyle name="Normal 4 4 3 2 2 6 2 2" xfId="15271" xr:uid="{C77B2692-C806-4A0A-8152-0A972CC980FE}"/>
    <cellStyle name="Normal 4 4 3 2 2 6 3" xfId="11053" xr:uid="{C6080C02-C6A0-4CAB-B7C2-E95092CA82A3}"/>
    <cellStyle name="Normal 4 4 3 2 2 7" xfId="4764" xr:uid="{00000000-0005-0000-0000-000079150000}"/>
    <cellStyle name="Normal 4 4 3 2 2 7 2" xfId="13206" xr:uid="{F1194F9E-8732-46D4-AB4B-10A9885C41DD}"/>
    <cellStyle name="Normal 4 4 3 2 2 8" xfId="8988" xr:uid="{A10F362B-086E-4759-9C98-F72C6E96EEA9}"/>
    <cellStyle name="Normal 4 4 3 2 3" xfId="863" xr:uid="{00000000-0005-0000-0000-00007A150000}"/>
    <cellStyle name="Normal 4 4 3 2 3 2" xfId="3098" xr:uid="{00000000-0005-0000-0000-00007B150000}"/>
    <cellStyle name="Normal 4 4 3 2 3 2 2" xfId="7321" xr:uid="{00000000-0005-0000-0000-00007C150000}"/>
    <cellStyle name="Normal 4 4 3 2 3 2 2 2" xfId="15763" xr:uid="{CCCEE3AF-0006-4D61-A167-74BB063569E2}"/>
    <cellStyle name="Normal 4 4 3 2 3 2 3" xfId="11545" xr:uid="{A912A9D1-A590-4D05-B0D7-C108B04EB6A7}"/>
    <cellStyle name="Normal 4 4 3 2 3 3" xfId="5176" xr:uid="{00000000-0005-0000-0000-00007D150000}"/>
    <cellStyle name="Normal 4 4 3 2 3 3 2" xfId="13618" xr:uid="{54820A30-4CCB-4142-9866-6D23C861A7FC}"/>
    <cellStyle name="Normal 4 4 3 2 3 4" xfId="9400" xr:uid="{F9D3DB9C-DCE8-4CC4-B94B-3FC46E5248E8}"/>
    <cellStyle name="Normal 4 4 3 2 4" xfId="1281" xr:uid="{00000000-0005-0000-0000-00007E150000}"/>
    <cellStyle name="Normal 4 4 3 2 4 2" xfId="3511" xr:uid="{00000000-0005-0000-0000-00007F150000}"/>
    <cellStyle name="Normal 4 4 3 2 4 2 2" xfId="7734" xr:uid="{00000000-0005-0000-0000-000080150000}"/>
    <cellStyle name="Normal 4 4 3 2 4 2 2 2" xfId="16176" xr:uid="{AA726DD0-CFA4-439D-AB76-84FB0B9E0AB4}"/>
    <cellStyle name="Normal 4 4 3 2 4 2 3" xfId="11958" xr:uid="{E27F8093-D948-40BA-8A0C-5BAC902C3514}"/>
    <cellStyle name="Normal 4 4 3 2 4 3" xfId="5589" xr:uid="{00000000-0005-0000-0000-000081150000}"/>
    <cellStyle name="Normal 4 4 3 2 4 3 2" xfId="14031" xr:uid="{4BD107FA-D69C-4D81-80C6-33D02F7428F2}"/>
    <cellStyle name="Normal 4 4 3 2 4 4" xfId="9813" xr:uid="{52DEAF2F-1BB3-494E-AAD1-FB20E7EC28B2}"/>
    <cellStyle name="Normal 4 4 3 2 5" xfId="1694" xr:uid="{00000000-0005-0000-0000-000082150000}"/>
    <cellStyle name="Normal 4 4 3 2 5 2" xfId="3924" xr:uid="{00000000-0005-0000-0000-000083150000}"/>
    <cellStyle name="Normal 4 4 3 2 5 2 2" xfId="8147" xr:uid="{00000000-0005-0000-0000-000084150000}"/>
    <cellStyle name="Normal 4 4 3 2 5 2 2 2" xfId="16589" xr:uid="{712E26F5-3A6F-417B-8542-DA4610C311E0}"/>
    <cellStyle name="Normal 4 4 3 2 5 2 3" xfId="12371" xr:uid="{51A025CF-4F17-41E2-98E8-DF1925A7AAC0}"/>
    <cellStyle name="Normal 4 4 3 2 5 3" xfId="6002" xr:uid="{00000000-0005-0000-0000-000085150000}"/>
    <cellStyle name="Normal 4 4 3 2 5 3 2" xfId="14444" xr:uid="{6B6DB0CE-417F-448B-8255-AF1AFA1568A0}"/>
    <cellStyle name="Normal 4 4 3 2 5 4" xfId="10226" xr:uid="{A9BD05F5-9398-4792-8F3C-B37ECDB4B3F7}"/>
    <cellStyle name="Normal 4 4 3 2 6" xfId="2108" xr:uid="{00000000-0005-0000-0000-000086150000}"/>
    <cellStyle name="Normal 4 4 3 2 6 2" xfId="4337" xr:uid="{00000000-0005-0000-0000-000087150000}"/>
    <cellStyle name="Normal 4 4 3 2 6 2 2" xfId="8560" xr:uid="{00000000-0005-0000-0000-000088150000}"/>
    <cellStyle name="Normal 4 4 3 2 6 2 2 2" xfId="17002" xr:uid="{8D64DBF8-2A22-4FD3-8F23-0A585E566C0B}"/>
    <cellStyle name="Normal 4 4 3 2 6 2 3" xfId="12784" xr:uid="{4E1DA3C6-C080-41BC-9A49-B9FD363ABDA2}"/>
    <cellStyle name="Normal 4 4 3 2 6 3" xfId="6415" xr:uid="{00000000-0005-0000-0000-000089150000}"/>
    <cellStyle name="Normal 4 4 3 2 6 3 2" xfId="14857" xr:uid="{ECC68964-8A25-42CD-9022-E545FB08F4DC}"/>
    <cellStyle name="Normal 4 4 3 2 6 4" xfId="10639" xr:uid="{60432D7A-83C9-4CEC-9A02-C81549F66468}"/>
    <cellStyle name="Normal 4 4 3 2 7" xfId="2544" xr:uid="{00000000-0005-0000-0000-00008A150000}"/>
    <cellStyle name="Normal 4 4 3 2 7 2" xfId="6828" xr:uid="{00000000-0005-0000-0000-00008B150000}"/>
    <cellStyle name="Normal 4 4 3 2 7 2 2" xfId="15270" xr:uid="{40D97535-B8C9-4F7B-BE91-8251760A209E}"/>
    <cellStyle name="Normal 4 4 3 2 7 3" xfId="11052" xr:uid="{1BA7003D-B775-4D91-8E3C-D3C9AF40AF6F}"/>
    <cellStyle name="Normal 4 4 3 2 8" xfId="4763" xr:uid="{00000000-0005-0000-0000-00008C150000}"/>
    <cellStyle name="Normal 4 4 3 2 8 2" xfId="13205" xr:uid="{C9BEE442-4DA7-4410-9F19-F064FBE780E4}"/>
    <cellStyle name="Normal 4 4 3 2 9" xfId="8987" xr:uid="{465EAF65-45D1-4F17-A4C6-1557FD2D0EAD}"/>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2 2 2" xfId="15765" xr:uid="{27E43E9B-178F-4E88-8FAC-0123D21364C2}"/>
    <cellStyle name="Normal 4 4 3 3 2 2 3" xfId="11547" xr:uid="{3EFAC3B4-C37A-42FB-8AB6-9095E03D0406}"/>
    <cellStyle name="Normal 4 4 3 3 2 3" xfId="5178" xr:uid="{00000000-0005-0000-0000-000091150000}"/>
    <cellStyle name="Normal 4 4 3 3 2 3 2" xfId="13620" xr:uid="{30A435EC-3D29-4946-9AD9-D590DD87A6C2}"/>
    <cellStyle name="Normal 4 4 3 3 2 4" xfId="9402" xr:uid="{64066D6A-A87E-4DD0-9654-45F1C929632B}"/>
    <cellStyle name="Normal 4 4 3 3 3" xfId="1283" xr:uid="{00000000-0005-0000-0000-000092150000}"/>
    <cellStyle name="Normal 4 4 3 3 3 2" xfId="3513" xr:uid="{00000000-0005-0000-0000-000093150000}"/>
    <cellStyle name="Normal 4 4 3 3 3 2 2" xfId="7736" xr:uid="{00000000-0005-0000-0000-000094150000}"/>
    <cellStyle name="Normal 4 4 3 3 3 2 2 2" xfId="16178" xr:uid="{56E50BA1-5F53-436B-9610-CE9EC623F6EC}"/>
    <cellStyle name="Normal 4 4 3 3 3 2 3" xfId="11960" xr:uid="{B8C0A185-7E27-4F0A-ADF0-47D9CBBB09ED}"/>
    <cellStyle name="Normal 4 4 3 3 3 3" xfId="5591" xr:uid="{00000000-0005-0000-0000-000095150000}"/>
    <cellStyle name="Normal 4 4 3 3 3 3 2" xfId="14033" xr:uid="{CBEAFC61-038F-4374-803A-1870E87D6701}"/>
    <cellStyle name="Normal 4 4 3 3 3 4" xfId="9815" xr:uid="{06240A77-4CE6-4EE9-953D-8AC6CDB679F3}"/>
    <cellStyle name="Normal 4 4 3 3 4" xfId="1696" xr:uid="{00000000-0005-0000-0000-000096150000}"/>
    <cellStyle name="Normal 4 4 3 3 4 2" xfId="3926" xr:uid="{00000000-0005-0000-0000-000097150000}"/>
    <cellStyle name="Normal 4 4 3 3 4 2 2" xfId="8149" xr:uid="{00000000-0005-0000-0000-000098150000}"/>
    <cellStyle name="Normal 4 4 3 3 4 2 2 2" xfId="16591" xr:uid="{5047B6FE-55F1-4A7C-A0CF-3CAD3A580ED3}"/>
    <cellStyle name="Normal 4 4 3 3 4 2 3" xfId="12373" xr:uid="{3E60868B-79CA-4AB1-9E6C-06FAC0785D4B}"/>
    <cellStyle name="Normal 4 4 3 3 4 3" xfId="6004" xr:uid="{00000000-0005-0000-0000-000099150000}"/>
    <cellStyle name="Normal 4 4 3 3 4 3 2" xfId="14446" xr:uid="{3D508F2B-25F5-4F15-939E-3B8279093278}"/>
    <cellStyle name="Normal 4 4 3 3 4 4" xfId="10228" xr:uid="{F8EA4D3F-0D93-495F-B8DF-08FCF8C7488F}"/>
    <cellStyle name="Normal 4 4 3 3 5" xfId="2110" xr:uid="{00000000-0005-0000-0000-00009A150000}"/>
    <cellStyle name="Normal 4 4 3 3 5 2" xfId="4339" xr:uid="{00000000-0005-0000-0000-00009B150000}"/>
    <cellStyle name="Normal 4 4 3 3 5 2 2" xfId="8562" xr:uid="{00000000-0005-0000-0000-00009C150000}"/>
    <cellStyle name="Normal 4 4 3 3 5 2 2 2" xfId="17004" xr:uid="{84F82D1F-3A6D-4B90-AA75-E5A2119AA71D}"/>
    <cellStyle name="Normal 4 4 3 3 5 2 3" xfId="12786" xr:uid="{FC76B796-9C12-46D4-9F2C-ACCE72DF7D6C}"/>
    <cellStyle name="Normal 4 4 3 3 5 3" xfId="6417" xr:uid="{00000000-0005-0000-0000-00009D150000}"/>
    <cellStyle name="Normal 4 4 3 3 5 3 2" xfId="14859" xr:uid="{19029C5C-60D0-46C3-B9BA-966AECBC3D1A}"/>
    <cellStyle name="Normal 4 4 3 3 5 4" xfId="10641" xr:uid="{1D1FE0CD-5E55-474A-B542-BC8A20CC30CB}"/>
    <cellStyle name="Normal 4 4 3 3 6" xfId="2546" xr:uid="{00000000-0005-0000-0000-00009E150000}"/>
    <cellStyle name="Normal 4 4 3 3 6 2" xfId="6830" xr:uid="{00000000-0005-0000-0000-00009F150000}"/>
    <cellStyle name="Normal 4 4 3 3 6 2 2" xfId="15272" xr:uid="{CFF626F7-B7FF-4297-96BD-1A884F75FA14}"/>
    <cellStyle name="Normal 4 4 3 3 6 3" xfId="11054" xr:uid="{633886C0-9DA7-484C-89BE-90C188E62226}"/>
    <cellStyle name="Normal 4 4 3 3 7" xfId="4765" xr:uid="{00000000-0005-0000-0000-0000A0150000}"/>
    <cellStyle name="Normal 4 4 3 3 7 2" xfId="13207" xr:uid="{DDACF2FA-52DC-4C4F-8D8D-6A192571990F}"/>
    <cellStyle name="Normal 4 4 3 3 8" xfId="8989" xr:uid="{C6E76E7E-2E5C-4636-939D-4A84D0C4ADD7}"/>
    <cellStyle name="Normal 4 4 3 4" xfId="862" xr:uid="{00000000-0005-0000-0000-0000A1150000}"/>
    <cellStyle name="Normal 4 4 3 4 2" xfId="3097" xr:uid="{00000000-0005-0000-0000-0000A2150000}"/>
    <cellStyle name="Normal 4 4 3 4 2 2" xfId="7320" xr:uid="{00000000-0005-0000-0000-0000A3150000}"/>
    <cellStyle name="Normal 4 4 3 4 2 2 2" xfId="15762" xr:uid="{643A60C4-D8AD-4D8C-8F35-116DA77350B2}"/>
    <cellStyle name="Normal 4 4 3 4 2 3" xfId="11544" xr:uid="{D30F5B0C-B920-4B0A-A1B9-53B9577AF4D9}"/>
    <cellStyle name="Normal 4 4 3 4 3" xfId="5175" xr:uid="{00000000-0005-0000-0000-0000A4150000}"/>
    <cellStyle name="Normal 4 4 3 4 3 2" xfId="13617" xr:uid="{FF26FEB3-4AD7-40AC-9A7D-A6E8B10FFEC5}"/>
    <cellStyle name="Normal 4 4 3 4 4" xfId="9399" xr:uid="{43890F41-38F3-4B72-8E9E-581033B81A3B}"/>
    <cellStyle name="Normal 4 4 3 5" xfId="1280" xr:uid="{00000000-0005-0000-0000-0000A5150000}"/>
    <cellStyle name="Normal 4 4 3 5 2" xfId="3510" xr:uid="{00000000-0005-0000-0000-0000A6150000}"/>
    <cellStyle name="Normal 4 4 3 5 2 2" xfId="7733" xr:uid="{00000000-0005-0000-0000-0000A7150000}"/>
    <cellStyle name="Normal 4 4 3 5 2 2 2" xfId="16175" xr:uid="{D0CE2EE0-BA92-49DF-A1D7-4A9A7D84A5CE}"/>
    <cellStyle name="Normal 4 4 3 5 2 3" xfId="11957" xr:uid="{E86C5EB7-647E-42C4-83D3-A7FA3E83AC75}"/>
    <cellStyle name="Normal 4 4 3 5 3" xfId="5588" xr:uid="{00000000-0005-0000-0000-0000A8150000}"/>
    <cellStyle name="Normal 4 4 3 5 3 2" xfId="14030" xr:uid="{8032EBA8-F9CF-4981-86FC-79B5B0197B97}"/>
    <cellStyle name="Normal 4 4 3 5 4" xfId="9812" xr:uid="{9537667A-0A16-4761-B99A-FE55AB742410}"/>
    <cellStyle name="Normal 4 4 3 6" xfId="1693" xr:uid="{00000000-0005-0000-0000-0000A9150000}"/>
    <cellStyle name="Normal 4 4 3 6 2" xfId="3923" xr:uid="{00000000-0005-0000-0000-0000AA150000}"/>
    <cellStyle name="Normal 4 4 3 6 2 2" xfId="8146" xr:uid="{00000000-0005-0000-0000-0000AB150000}"/>
    <cellStyle name="Normal 4 4 3 6 2 2 2" xfId="16588" xr:uid="{4574C223-4A60-4D17-9A5A-AA154D7F51A8}"/>
    <cellStyle name="Normal 4 4 3 6 2 3" xfId="12370" xr:uid="{39A5E552-91A4-423C-AE25-E144AB8D8F45}"/>
    <cellStyle name="Normal 4 4 3 6 3" xfId="6001" xr:uid="{00000000-0005-0000-0000-0000AC150000}"/>
    <cellStyle name="Normal 4 4 3 6 3 2" xfId="14443" xr:uid="{3B06258F-0147-44BC-8106-3B115128E518}"/>
    <cellStyle name="Normal 4 4 3 6 4" xfId="10225" xr:uid="{62152159-7FAE-4625-8047-29C5DF16FB96}"/>
    <cellStyle name="Normal 4 4 3 7" xfId="2107" xr:uid="{00000000-0005-0000-0000-0000AD150000}"/>
    <cellStyle name="Normal 4 4 3 7 2" xfId="4336" xr:uid="{00000000-0005-0000-0000-0000AE150000}"/>
    <cellStyle name="Normal 4 4 3 7 2 2" xfId="8559" xr:uid="{00000000-0005-0000-0000-0000AF150000}"/>
    <cellStyle name="Normal 4 4 3 7 2 2 2" xfId="17001" xr:uid="{C02E0CA5-B87F-4A47-9E50-B3E91D8BA08A}"/>
    <cellStyle name="Normal 4 4 3 7 2 3" xfId="12783" xr:uid="{206E37DC-AA1E-4F62-A9FF-EFE0D9CA16CF}"/>
    <cellStyle name="Normal 4 4 3 7 3" xfId="6414" xr:uid="{00000000-0005-0000-0000-0000B0150000}"/>
    <cellStyle name="Normal 4 4 3 7 3 2" xfId="14856" xr:uid="{9DDB03F2-0A43-4660-987C-26495C4D6511}"/>
    <cellStyle name="Normal 4 4 3 7 4" xfId="10638" xr:uid="{0AE79651-74F6-466B-9CEF-A6A61D1A3384}"/>
    <cellStyle name="Normal 4 4 3 8" xfId="2543" xr:uid="{00000000-0005-0000-0000-0000B1150000}"/>
    <cellStyle name="Normal 4 4 3 8 2" xfId="6827" xr:uid="{00000000-0005-0000-0000-0000B2150000}"/>
    <cellStyle name="Normal 4 4 3 8 2 2" xfId="15269" xr:uid="{B8DB3F02-7C92-485E-8456-D34A8B03D420}"/>
    <cellStyle name="Normal 4 4 3 8 3" xfId="11051" xr:uid="{E129E44F-BAF4-4AA3-8532-73118F4A4DAC}"/>
    <cellStyle name="Normal 4 4 3 9" xfId="4762" xr:uid="{00000000-0005-0000-0000-0000B3150000}"/>
    <cellStyle name="Normal 4 4 3 9 2" xfId="13204" xr:uid="{1ED30829-3A07-4ED4-9A48-DB80EE768563}"/>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2 2 2" xfId="15767" xr:uid="{E6967C2C-5AED-40AC-AA3F-E5CCA022E9E4}"/>
    <cellStyle name="Normal 4 4 4 2 2 2 3" xfId="11549" xr:uid="{C972FCC8-B46E-4C2C-B13F-9CD92D744D24}"/>
    <cellStyle name="Normal 4 4 4 2 2 3" xfId="5180" xr:uid="{00000000-0005-0000-0000-0000B9150000}"/>
    <cellStyle name="Normal 4 4 4 2 2 3 2" xfId="13622" xr:uid="{59D6A566-7E7D-43AF-8418-E4A00F8FC03E}"/>
    <cellStyle name="Normal 4 4 4 2 2 4" xfId="9404" xr:uid="{AB09BF78-26B0-40BD-AAC9-5071E489AFA5}"/>
    <cellStyle name="Normal 4 4 4 2 3" xfId="1285" xr:uid="{00000000-0005-0000-0000-0000BA150000}"/>
    <cellStyle name="Normal 4 4 4 2 3 2" xfId="3515" xr:uid="{00000000-0005-0000-0000-0000BB150000}"/>
    <cellStyle name="Normal 4 4 4 2 3 2 2" xfId="7738" xr:uid="{00000000-0005-0000-0000-0000BC150000}"/>
    <cellStyle name="Normal 4 4 4 2 3 2 2 2" xfId="16180" xr:uid="{A893755E-E65B-4935-B195-386D59A7669A}"/>
    <cellStyle name="Normal 4 4 4 2 3 2 3" xfId="11962" xr:uid="{555B60E5-18DB-4E56-ACCF-1E022ED866D8}"/>
    <cellStyle name="Normal 4 4 4 2 3 3" xfId="5593" xr:uid="{00000000-0005-0000-0000-0000BD150000}"/>
    <cellStyle name="Normal 4 4 4 2 3 3 2" xfId="14035" xr:uid="{C0C0CB81-6A9D-496E-9D0B-13855F7C750D}"/>
    <cellStyle name="Normal 4 4 4 2 3 4" xfId="9817" xr:uid="{DD95E089-C176-4EF5-A964-C0E74D24BF30}"/>
    <cellStyle name="Normal 4 4 4 2 4" xfId="1698" xr:uid="{00000000-0005-0000-0000-0000BE150000}"/>
    <cellStyle name="Normal 4 4 4 2 4 2" xfId="3928" xr:uid="{00000000-0005-0000-0000-0000BF150000}"/>
    <cellStyle name="Normal 4 4 4 2 4 2 2" xfId="8151" xr:uid="{00000000-0005-0000-0000-0000C0150000}"/>
    <cellStyle name="Normal 4 4 4 2 4 2 2 2" xfId="16593" xr:uid="{FFF7A7C4-213B-4BEF-AA68-F05A32DEC749}"/>
    <cellStyle name="Normal 4 4 4 2 4 2 3" xfId="12375" xr:uid="{0E3EDC32-0830-4297-A75C-9C055E125C0B}"/>
    <cellStyle name="Normal 4 4 4 2 4 3" xfId="6006" xr:uid="{00000000-0005-0000-0000-0000C1150000}"/>
    <cellStyle name="Normal 4 4 4 2 4 3 2" xfId="14448" xr:uid="{02C39DF0-E077-4A43-809F-A175B6CFFE81}"/>
    <cellStyle name="Normal 4 4 4 2 4 4" xfId="10230" xr:uid="{28545F10-0CB3-45DE-8E71-F5065A6E87E1}"/>
    <cellStyle name="Normal 4 4 4 2 5" xfId="2112" xr:uid="{00000000-0005-0000-0000-0000C2150000}"/>
    <cellStyle name="Normal 4 4 4 2 5 2" xfId="4341" xr:uid="{00000000-0005-0000-0000-0000C3150000}"/>
    <cellStyle name="Normal 4 4 4 2 5 2 2" xfId="8564" xr:uid="{00000000-0005-0000-0000-0000C4150000}"/>
    <cellStyle name="Normal 4 4 4 2 5 2 2 2" xfId="17006" xr:uid="{92574006-9991-4B52-94B9-A50446059649}"/>
    <cellStyle name="Normal 4 4 4 2 5 2 3" xfId="12788" xr:uid="{0E51C1FB-AD79-48D0-AA24-E55DFFA30F2A}"/>
    <cellStyle name="Normal 4 4 4 2 5 3" xfId="6419" xr:uid="{00000000-0005-0000-0000-0000C5150000}"/>
    <cellStyle name="Normal 4 4 4 2 5 3 2" xfId="14861" xr:uid="{4053C8DF-B333-45FD-AE33-209A1FC7BCE5}"/>
    <cellStyle name="Normal 4 4 4 2 5 4" xfId="10643" xr:uid="{64C521C4-A077-477D-9752-A0E6AC013CE1}"/>
    <cellStyle name="Normal 4 4 4 2 6" xfId="2548" xr:uid="{00000000-0005-0000-0000-0000C6150000}"/>
    <cellStyle name="Normal 4 4 4 2 6 2" xfId="6832" xr:uid="{00000000-0005-0000-0000-0000C7150000}"/>
    <cellStyle name="Normal 4 4 4 2 6 2 2" xfId="15274" xr:uid="{D9D74DE2-D186-4A2A-8BB8-F1F47DD015D3}"/>
    <cellStyle name="Normal 4 4 4 2 6 3" xfId="11056" xr:uid="{CA524483-F727-49DE-A0CE-9A355D60D061}"/>
    <cellStyle name="Normal 4 4 4 2 7" xfId="4767" xr:uid="{00000000-0005-0000-0000-0000C8150000}"/>
    <cellStyle name="Normal 4 4 4 2 7 2" xfId="13209" xr:uid="{34672AC0-F5E2-4E93-8D2C-E3BAE94E6E06}"/>
    <cellStyle name="Normal 4 4 4 2 8" xfId="8991" xr:uid="{5FCD3498-D727-4B44-BD8D-A5DCE152CED7}"/>
    <cellStyle name="Normal 4 4 4 3" xfId="866" xr:uid="{00000000-0005-0000-0000-0000C9150000}"/>
    <cellStyle name="Normal 4 4 4 3 2" xfId="3101" xr:uid="{00000000-0005-0000-0000-0000CA150000}"/>
    <cellStyle name="Normal 4 4 4 3 2 2" xfId="7324" xr:uid="{00000000-0005-0000-0000-0000CB150000}"/>
    <cellStyle name="Normal 4 4 4 3 2 2 2" xfId="15766" xr:uid="{28F1C20A-EE17-499E-ADF0-6F745942EE72}"/>
    <cellStyle name="Normal 4 4 4 3 2 3" xfId="11548" xr:uid="{F6ACD83C-FB2A-42A0-9679-21D461A5B262}"/>
    <cellStyle name="Normal 4 4 4 3 3" xfId="5179" xr:uid="{00000000-0005-0000-0000-0000CC150000}"/>
    <cellStyle name="Normal 4 4 4 3 3 2" xfId="13621" xr:uid="{C7A0DBA5-4974-42C1-9902-F39CB702186B}"/>
    <cellStyle name="Normal 4 4 4 3 4" xfId="9403" xr:uid="{A5A91A2D-942B-4128-8A47-B79F6DE86866}"/>
    <cellStyle name="Normal 4 4 4 4" xfId="1284" xr:uid="{00000000-0005-0000-0000-0000CD150000}"/>
    <cellStyle name="Normal 4 4 4 4 2" xfId="3514" xr:uid="{00000000-0005-0000-0000-0000CE150000}"/>
    <cellStyle name="Normal 4 4 4 4 2 2" xfId="7737" xr:uid="{00000000-0005-0000-0000-0000CF150000}"/>
    <cellStyle name="Normal 4 4 4 4 2 2 2" xfId="16179" xr:uid="{3565B9F3-3C09-42FA-95B8-6714D461B177}"/>
    <cellStyle name="Normal 4 4 4 4 2 3" xfId="11961" xr:uid="{8D4B26B6-3001-46B5-961C-FA1B208274DF}"/>
    <cellStyle name="Normal 4 4 4 4 3" xfId="5592" xr:uid="{00000000-0005-0000-0000-0000D0150000}"/>
    <cellStyle name="Normal 4 4 4 4 3 2" xfId="14034" xr:uid="{D52DC60D-6704-48F6-9DED-F8A682837226}"/>
    <cellStyle name="Normal 4 4 4 4 4" xfId="9816" xr:uid="{FAEAF1C4-319C-45DE-8DE9-9A5C4EB33E0D}"/>
    <cellStyle name="Normal 4 4 4 5" xfId="1697" xr:uid="{00000000-0005-0000-0000-0000D1150000}"/>
    <cellStyle name="Normal 4 4 4 5 2" xfId="3927" xr:uid="{00000000-0005-0000-0000-0000D2150000}"/>
    <cellStyle name="Normal 4 4 4 5 2 2" xfId="8150" xr:uid="{00000000-0005-0000-0000-0000D3150000}"/>
    <cellStyle name="Normal 4 4 4 5 2 2 2" xfId="16592" xr:uid="{6E1F8C7B-6A0A-4EA9-94DE-1BD64DCD790C}"/>
    <cellStyle name="Normal 4 4 4 5 2 3" xfId="12374" xr:uid="{B3156949-62FE-4D3F-BDD5-F2B83BF3A98F}"/>
    <cellStyle name="Normal 4 4 4 5 3" xfId="6005" xr:uid="{00000000-0005-0000-0000-0000D4150000}"/>
    <cellStyle name="Normal 4 4 4 5 3 2" xfId="14447" xr:uid="{021061EC-B5A9-45F7-97CE-B0FEAFFD3B3B}"/>
    <cellStyle name="Normal 4 4 4 5 4" xfId="10229" xr:uid="{1EB7DBDD-0EDC-404D-BE14-4A2D87EB4229}"/>
    <cellStyle name="Normal 4 4 4 6" xfId="2111" xr:uid="{00000000-0005-0000-0000-0000D5150000}"/>
    <cellStyle name="Normal 4 4 4 6 2" xfId="4340" xr:uid="{00000000-0005-0000-0000-0000D6150000}"/>
    <cellStyle name="Normal 4 4 4 6 2 2" xfId="8563" xr:uid="{00000000-0005-0000-0000-0000D7150000}"/>
    <cellStyle name="Normal 4 4 4 6 2 2 2" xfId="17005" xr:uid="{DC22A6F4-3DBD-4386-914E-75CC4679258C}"/>
    <cellStyle name="Normal 4 4 4 6 2 3" xfId="12787" xr:uid="{A70970D1-85AF-4F81-955C-7E1B810EF630}"/>
    <cellStyle name="Normal 4 4 4 6 3" xfId="6418" xr:uid="{00000000-0005-0000-0000-0000D8150000}"/>
    <cellStyle name="Normal 4 4 4 6 3 2" xfId="14860" xr:uid="{BDFF85A9-2694-4FDB-9FA4-8F06945106A0}"/>
    <cellStyle name="Normal 4 4 4 6 4" xfId="10642" xr:uid="{B3D0B644-1B41-4935-9DE7-3CE74F2EA1FE}"/>
    <cellStyle name="Normal 4 4 4 7" xfId="2547" xr:uid="{00000000-0005-0000-0000-0000D9150000}"/>
    <cellStyle name="Normal 4 4 4 7 2" xfId="6831" xr:uid="{00000000-0005-0000-0000-0000DA150000}"/>
    <cellStyle name="Normal 4 4 4 7 2 2" xfId="15273" xr:uid="{15539820-83FE-4372-897A-1998C976E4F4}"/>
    <cellStyle name="Normal 4 4 4 7 3" xfId="11055" xr:uid="{8D443DFF-614B-4FF8-A829-F1EA08780645}"/>
    <cellStyle name="Normal 4 4 4 8" xfId="4766" xr:uid="{00000000-0005-0000-0000-0000DB150000}"/>
    <cellStyle name="Normal 4 4 4 8 2" xfId="13208" xr:uid="{500234C4-EC0A-45D2-9BA0-745D2CF638BC}"/>
    <cellStyle name="Normal 4 4 4 9" xfId="8990" xr:uid="{BAD2B59A-94D6-49B7-8BE3-DE8077B2222B}"/>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2 2 2" xfId="15768" xr:uid="{DC3E7A68-F4C3-4042-8E5E-0715F9C1240E}"/>
    <cellStyle name="Normal 4 4 5 2 2 3" xfId="11550" xr:uid="{EEAAD157-BA7C-48E5-A8F3-025D88C2C420}"/>
    <cellStyle name="Normal 4 4 5 2 3" xfId="5181" xr:uid="{00000000-0005-0000-0000-0000E0150000}"/>
    <cellStyle name="Normal 4 4 5 2 3 2" xfId="13623" xr:uid="{5397D4F0-7FD2-441B-86DC-C301B18721D0}"/>
    <cellStyle name="Normal 4 4 5 2 4" xfId="9405" xr:uid="{EE3AB408-49E8-4CDF-9D05-7780823C1FA3}"/>
    <cellStyle name="Normal 4 4 5 3" xfId="1286" xr:uid="{00000000-0005-0000-0000-0000E1150000}"/>
    <cellStyle name="Normal 4 4 5 3 2" xfId="3516" xr:uid="{00000000-0005-0000-0000-0000E2150000}"/>
    <cellStyle name="Normal 4 4 5 3 2 2" xfId="7739" xr:uid="{00000000-0005-0000-0000-0000E3150000}"/>
    <cellStyle name="Normal 4 4 5 3 2 2 2" xfId="16181" xr:uid="{EDD232F9-BC27-4069-9880-893B98DA58F4}"/>
    <cellStyle name="Normal 4 4 5 3 2 3" xfId="11963" xr:uid="{C7F3F23B-5B6E-481D-93B7-7EFCB6845B15}"/>
    <cellStyle name="Normal 4 4 5 3 3" xfId="5594" xr:uid="{00000000-0005-0000-0000-0000E4150000}"/>
    <cellStyle name="Normal 4 4 5 3 3 2" xfId="14036" xr:uid="{5E83E32C-E9E5-4134-AF6D-8CCAF9837A44}"/>
    <cellStyle name="Normal 4 4 5 3 4" xfId="9818" xr:uid="{F8DAA717-74A8-4350-93DF-C39A7F433D69}"/>
    <cellStyle name="Normal 4 4 5 4" xfId="1699" xr:uid="{00000000-0005-0000-0000-0000E5150000}"/>
    <cellStyle name="Normal 4 4 5 4 2" xfId="3929" xr:uid="{00000000-0005-0000-0000-0000E6150000}"/>
    <cellStyle name="Normal 4 4 5 4 2 2" xfId="8152" xr:uid="{00000000-0005-0000-0000-0000E7150000}"/>
    <cellStyle name="Normal 4 4 5 4 2 2 2" xfId="16594" xr:uid="{FC1202BA-3F7F-4269-8EDD-501FFA87E2BB}"/>
    <cellStyle name="Normal 4 4 5 4 2 3" xfId="12376" xr:uid="{C6CC1A1F-E020-42CD-97A9-351AA940DB79}"/>
    <cellStyle name="Normal 4 4 5 4 3" xfId="6007" xr:uid="{00000000-0005-0000-0000-0000E8150000}"/>
    <cellStyle name="Normal 4 4 5 4 3 2" xfId="14449" xr:uid="{17EC2CD7-C1B3-4295-B071-7C6E06FE1587}"/>
    <cellStyle name="Normal 4 4 5 4 4" xfId="10231" xr:uid="{B8EA7EDC-8350-4E0E-BFA4-2188423ED443}"/>
    <cellStyle name="Normal 4 4 5 5" xfId="2113" xr:uid="{00000000-0005-0000-0000-0000E9150000}"/>
    <cellStyle name="Normal 4 4 5 5 2" xfId="4342" xr:uid="{00000000-0005-0000-0000-0000EA150000}"/>
    <cellStyle name="Normal 4 4 5 5 2 2" xfId="8565" xr:uid="{00000000-0005-0000-0000-0000EB150000}"/>
    <cellStyle name="Normal 4 4 5 5 2 2 2" xfId="17007" xr:uid="{AEF60B79-746A-483A-9C3F-18C996EE440E}"/>
    <cellStyle name="Normal 4 4 5 5 2 3" xfId="12789" xr:uid="{58AC65F9-63C0-4DA1-B8E0-92AD1A77A53B}"/>
    <cellStyle name="Normal 4 4 5 5 3" xfId="6420" xr:uid="{00000000-0005-0000-0000-0000EC150000}"/>
    <cellStyle name="Normal 4 4 5 5 3 2" xfId="14862" xr:uid="{EB1DA069-1CA9-4DEF-A61D-E334A02C8B89}"/>
    <cellStyle name="Normal 4 4 5 5 4" xfId="10644" xr:uid="{E084A63A-D572-4FBE-B6E8-D4E7896B3D7F}"/>
    <cellStyle name="Normal 4 4 5 6" xfId="2549" xr:uid="{00000000-0005-0000-0000-0000ED150000}"/>
    <cellStyle name="Normal 4 4 5 6 2" xfId="6833" xr:uid="{00000000-0005-0000-0000-0000EE150000}"/>
    <cellStyle name="Normal 4 4 5 6 2 2" xfId="15275" xr:uid="{11C4E8D3-E6A1-4E0D-85E1-367DED678883}"/>
    <cellStyle name="Normal 4 4 5 6 3" xfId="11057" xr:uid="{54971C4D-0A02-4D83-BB75-0AAFF60093AE}"/>
    <cellStyle name="Normal 4 4 5 7" xfId="4768" xr:uid="{00000000-0005-0000-0000-0000EF150000}"/>
    <cellStyle name="Normal 4 4 5 7 2" xfId="13210" xr:uid="{0973B534-1DA8-4B6C-B4E7-33DF2D0397D5}"/>
    <cellStyle name="Normal 4 4 5 8" xfId="8992" xr:uid="{6A095840-6A3E-4C8F-9377-24B597E06569}"/>
    <cellStyle name="Normal 4 4 6" xfId="853" xr:uid="{00000000-0005-0000-0000-0000F0150000}"/>
    <cellStyle name="Normal 4 4 6 2" xfId="3088" xr:uid="{00000000-0005-0000-0000-0000F1150000}"/>
    <cellStyle name="Normal 4 4 6 2 2" xfId="7311" xr:uid="{00000000-0005-0000-0000-0000F2150000}"/>
    <cellStyle name="Normal 4 4 6 2 2 2" xfId="15753" xr:uid="{2F71A29F-A651-4934-A164-9865CF3413D1}"/>
    <cellStyle name="Normal 4 4 6 2 3" xfId="11535" xr:uid="{41D83FF3-5729-4E49-BCEA-D39E3A4BDFF3}"/>
    <cellStyle name="Normal 4 4 6 3" xfId="5166" xr:uid="{00000000-0005-0000-0000-0000F3150000}"/>
    <cellStyle name="Normal 4 4 6 3 2" xfId="13608" xr:uid="{51222037-5857-4B5B-8BBE-54FA3D369B51}"/>
    <cellStyle name="Normal 4 4 6 4" xfId="9390" xr:uid="{FB431E97-B840-4153-A16B-2590F04E208A}"/>
    <cellStyle name="Normal 4 4 7" xfId="1271" xr:uid="{00000000-0005-0000-0000-0000F4150000}"/>
    <cellStyle name="Normal 4 4 7 2" xfId="3501" xr:uid="{00000000-0005-0000-0000-0000F5150000}"/>
    <cellStyle name="Normal 4 4 7 2 2" xfId="7724" xr:uid="{00000000-0005-0000-0000-0000F6150000}"/>
    <cellStyle name="Normal 4 4 7 2 2 2" xfId="16166" xr:uid="{1018F4DB-CD1E-45B9-98C8-8AD961F04F2D}"/>
    <cellStyle name="Normal 4 4 7 2 3" xfId="11948" xr:uid="{ADB18ECD-3BCD-437B-AF1D-A17B54309EA3}"/>
    <cellStyle name="Normal 4 4 7 3" xfId="5579" xr:uid="{00000000-0005-0000-0000-0000F7150000}"/>
    <cellStyle name="Normal 4 4 7 3 2" xfId="14021" xr:uid="{58CB65DD-CB27-4FF9-8332-86D51283298A}"/>
    <cellStyle name="Normal 4 4 7 4" xfId="9803" xr:uid="{77AFD655-6EE2-4EAD-9C27-33110967EACA}"/>
    <cellStyle name="Normal 4 4 8" xfId="1684" xr:uid="{00000000-0005-0000-0000-0000F8150000}"/>
    <cellStyle name="Normal 4 4 8 2" xfId="3914" xr:uid="{00000000-0005-0000-0000-0000F9150000}"/>
    <cellStyle name="Normal 4 4 8 2 2" xfId="8137" xr:uid="{00000000-0005-0000-0000-0000FA150000}"/>
    <cellStyle name="Normal 4 4 8 2 2 2" xfId="16579" xr:uid="{FA93101C-8F4B-4A1B-9AF5-780911829D9B}"/>
    <cellStyle name="Normal 4 4 8 2 3" xfId="12361" xr:uid="{6A33082C-AA91-406A-9C92-C1E0FD248481}"/>
    <cellStyle name="Normal 4 4 8 3" xfId="5992" xr:uid="{00000000-0005-0000-0000-0000FB150000}"/>
    <cellStyle name="Normal 4 4 8 3 2" xfId="14434" xr:uid="{AE70A2A4-61B3-4082-B7F8-4358DE9C6BD6}"/>
    <cellStyle name="Normal 4 4 8 4" xfId="10216" xr:uid="{BF465B7A-08CB-44CB-BE5E-AD91C3F23F2D}"/>
    <cellStyle name="Normal 4 4 9" xfId="2098" xr:uid="{00000000-0005-0000-0000-0000FC150000}"/>
    <cellStyle name="Normal 4 4 9 2" xfId="4327" xr:uid="{00000000-0005-0000-0000-0000FD150000}"/>
    <cellStyle name="Normal 4 4 9 2 2" xfId="8550" xr:uid="{00000000-0005-0000-0000-0000FE150000}"/>
    <cellStyle name="Normal 4 4 9 2 2 2" xfId="16992" xr:uid="{44BDAEC4-41F9-4BA1-9327-18068ABC75D1}"/>
    <cellStyle name="Normal 4 4 9 2 3" xfId="12774" xr:uid="{3D8A53BE-57AD-4763-A522-2AB6157EA692}"/>
    <cellStyle name="Normal 4 4 9 3" xfId="6405" xr:uid="{00000000-0005-0000-0000-0000FF150000}"/>
    <cellStyle name="Normal 4 4 9 3 2" xfId="14847" xr:uid="{4C2D0CC0-91BB-43DC-A2D4-AEC52ED5E675}"/>
    <cellStyle name="Normal 4 4 9 4" xfId="10629" xr:uid="{DCAEF86D-FE2A-4E67-9CDF-F09143516527}"/>
    <cellStyle name="Normal 4 5" xfId="394" xr:uid="{00000000-0005-0000-0000-000000160000}"/>
    <cellStyle name="Normal 4 6" xfId="395" xr:uid="{00000000-0005-0000-0000-000001160000}"/>
    <cellStyle name="Normal 4 6 10" xfId="4769" xr:uid="{00000000-0005-0000-0000-000002160000}"/>
    <cellStyle name="Normal 4 6 10 2" xfId="13211" xr:uid="{1623C8D2-3020-4E8E-B895-CCC6FE37729F}"/>
    <cellStyle name="Normal 4 6 11" xfId="8993" xr:uid="{47940C3A-9FDF-46B5-BADC-469F82B24CE5}"/>
    <cellStyle name="Normal 4 6 2" xfId="396" xr:uid="{00000000-0005-0000-0000-000003160000}"/>
    <cellStyle name="Normal 4 6 2 10" xfId="8994" xr:uid="{08507159-E4A0-4C33-A1D3-272914623CE4}"/>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2 2 2" xfId="15772" xr:uid="{F7C17EFA-211F-4898-92B2-935D5DDA33FF}"/>
    <cellStyle name="Normal 4 6 2 2 2 2 2 3" xfId="11554" xr:uid="{CD659F5D-58EC-40BC-B5B2-EB1749D59EF1}"/>
    <cellStyle name="Normal 4 6 2 2 2 2 3" xfId="5185" xr:uid="{00000000-0005-0000-0000-000009160000}"/>
    <cellStyle name="Normal 4 6 2 2 2 2 3 2" xfId="13627" xr:uid="{C7021B6A-53B1-4363-9D35-65F9FB7ECAAF}"/>
    <cellStyle name="Normal 4 6 2 2 2 2 4" xfId="9409" xr:uid="{2DCBCA7A-75C7-4912-9D63-639D4F277F1F}"/>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2 2 2" xfId="16185" xr:uid="{FB37E615-C29B-479A-AD99-6F932803EE75}"/>
    <cellStyle name="Normal 4 6 2 2 2 3 2 3" xfId="11967" xr:uid="{C41BDF60-E0CF-4BE3-BC42-1415AC1F9BBD}"/>
    <cellStyle name="Normal 4 6 2 2 2 3 3" xfId="5598" xr:uid="{00000000-0005-0000-0000-00000D160000}"/>
    <cellStyle name="Normal 4 6 2 2 2 3 3 2" xfId="14040" xr:uid="{0844A363-2B94-4ED0-AE30-EA7C603C8C63}"/>
    <cellStyle name="Normal 4 6 2 2 2 3 4" xfId="9822" xr:uid="{3B115515-891B-4772-981B-EF5AFA93F1DC}"/>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2 2 2" xfId="16598" xr:uid="{00CFE1C5-1D36-44C7-AC31-05BCDBEC2DD7}"/>
    <cellStyle name="Normal 4 6 2 2 2 4 2 3" xfId="12380" xr:uid="{13A01A84-43D2-4078-B2F9-ED386FE48B96}"/>
    <cellStyle name="Normal 4 6 2 2 2 4 3" xfId="6011" xr:uid="{00000000-0005-0000-0000-000011160000}"/>
    <cellStyle name="Normal 4 6 2 2 2 4 3 2" xfId="14453" xr:uid="{5D4F487B-AF27-4482-A7B1-F67CCDC1A7ED}"/>
    <cellStyle name="Normal 4 6 2 2 2 4 4" xfId="10235" xr:uid="{59F3642C-91F6-456E-80D0-361AC2DEC194}"/>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2 2 2" xfId="17011" xr:uid="{60A712C3-1172-4670-A49A-2D4FE38EDFF4}"/>
    <cellStyle name="Normal 4 6 2 2 2 5 2 3" xfId="12793" xr:uid="{DEDCC4E9-AD5D-48AF-BFF6-9AEAD62221C5}"/>
    <cellStyle name="Normal 4 6 2 2 2 5 3" xfId="6424" xr:uid="{00000000-0005-0000-0000-000015160000}"/>
    <cellStyle name="Normal 4 6 2 2 2 5 3 2" xfId="14866" xr:uid="{2B6B3E8D-75EC-4807-9F5E-14784C4684B7}"/>
    <cellStyle name="Normal 4 6 2 2 2 5 4" xfId="10648" xr:uid="{CB2C547A-399D-4E7F-97CC-D826CED08A36}"/>
    <cellStyle name="Normal 4 6 2 2 2 6" xfId="2553" xr:uid="{00000000-0005-0000-0000-000016160000}"/>
    <cellStyle name="Normal 4 6 2 2 2 6 2" xfId="6837" xr:uid="{00000000-0005-0000-0000-000017160000}"/>
    <cellStyle name="Normal 4 6 2 2 2 6 2 2" xfId="15279" xr:uid="{6444F51B-32D2-41DC-994A-E87AF9CD99EF}"/>
    <cellStyle name="Normal 4 6 2 2 2 6 3" xfId="11061" xr:uid="{B89820D6-A58F-48E0-9F6A-1CC89F277772}"/>
    <cellStyle name="Normal 4 6 2 2 2 7" xfId="4772" xr:uid="{00000000-0005-0000-0000-000018160000}"/>
    <cellStyle name="Normal 4 6 2 2 2 7 2" xfId="13214" xr:uid="{2A56E9B1-5765-442E-A627-088D5238B92C}"/>
    <cellStyle name="Normal 4 6 2 2 2 8" xfId="8996" xr:uid="{537917C0-C218-4E4E-ACE2-1296F90A5D49}"/>
    <cellStyle name="Normal 4 6 2 2 3" xfId="871" xr:uid="{00000000-0005-0000-0000-000019160000}"/>
    <cellStyle name="Normal 4 6 2 2 3 2" xfId="3106" xr:uid="{00000000-0005-0000-0000-00001A160000}"/>
    <cellStyle name="Normal 4 6 2 2 3 2 2" xfId="7329" xr:uid="{00000000-0005-0000-0000-00001B160000}"/>
    <cellStyle name="Normal 4 6 2 2 3 2 2 2" xfId="15771" xr:uid="{167C9D6D-19D6-435C-BE42-1FDCFBBCAFAB}"/>
    <cellStyle name="Normal 4 6 2 2 3 2 3" xfId="11553" xr:uid="{136C8B19-AADD-4EC0-BEDE-FCB2333CB824}"/>
    <cellStyle name="Normal 4 6 2 2 3 3" xfId="5184" xr:uid="{00000000-0005-0000-0000-00001C160000}"/>
    <cellStyle name="Normal 4 6 2 2 3 3 2" xfId="13626" xr:uid="{06926D23-0DF9-41B9-8387-B278C7580CE4}"/>
    <cellStyle name="Normal 4 6 2 2 3 4" xfId="9408" xr:uid="{7BBFDCDB-81FC-49AE-8065-A8313308D977}"/>
    <cellStyle name="Normal 4 6 2 2 4" xfId="1289" xr:uid="{00000000-0005-0000-0000-00001D160000}"/>
    <cellStyle name="Normal 4 6 2 2 4 2" xfId="3519" xr:uid="{00000000-0005-0000-0000-00001E160000}"/>
    <cellStyle name="Normal 4 6 2 2 4 2 2" xfId="7742" xr:uid="{00000000-0005-0000-0000-00001F160000}"/>
    <cellStyle name="Normal 4 6 2 2 4 2 2 2" xfId="16184" xr:uid="{7A773613-70A2-426B-A2F1-66BF1A5D23D2}"/>
    <cellStyle name="Normal 4 6 2 2 4 2 3" xfId="11966" xr:uid="{A6BA1213-B8F5-4662-A7D8-051DED1E85E1}"/>
    <cellStyle name="Normal 4 6 2 2 4 3" xfId="5597" xr:uid="{00000000-0005-0000-0000-000020160000}"/>
    <cellStyle name="Normal 4 6 2 2 4 3 2" xfId="14039" xr:uid="{F4EB1DD4-42E1-4BB0-A84A-2560E961D454}"/>
    <cellStyle name="Normal 4 6 2 2 4 4" xfId="9821" xr:uid="{C16CE6A3-E184-4C8F-B0F2-B089E0A9968C}"/>
    <cellStyle name="Normal 4 6 2 2 5" xfId="1702" xr:uid="{00000000-0005-0000-0000-000021160000}"/>
    <cellStyle name="Normal 4 6 2 2 5 2" xfId="3932" xr:uid="{00000000-0005-0000-0000-000022160000}"/>
    <cellStyle name="Normal 4 6 2 2 5 2 2" xfId="8155" xr:uid="{00000000-0005-0000-0000-000023160000}"/>
    <cellStyle name="Normal 4 6 2 2 5 2 2 2" xfId="16597" xr:uid="{249EA596-7C4C-4A38-A6D7-87020A62A8B0}"/>
    <cellStyle name="Normal 4 6 2 2 5 2 3" xfId="12379" xr:uid="{95276E0C-4EBE-457C-AD5C-1C95F11BE599}"/>
    <cellStyle name="Normal 4 6 2 2 5 3" xfId="6010" xr:uid="{00000000-0005-0000-0000-000024160000}"/>
    <cellStyle name="Normal 4 6 2 2 5 3 2" xfId="14452" xr:uid="{832B960A-C1B8-4B02-BDCB-41901570BD33}"/>
    <cellStyle name="Normal 4 6 2 2 5 4" xfId="10234" xr:uid="{0B6A76C1-74D1-49C3-AAC2-52490831E7AF}"/>
    <cellStyle name="Normal 4 6 2 2 6" xfId="2116" xr:uid="{00000000-0005-0000-0000-000025160000}"/>
    <cellStyle name="Normal 4 6 2 2 6 2" xfId="4345" xr:uid="{00000000-0005-0000-0000-000026160000}"/>
    <cellStyle name="Normal 4 6 2 2 6 2 2" xfId="8568" xr:uid="{00000000-0005-0000-0000-000027160000}"/>
    <cellStyle name="Normal 4 6 2 2 6 2 2 2" xfId="17010" xr:uid="{CF3FC426-24D5-4FCF-8DA0-0AA42484BE9C}"/>
    <cellStyle name="Normal 4 6 2 2 6 2 3" xfId="12792" xr:uid="{8F462A97-C5BA-4FE4-8B2E-B202A580A03A}"/>
    <cellStyle name="Normal 4 6 2 2 6 3" xfId="6423" xr:uid="{00000000-0005-0000-0000-000028160000}"/>
    <cellStyle name="Normal 4 6 2 2 6 3 2" xfId="14865" xr:uid="{37A80857-2657-40F8-9C25-783C563C0612}"/>
    <cellStyle name="Normal 4 6 2 2 6 4" xfId="10647" xr:uid="{0833A9BE-350D-466E-A6CE-316FC641BC04}"/>
    <cellStyle name="Normal 4 6 2 2 7" xfId="2552" xr:uid="{00000000-0005-0000-0000-000029160000}"/>
    <cellStyle name="Normal 4 6 2 2 7 2" xfId="6836" xr:uid="{00000000-0005-0000-0000-00002A160000}"/>
    <cellStyle name="Normal 4 6 2 2 7 2 2" xfId="15278" xr:uid="{A21FB5FA-B3B5-4FD4-B08C-64534F101DD7}"/>
    <cellStyle name="Normal 4 6 2 2 7 3" xfId="11060" xr:uid="{1A77965D-9C57-4D66-9D16-EB74425F2F56}"/>
    <cellStyle name="Normal 4 6 2 2 8" xfId="4771" xr:uid="{00000000-0005-0000-0000-00002B160000}"/>
    <cellStyle name="Normal 4 6 2 2 8 2" xfId="13213" xr:uid="{3CC452B5-410A-49E5-9D10-B35E0717C260}"/>
    <cellStyle name="Normal 4 6 2 2 9" xfId="8995" xr:uid="{FE6DB5BA-7225-47ED-89BA-265E2EBBF58E}"/>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2 2 2" xfId="15773" xr:uid="{C1C20405-05EF-4D47-B2B5-9AB1F1097952}"/>
    <cellStyle name="Normal 4 6 2 3 2 2 3" xfId="11555" xr:uid="{0BB29AC5-B656-4504-8AA3-695B57507038}"/>
    <cellStyle name="Normal 4 6 2 3 2 3" xfId="5186" xr:uid="{00000000-0005-0000-0000-000030160000}"/>
    <cellStyle name="Normal 4 6 2 3 2 3 2" xfId="13628" xr:uid="{4617FCA3-4442-48DB-98EE-7F19D6A8598C}"/>
    <cellStyle name="Normal 4 6 2 3 2 4" xfId="9410" xr:uid="{A10A45D9-995A-4EF2-B278-4E82C36D3818}"/>
    <cellStyle name="Normal 4 6 2 3 3" xfId="1291" xr:uid="{00000000-0005-0000-0000-000031160000}"/>
    <cellStyle name="Normal 4 6 2 3 3 2" xfId="3521" xr:uid="{00000000-0005-0000-0000-000032160000}"/>
    <cellStyle name="Normal 4 6 2 3 3 2 2" xfId="7744" xr:uid="{00000000-0005-0000-0000-000033160000}"/>
    <cellStyle name="Normal 4 6 2 3 3 2 2 2" xfId="16186" xr:uid="{7D33ED43-9196-4A96-9386-5E07CD0F1526}"/>
    <cellStyle name="Normal 4 6 2 3 3 2 3" xfId="11968" xr:uid="{B93D998B-67A5-4B28-BCB6-E5BE387B88D6}"/>
    <cellStyle name="Normal 4 6 2 3 3 3" xfId="5599" xr:uid="{00000000-0005-0000-0000-000034160000}"/>
    <cellStyle name="Normal 4 6 2 3 3 3 2" xfId="14041" xr:uid="{0FD0C9B2-12C5-4D94-AA1C-1F650BA6F567}"/>
    <cellStyle name="Normal 4 6 2 3 3 4" xfId="9823" xr:uid="{188C2033-BDF0-4EFD-BE8A-9940339DB70A}"/>
    <cellStyle name="Normal 4 6 2 3 4" xfId="1704" xr:uid="{00000000-0005-0000-0000-000035160000}"/>
    <cellStyle name="Normal 4 6 2 3 4 2" xfId="3934" xr:uid="{00000000-0005-0000-0000-000036160000}"/>
    <cellStyle name="Normal 4 6 2 3 4 2 2" xfId="8157" xr:uid="{00000000-0005-0000-0000-000037160000}"/>
    <cellStyle name="Normal 4 6 2 3 4 2 2 2" xfId="16599" xr:uid="{0A6AB779-4AD7-4243-99B4-31A5B9C4F4B9}"/>
    <cellStyle name="Normal 4 6 2 3 4 2 3" xfId="12381" xr:uid="{040EFB55-20BB-4731-94A4-9491B02E6A59}"/>
    <cellStyle name="Normal 4 6 2 3 4 3" xfId="6012" xr:uid="{00000000-0005-0000-0000-000038160000}"/>
    <cellStyle name="Normal 4 6 2 3 4 3 2" xfId="14454" xr:uid="{23964CF2-1DC4-40EF-A718-8ED860F3E0A0}"/>
    <cellStyle name="Normal 4 6 2 3 4 4" xfId="10236" xr:uid="{1D12714F-D2A2-44E9-9142-05485D72FE5D}"/>
    <cellStyle name="Normal 4 6 2 3 5" xfId="2118" xr:uid="{00000000-0005-0000-0000-000039160000}"/>
    <cellStyle name="Normal 4 6 2 3 5 2" xfId="4347" xr:uid="{00000000-0005-0000-0000-00003A160000}"/>
    <cellStyle name="Normal 4 6 2 3 5 2 2" xfId="8570" xr:uid="{00000000-0005-0000-0000-00003B160000}"/>
    <cellStyle name="Normal 4 6 2 3 5 2 2 2" xfId="17012" xr:uid="{E3A7A1A4-E9D7-4F15-A570-2A21F6E3C00A}"/>
    <cellStyle name="Normal 4 6 2 3 5 2 3" xfId="12794" xr:uid="{81D236E9-C9A4-441D-8A67-B5D986437014}"/>
    <cellStyle name="Normal 4 6 2 3 5 3" xfId="6425" xr:uid="{00000000-0005-0000-0000-00003C160000}"/>
    <cellStyle name="Normal 4 6 2 3 5 3 2" xfId="14867" xr:uid="{A0A8794F-C039-4C65-9D23-F7E9D9D7D0F5}"/>
    <cellStyle name="Normal 4 6 2 3 5 4" xfId="10649" xr:uid="{D8A1D81A-7485-42F9-9FFF-36EF49072FB6}"/>
    <cellStyle name="Normal 4 6 2 3 6" xfId="2554" xr:uid="{00000000-0005-0000-0000-00003D160000}"/>
    <cellStyle name="Normal 4 6 2 3 6 2" xfId="6838" xr:uid="{00000000-0005-0000-0000-00003E160000}"/>
    <cellStyle name="Normal 4 6 2 3 6 2 2" xfId="15280" xr:uid="{53302827-44A7-4B83-AE7F-BADD9F2C37E9}"/>
    <cellStyle name="Normal 4 6 2 3 6 3" xfId="11062" xr:uid="{3E3F907E-1DF3-4060-BF6D-B4CAB62E75BF}"/>
    <cellStyle name="Normal 4 6 2 3 7" xfId="4773" xr:uid="{00000000-0005-0000-0000-00003F160000}"/>
    <cellStyle name="Normal 4 6 2 3 7 2" xfId="13215" xr:uid="{012C4078-5B38-423D-8B15-2E1C92A8FD18}"/>
    <cellStyle name="Normal 4 6 2 3 8" xfId="8997" xr:uid="{DAB0BCE2-272B-48A1-8B23-134E7009C496}"/>
    <cellStyle name="Normal 4 6 2 4" xfId="870" xr:uid="{00000000-0005-0000-0000-000040160000}"/>
    <cellStyle name="Normal 4 6 2 4 2" xfId="3105" xr:uid="{00000000-0005-0000-0000-000041160000}"/>
    <cellStyle name="Normal 4 6 2 4 2 2" xfId="7328" xr:uid="{00000000-0005-0000-0000-000042160000}"/>
    <cellStyle name="Normal 4 6 2 4 2 2 2" xfId="15770" xr:uid="{161E9C89-7428-4F9F-A24C-A88AC7CEB93D}"/>
    <cellStyle name="Normal 4 6 2 4 2 3" xfId="11552" xr:uid="{B92AE4C2-A9B2-4A50-9A7C-E5C373B59F3B}"/>
    <cellStyle name="Normal 4 6 2 4 3" xfId="5183" xr:uid="{00000000-0005-0000-0000-000043160000}"/>
    <cellStyle name="Normal 4 6 2 4 3 2" xfId="13625" xr:uid="{397E3D7F-0531-4524-BA4E-43CF9992A346}"/>
    <cellStyle name="Normal 4 6 2 4 4" xfId="9407" xr:uid="{62B4406B-02BB-4AE4-AC3A-F8A1FE404B75}"/>
    <cellStyle name="Normal 4 6 2 5" xfId="1288" xr:uid="{00000000-0005-0000-0000-000044160000}"/>
    <cellStyle name="Normal 4 6 2 5 2" xfId="3518" xr:uid="{00000000-0005-0000-0000-000045160000}"/>
    <cellStyle name="Normal 4 6 2 5 2 2" xfId="7741" xr:uid="{00000000-0005-0000-0000-000046160000}"/>
    <cellStyle name="Normal 4 6 2 5 2 2 2" xfId="16183" xr:uid="{3C5339FE-0BE9-40C1-BC1C-9410697D2456}"/>
    <cellStyle name="Normal 4 6 2 5 2 3" xfId="11965" xr:uid="{ED2DF759-0DF6-47AC-8E89-B9AF292A8D17}"/>
    <cellStyle name="Normal 4 6 2 5 3" xfId="5596" xr:uid="{00000000-0005-0000-0000-000047160000}"/>
    <cellStyle name="Normal 4 6 2 5 3 2" xfId="14038" xr:uid="{759F1BC2-2E8B-4450-922B-5C306B19482F}"/>
    <cellStyle name="Normal 4 6 2 5 4" xfId="9820" xr:uid="{4BA99F83-AE9E-441A-89E0-F31581388290}"/>
    <cellStyle name="Normal 4 6 2 6" xfId="1701" xr:uid="{00000000-0005-0000-0000-000048160000}"/>
    <cellStyle name="Normal 4 6 2 6 2" xfId="3931" xr:uid="{00000000-0005-0000-0000-000049160000}"/>
    <cellStyle name="Normal 4 6 2 6 2 2" xfId="8154" xr:uid="{00000000-0005-0000-0000-00004A160000}"/>
    <cellStyle name="Normal 4 6 2 6 2 2 2" xfId="16596" xr:uid="{93D2A7E8-DB13-40FB-9181-DB32B97F555F}"/>
    <cellStyle name="Normal 4 6 2 6 2 3" xfId="12378" xr:uid="{7CBFF5AA-3B33-4FED-B5CD-CB43DFC48931}"/>
    <cellStyle name="Normal 4 6 2 6 3" xfId="6009" xr:uid="{00000000-0005-0000-0000-00004B160000}"/>
    <cellStyle name="Normal 4 6 2 6 3 2" xfId="14451" xr:uid="{10BDDDF3-DA81-4E21-BBAF-2D7B5E6E8E7A}"/>
    <cellStyle name="Normal 4 6 2 6 4" xfId="10233" xr:uid="{7114AD07-E738-477F-A70C-976A0F59A9B1}"/>
    <cellStyle name="Normal 4 6 2 7" xfId="2115" xr:uid="{00000000-0005-0000-0000-00004C160000}"/>
    <cellStyle name="Normal 4 6 2 7 2" xfId="4344" xr:uid="{00000000-0005-0000-0000-00004D160000}"/>
    <cellStyle name="Normal 4 6 2 7 2 2" xfId="8567" xr:uid="{00000000-0005-0000-0000-00004E160000}"/>
    <cellStyle name="Normal 4 6 2 7 2 2 2" xfId="17009" xr:uid="{BCEEA30B-AB49-4146-AA0D-19AE6C57F8B8}"/>
    <cellStyle name="Normal 4 6 2 7 2 3" xfId="12791" xr:uid="{68E738A6-42F7-4361-8D29-2905D9A9A7A1}"/>
    <cellStyle name="Normal 4 6 2 7 3" xfId="6422" xr:uid="{00000000-0005-0000-0000-00004F160000}"/>
    <cellStyle name="Normal 4 6 2 7 3 2" xfId="14864" xr:uid="{0C208D8B-3D9C-458E-8BC0-F608FECF1E8E}"/>
    <cellStyle name="Normal 4 6 2 7 4" xfId="10646" xr:uid="{3B3B7CE9-A00B-4537-9722-F8B1133C9C80}"/>
    <cellStyle name="Normal 4 6 2 8" xfId="2551" xr:uid="{00000000-0005-0000-0000-000050160000}"/>
    <cellStyle name="Normal 4 6 2 8 2" xfId="6835" xr:uid="{00000000-0005-0000-0000-000051160000}"/>
    <cellStyle name="Normal 4 6 2 8 2 2" xfId="15277" xr:uid="{4A2A80D4-24D6-42C6-9319-6256ED9DFB4F}"/>
    <cellStyle name="Normal 4 6 2 8 3" xfId="11059" xr:uid="{3DF477FB-32E8-42F0-B948-79A42AC592A2}"/>
    <cellStyle name="Normal 4 6 2 9" xfId="4770" xr:uid="{00000000-0005-0000-0000-000052160000}"/>
    <cellStyle name="Normal 4 6 2 9 2" xfId="13212" xr:uid="{989EF97A-5C90-48E4-85D0-A4A6D90035E2}"/>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2 2 2" xfId="15775" xr:uid="{A0F4ED2B-260B-4572-9109-275928E23AA8}"/>
    <cellStyle name="Normal 4 6 3 2 2 2 3" xfId="11557" xr:uid="{F0330D2C-9237-495E-913E-7D12F4BE2B8F}"/>
    <cellStyle name="Normal 4 6 3 2 2 3" xfId="5188" xr:uid="{00000000-0005-0000-0000-000058160000}"/>
    <cellStyle name="Normal 4 6 3 2 2 3 2" xfId="13630" xr:uid="{18BF2CB8-FD9F-4EE3-82D3-0D1F56716097}"/>
    <cellStyle name="Normal 4 6 3 2 2 4" xfId="9412" xr:uid="{2E2E8AAC-AB98-459D-B94B-4D31071A28AD}"/>
    <cellStyle name="Normal 4 6 3 2 3" xfId="1293" xr:uid="{00000000-0005-0000-0000-000059160000}"/>
    <cellStyle name="Normal 4 6 3 2 3 2" xfId="3523" xr:uid="{00000000-0005-0000-0000-00005A160000}"/>
    <cellStyle name="Normal 4 6 3 2 3 2 2" xfId="7746" xr:uid="{00000000-0005-0000-0000-00005B160000}"/>
    <cellStyle name="Normal 4 6 3 2 3 2 2 2" xfId="16188" xr:uid="{1B29F1E9-FD1A-4969-98BD-932E94AEA09E}"/>
    <cellStyle name="Normal 4 6 3 2 3 2 3" xfId="11970" xr:uid="{9EC6B14F-7960-424D-B6F1-C8B4A206B8C1}"/>
    <cellStyle name="Normal 4 6 3 2 3 3" xfId="5601" xr:uid="{00000000-0005-0000-0000-00005C160000}"/>
    <cellStyle name="Normal 4 6 3 2 3 3 2" xfId="14043" xr:uid="{D446CCA0-1DDA-4835-BF86-D6024F6858DC}"/>
    <cellStyle name="Normal 4 6 3 2 3 4" xfId="9825" xr:uid="{1CE092A5-5332-4615-9466-332ADCF1087C}"/>
    <cellStyle name="Normal 4 6 3 2 4" xfId="1706" xr:uid="{00000000-0005-0000-0000-00005D160000}"/>
    <cellStyle name="Normal 4 6 3 2 4 2" xfId="3936" xr:uid="{00000000-0005-0000-0000-00005E160000}"/>
    <cellStyle name="Normal 4 6 3 2 4 2 2" xfId="8159" xr:uid="{00000000-0005-0000-0000-00005F160000}"/>
    <cellStyle name="Normal 4 6 3 2 4 2 2 2" xfId="16601" xr:uid="{4F9E6704-1406-476B-B021-3D2A21E98817}"/>
    <cellStyle name="Normal 4 6 3 2 4 2 3" xfId="12383" xr:uid="{1F1CEB55-1463-4856-B92D-057BF5E1D901}"/>
    <cellStyle name="Normal 4 6 3 2 4 3" xfId="6014" xr:uid="{00000000-0005-0000-0000-000060160000}"/>
    <cellStyle name="Normal 4 6 3 2 4 3 2" xfId="14456" xr:uid="{C73C9A06-86FF-42FA-B217-8A5196C44740}"/>
    <cellStyle name="Normal 4 6 3 2 4 4" xfId="10238" xr:uid="{4C927C3D-498C-46C0-A918-0387D4C5FD05}"/>
    <cellStyle name="Normal 4 6 3 2 5" xfId="2120" xr:uid="{00000000-0005-0000-0000-000061160000}"/>
    <cellStyle name="Normal 4 6 3 2 5 2" xfId="4349" xr:uid="{00000000-0005-0000-0000-000062160000}"/>
    <cellStyle name="Normal 4 6 3 2 5 2 2" xfId="8572" xr:uid="{00000000-0005-0000-0000-000063160000}"/>
    <cellStyle name="Normal 4 6 3 2 5 2 2 2" xfId="17014" xr:uid="{EBAE5519-499D-441B-968C-F40CC3CED275}"/>
    <cellStyle name="Normal 4 6 3 2 5 2 3" xfId="12796" xr:uid="{8476DA55-A1BE-497A-841D-7C65B4DF2261}"/>
    <cellStyle name="Normal 4 6 3 2 5 3" xfId="6427" xr:uid="{00000000-0005-0000-0000-000064160000}"/>
    <cellStyle name="Normal 4 6 3 2 5 3 2" xfId="14869" xr:uid="{FC7C415E-6CC7-4A61-8517-612DED1CECA4}"/>
    <cellStyle name="Normal 4 6 3 2 5 4" xfId="10651" xr:uid="{D570215F-3106-4F36-88AB-27E843B262C0}"/>
    <cellStyle name="Normal 4 6 3 2 6" xfId="2556" xr:uid="{00000000-0005-0000-0000-000065160000}"/>
    <cellStyle name="Normal 4 6 3 2 6 2" xfId="6840" xr:uid="{00000000-0005-0000-0000-000066160000}"/>
    <cellStyle name="Normal 4 6 3 2 6 2 2" xfId="15282" xr:uid="{D9C9048C-29FD-4EDC-A85F-645455EEB32D}"/>
    <cellStyle name="Normal 4 6 3 2 6 3" xfId="11064" xr:uid="{B2DBDCB1-2CE3-44B9-85F2-B526829F8684}"/>
    <cellStyle name="Normal 4 6 3 2 7" xfId="4775" xr:uid="{00000000-0005-0000-0000-000067160000}"/>
    <cellStyle name="Normal 4 6 3 2 7 2" xfId="13217" xr:uid="{95497268-1362-4E48-B01F-F3B4F5C7E16C}"/>
    <cellStyle name="Normal 4 6 3 2 8" xfId="8999" xr:uid="{A3666953-4D8B-48E6-B5A9-6EECA8247870}"/>
    <cellStyle name="Normal 4 6 3 3" xfId="874" xr:uid="{00000000-0005-0000-0000-000068160000}"/>
    <cellStyle name="Normal 4 6 3 3 2" xfId="3109" xr:uid="{00000000-0005-0000-0000-000069160000}"/>
    <cellStyle name="Normal 4 6 3 3 2 2" xfId="7332" xr:uid="{00000000-0005-0000-0000-00006A160000}"/>
    <cellStyle name="Normal 4 6 3 3 2 2 2" xfId="15774" xr:uid="{220F6B14-FFAC-4961-ABB9-292267A050B9}"/>
    <cellStyle name="Normal 4 6 3 3 2 3" xfId="11556" xr:uid="{1FFC0119-8492-462B-AD80-725A441A57A3}"/>
    <cellStyle name="Normal 4 6 3 3 3" xfId="5187" xr:uid="{00000000-0005-0000-0000-00006B160000}"/>
    <cellStyle name="Normal 4 6 3 3 3 2" xfId="13629" xr:uid="{4ACFA4AA-6FD3-4830-BE4A-91C34D82D7A3}"/>
    <cellStyle name="Normal 4 6 3 3 4" xfId="9411" xr:uid="{F35E76BE-7302-4D5C-99EF-38D4A0A22108}"/>
    <cellStyle name="Normal 4 6 3 4" xfId="1292" xr:uid="{00000000-0005-0000-0000-00006C160000}"/>
    <cellStyle name="Normal 4 6 3 4 2" xfId="3522" xr:uid="{00000000-0005-0000-0000-00006D160000}"/>
    <cellStyle name="Normal 4 6 3 4 2 2" xfId="7745" xr:uid="{00000000-0005-0000-0000-00006E160000}"/>
    <cellStyle name="Normal 4 6 3 4 2 2 2" xfId="16187" xr:uid="{C6C6EA73-48B5-4318-AE16-CB8C87CE18E3}"/>
    <cellStyle name="Normal 4 6 3 4 2 3" xfId="11969" xr:uid="{A6A2A29C-6485-49E0-8795-D2BC4EFE16E1}"/>
    <cellStyle name="Normal 4 6 3 4 3" xfId="5600" xr:uid="{00000000-0005-0000-0000-00006F160000}"/>
    <cellStyle name="Normal 4 6 3 4 3 2" xfId="14042" xr:uid="{41C71A71-2E13-47FB-8A40-DD4F62AB8AD6}"/>
    <cellStyle name="Normal 4 6 3 4 4" xfId="9824" xr:uid="{AFDE48F3-CDFE-4DEC-85A1-256C6B490A88}"/>
    <cellStyle name="Normal 4 6 3 5" xfId="1705" xr:uid="{00000000-0005-0000-0000-000070160000}"/>
    <cellStyle name="Normal 4 6 3 5 2" xfId="3935" xr:uid="{00000000-0005-0000-0000-000071160000}"/>
    <cellStyle name="Normal 4 6 3 5 2 2" xfId="8158" xr:uid="{00000000-0005-0000-0000-000072160000}"/>
    <cellStyle name="Normal 4 6 3 5 2 2 2" xfId="16600" xr:uid="{8AC7A711-4080-4BD3-8744-7C0D59064265}"/>
    <cellStyle name="Normal 4 6 3 5 2 3" xfId="12382" xr:uid="{A8AC59FB-58AF-4A88-8452-018189A4B2DC}"/>
    <cellStyle name="Normal 4 6 3 5 3" xfId="6013" xr:uid="{00000000-0005-0000-0000-000073160000}"/>
    <cellStyle name="Normal 4 6 3 5 3 2" xfId="14455" xr:uid="{0C7C1A59-2357-4CAF-8ADC-5C36D05A4199}"/>
    <cellStyle name="Normal 4 6 3 5 4" xfId="10237" xr:uid="{F355DF70-640E-44AB-A181-927FD06EC819}"/>
    <cellStyle name="Normal 4 6 3 6" xfId="2119" xr:uid="{00000000-0005-0000-0000-000074160000}"/>
    <cellStyle name="Normal 4 6 3 6 2" xfId="4348" xr:uid="{00000000-0005-0000-0000-000075160000}"/>
    <cellStyle name="Normal 4 6 3 6 2 2" xfId="8571" xr:uid="{00000000-0005-0000-0000-000076160000}"/>
    <cellStyle name="Normal 4 6 3 6 2 2 2" xfId="17013" xr:uid="{2B00175B-ED7B-4668-A9BF-B0B62A16DDB8}"/>
    <cellStyle name="Normal 4 6 3 6 2 3" xfId="12795" xr:uid="{AB00AE5D-FF5F-42BF-8095-724D79B65D14}"/>
    <cellStyle name="Normal 4 6 3 6 3" xfId="6426" xr:uid="{00000000-0005-0000-0000-000077160000}"/>
    <cellStyle name="Normal 4 6 3 6 3 2" xfId="14868" xr:uid="{0E3F81D0-7AE8-4502-899B-87D0A9862179}"/>
    <cellStyle name="Normal 4 6 3 6 4" xfId="10650" xr:uid="{9A6316ED-7750-4CCB-A850-2DE7850932E2}"/>
    <cellStyle name="Normal 4 6 3 7" xfId="2555" xr:uid="{00000000-0005-0000-0000-000078160000}"/>
    <cellStyle name="Normal 4 6 3 7 2" xfId="6839" xr:uid="{00000000-0005-0000-0000-000079160000}"/>
    <cellStyle name="Normal 4 6 3 7 2 2" xfId="15281" xr:uid="{36CB4908-077D-4979-97CB-DE6A45690E2F}"/>
    <cellStyle name="Normal 4 6 3 7 3" xfId="11063" xr:uid="{D9B02D5B-0D28-4957-947D-83C1B8F2F40D}"/>
    <cellStyle name="Normal 4 6 3 8" xfId="4774" xr:uid="{00000000-0005-0000-0000-00007A160000}"/>
    <cellStyle name="Normal 4 6 3 8 2" xfId="13216" xr:uid="{8182D033-37A7-41CB-A8D4-3D7F80933BA4}"/>
    <cellStyle name="Normal 4 6 3 9" xfId="8998" xr:uid="{24A0BE0D-3F2C-414C-AA5C-457D8F5768A4}"/>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2 2 2" xfId="15776" xr:uid="{2BCB5D9A-E32F-4D89-9579-1873FF952774}"/>
    <cellStyle name="Normal 4 6 4 2 2 3" xfId="11558" xr:uid="{B931D0E7-E2BC-4E26-B9AD-729045C06DA1}"/>
    <cellStyle name="Normal 4 6 4 2 3" xfId="5189" xr:uid="{00000000-0005-0000-0000-00007F160000}"/>
    <cellStyle name="Normal 4 6 4 2 3 2" xfId="13631" xr:uid="{834501F9-A22A-4A47-9A7C-8E7BB3D1F51B}"/>
    <cellStyle name="Normal 4 6 4 2 4" xfId="9413" xr:uid="{45B112DD-AE3B-4C76-A307-24FF68BCF9CA}"/>
    <cellStyle name="Normal 4 6 4 3" xfId="1294" xr:uid="{00000000-0005-0000-0000-000080160000}"/>
    <cellStyle name="Normal 4 6 4 3 2" xfId="3524" xr:uid="{00000000-0005-0000-0000-000081160000}"/>
    <cellStyle name="Normal 4 6 4 3 2 2" xfId="7747" xr:uid="{00000000-0005-0000-0000-000082160000}"/>
    <cellStyle name="Normal 4 6 4 3 2 2 2" xfId="16189" xr:uid="{ED52E926-4E70-4AF3-88DC-52D24582A0D9}"/>
    <cellStyle name="Normal 4 6 4 3 2 3" xfId="11971" xr:uid="{26286C6F-341D-4577-B766-32156B743853}"/>
    <cellStyle name="Normal 4 6 4 3 3" xfId="5602" xr:uid="{00000000-0005-0000-0000-000083160000}"/>
    <cellStyle name="Normal 4 6 4 3 3 2" xfId="14044" xr:uid="{694BA556-3DB2-42CF-BE22-284044073723}"/>
    <cellStyle name="Normal 4 6 4 3 4" xfId="9826" xr:uid="{343F1123-D55C-453F-A95C-74BA3CE33C14}"/>
    <cellStyle name="Normal 4 6 4 4" xfId="1707" xr:uid="{00000000-0005-0000-0000-000084160000}"/>
    <cellStyle name="Normal 4 6 4 4 2" xfId="3937" xr:uid="{00000000-0005-0000-0000-000085160000}"/>
    <cellStyle name="Normal 4 6 4 4 2 2" xfId="8160" xr:uid="{00000000-0005-0000-0000-000086160000}"/>
    <cellStyle name="Normal 4 6 4 4 2 2 2" xfId="16602" xr:uid="{89894EE4-16DB-4F82-AB08-B22DC68A0178}"/>
    <cellStyle name="Normal 4 6 4 4 2 3" xfId="12384" xr:uid="{58714209-E8C7-474F-AC2E-C4FDA1A06223}"/>
    <cellStyle name="Normal 4 6 4 4 3" xfId="6015" xr:uid="{00000000-0005-0000-0000-000087160000}"/>
    <cellStyle name="Normal 4 6 4 4 3 2" xfId="14457" xr:uid="{63AE3338-C369-48ED-BBA7-87186CC55559}"/>
    <cellStyle name="Normal 4 6 4 4 4" xfId="10239" xr:uid="{70A175A1-2BB0-4E0C-B08F-4097501B5DC2}"/>
    <cellStyle name="Normal 4 6 4 5" xfId="2121" xr:uid="{00000000-0005-0000-0000-000088160000}"/>
    <cellStyle name="Normal 4 6 4 5 2" xfId="4350" xr:uid="{00000000-0005-0000-0000-000089160000}"/>
    <cellStyle name="Normal 4 6 4 5 2 2" xfId="8573" xr:uid="{00000000-0005-0000-0000-00008A160000}"/>
    <cellStyle name="Normal 4 6 4 5 2 2 2" xfId="17015" xr:uid="{42580E5C-B6FE-4EE1-804D-775D07D9C165}"/>
    <cellStyle name="Normal 4 6 4 5 2 3" xfId="12797" xr:uid="{24EF8132-E359-4B40-B4F9-97085067A580}"/>
    <cellStyle name="Normal 4 6 4 5 3" xfId="6428" xr:uid="{00000000-0005-0000-0000-00008B160000}"/>
    <cellStyle name="Normal 4 6 4 5 3 2" xfId="14870" xr:uid="{E91A704D-4D45-401A-94CF-E42A65B4130B}"/>
    <cellStyle name="Normal 4 6 4 5 4" xfId="10652" xr:uid="{6FF5B655-6879-409E-9E34-D8C5716B1BEE}"/>
    <cellStyle name="Normal 4 6 4 6" xfId="2557" xr:uid="{00000000-0005-0000-0000-00008C160000}"/>
    <cellStyle name="Normal 4 6 4 6 2" xfId="6841" xr:uid="{00000000-0005-0000-0000-00008D160000}"/>
    <cellStyle name="Normal 4 6 4 6 2 2" xfId="15283" xr:uid="{F5110472-FA9B-4B0F-9FDF-F15131D86AE1}"/>
    <cellStyle name="Normal 4 6 4 6 3" xfId="11065" xr:uid="{CD0FF938-31BA-429D-8E71-5F101F492181}"/>
    <cellStyle name="Normal 4 6 4 7" xfId="4776" xr:uid="{00000000-0005-0000-0000-00008E160000}"/>
    <cellStyle name="Normal 4 6 4 7 2" xfId="13218" xr:uid="{24C339FC-C08F-434E-B34E-515940AA7D54}"/>
    <cellStyle name="Normal 4 6 4 8" xfId="9000" xr:uid="{DB210927-DC2D-4600-81BD-6346FAEE59E1}"/>
    <cellStyle name="Normal 4 6 5" xfId="869" xr:uid="{00000000-0005-0000-0000-00008F160000}"/>
    <cellStyle name="Normal 4 6 5 2" xfId="3104" xr:uid="{00000000-0005-0000-0000-000090160000}"/>
    <cellStyle name="Normal 4 6 5 2 2" xfId="7327" xr:uid="{00000000-0005-0000-0000-000091160000}"/>
    <cellStyle name="Normal 4 6 5 2 2 2" xfId="15769" xr:uid="{ED0E9FFF-D607-4991-97B8-2E9BABE50125}"/>
    <cellStyle name="Normal 4 6 5 2 3" xfId="11551" xr:uid="{FD958586-68B5-4921-813E-2ADD986BCA26}"/>
    <cellStyle name="Normal 4 6 5 3" xfId="5182" xr:uid="{00000000-0005-0000-0000-000092160000}"/>
    <cellStyle name="Normal 4 6 5 3 2" xfId="13624" xr:uid="{1A3C89BE-D663-499C-9CFF-5EDDC2818B32}"/>
    <cellStyle name="Normal 4 6 5 4" xfId="9406" xr:uid="{22BDB619-29B9-4644-909E-CB81576A3D25}"/>
    <cellStyle name="Normal 4 6 6" xfId="1287" xr:uid="{00000000-0005-0000-0000-000093160000}"/>
    <cellStyle name="Normal 4 6 6 2" xfId="3517" xr:uid="{00000000-0005-0000-0000-000094160000}"/>
    <cellStyle name="Normal 4 6 6 2 2" xfId="7740" xr:uid="{00000000-0005-0000-0000-000095160000}"/>
    <cellStyle name="Normal 4 6 6 2 2 2" xfId="16182" xr:uid="{5AC4108A-9177-4535-91A6-CD26A1641D42}"/>
    <cellStyle name="Normal 4 6 6 2 3" xfId="11964" xr:uid="{EEA1790E-8EF5-46CC-A913-BC7C3CF9F0F4}"/>
    <cellStyle name="Normal 4 6 6 3" xfId="5595" xr:uid="{00000000-0005-0000-0000-000096160000}"/>
    <cellStyle name="Normal 4 6 6 3 2" xfId="14037" xr:uid="{F822B0F6-F4AE-4063-9EB4-A87E2A20A23D}"/>
    <cellStyle name="Normal 4 6 6 4" xfId="9819" xr:uid="{1231368D-3C7A-436A-A172-B636D19ABE73}"/>
    <cellStyle name="Normal 4 6 7" xfId="1700" xr:uid="{00000000-0005-0000-0000-000097160000}"/>
    <cellStyle name="Normal 4 6 7 2" xfId="3930" xr:uid="{00000000-0005-0000-0000-000098160000}"/>
    <cellStyle name="Normal 4 6 7 2 2" xfId="8153" xr:uid="{00000000-0005-0000-0000-000099160000}"/>
    <cellStyle name="Normal 4 6 7 2 2 2" xfId="16595" xr:uid="{A7DF9951-D809-4585-9065-64CA57ABC93F}"/>
    <cellStyle name="Normal 4 6 7 2 3" xfId="12377" xr:uid="{EAD4E45B-C26D-4AB7-BECA-19EB25735BB1}"/>
    <cellStyle name="Normal 4 6 7 3" xfId="6008" xr:uid="{00000000-0005-0000-0000-00009A160000}"/>
    <cellStyle name="Normal 4 6 7 3 2" xfId="14450" xr:uid="{AE06568E-6325-40C1-A4DF-F4764D15D5AD}"/>
    <cellStyle name="Normal 4 6 7 4" xfId="10232" xr:uid="{7D07B2A1-0B32-4820-B927-6A024D4BE4B5}"/>
    <cellStyle name="Normal 4 6 8" xfId="2114" xr:uid="{00000000-0005-0000-0000-00009B160000}"/>
    <cellStyle name="Normal 4 6 8 2" xfId="4343" xr:uid="{00000000-0005-0000-0000-00009C160000}"/>
    <cellStyle name="Normal 4 6 8 2 2" xfId="8566" xr:uid="{00000000-0005-0000-0000-00009D160000}"/>
    <cellStyle name="Normal 4 6 8 2 2 2" xfId="17008" xr:uid="{5FE50526-BC86-4267-A02D-E4174B295C9C}"/>
    <cellStyle name="Normal 4 6 8 2 3" xfId="12790" xr:uid="{6BE66F97-067C-4A9A-8A1D-DB886EF2A76A}"/>
    <cellStyle name="Normal 4 6 8 3" xfId="6421" xr:uid="{00000000-0005-0000-0000-00009E160000}"/>
    <cellStyle name="Normal 4 6 8 3 2" xfId="14863" xr:uid="{94D36CB4-C7FE-410F-9295-28A59F600C0D}"/>
    <cellStyle name="Normal 4 6 8 4" xfId="10645" xr:uid="{FD4F2FCE-6A49-4444-9F5B-8F1BEB9F0973}"/>
    <cellStyle name="Normal 4 6 9" xfId="2550" xr:uid="{00000000-0005-0000-0000-00009F160000}"/>
    <cellStyle name="Normal 4 6 9 2" xfId="6834" xr:uid="{00000000-0005-0000-0000-0000A0160000}"/>
    <cellStyle name="Normal 4 6 9 2 2" xfId="15276" xr:uid="{02739D71-AE93-4746-BFFC-4A69B3C09070}"/>
    <cellStyle name="Normal 4 6 9 3" xfId="11058" xr:uid="{4AA96BB7-89F7-4EF0-A61A-50A6EE6C5A67}"/>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2 2 2" xfId="15778" xr:uid="{6251CCAB-F094-45A7-B70F-3CB702E3C0DE}"/>
    <cellStyle name="Normal 4 7 2 2 2 3" xfId="11560" xr:uid="{BCDAA4A3-7D92-4BC3-97C2-9CD615B082A8}"/>
    <cellStyle name="Normal 4 7 2 2 3" xfId="5191" xr:uid="{00000000-0005-0000-0000-0000A6160000}"/>
    <cellStyle name="Normal 4 7 2 2 3 2" xfId="13633" xr:uid="{D0852D13-C5A0-4345-8669-889F15C6C095}"/>
    <cellStyle name="Normal 4 7 2 2 4" xfId="9415" xr:uid="{D442E748-8270-4080-BBBF-32E3B7BEB0EF}"/>
    <cellStyle name="Normal 4 7 2 3" xfId="1296" xr:uid="{00000000-0005-0000-0000-0000A7160000}"/>
    <cellStyle name="Normal 4 7 2 3 2" xfId="3526" xr:uid="{00000000-0005-0000-0000-0000A8160000}"/>
    <cellStyle name="Normal 4 7 2 3 2 2" xfId="7749" xr:uid="{00000000-0005-0000-0000-0000A9160000}"/>
    <cellStyle name="Normal 4 7 2 3 2 2 2" xfId="16191" xr:uid="{A0838F0D-CB42-4ECF-AD73-574A9FF83B86}"/>
    <cellStyle name="Normal 4 7 2 3 2 3" xfId="11973" xr:uid="{E325C422-3F95-4658-B3D0-CA4E7D24B073}"/>
    <cellStyle name="Normal 4 7 2 3 3" xfId="5604" xr:uid="{00000000-0005-0000-0000-0000AA160000}"/>
    <cellStyle name="Normal 4 7 2 3 3 2" xfId="14046" xr:uid="{53F892D9-E6A7-40C2-BB07-E797936CDE68}"/>
    <cellStyle name="Normal 4 7 2 3 4" xfId="9828" xr:uid="{0F7DAA52-17A6-43D9-99A8-8B4BDA6C26E2}"/>
    <cellStyle name="Normal 4 7 2 4" xfId="1709" xr:uid="{00000000-0005-0000-0000-0000AB160000}"/>
    <cellStyle name="Normal 4 7 2 4 2" xfId="3939" xr:uid="{00000000-0005-0000-0000-0000AC160000}"/>
    <cellStyle name="Normal 4 7 2 4 2 2" xfId="8162" xr:uid="{00000000-0005-0000-0000-0000AD160000}"/>
    <cellStyle name="Normal 4 7 2 4 2 2 2" xfId="16604" xr:uid="{FF8FC04F-2523-4C71-9B14-B8C47D2421E6}"/>
    <cellStyle name="Normal 4 7 2 4 2 3" xfId="12386" xr:uid="{888D1D62-3F0B-42FB-B7B0-14BCC042FC96}"/>
    <cellStyle name="Normal 4 7 2 4 3" xfId="6017" xr:uid="{00000000-0005-0000-0000-0000AE160000}"/>
    <cellStyle name="Normal 4 7 2 4 3 2" xfId="14459" xr:uid="{D12C9BED-FB65-4841-88FC-C633149618E1}"/>
    <cellStyle name="Normal 4 7 2 4 4" xfId="10241" xr:uid="{EB9A5859-BC8B-4760-A063-F127F004C399}"/>
    <cellStyle name="Normal 4 7 2 5" xfId="2123" xr:uid="{00000000-0005-0000-0000-0000AF160000}"/>
    <cellStyle name="Normal 4 7 2 5 2" xfId="4352" xr:uid="{00000000-0005-0000-0000-0000B0160000}"/>
    <cellStyle name="Normal 4 7 2 5 2 2" xfId="8575" xr:uid="{00000000-0005-0000-0000-0000B1160000}"/>
    <cellStyle name="Normal 4 7 2 5 2 2 2" xfId="17017" xr:uid="{D364A26D-C941-4E07-B3A4-5379BB4C7F75}"/>
    <cellStyle name="Normal 4 7 2 5 2 3" xfId="12799" xr:uid="{501F26E2-0853-4782-922F-30460D219732}"/>
    <cellStyle name="Normal 4 7 2 5 3" xfId="6430" xr:uid="{00000000-0005-0000-0000-0000B2160000}"/>
    <cellStyle name="Normal 4 7 2 5 3 2" xfId="14872" xr:uid="{23256CD7-DDD2-4B97-806A-26695B712A51}"/>
    <cellStyle name="Normal 4 7 2 5 4" xfId="10654" xr:uid="{00D9ED9C-FF2D-4266-A515-DCCD9D2EEEA1}"/>
    <cellStyle name="Normal 4 7 2 6" xfId="2559" xr:uid="{00000000-0005-0000-0000-0000B3160000}"/>
    <cellStyle name="Normal 4 7 2 6 2" xfId="6843" xr:uid="{00000000-0005-0000-0000-0000B4160000}"/>
    <cellStyle name="Normal 4 7 2 6 2 2" xfId="15285" xr:uid="{EBAAFBEA-E014-423C-9668-70561D1E5044}"/>
    <cellStyle name="Normal 4 7 2 6 3" xfId="11067" xr:uid="{8D840AEA-5C73-4B6B-82BD-050FC397BFCA}"/>
    <cellStyle name="Normal 4 7 2 7" xfId="4778" xr:uid="{00000000-0005-0000-0000-0000B5160000}"/>
    <cellStyle name="Normal 4 7 2 7 2" xfId="13220" xr:uid="{447A52CB-FCF9-4983-9138-0CD14B148E6D}"/>
    <cellStyle name="Normal 4 7 2 8" xfId="9002" xr:uid="{1D7B96A1-4401-4731-A29F-6640FA3CD2BA}"/>
    <cellStyle name="Normal 4 7 3" xfId="877" xr:uid="{00000000-0005-0000-0000-0000B6160000}"/>
    <cellStyle name="Normal 4 7 3 2" xfId="3112" xr:uid="{00000000-0005-0000-0000-0000B7160000}"/>
    <cellStyle name="Normal 4 7 3 2 2" xfId="7335" xr:uid="{00000000-0005-0000-0000-0000B8160000}"/>
    <cellStyle name="Normal 4 7 3 2 2 2" xfId="15777" xr:uid="{C75B65E2-E207-41D1-8DB8-15B26263E51A}"/>
    <cellStyle name="Normal 4 7 3 2 3" xfId="11559" xr:uid="{56D1E5E4-4745-40FE-8095-14BCF81F5DA6}"/>
    <cellStyle name="Normal 4 7 3 3" xfId="5190" xr:uid="{00000000-0005-0000-0000-0000B9160000}"/>
    <cellStyle name="Normal 4 7 3 3 2" xfId="13632" xr:uid="{13B6C867-3EA3-4776-B4FA-A25E8AB296D3}"/>
    <cellStyle name="Normal 4 7 3 4" xfId="9414" xr:uid="{82E1C866-A841-46DF-8F9A-AE4C9B78B804}"/>
    <cellStyle name="Normal 4 7 4" xfId="1295" xr:uid="{00000000-0005-0000-0000-0000BA160000}"/>
    <cellStyle name="Normal 4 7 4 2" xfId="3525" xr:uid="{00000000-0005-0000-0000-0000BB160000}"/>
    <cellStyle name="Normal 4 7 4 2 2" xfId="7748" xr:uid="{00000000-0005-0000-0000-0000BC160000}"/>
    <cellStyle name="Normal 4 7 4 2 2 2" xfId="16190" xr:uid="{2356E4CD-2C0E-4487-85B1-D7B9CD72B9F7}"/>
    <cellStyle name="Normal 4 7 4 2 3" xfId="11972" xr:uid="{6940B0A0-F7CB-4C18-9D17-ADCE5DEB205F}"/>
    <cellStyle name="Normal 4 7 4 3" xfId="5603" xr:uid="{00000000-0005-0000-0000-0000BD160000}"/>
    <cellStyle name="Normal 4 7 4 3 2" xfId="14045" xr:uid="{683CB7DE-F33B-4AAE-BF48-FC49865A2AE1}"/>
    <cellStyle name="Normal 4 7 4 4" xfId="9827" xr:uid="{661203F8-7CE7-4C30-AAA3-176B342CB8E3}"/>
    <cellStyle name="Normal 4 7 5" xfId="1708" xr:uid="{00000000-0005-0000-0000-0000BE160000}"/>
    <cellStyle name="Normal 4 7 5 2" xfId="3938" xr:uid="{00000000-0005-0000-0000-0000BF160000}"/>
    <cellStyle name="Normal 4 7 5 2 2" xfId="8161" xr:uid="{00000000-0005-0000-0000-0000C0160000}"/>
    <cellStyle name="Normal 4 7 5 2 2 2" xfId="16603" xr:uid="{9AEA6CA8-48D1-48C9-AF9C-12FD557C6B77}"/>
    <cellStyle name="Normal 4 7 5 2 3" xfId="12385" xr:uid="{20571D97-22D3-4501-964D-8ADEDA44E916}"/>
    <cellStyle name="Normal 4 7 5 3" xfId="6016" xr:uid="{00000000-0005-0000-0000-0000C1160000}"/>
    <cellStyle name="Normal 4 7 5 3 2" xfId="14458" xr:uid="{9C6CC5D7-2795-49F3-8354-6853A690B3B7}"/>
    <cellStyle name="Normal 4 7 5 4" xfId="10240" xr:uid="{A91FB86B-99F9-4DD3-8FB4-64B0133CE93C}"/>
    <cellStyle name="Normal 4 7 6" xfId="2122" xr:uid="{00000000-0005-0000-0000-0000C2160000}"/>
    <cellStyle name="Normal 4 7 6 2" xfId="4351" xr:uid="{00000000-0005-0000-0000-0000C3160000}"/>
    <cellStyle name="Normal 4 7 6 2 2" xfId="8574" xr:uid="{00000000-0005-0000-0000-0000C4160000}"/>
    <cellStyle name="Normal 4 7 6 2 2 2" xfId="17016" xr:uid="{8652CE90-0FC3-429F-9DDC-28B6925F0694}"/>
    <cellStyle name="Normal 4 7 6 2 3" xfId="12798" xr:uid="{9547E377-5472-41BE-AD8D-B26E2E2EC11C}"/>
    <cellStyle name="Normal 4 7 6 3" xfId="6429" xr:uid="{00000000-0005-0000-0000-0000C5160000}"/>
    <cellStyle name="Normal 4 7 6 3 2" xfId="14871" xr:uid="{9C10E89C-11E8-41F6-B35D-CC850638C8E9}"/>
    <cellStyle name="Normal 4 7 6 4" xfId="10653" xr:uid="{FD55EA9A-B8E8-4807-AB63-0DCAFEC20487}"/>
    <cellStyle name="Normal 4 7 7" xfId="2558" xr:uid="{00000000-0005-0000-0000-0000C6160000}"/>
    <cellStyle name="Normal 4 7 7 2" xfId="6842" xr:uid="{00000000-0005-0000-0000-0000C7160000}"/>
    <cellStyle name="Normal 4 7 7 2 2" xfId="15284" xr:uid="{E6825B36-60FA-4E14-979C-EB8FB4A6C2A4}"/>
    <cellStyle name="Normal 4 7 7 3" xfId="11066" xr:uid="{10D0900F-3934-4F1C-9729-41F2F23D62D5}"/>
    <cellStyle name="Normal 4 7 8" xfId="4777" xr:uid="{00000000-0005-0000-0000-0000C8160000}"/>
    <cellStyle name="Normal 4 7 8 2" xfId="13219" xr:uid="{FAA4BAAB-C6A0-40C1-A21F-435E2AC80B34}"/>
    <cellStyle name="Normal 4 7 9" xfId="9001" xr:uid="{14E7DCB3-D41E-4EDD-A2AA-DADF9AD10E87}"/>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2 2 2" xfId="15779" xr:uid="{6D509BCE-6A51-4176-8562-C288821C8F46}"/>
    <cellStyle name="Normal 4 8 2 2 3" xfId="11561" xr:uid="{A2E56070-1A8B-496C-AA1A-E1296EE7E105}"/>
    <cellStyle name="Normal 4 8 2 3" xfId="5192" xr:uid="{00000000-0005-0000-0000-0000CD160000}"/>
    <cellStyle name="Normal 4 8 2 3 2" xfId="13634" xr:uid="{50AD3E74-416E-4C66-BC6B-2685038631BB}"/>
    <cellStyle name="Normal 4 8 2 4" xfId="9416" xr:uid="{1E3901BC-52E4-40A8-A794-7627540976A3}"/>
    <cellStyle name="Normal 4 8 3" xfId="1297" xr:uid="{00000000-0005-0000-0000-0000CE160000}"/>
    <cellStyle name="Normal 4 8 3 2" xfId="3527" xr:uid="{00000000-0005-0000-0000-0000CF160000}"/>
    <cellStyle name="Normal 4 8 3 2 2" xfId="7750" xr:uid="{00000000-0005-0000-0000-0000D0160000}"/>
    <cellStyle name="Normal 4 8 3 2 2 2" xfId="16192" xr:uid="{A5CC374E-804C-4851-A619-8132715A9C7B}"/>
    <cellStyle name="Normal 4 8 3 2 3" xfId="11974" xr:uid="{B577A803-1742-4378-B0C2-85092520E6FC}"/>
    <cellStyle name="Normal 4 8 3 3" xfId="5605" xr:uid="{00000000-0005-0000-0000-0000D1160000}"/>
    <cellStyle name="Normal 4 8 3 3 2" xfId="14047" xr:uid="{A617A357-BE3F-410D-9DC3-111C9ABCE593}"/>
    <cellStyle name="Normal 4 8 3 4" xfId="9829" xr:uid="{8336A1AD-BA50-4AF0-A324-D4A52F49C3E7}"/>
    <cellStyle name="Normal 4 8 4" xfId="1710" xr:uid="{00000000-0005-0000-0000-0000D2160000}"/>
    <cellStyle name="Normal 4 8 4 2" xfId="3940" xr:uid="{00000000-0005-0000-0000-0000D3160000}"/>
    <cellStyle name="Normal 4 8 4 2 2" xfId="8163" xr:uid="{00000000-0005-0000-0000-0000D4160000}"/>
    <cellStyle name="Normal 4 8 4 2 2 2" xfId="16605" xr:uid="{BCB2C621-8C88-44FA-A4D0-0D9DA9CCA927}"/>
    <cellStyle name="Normal 4 8 4 2 3" xfId="12387" xr:uid="{171BEFA9-93C2-4114-9CF7-63EF859E7C74}"/>
    <cellStyle name="Normal 4 8 4 3" xfId="6018" xr:uid="{00000000-0005-0000-0000-0000D5160000}"/>
    <cellStyle name="Normal 4 8 4 3 2" xfId="14460" xr:uid="{FE91DC7E-5C57-4966-851D-83638A54308A}"/>
    <cellStyle name="Normal 4 8 4 4" xfId="10242" xr:uid="{90CD849D-A965-4FBC-8292-DA196E480AFD}"/>
    <cellStyle name="Normal 4 8 5" xfId="2124" xr:uid="{00000000-0005-0000-0000-0000D6160000}"/>
    <cellStyle name="Normal 4 8 5 2" xfId="4353" xr:uid="{00000000-0005-0000-0000-0000D7160000}"/>
    <cellStyle name="Normal 4 8 5 2 2" xfId="8576" xr:uid="{00000000-0005-0000-0000-0000D8160000}"/>
    <cellStyle name="Normal 4 8 5 2 2 2" xfId="17018" xr:uid="{C0A0F878-4E5F-4505-8B7B-32D0314E919D}"/>
    <cellStyle name="Normal 4 8 5 2 3" xfId="12800" xr:uid="{9540E1DB-76FA-4C06-AA6A-67C4FFFAF211}"/>
    <cellStyle name="Normal 4 8 5 3" xfId="6431" xr:uid="{00000000-0005-0000-0000-0000D9160000}"/>
    <cellStyle name="Normal 4 8 5 3 2" xfId="14873" xr:uid="{7D56CBC0-EFFC-4A4E-A8C0-A391AF7B84B2}"/>
    <cellStyle name="Normal 4 8 5 4" xfId="10655" xr:uid="{A3991593-8122-42DD-BB33-A8B632CADEFA}"/>
    <cellStyle name="Normal 4 8 6" xfId="2560" xr:uid="{00000000-0005-0000-0000-0000DA160000}"/>
    <cellStyle name="Normal 4 8 6 2" xfId="6844" xr:uid="{00000000-0005-0000-0000-0000DB160000}"/>
    <cellStyle name="Normal 4 8 6 2 2" xfId="15286" xr:uid="{51A5DF08-5270-4068-9BF7-66E6A027A06E}"/>
    <cellStyle name="Normal 4 8 6 3" xfId="11068" xr:uid="{D645A5E7-AE74-46E9-B187-CE25D4B2D385}"/>
    <cellStyle name="Normal 4 8 7" xfId="4779" xr:uid="{00000000-0005-0000-0000-0000DC160000}"/>
    <cellStyle name="Normal 4 8 7 2" xfId="13221" xr:uid="{083C70D2-F5A2-47E6-B8E7-104007B3BFA5}"/>
    <cellStyle name="Normal 4 8 8" xfId="9003" xr:uid="{1612B4BB-06E5-4056-8BEB-0AE7B1782920}"/>
    <cellStyle name="Normal 4 9" xfId="4716" xr:uid="{00000000-0005-0000-0000-0000DD160000}"/>
    <cellStyle name="Normal 4 9 2" xfId="13158" xr:uid="{6C493209-2F5B-469A-949E-2709E9DE43C7}"/>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2 2 2" xfId="16606" xr:uid="{572C3315-85EB-498B-8111-F7C50325EF63}"/>
    <cellStyle name="Normal 5 10 2 3" xfId="12388" xr:uid="{6625DDF6-6072-4A08-AEC4-3173D81E0064}"/>
    <cellStyle name="Normal 5 10 3" xfId="6019" xr:uid="{00000000-0005-0000-0000-0000E2160000}"/>
    <cellStyle name="Normal 5 10 3 2" xfId="14461" xr:uid="{FD6845DB-B9DF-4C03-AF4A-B6E5D602AA9E}"/>
    <cellStyle name="Normal 5 10 4" xfId="10243" xr:uid="{76CA7C53-2CB0-4FA2-A69D-42594EC3E69D}"/>
    <cellStyle name="Normal 5 11" xfId="2125" xr:uid="{00000000-0005-0000-0000-0000E3160000}"/>
    <cellStyle name="Normal 5 11 2" xfId="4354" xr:uid="{00000000-0005-0000-0000-0000E4160000}"/>
    <cellStyle name="Normal 5 11 2 2" xfId="8577" xr:uid="{00000000-0005-0000-0000-0000E5160000}"/>
    <cellStyle name="Normal 5 11 2 2 2" xfId="17019" xr:uid="{E1761748-238E-4840-BA0A-E41CE7423B03}"/>
    <cellStyle name="Normal 5 11 2 3" xfId="12801" xr:uid="{A9EB2DAF-0F4C-4DFB-85E6-6F7CA0C95307}"/>
    <cellStyle name="Normal 5 11 3" xfId="6432" xr:uid="{00000000-0005-0000-0000-0000E6160000}"/>
    <cellStyle name="Normal 5 11 3 2" xfId="14874" xr:uid="{20E37B70-64A9-4E08-B194-75FAFADC02E4}"/>
    <cellStyle name="Normal 5 11 4" xfId="10656" xr:uid="{9DAF6062-9520-4A11-B27F-E93E5C016D15}"/>
    <cellStyle name="Normal 5 12" xfId="2561" xr:uid="{00000000-0005-0000-0000-0000E7160000}"/>
    <cellStyle name="Normal 5 12 2" xfId="6845" xr:uid="{00000000-0005-0000-0000-0000E8160000}"/>
    <cellStyle name="Normal 5 12 2 2" xfId="15287" xr:uid="{F5CC43C0-DEB5-48D2-B92C-2F3120F13567}"/>
    <cellStyle name="Normal 5 12 3" xfId="11069" xr:uid="{32E11684-C450-4F94-A442-7DFADC0C8B44}"/>
    <cellStyle name="Normal 5 13" xfId="4780" xr:uid="{00000000-0005-0000-0000-0000E9160000}"/>
    <cellStyle name="Normal 5 13 2" xfId="13222" xr:uid="{B3B774BE-09F2-47AE-8081-9A90B8D4028E}"/>
    <cellStyle name="Normal 5 14" xfId="9004" xr:uid="{0BC92D5C-284E-4F96-91C6-C25D950E8B21}"/>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2 2 2" xfId="17020" xr:uid="{3812DE00-7448-442B-890C-D3E9E750AE32}"/>
    <cellStyle name="Normal 5 2 10 2 3" xfId="12802" xr:uid="{05428998-9883-43A1-9456-1C661A0807BF}"/>
    <cellStyle name="Normal 5 2 10 3" xfId="6433" xr:uid="{00000000-0005-0000-0000-0000EE160000}"/>
    <cellStyle name="Normal 5 2 10 3 2" xfId="14875" xr:uid="{8AEC361D-95B3-4B24-848E-49C1736CFAAA}"/>
    <cellStyle name="Normal 5 2 10 4" xfId="10657" xr:uid="{240CF82A-CF5D-4B26-8C38-61068432028E}"/>
    <cellStyle name="Normal 5 2 11" xfId="2562" xr:uid="{00000000-0005-0000-0000-0000EF160000}"/>
    <cellStyle name="Normal 5 2 11 2" xfId="6846" xr:uid="{00000000-0005-0000-0000-0000F0160000}"/>
    <cellStyle name="Normal 5 2 11 2 2" xfId="15288" xr:uid="{AD39A53D-222D-42ED-A35C-0E9FD99F5587}"/>
    <cellStyle name="Normal 5 2 11 3" xfId="11070" xr:uid="{B3480A78-3833-4C85-ADCB-57F0128E6DEC}"/>
    <cellStyle name="Normal 5 2 12" xfId="4781" xr:uid="{00000000-0005-0000-0000-0000F1160000}"/>
    <cellStyle name="Normal 5 2 12 2" xfId="13223" xr:uid="{74C73F27-2BE4-4BCA-9245-B16964B9510F}"/>
    <cellStyle name="Normal 5 2 13" xfId="9005" xr:uid="{F3038EA1-A4B3-4EA1-967C-04863263B6CE}"/>
    <cellStyle name="Normal 5 2 2" xfId="408" xr:uid="{00000000-0005-0000-0000-0000F2160000}"/>
    <cellStyle name="Normal 5 2 2 10" xfId="2563" xr:uid="{00000000-0005-0000-0000-0000F3160000}"/>
    <cellStyle name="Normal 5 2 2 10 2" xfId="6847" xr:uid="{00000000-0005-0000-0000-0000F4160000}"/>
    <cellStyle name="Normal 5 2 2 10 2 2" xfId="15289" xr:uid="{E321BA0E-9EDF-40B3-8B30-65464DEAC3F8}"/>
    <cellStyle name="Normal 5 2 2 10 3" xfId="11071" xr:uid="{72695D41-93EC-4C86-ADC0-E6313096A266}"/>
    <cellStyle name="Normal 5 2 2 11" xfId="4782" xr:uid="{00000000-0005-0000-0000-0000F5160000}"/>
    <cellStyle name="Normal 5 2 2 11 2" xfId="13224" xr:uid="{A37105A2-EBE0-4DF0-B190-97DA574E087A}"/>
    <cellStyle name="Normal 5 2 2 12" xfId="9006" xr:uid="{F88608B3-6580-482F-8C0A-6999F8AD1753}"/>
    <cellStyle name="Normal 5 2 2 2" xfId="409" xr:uid="{00000000-0005-0000-0000-0000F6160000}"/>
    <cellStyle name="Normal 5 2 2 2 10" xfId="4783" xr:uid="{00000000-0005-0000-0000-0000F7160000}"/>
    <cellStyle name="Normal 5 2 2 2 10 2" xfId="13225" xr:uid="{F3E063E2-BEFA-4F55-A099-94D006B2970B}"/>
    <cellStyle name="Normal 5 2 2 2 11" xfId="9007" xr:uid="{EC806D93-5142-467A-8526-54741027C101}"/>
    <cellStyle name="Normal 5 2 2 2 2" xfId="410" xr:uid="{00000000-0005-0000-0000-0000F8160000}"/>
    <cellStyle name="Normal 5 2 2 2 2 10" xfId="9008" xr:uid="{17C1AD26-B8FE-411D-B1ED-A2426E235C88}"/>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2 2 2" xfId="15786" xr:uid="{57818215-18DC-498C-8171-BA54DB80B662}"/>
    <cellStyle name="Normal 5 2 2 2 2 2 2 2 2 3" xfId="11568" xr:uid="{949D1E3B-6774-4448-B815-B1DEC60F57A4}"/>
    <cellStyle name="Normal 5 2 2 2 2 2 2 2 3" xfId="5199" xr:uid="{00000000-0005-0000-0000-0000FE160000}"/>
    <cellStyle name="Normal 5 2 2 2 2 2 2 2 3 2" xfId="13641" xr:uid="{481285A7-AC4B-49C2-8EAF-7C45DF2BC90D}"/>
    <cellStyle name="Normal 5 2 2 2 2 2 2 2 4" xfId="9423" xr:uid="{CB86A56A-D5CE-4FDA-8924-147A8A12A737}"/>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2 2 2" xfId="16199" xr:uid="{E8B68376-AA50-45CF-B35E-3FA8040DF16B}"/>
    <cellStyle name="Normal 5 2 2 2 2 2 2 3 2 3" xfId="11981" xr:uid="{FEB82234-118F-4676-A7B7-FAE95CEA502E}"/>
    <cellStyle name="Normal 5 2 2 2 2 2 2 3 3" xfId="5612" xr:uid="{00000000-0005-0000-0000-000002170000}"/>
    <cellStyle name="Normal 5 2 2 2 2 2 2 3 3 2" xfId="14054" xr:uid="{0980AA6D-5FE7-4169-A4FB-8210422964CB}"/>
    <cellStyle name="Normal 5 2 2 2 2 2 2 3 4" xfId="9836" xr:uid="{3AE90445-7583-48C4-A2B2-BC3194225051}"/>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2 2 2" xfId="16612" xr:uid="{8F549E37-E068-4EED-BD21-45FB00C3CB14}"/>
    <cellStyle name="Normal 5 2 2 2 2 2 2 4 2 3" xfId="12394" xr:uid="{518E570E-1373-4C4C-AACC-F5574D806E61}"/>
    <cellStyle name="Normal 5 2 2 2 2 2 2 4 3" xfId="6025" xr:uid="{00000000-0005-0000-0000-000006170000}"/>
    <cellStyle name="Normal 5 2 2 2 2 2 2 4 3 2" xfId="14467" xr:uid="{057E6448-DB44-4960-B430-81FFAF6F759A}"/>
    <cellStyle name="Normal 5 2 2 2 2 2 2 4 4" xfId="10249" xr:uid="{98BAE945-1F22-4B04-8DC7-61DC63FB29CD}"/>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2 2 2" xfId="17025" xr:uid="{3015BF73-66EA-4E56-A08C-9962AB7D1B10}"/>
    <cellStyle name="Normal 5 2 2 2 2 2 2 5 2 3" xfId="12807" xr:uid="{56F4C418-77DE-4641-AF1D-F2F1FFA02A79}"/>
    <cellStyle name="Normal 5 2 2 2 2 2 2 5 3" xfId="6438" xr:uid="{00000000-0005-0000-0000-00000A170000}"/>
    <cellStyle name="Normal 5 2 2 2 2 2 2 5 3 2" xfId="14880" xr:uid="{0B31FC22-82BD-41B6-9FB0-8BE7D7950289}"/>
    <cellStyle name="Normal 5 2 2 2 2 2 2 5 4" xfId="10662" xr:uid="{4573EA0D-166A-4EDD-AE3A-506FD9548456}"/>
    <cellStyle name="Normal 5 2 2 2 2 2 2 6" xfId="2567" xr:uid="{00000000-0005-0000-0000-00000B170000}"/>
    <cellStyle name="Normal 5 2 2 2 2 2 2 6 2" xfId="6851" xr:uid="{00000000-0005-0000-0000-00000C170000}"/>
    <cellStyle name="Normal 5 2 2 2 2 2 2 6 2 2" xfId="15293" xr:uid="{B1866403-257B-406A-B1EF-50D777E8A80A}"/>
    <cellStyle name="Normal 5 2 2 2 2 2 2 6 3" xfId="11075" xr:uid="{155DED90-04F3-4549-AAB9-E8C7C24C8838}"/>
    <cellStyle name="Normal 5 2 2 2 2 2 2 7" xfId="4786" xr:uid="{00000000-0005-0000-0000-00000D170000}"/>
    <cellStyle name="Normal 5 2 2 2 2 2 2 7 2" xfId="13228" xr:uid="{5A17367D-3218-4D33-BED2-7006EAE1DC60}"/>
    <cellStyle name="Normal 5 2 2 2 2 2 2 8" xfId="9010" xr:uid="{AA459778-BB40-40E9-8121-D8E517AB4AA7}"/>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2 2 2" xfId="15785" xr:uid="{C1FEE033-212E-4B9D-ACD0-712C2DD54B8D}"/>
    <cellStyle name="Normal 5 2 2 2 2 2 3 2 3" xfId="11567" xr:uid="{DE0B6997-7BCD-49F3-804A-547D4206D671}"/>
    <cellStyle name="Normal 5 2 2 2 2 2 3 3" xfId="5198" xr:uid="{00000000-0005-0000-0000-000011170000}"/>
    <cellStyle name="Normal 5 2 2 2 2 2 3 3 2" xfId="13640" xr:uid="{A78E8874-36CF-4167-B777-47860A79888F}"/>
    <cellStyle name="Normal 5 2 2 2 2 2 3 4" xfId="9422" xr:uid="{87D0FA23-9978-4CAD-8B43-C636882D6F0D}"/>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2 2 2" xfId="16198" xr:uid="{17854679-7550-4697-AA12-47480D0A40C9}"/>
    <cellStyle name="Normal 5 2 2 2 2 2 4 2 3" xfId="11980" xr:uid="{0DDD9C1C-C9B8-46C3-AE33-65C2FB4E507E}"/>
    <cellStyle name="Normal 5 2 2 2 2 2 4 3" xfId="5611" xr:uid="{00000000-0005-0000-0000-000015170000}"/>
    <cellStyle name="Normal 5 2 2 2 2 2 4 3 2" xfId="14053" xr:uid="{75654ED0-19DE-487E-95F5-F4E8EEADE90C}"/>
    <cellStyle name="Normal 5 2 2 2 2 2 4 4" xfId="9835" xr:uid="{19C73347-6B04-4794-A9E4-5E7043FE57F4}"/>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2 2 2" xfId="16611" xr:uid="{9AC1D5B7-4CE4-4D01-946A-22D73DC10AAC}"/>
    <cellStyle name="Normal 5 2 2 2 2 2 5 2 3" xfId="12393" xr:uid="{EA6B2EF7-D8FA-48C4-9044-2A0FC9B341D2}"/>
    <cellStyle name="Normal 5 2 2 2 2 2 5 3" xfId="6024" xr:uid="{00000000-0005-0000-0000-000019170000}"/>
    <cellStyle name="Normal 5 2 2 2 2 2 5 3 2" xfId="14466" xr:uid="{09E068B4-1E85-4101-8AED-FD9F7FA30E16}"/>
    <cellStyle name="Normal 5 2 2 2 2 2 5 4" xfId="10248" xr:uid="{EDAC8AF7-37B8-4A3A-A3D9-58864233E98F}"/>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2 2 2" xfId="17024" xr:uid="{58886B52-1C82-46B2-8745-7A2891ED031C}"/>
    <cellStyle name="Normal 5 2 2 2 2 2 6 2 3" xfId="12806" xr:uid="{788B1B78-1867-4E4F-9B5C-4B0EB47BA1B2}"/>
    <cellStyle name="Normal 5 2 2 2 2 2 6 3" xfId="6437" xr:uid="{00000000-0005-0000-0000-00001D170000}"/>
    <cellStyle name="Normal 5 2 2 2 2 2 6 3 2" xfId="14879" xr:uid="{A813BD2C-7EE8-4AA2-93D8-B2A92B150DC2}"/>
    <cellStyle name="Normal 5 2 2 2 2 2 6 4" xfId="10661" xr:uid="{AB83F9EC-55A0-4358-AEF1-48F8B02E4B03}"/>
    <cellStyle name="Normal 5 2 2 2 2 2 7" xfId="2566" xr:uid="{00000000-0005-0000-0000-00001E170000}"/>
    <cellStyle name="Normal 5 2 2 2 2 2 7 2" xfId="6850" xr:uid="{00000000-0005-0000-0000-00001F170000}"/>
    <cellStyle name="Normal 5 2 2 2 2 2 7 2 2" xfId="15292" xr:uid="{C8D4C992-3DD2-4F45-9FE9-B44217F664B8}"/>
    <cellStyle name="Normal 5 2 2 2 2 2 7 3" xfId="11074" xr:uid="{95566CCF-D75E-41C3-A0DD-8C54C5675885}"/>
    <cellStyle name="Normal 5 2 2 2 2 2 8" xfId="4785" xr:uid="{00000000-0005-0000-0000-000020170000}"/>
    <cellStyle name="Normal 5 2 2 2 2 2 8 2" xfId="13227" xr:uid="{41F0ED4B-1FAA-4865-9020-8185EE49D665}"/>
    <cellStyle name="Normal 5 2 2 2 2 2 9" xfId="9009" xr:uid="{0A24A962-1D49-4DFB-A866-53A8C53B644B}"/>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2 2 2" xfId="15787" xr:uid="{62DFCFCC-7522-40F0-9964-D0F462062347}"/>
    <cellStyle name="Normal 5 2 2 2 2 3 2 2 3" xfId="11569" xr:uid="{754C981A-351E-40A0-B3F8-DFB8049E06FD}"/>
    <cellStyle name="Normal 5 2 2 2 2 3 2 3" xfId="5200" xr:uid="{00000000-0005-0000-0000-000025170000}"/>
    <cellStyle name="Normal 5 2 2 2 2 3 2 3 2" xfId="13642" xr:uid="{340C31F9-A904-421D-BAE3-416497B44D1D}"/>
    <cellStyle name="Normal 5 2 2 2 2 3 2 4" xfId="9424" xr:uid="{6F5E8A67-3F9C-41FF-8684-F49177EDA094}"/>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2 2 2" xfId="16200" xr:uid="{F0FEE72B-59C2-42B2-97BE-B3313FF694D9}"/>
    <cellStyle name="Normal 5 2 2 2 2 3 3 2 3" xfId="11982" xr:uid="{CC189FEE-E108-4638-88C8-44A64BA9E304}"/>
    <cellStyle name="Normal 5 2 2 2 2 3 3 3" xfId="5613" xr:uid="{00000000-0005-0000-0000-000029170000}"/>
    <cellStyle name="Normal 5 2 2 2 2 3 3 3 2" xfId="14055" xr:uid="{139D7C6A-DA08-4294-A3C7-9D8D1BA0D9CC}"/>
    <cellStyle name="Normal 5 2 2 2 2 3 3 4" xfId="9837" xr:uid="{2FE656FD-A086-4D47-B29B-4E81BAAD73D2}"/>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2 2 2" xfId="16613" xr:uid="{3EE37AFF-380C-48E9-AB6A-D1B21FC1A096}"/>
    <cellStyle name="Normal 5 2 2 2 2 3 4 2 3" xfId="12395" xr:uid="{1C4D582B-78F1-4AC2-84E7-10067C03EEB1}"/>
    <cellStyle name="Normal 5 2 2 2 2 3 4 3" xfId="6026" xr:uid="{00000000-0005-0000-0000-00002D170000}"/>
    <cellStyle name="Normal 5 2 2 2 2 3 4 3 2" xfId="14468" xr:uid="{B9D4A5E0-9F63-47A3-89BA-2D297417FC8F}"/>
    <cellStyle name="Normal 5 2 2 2 2 3 4 4" xfId="10250" xr:uid="{4A97FE13-4A4A-49D2-8324-9BA63C3A9249}"/>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2 2 2" xfId="17026" xr:uid="{C48ECF8D-AE9A-4EE1-A3F0-833536D2ABAE}"/>
    <cellStyle name="Normal 5 2 2 2 2 3 5 2 3" xfId="12808" xr:uid="{609013A4-E636-41E3-B884-00B5227468D2}"/>
    <cellStyle name="Normal 5 2 2 2 2 3 5 3" xfId="6439" xr:uid="{00000000-0005-0000-0000-000031170000}"/>
    <cellStyle name="Normal 5 2 2 2 2 3 5 3 2" xfId="14881" xr:uid="{BFE10A7C-86D6-4799-B7E5-C1A254BB4882}"/>
    <cellStyle name="Normal 5 2 2 2 2 3 5 4" xfId="10663" xr:uid="{6735A703-F80E-480A-83B7-0705C5877275}"/>
    <cellStyle name="Normal 5 2 2 2 2 3 6" xfId="2568" xr:uid="{00000000-0005-0000-0000-000032170000}"/>
    <cellStyle name="Normal 5 2 2 2 2 3 6 2" xfId="6852" xr:uid="{00000000-0005-0000-0000-000033170000}"/>
    <cellStyle name="Normal 5 2 2 2 2 3 6 2 2" xfId="15294" xr:uid="{13B13AF6-F687-455C-907F-C845FBC965D9}"/>
    <cellStyle name="Normal 5 2 2 2 2 3 6 3" xfId="11076" xr:uid="{25AE47A4-594E-4134-A10D-58E2632508BD}"/>
    <cellStyle name="Normal 5 2 2 2 2 3 7" xfId="4787" xr:uid="{00000000-0005-0000-0000-000034170000}"/>
    <cellStyle name="Normal 5 2 2 2 2 3 7 2" xfId="13229" xr:uid="{F7A8EEBD-AC9A-4313-B5D5-9DB3C486F94C}"/>
    <cellStyle name="Normal 5 2 2 2 2 3 8" xfId="9011" xr:uid="{76E6113A-BBF6-4237-B8A6-8548F5D4534B}"/>
    <cellStyle name="Normal 5 2 2 2 2 4" xfId="884" xr:uid="{00000000-0005-0000-0000-000035170000}"/>
    <cellStyle name="Normal 5 2 2 2 2 4 2" xfId="3119" xr:uid="{00000000-0005-0000-0000-000036170000}"/>
    <cellStyle name="Normal 5 2 2 2 2 4 2 2" xfId="7342" xr:uid="{00000000-0005-0000-0000-000037170000}"/>
    <cellStyle name="Normal 5 2 2 2 2 4 2 2 2" xfId="15784" xr:uid="{B5D0DAF1-BE08-4F3F-BB48-616CDABC9AA4}"/>
    <cellStyle name="Normal 5 2 2 2 2 4 2 3" xfId="11566" xr:uid="{18A052A0-0068-497E-9FEB-840EEA11F613}"/>
    <cellStyle name="Normal 5 2 2 2 2 4 3" xfId="5197" xr:uid="{00000000-0005-0000-0000-000038170000}"/>
    <cellStyle name="Normal 5 2 2 2 2 4 3 2" xfId="13639" xr:uid="{D5C94032-BC1D-4F4E-8790-77B39B0D6CC8}"/>
    <cellStyle name="Normal 5 2 2 2 2 4 4" xfId="9421" xr:uid="{3D7BAE14-C12E-44E1-981F-91AC9F244536}"/>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2 2 2" xfId="16197" xr:uid="{D36E6283-825D-40CD-AFDB-565A4DE810CF}"/>
    <cellStyle name="Normal 5 2 2 2 2 5 2 3" xfId="11979" xr:uid="{C4AD9B2F-7A05-4D3C-911F-FF57A51E9EEC}"/>
    <cellStyle name="Normal 5 2 2 2 2 5 3" xfId="5610" xr:uid="{00000000-0005-0000-0000-00003C170000}"/>
    <cellStyle name="Normal 5 2 2 2 2 5 3 2" xfId="14052" xr:uid="{007FFA44-7958-4713-9A74-30159EB979EF}"/>
    <cellStyle name="Normal 5 2 2 2 2 5 4" xfId="9834" xr:uid="{9CA35D9A-1350-4273-974B-FFC92EEC067F}"/>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2 2 2" xfId="16610" xr:uid="{80A21DAF-6E41-4FAB-A703-7DBABEA6212F}"/>
    <cellStyle name="Normal 5 2 2 2 2 6 2 3" xfId="12392" xr:uid="{0F105EDD-54D5-44A6-99E5-EFC68FFED593}"/>
    <cellStyle name="Normal 5 2 2 2 2 6 3" xfId="6023" xr:uid="{00000000-0005-0000-0000-000040170000}"/>
    <cellStyle name="Normal 5 2 2 2 2 6 3 2" xfId="14465" xr:uid="{C47799F6-073C-420F-B565-EB5DEEBD254A}"/>
    <cellStyle name="Normal 5 2 2 2 2 6 4" xfId="10247" xr:uid="{EC34F7AF-A5C5-4297-9868-ADDA1A53FC5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2 2 2" xfId="17023" xr:uid="{28E682B2-3494-4A33-881A-F62AFA71B101}"/>
    <cellStyle name="Normal 5 2 2 2 2 7 2 3" xfId="12805" xr:uid="{40798D33-CF64-4F48-AA2C-BA31F6DECCA6}"/>
    <cellStyle name="Normal 5 2 2 2 2 7 3" xfId="6436" xr:uid="{00000000-0005-0000-0000-000044170000}"/>
    <cellStyle name="Normal 5 2 2 2 2 7 3 2" xfId="14878" xr:uid="{10962F74-A789-454C-AFE5-C94E7D9EF4E4}"/>
    <cellStyle name="Normal 5 2 2 2 2 7 4" xfId="10660" xr:uid="{E5736AC7-EB30-4855-97AC-CEA24AC9851B}"/>
    <cellStyle name="Normal 5 2 2 2 2 8" xfId="2565" xr:uid="{00000000-0005-0000-0000-000045170000}"/>
    <cellStyle name="Normal 5 2 2 2 2 8 2" xfId="6849" xr:uid="{00000000-0005-0000-0000-000046170000}"/>
    <cellStyle name="Normal 5 2 2 2 2 8 2 2" xfId="15291" xr:uid="{E08AA156-6237-4788-94DA-530C20F96B7B}"/>
    <cellStyle name="Normal 5 2 2 2 2 8 3" xfId="11073" xr:uid="{94655BB2-C65E-4F59-86C8-73B04581FAD8}"/>
    <cellStyle name="Normal 5 2 2 2 2 9" xfId="4784" xr:uid="{00000000-0005-0000-0000-000047170000}"/>
    <cellStyle name="Normal 5 2 2 2 2 9 2" xfId="13226" xr:uid="{8DCA2389-710E-49C7-A0CC-008E3B66CCB4}"/>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2 2 2" xfId="15789" xr:uid="{20F4F5C8-6279-433D-AA60-65662C6EDAA4}"/>
    <cellStyle name="Normal 5 2 2 2 3 2 2 2 3" xfId="11571" xr:uid="{6EAC3AEC-4DD7-41EF-A061-DCEC4E0D8DF0}"/>
    <cellStyle name="Normal 5 2 2 2 3 2 2 3" xfId="5202" xr:uid="{00000000-0005-0000-0000-00004D170000}"/>
    <cellStyle name="Normal 5 2 2 2 3 2 2 3 2" xfId="13644" xr:uid="{D649F811-75B1-4E9C-BE9B-63561B620294}"/>
    <cellStyle name="Normal 5 2 2 2 3 2 2 4" xfId="9426" xr:uid="{87B1770A-8383-4439-AFF8-DF133BC89D6A}"/>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2 2 2" xfId="16202" xr:uid="{6B16A049-08B4-40DB-A425-87BF71DEE6E8}"/>
    <cellStyle name="Normal 5 2 2 2 3 2 3 2 3" xfId="11984" xr:uid="{420AA9A8-428A-47F2-84F5-D7798CE3ED33}"/>
    <cellStyle name="Normal 5 2 2 2 3 2 3 3" xfId="5615" xr:uid="{00000000-0005-0000-0000-000051170000}"/>
    <cellStyle name="Normal 5 2 2 2 3 2 3 3 2" xfId="14057" xr:uid="{B6C9D5B4-4A23-4AD0-B3F8-DFB494516296}"/>
    <cellStyle name="Normal 5 2 2 2 3 2 3 4" xfId="9839" xr:uid="{F8395663-FF6B-4463-9E4E-29E3BFDEB40A}"/>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2 2 2" xfId="16615" xr:uid="{16997F93-203B-4575-861E-CB5B5049B4DC}"/>
    <cellStyle name="Normal 5 2 2 2 3 2 4 2 3" xfId="12397" xr:uid="{98E31039-166F-430D-85D8-804F24DCA40E}"/>
    <cellStyle name="Normal 5 2 2 2 3 2 4 3" xfId="6028" xr:uid="{00000000-0005-0000-0000-000055170000}"/>
    <cellStyle name="Normal 5 2 2 2 3 2 4 3 2" xfId="14470" xr:uid="{1599B881-E936-4EB1-9456-B63AC73B2C67}"/>
    <cellStyle name="Normal 5 2 2 2 3 2 4 4" xfId="10252" xr:uid="{C1ABD597-F970-4495-A941-5F8023BFD032}"/>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2 2 2" xfId="17028" xr:uid="{2682F849-F502-4CF1-86BE-DBA3ECA318B9}"/>
    <cellStyle name="Normal 5 2 2 2 3 2 5 2 3" xfId="12810" xr:uid="{A5117A68-CC54-4A67-A4EB-B89BE69E0925}"/>
    <cellStyle name="Normal 5 2 2 2 3 2 5 3" xfId="6441" xr:uid="{00000000-0005-0000-0000-000059170000}"/>
    <cellStyle name="Normal 5 2 2 2 3 2 5 3 2" xfId="14883" xr:uid="{A8184759-A66C-49AE-931A-1D16905CECAC}"/>
    <cellStyle name="Normal 5 2 2 2 3 2 5 4" xfId="10665" xr:uid="{6E6F2AAA-0747-481F-A0FD-5163F7CE553C}"/>
    <cellStyle name="Normal 5 2 2 2 3 2 6" xfId="2570" xr:uid="{00000000-0005-0000-0000-00005A170000}"/>
    <cellStyle name="Normal 5 2 2 2 3 2 6 2" xfId="6854" xr:uid="{00000000-0005-0000-0000-00005B170000}"/>
    <cellStyle name="Normal 5 2 2 2 3 2 6 2 2" xfId="15296" xr:uid="{607D3255-80E2-4CFD-9131-2DB9037727A3}"/>
    <cellStyle name="Normal 5 2 2 2 3 2 6 3" xfId="11078" xr:uid="{292DDD69-C980-47F2-930C-9F646CBC3218}"/>
    <cellStyle name="Normal 5 2 2 2 3 2 7" xfId="4789" xr:uid="{00000000-0005-0000-0000-00005C170000}"/>
    <cellStyle name="Normal 5 2 2 2 3 2 7 2" xfId="13231" xr:uid="{82723FDD-3A5A-4543-BEC0-F9C35626FEED}"/>
    <cellStyle name="Normal 5 2 2 2 3 2 8" xfId="9013" xr:uid="{718AD7EC-710D-4B78-9DF7-279F9486854F}"/>
    <cellStyle name="Normal 5 2 2 2 3 3" xfId="888" xr:uid="{00000000-0005-0000-0000-00005D170000}"/>
    <cellStyle name="Normal 5 2 2 2 3 3 2" xfId="3123" xr:uid="{00000000-0005-0000-0000-00005E170000}"/>
    <cellStyle name="Normal 5 2 2 2 3 3 2 2" xfId="7346" xr:uid="{00000000-0005-0000-0000-00005F170000}"/>
    <cellStyle name="Normal 5 2 2 2 3 3 2 2 2" xfId="15788" xr:uid="{16DBE6D7-B452-4AF4-9A3D-60D48F2D46F7}"/>
    <cellStyle name="Normal 5 2 2 2 3 3 2 3" xfId="11570" xr:uid="{3D70DD1B-E5A7-48A2-B9ED-CCC08B6416E2}"/>
    <cellStyle name="Normal 5 2 2 2 3 3 3" xfId="5201" xr:uid="{00000000-0005-0000-0000-000060170000}"/>
    <cellStyle name="Normal 5 2 2 2 3 3 3 2" xfId="13643" xr:uid="{72644578-D483-4ACE-9BCF-CE39D52F58BD}"/>
    <cellStyle name="Normal 5 2 2 2 3 3 4" xfId="9425" xr:uid="{3A82D625-19AD-4B7D-B230-09623B0B832F}"/>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2 2 2" xfId="16201" xr:uid="{9661D26B-851E-4C3E-9CA1-AACF1E72145C}"/>
    <cellStyle name="Normal 5 2 2 2 3 4 2 3" xfId="11983" xr:uid="{221EED84-1A97-4C3E-A8F2-CADC16F6D8C3}"/>
    <cellStyle name="Normal 5 2 2 2 3 4 3" xfId="5614" xr:uid="{00000000-0005-0000-0000-000064170000}"/>
    <cellStyle name="Normal 5 2 2 2 3 4 3 2" xfId="14056" xr:uid="{F699A03A-D3FC-4A29-A2C6-4E75FFF2A89D}"/>
    <cellStyle name="Normal 5 2 2 2 3 4 4" xfId="9838" xr:uid="{BAB52479-F732-472D-A741-73874F188D3A}"/>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2 2 2" xfId="16614" xr:uid="{498C24CB-F69D-432B-8DE3-9DE369E8CA1F}"/>
    <cellStyle name="Normal 5 2 2 2 3 5 2 3" xfId="12396" xr:uid="{63762119-7A8C-46A8-B0C5-0024038EDC83}"/>
    <cellStyle name="Normal 5 2 2 2 3 5 3" xfId="6027" xr:uid="{00000000-0005-0000-0000-000068170000}"/>
    <cellStyle name="Normal 5 2 2 2 3 5 3 2" xfId="14469" xr:uid="{62CEFD0B-ED15-4C6B-9B6E-F37C62F6D451}"/>
    <cellStyle name="Normal 5 2 2 2 3 5 4" xfId="10251" xr:uid="{7B4FBEC3-6B74-4A31-9104-AD6070624A68}"/>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2 2 2" xfId="17027" xr:uid="{E0640074-438F-4A01-BF6F-167DAD8714DF}"/>
    <cellStyle name="Normal 5 2 2 2 3 6 2 3" xfId="12809" xr:uid="{917F149D-6CDF-453B-9A68-214E78C6A2FA}"/>
    <cellStyle name="Normal 5 2 2 2 3 6 3" xfId="6440" xr:uid="{00000000-0005-0000-0000-00006C170000}"/>
    <cellStyle name="Normal 5 2 2 2 3 6 3 2" xfId="14882" xr:uid="{1A331484-7DF4-4DD4-9B35-EEED0504CB46}"/>
    <cellStyle name="Normal 5 2 2 2 3 6 4" xfId="10664" xr:uid="{268973C1-E139-4724-B35F-D85F6C607E7B}"/>
    <cellStyle name="Normal 5 2 2 2 3 7" xfId="2569" xr:uid="{00000000-0005-0000-0000-00006D170000}"/>
    <cellStyle name="Normal 5 2 2 2 3 7 2" xfId="6853" xr:uid="{00000000-0005-0000-0000-00006E170000}"/>
    <cellStyle name="Normal 5 2 2 2 3 7 2 2" xfId="15295" xr:uid="{B5032B18-7458-407A-A44E-217F0FE8850B}"/>
    <cellStyle name="Normal 5 2 2 2 3 7 3" xfId="11077" xr:uid="{36D6C554-9300-4E81-AC8B-AC8984B349E3}"/>
    <cellStyle name="Normal 5 2 2 2 3 8" xfId="4788" xr:uid="{00000000-0005-0000-0000-00006F170000}"/>
    <cellStyle name="Normal 5 2 2 2 3 8 2" xfId="13230" xr:uid="{80DB05E2-A160-4A15-9629-374D1EE2A834}"/>
    <cellStyle name="Normal 5 2 2 2 3 9" xfId="9012" xr:uid="{80913384-C9BD-45DE-B8C2-6756F1513927}"/>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2 2 2" xfId="15790" xr:uid="{31D7343B-C976-4BA7-AFA2-FC1E7C857859}"/>
    <cellStyle name="Normal 5 2 2 2 4 2 2 3" xfId="11572" xr:uid="{B4FAC2F2-8C15-4917-B46C-154A65128043}"/>
    <cellStyle name="Normal 5 2 2 2 4 2 3" xfId="5203" xr:uid="{00000000-0005-0000-0000-000074170000}"/>
    <cellStyle name="Normal 5 2 2 2 4 2 3 2" xfId="13645" xr:uid="{B5C253AF-EBF6-40D1-A740-8BD2A14C990C}"/>
    <cellStyle name="Normal 5 2 2 2 4 2 4" xfId="9427" xr:uid="{C356C66C-5FBF-4017-B2B6-BF1E31B31372}"/>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2 2 2" xfId="16203" xr:uid="{2FB2A61F-FAE4-46A9-A4F4-EAD0B4E1E1A9}"/>
    <cellStyle name="Normal 5 2 2 2 4 3 2 3" xfId="11985" xr:uid="{89D8D58D-65D8-475B-B8D2-FE96F1E84E6D}"/>
    <cellStyle name="Normal 5 2 2 2 4 3 3" xfId="5616" xr:uid="{00000000-0005-0000-0000-000078170000}"/>
    <cellStyle name="Normal 5 2 2 2 4 3 3 2" xfId="14058" xr:uid="{A91D5DEC-21A0-45A1-A5E0-318E45DAB176}"/>
    <cellStyle name="Normal 5 2 2 2 4 3 4" xfId="9840" xr:uid="{44E09CC3-BBF6-4238-9FFB-5823CF85868C}"/>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2 2 2" xfId="16616" xr:uid="{6D83705A-CE7E-480E-9C63-E803318C054B}"/>
    <cellStyle name="Normal 5 2 2 2 4 4 2 3" xfId="12398" xr:uid="{D4633CF9-7BC9-4176-B49B-FA1183A353AF}"/>
    <cellStyle name="Normal 5 2 2 2 4 4 3" xfId="6029" xr:uid="{00000000-0005-0000-0000-00007C170000}"/>
    <cellStyle name="Normal 5 2 2 2 4 4 3 2" xfId="14471" xr:uid="{FE42737B-C60A-433B-98C6-B455E611B60D}"/>
    <cellStyle name="Normal 5 2 2 2 4 4 4" xfId="10253" xr:uid="{E8D5F214-EFAE-439C-9D4C-195769D25C67}"/>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2 2 2" xfId="17029" xr:uid="{3E3AC828-ABAF-45AE-A620-B8442C22F4B7}"/>
    <cellStyle name="Normal 5 2 2 2 4 5 2 3" xfId="12811" xr:uid="{608213E5-126D-45F4-BEEF-8631386C6E48}"/>
    <cellStyle name="Normal 5 2 2 2 4 5 3" xfId="6442" xr:uid="{00000000-0005-0000-0000-000080170000}"/>
    <cellStyle name="Normal 5 2 2 2 4 5 3 2" xfId="14884" xr:uid="{049C3A1A-D3BF-4269-8297-613A12881208}"/>
    <cellStyle name="Normal 5 2 2 2 4 5 4" xfId="10666" xr:uid="{11E6180A-5753-47AD-94C3-E3CDC1860DC4}"/>
    <cellStyle name="Normal 5 2 2 2 4 6" xfId="2571" xr:uid="{00000000-0005-0000-0000-000081170000}"/>
    <cellStyle name="Normal 5 2 2 2 4 6 2" xfId="6855" xr:uid="{00000000-0005-0000-0000-000082170000}"/>
    <cellStyle name="Normal 5 2 2 2 4 6 2 2" xfId="15297" xr:uid="{39F5617C-8F6A-44A6-9EB7-CC29EC650EE1}"/>
    <cellStyle name="Normal 5 2 2 2 4 6 3" xfId="11079" xr:uid="{24FAAFCD-2CC6-42C8-8027-45996DC2D189}"/>
    <cellStyle name="Normal 5 2 2 2 4 7" xfId="4790" xr:uid="{00000000-0005-0000-0000-000083170000}"/>
    <cellStyle name="Normal 5 2 2 2 4 7 2" xfId="13232" xr:uid="{0F6737C4-77B4-433F-987A-31EC4EEB49F8}"/>
    <cellStyle name="Normal 5 2 2 2 4 8" xfId="9014" xr:uid="{EE8DA5AB-A7AD-4242-B16A-E3B0F288D9D1}"/>
    <cellStyle name="Normal 5 2 2 2 5" xfId="883" xr:uid="{00000000-0005-0000-0000-000084170000}"/>
    <cellStyle name="Normal 5 2 2 2 5 2" xfId="3118" xr:uid="{00000000-0005-0000-0000-000085170000}"/>
    <cellStyle name="Normal 5 2 2 2 5 2 2" xfId="7341" xr:uid="{00000000-0005-0000-0000-000086170000}"/>
    <cellStyle name="Normal 5 2 2 2 5 2 2 2" xfId="15783" xr:uid="{4A4E1172-BF43-4B06-A32E-49EF087A927D}"/>
    <cellStyle name="Normal 5 2 2 2 5 2 3" xfId="11565" xr:uid="{B178BC4F-76E2-4C44-8D58-A1FA4C13CE05}"/>
    <cellStyle name="Normal 5 2 2 2 5 3" xfId="5196" xr:uid="{00000000-0005-0000-0000-000087170000}"/>
    <cellStyle name="Normal 5 2 2 2 5 3 2" xfId="13638" xr:uid="{CAB4CC02-30BC-42DE-B5D7-A9CFA6AE65FA}"/>
    <cellStyle name="Normal 5 2 2 2 5 4" xfId="9420" xr:uid="{E2661C02-8031-4096-BFE0-A628DC1A46C8}"/>
    <cellStyle name="Normal 5 2 2 2 6" xfId="1301" xr:uid="{00000000-0005-0000-0000-000088170000}"/>
    <cellStyle name="Normal 5 2 2 2 6 2" xfId="3531" xr:uid="{00000000-0005-0000-0000-000089170000}"/>
    <cellStyle name="Normal 5 2 2 2 6 2 2" xfId="7754" xr:uid="{00000000-0005-0000-0000-00008A170000}"/>
    <cellStyle name="Normal 5 2 2 2 6 2 2 2" xfId="16196" xr:uid="{01FCF6E3-6AFB-448B-A86B-588EA5B89C46}"/>
    <cellStyle name="Normal 5 2 2 2 6 2 3" xfId="11978" xr:uid="{E55A9C2E-49F8-4594-AE0B-03DD2012A95D}"/>
    <cellStyle name="Normal 5 2 2 2 6 3" xfId="5609" xr:uid="{00000000-0005-0000-0000-00008B170000}"/>
    <cellStyle name="Normal 5 2 2 2 6 3 2" xfId="14051" xr:uid="{CA961D16-267F-4774-A6E7-847D4514C721}"/>
    <cellStyle name="Normal 5 2 2 2 6 4" xfId="9833" xr:uid="{3452615A-A027-4122-9F9B-D34EBD4E9999}"/>
    <cellStyle name="Normal 5 2 2 2 7" xfId="1714" xr:uid="{00000000-0005-0000-0000-00008C170000}"/>
    <cellStyle name="Normal 5 2 2 2 7 2" xfId="3944" xr:uid="{00000000-0005-0000-0000-00008D170000}"/>
    <cellStyle name="Normal 5 2 2 2 7 2 2" xfId="8167" xr:uid="{00000000-0005-0000-0000-00008E170000}"/>
    <cellStyle name="Normal 5 2 2 2 7 2 2 2" xfId="16609" xr:uid="{24B1095E-C3B6-4EA6-BC58-0FC15D6952C9}"/>
    <cellStyle name="Normal 5 2 2 2 7 2 3" xfId="12391" xr:uid="{26BBD125-07EA-4784-B566-A4A762C6F74B}"/>
    <cellStyle name="Normal 5 2 2 2 7 3" xfId="6022" xr:uid="{00000000-0005-0000-0000-00008F170000}"/>
    <cellStyle name="Normal 5 2 2 2 7 3 2" xfId="14464" xr:uid="{B3F331AC-7BE0-4275-83FA-3E0E48E26B55}"/>
    <cellStyle name="Normal 5 2 2 2 7 4" xfId="10246" xr:uid="{F01FBC40-A0F2-4BEC-9D8B-508638ABE400}"/>
    <cellStyle name="Normal 5 2 2 2 8" xfId="2128" xr:uid="{00000000-0005-0000-0000-000090170000}"/>
    <cellStyle name="Normal 5 2 2 2 8 2" xfId="4357" xr:uid="{00000000-0005-0000-0000-000091170000}"/>
    <cellStyle name="Normal 5 2 2 2 8 2 2" xfId="8580" xr:uid="{00000000-0005-0000-0000-000092170000}"/>
    <cellStyle name="Normal 5 2 2 2 8 2 2 2" xfId="17022" xr:uid="{A0F791AC-205A-479D-AE48-E79CDB498DC2}"/>
    <cellStyle name="Normal 5 2 2 2 8 2 3" xfId="12804" xr:uid="{8B8D1104-F069-4257-9430-6525D411D9D5}"/>
    <cellStyle name="Normal 5 2 2 2 8 3" xfId="6435" xr:uid="{00000000-0005-0000-0000-000093170000}"/>
    <cellStyle name="Normal 5 2 2 2 8 3 2" xfId="14877" xr:uid="{DE25F84B-1091-4BCD-A8C5-D2D9B8A467B3}"/>
    <cellStyle name="Normal 5 2 2 2 8 4" xfId="10659" xr:uid="{FECBBD4C-6575-4050-A49A-B0B78913E73E}"/>
    <cellStyle name="Normal 5 2 2 2 9" xfId="2564" xr:uid="{00000000-0005-0000-0000-000094170000}"/>
    <cellStyle name="Normal 5 2 2 2 9 2" xfId="6848" xr:uid="{00000000-0005-0000-0000-000095170000}"/>
    <cellStyle name="Normal 5 2 2 2 9 2 2" xfId="15290" xr:uid="{60D7FFD6-4DA4-41CA-816C-0B0CAE05028C}"/>
    <cellStyle name="Normal 5 2 2 2 9 3" xfId="11072" xr:uid="{B812AE8E-4125-4F6E-9C8D-0B0DB19E074E}"/>
    <cellStyle name="Normal 5 2 2 3" xfId="417" xr:uid="{00000000-0005-0000-0000-000096170000}"/>
    <cellStyle name="Normal 5 2 2 3 10" xfId="9015" xr:uid="{869C3EAE-8C18-4C8E-B6BA-CC340308BC94}"/>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2 2 2" xfId="15793" xr:uid="{0C2ABE88-BE68-4414-A357-000FB1B7039D}"/>
    <cellStyle name="Normal 5 2 2 3 2 2 2 2 3" xfId="11575" xr:uid="{47D7CD8F-77D6-4089-90A2-191C4C076B57}"/>
    <cellStyle name="Normal 5 2 2 3 2 2 2 3" xfId="5206" xr:uid="{00000000-0005-0000-0000-00009C170000}"/>
    <cellStyle name="Normal 5 2 2 3 2 2 2 3 2" xfId="13648" xr:uid="{AA635406-43ED-4541-BBE1-1BBBAF50DFC8}"/>
    <cellStyle name="Normal 5 2 2 3 2 2 2 4" xfId="9430" xr:uid="{CE4A6881-FF28-43F1-B10F-EA25D903AD42}"/>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2 2 2" xfId="16206" xr:uid="{A40F5CE0-5E8B-42CA-ADAC-4CEEB52C78EE}"/>
    <cellStyle name="Normal 5 2 2 3 2 2 3 2 3" xfId="11988" xr:uid="{DA3A413E-F7B8-4F26-896B-8337550EBEE4}"/>
    <cellStyle name="Normal 5 2 2 3 2 2 3 3" xfId="5619" xr:uid="{00000000-0005-0000-0000-0000A0170000}"/>
    <cellStyle name="Normal 5 2 2 3 2 2 3 3 2" xfId="14061" xr:uid="{F3646403-0BA8-473D-AAF2-3AC78B4CEE32}"/>
    <cellStyle name="Normal 5 2 2 3 2 2 3 4" xfId="9843" xr:uid="{FCA58554-FE3E-4DB6-8BC8-B5E12D89C54B}"/>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2 2 2" xfId="16619" xr:uid="{DAC0279C-9171-45CD-8411-0C8AF390220C}"/>
    <cellStyle name="Normal 5 2 2 3 2 2 4 2 3" xfId="12401" xr:uid="{C36C9567-7AC6-427F-98EE-2A2B2D78B1CA}"/>
    <cellStyle name="Normal 5 2 2 3 2 2 4 3" xfId="6032" xr:uid="{00000000-0005-0000-0000-0000A4170000}"/>
    <cellStyle name="Normal 5 2 2 3 2 2 4 3 2" xfId="14474" xr:uid="{A63895A9-B059-4611-9996-43ADA1A72FAE}"/>
    <cellStyle name="Normal 5 2 2 3 2 2 4 4" xfId="10256" xr:uid="{9569A1F5-4058-444F-85D7-76C51A2037F7}"/>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2 2 2" xfId="17032" xr:uid="{C365E561-58F8-4E76-8814-6BB5ABE8DFAF}"/>
    <cellStyle name="Normal 5 2 2 3 2 2 5 2 3" xfId="12814" xr:uid="{2704C148-1841-4090-A5B7-20F7EB045348}"/>
    <cellStyle name="Normal 5 2 2 3 2 2 5 3" xfId="6445" xr:uid="{00000000-0005-0000-0000-0000A8170000}"/>
    <cellStyle name="Normal 5 2 2 3 2 2 5 3 2" xfId="14887" xr:uid="{F561638D-004A-4E44-8949-98E0C1467EF6}"/>
    <cellStyle name="Normal 5 2 2 3 2 2 5 4" xfId="10669" xr:uid="{BA9A53DB-BFE7-40FB-85E1-BF9DE06D4C70}"/>
    <cellStyle name="Normal 5 2 2 3 2 2 6" xfId="2574" xr:uid="{00000000-0005-0000-0000-0000A9170000}"/>
    <cellStyle name="Normal 5 2 2 3 2 2 6 2" xfId="6858" xr:uid="{00000000-0005-0000-0000-0000AA170000}"/>
    <cellStyle name="Normal 5 2 2 3 2 2 6 2 2" xfId="15300" xr:uid="{50A7BA59-F147-4A60-BB19-95E416BFAD12}"/>
    <cellStyle name="Normal 5 2 2 3 2 2 6 3" xfId="11082" xr:uid="{66CA8C85-1B94-43FE-A5EB-D7A168B26EE6}"/>
    <cellStyle name="Normal 5 2 2 3 2 2 7" xfId="4793" xr:uid="{00000000-0005-0000-0000-0000AB170000}"/>
    <cellStyle name="Normal 5 2 2 3 2 2 7 2" xfId="13235" xr:uid="{92CFC3BF-FFD7-43CA-BA0C-D736D552D460}"/>
    <cellStyle name="Normal 5 2 2 3 2 2 8" xfId="9017" xr:uid="{7B6949A9-7749-4450-9876-1C49C579D4DE}"/>
    <cellStyle name="Normal 5 2 2 3 2 3" xfId="892" xr:uid="{00000000-0005-0000-0000-0000AC170000}"/>
    <cellStyle name="Normal 5 2 2 3 2 3 2" xfId="3127" xr:uid="{00000000-0005-0000-0000-0000AD170000}"/>
    <cellStyle name="Normal 5 2 2 3 2 3 2 2" xfId="7350" xr:uid="{00000000-0005-0000-0000-0000AE170000}"/>
    <cellStyle name="Normal 5 2 2 3 2 3 2 2 2" xfId="15792" xr:uid="{70D8C024-8AF3-4F44-A9CC-ED67AC8A0358}"/>
    <cellStyle name="Normal 5 2 2 3 2 3 2 3" xfId="11574" xr:uid="{EBB1DD34-8B30-4286-8009-BC004E08118B}"/>
    <cellStyle name="Normal 5 2 2 3 2 3 3" xfId="5205" xr:uid="{00000000-0005-0000-0000-0000AF170000}"/>
    <cellStyle name="Normal 5 2 2 3 2 3 3 2" xfId="13647" xr:uid="{D141586C-7457-419D-867E-91E4895BE658}"/>
    <cellStyle name="Normal 5 2 2 3 2 3 4" xfId="9429" xr:uid="{B44A518C-B318-4DE2-8850-01581C626502}"/>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2 2 2" xfId="16205" xr:uid="{1C702333-C63F-4BFB-BB9A-20B2566B3C97}"/>
    <cellStyle name="Normal 5 2 2 3 2 4 2 3" xfId="11987" xr:uid="{DA6017DA-F569-4599-9465-26B832048F5D}"/>
    <cellStyle name="Normal 5 2 2 3 2 4 3" xfId="5618" xr:uid="{00000000-0005-0000-0000-0000B3170000}"/>
    <cellStyle name="Normal 5 2 2 3 2 4 3 2" xfId="14060" xr:uid="{3711C239-528C-495D-8F9B-6870A4F28D49}"/>
    <cellStyle name="Normal 5 2 2 3 2 4 4" xfId="9842" xr:uid="{2BA828D9-3472-4E9A-8DF8-176FC7618E05}"/>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2 2 2" xfId="16618" xr:uid="{1DD74A50-F54D-4FFE-9B9B-1FD381BBC64C}"/>
    <cellStyle name="Normal 5 2 2 3 2 5 2 3" xfId="12400" xr:uid="{7B78EDB5-8448-458F-A617-3EBC3FBE30EB}"/>
    <cellStyle name="Normal 5 2 2 3 2 5 3" xfId="6031" xr:uid="{00000000-0005-0000-0000-0000B7170000}"/>
    <cellStyle name="Normal 5 2 2 3 2 5 3 2" xfId="14473" xr:uid="{8D8B0CFA-03EB-4467-9866-58E3D5A0B131}"/>
    <cellStyle name="Normal 5 2 2 3 2 5 4" xfId="10255" xr:uid="{405370D1-2EFD-4670-8B38-A6A2FEEF0755}"/>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2 2 2" xfId="17031" xr:uid="{5074AD13-A462-46D1-818B-C5071B7CAB77}"/>
    <cellStyle name="Normal 5 2 2 3 2 6 2 3" xfId="12813" xr:uid="{8ACFFB39-4A4C-4868-B742-80C2B2A49A7F}"/>
    <cellStyle name="Normal 5 2 2 3 2 6 3" xfId="6444" xr:uid="{00000000-0005-0000-0000-0000BB170000}"/>
    <cellStyle name="Normal 5 2 2 3 2 6 3 2" xfId="14886" xr:uid="{DF1F971B-7458-4AC3-B64F-7614C44D0C65}"/>
    <cellStyle name="Normal 5 2 2 3 2 6 4" xfId="10668" xr:uid="{EF370F02-D820-44E5-BFE8-46753B1BFBD4}"/>
    <cellStyle name="Normal 5 2 2 3 2 7" xfId="2573" xr:uid="{00000000-0005-0000-0000-0000BC170000}"/>
    <cellStyle name="Normal 5 2 2 3 2 7 2" xfId="6857" xr:uid="{00000000-0005-0000-0000-0000BD170000}"/>
    <cellStyle name="Normal 5 2 2 3 2 7 2 2" xfId="15299" xr:uid="{C652C95A-BE6C-4FC6-ABFA-B4102448BBF6}"/>
    <cellStyle name="Normal 5 2 2 3 2 7 3" xfId="11081" xr:uid="{20CEB2F7-7CEE-4EC3-94BA-4A01F895D6E9}"/>
    <cellStyle name="Normal 5 2 2 3 2 8" xfId="4792" xr:uid="{00000000-0005-0000-0000-0000BE170000}"/>
    <cellStyle name="Normal 5 2 2 3 2 8 2" xfId="13234" xr:uid="{05CFE929-0AD8-408C-A35E-57663FE49343}"/>
    <cellStyle name="Normal 5 2 2 3 2 9" xfId="9016" xr:uid="{467D6588-8343-422F-9976-7C90676CC548}"/>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2 2 2" xfId="15794" xr:uid="{9C60A23D-1028-4DB4-B1A6-B013FE1E2C40}"/>
    <cellStyle name="Normal 5 2 2 3 3 2 2 3" xfId="11576" xr:uid="{B29A2AB3-7142-4C3D-B4E2-32A6E50422FF}"/>
    <cellStyle name="Normal 5 2 2 3 3 2 3" xfId="5207" xr:uid="{00000000-0005-0000-0000-0000C3170000}"/>
    <cellStyle name="Normal 5 2 2 3 3 2 3 2" xfId="13649" xr:uid="{1787CCD2-8F3D-4F22-81FE-040BFA9978CF}"/>
    <cellStyle name="Normal 5 2 2 3 3 2 4" xfId="9431" xr:uid="{F48BA570-CEAF-4A60-9675-15E5D4154276}"/>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2 2 2" xfId="16207" xr:uid="{234462AA-5951-47AC-B06C-C6B8EDB4287D}"/>
    <cellStyle name="Normal 5 2 2 3 3 3 2 3" xfId="11989" xr:uid="{D082B8C4-1ED5-47D4-82B4-EFDAE68D7F1D}"/>
    <cellStyle name="Normal 5 2 2 3 3 3 3" xfId="5620" xr:uid="{00000000-0005-0000-0000-0000C7170000}"/>
    <cellStyle name="Normal 5 2 2 3 3 3 3 2" xfId="14062" xr:uid="{982C2C9F-A68B-4E08-9406-458B33322D02}"/>
    <cellStyle name="Normal 5 2 2 3 3 3 4" xfId="9844" xr:uid="{3CDEA185-6880-408A-8EE5-44606010BD35}"/>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2 2 2" xfId="16620" xr:uid="{905F35DE-A98C-4297-9C74-B79001538B68}"/>
    <cellStyle name="Normal 5 2 2 3 3 4 2 3" xfId="12402" xr:uid="{2ECBC156-D9EF-4E3E-867A-CD66CABE4B5D}"/>
    <cellStyle name="Normal 5 2 2 3 3 4 3" xfId="6033" xr:uid="{00000000-0005-0000-0000-0000CB170000}"/>
    <cellStyle name="Normal 5 2 2 3 3 4 3 2" xfId="14475" xr:uid="{8BFC9136-87F6-482D-8166-0D84C99219C1}"/>
    <cellStyle name="Normal 5 2 2 3 3 4 4" xfId="10257" xr:uid="{73B36772-FCCB-4C39-BD91-85E5D389213C}"/>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2 2 2" xfId="17033" xr:uid="{79447335-45DA-4546-B294-91F5C81030FD}"/>
    <cellStyle name="Normal 5 2 2 3 3 5 2 3" xfId="12815" xr:uid="{07B9F879-4911-46DD-98A4-DF359AE5839A}"/>
    <cellStyle name="Normal 5 2 2 3 3 5 3" xfId="6446" xr:uid="{00000000-0005-0000-0000-0000CF170000}"/>
    <cellStyle name="Normal 5 2 2 3 3 5 3 2" xfId="14888" xr:uid="{B738BCB9-70EE-4A6E-8908-EC527201837E}"/>
    <cellStyle name="Normal 5 2 2 3 3 5 4" xfId="10670" xr:uid="{ED28F624-A7C9-4CAC-A607-D469D2192C10}"/>
    <cellStyle name="Normal 5 2 2 3 3 6" xfId="2575" xr:uid="{00000000-0005-0000-0000-0000D0170000}"/>
    <cellStyle name="Normal 5 2 2 3 3 6 2" xfId="6859" xr:uid="{00000000-0005-0000-0000-0000D1170000}"/>
    <cellStyle name="Normal 5 2 2 3 3 6 2 2" xfId="15301" xr:uid="{C2FC248E-60A8-4D18-AD7A-9F84524E85CD}"/>
    <cellStyle name="Normal 5 2 2 3 3 6 3" xfId="11083" xr:uid="{73DC1F1D-6148-48A7-B75C-146237983EBF}"/>
    <cellStyle name="Normal 5 2 2 3 3 7" xfId="4794" xr:uid="{00000000-0005-0000-0000-0000D2170000}"/>
    <cellStyle name="Normal 5 2 2 3 3 7 2" xfId="13236" xr:uid="{6ACC1C7C-015B-41C8-AF9C-15D013F230CF}"/>
    <cellStyle name="Normal 5 2 2 3 3 8" xfId="9018" xr:uid="{346E5D1E-EB67-4E95-A1D0-44D74186B585}"/>
    <cellStyle name="Normal 5 2 2 3 4" xfId="891" xr:uid="{00000000-0005-0000-0000-0000D3170000}"/>
    <cellStyle name="Normal 5 2 2 3 4 2" xfId="3126" xr:uid="{00000000-0005-0000-0000-0000D4170000}"/>
    <cellStyle name="Normal 5 2 2 3 4 2 2" xfId="7349" xr:uid="{00000000-0005-0000-0000-0000D5170000}"/>
    <cellStyle name="Normal 5 2 2 3 4 2 2 2" xfId="15791" xr:uid="{4AFF41EA-E8EB-4B26-8A27-859AAC4E330A}"/>
    <cellStyle name="Normal 5 2 2 3 4 2 3" xfId="11573" xr:uid="{236F04F1-58E6-4D88-933B-772FB49C2E9D}"/>
    <cellStyle name="Normal 5 2 2 3 4 3" xfId="5204" xr:uid="{00000000-0005-0000-0000-0000D6170000}"/>
    <cellStyle name="Normal 5 2 2 3 4 3 2" xfId="13646" xr:uid="{54E437FD-BC58-4E48-B45A-EC4A0620EF22}"/>
    <cellStyle name="Normal 5 2 2 3 4 4" xfId="9428" xr:uid="{846885A0-5E79-44A3-BEA0-84AF0A09C52B}"/>
    <cellStyle name="Normal 5 2 2 3 5" xfId="1309" xr:uid="{00000000-0005-0000-0000-0000D7170000}"/>
    <cellStyle name="Normal 5 2 2 3 5 2" xfId="3539" xr:uid="{00000000-0005-0000-0000-0000D8170000}"/>
    <cellStyle name="Normal 5 2 2 3 5 2 2" xfId="7762" xr:uid="{00000000-0005-0000-0000-0000D9170000}"/>
    <cellStyle name="Normal 5 2 2 3 5 2 2 2" xfId="16204" xr:uid="{482D7EB5-E8D3-4A13-B054-892B30D548EB}"/>
    <cellStyle name="Normal 5 2 2 3 5 2 3" xfId="11986" xr:uid="{4746F695-B35E-41E1-85A3-32AC6538CEC6}"/>
    <cellStyle name="Normal 5 2 2 3 5 3" xfId="5617" xr:uid="{00000000-0005-0000-0000-0000DA170000}"/>
    <cellStyle name="Normal 5 2 2 3 5 3 2" xfId="14059" xr:uid="{3AA192AE-8007-4DE6-9F90-B7214BD60EB4}"/>
    <cellStyle name="Normal 5 2 2 3 5 4" xfId="9841" xr:uid="{80E890AE-1AFD-40E1-914D-5F35E5AF5CE6}"/>
    <cellStyle name="Normal 5 2 2 3 6" xfId="1722" xr:uid="{00000000-0005-0000-0000-0000DB170000}"/>
    <cellStyle name="Normal 5 2 2 3 6 2" xfId="3952" xr:uid="{00000000-0005-0000-0000-0000DC170000}"/>
    <cellStyle name="Normal 5 2 2 3 6 2 2" xfId="8175" xr:uid="{00000000-0005-0000-0000-0000DD170000}"/>
    <cellStyle name="Normal 5 2 2 3 6 2 2 2" xfId="16617" xr:uid="{FC1F3CBA-8DB0-4CED-A83D-F5CE3520D886}"/>
    <cellStyle name="Normal 5 2 2 3 6 2 3" xfId="12399" xr:uid="{67819208-2058-42B9-BCE8-0A10337FC5CC}"/>
    <cellStyle name="Normal 5 2 2 3 6 3" xfId="6030" xr:uid="{00000000-0005-0000-0000-0000DE170000}"/>
    <cellStyle name="Normal 5 2 2 3 6 3 2" xfId="14472" xr:uid="{738240B3-39B8-4E2A-BF10-5A34BDD6EC91}"/>
    <cellStyle name="Normal 5 2 2 3 6 4" xfId="10254" xr:uid="{99F5D704-C179-423C-B62C-46E72F848BD2}"/>
    <cellStyle name="Normal 5 2 2 3 7" xfId="2136" xr:uid="{00000000-0005-0000-0000-0000DF170000}"/>
    <cellStyle name="Normal 5 2 2 3 7 2" xfId="4365" xr:uid="{00000000-0005-0000-0000-0000E0170000}"/>
    <cellStyle name="Normal 5 2 2 3 7 2 2" xfId="8588" xr:uid="{00000000-0005-0000-0000-0000E1170000}"/>
    <cellStyle name="Normal 5 2 2 3 7 2 2 2" xfId="17030" xr:uid="{C2C6E95D-23B9-4F28-87D4-2248A97629A9}"/>
    <cellStyle name="Normal 5 2 2 3 7 2 3" xfId="12812" xr:uid="{C52E48D7-A913-4430-923F-3AA477FB29B1}"/>
    <cellStyle name="Normal 5 2 2 3 7 3" xfId="6443" xr:uid="{00000000-0005-0000-0000-0000E2170000}"/>
    <cellStyle name="Normal 5 2 2 3 7 3 2" xfId="14885" xr:uid="{C2E55867-7D9C-4D94-A5D0-47269C80A4F8}"/>
    <cellStyle name="Normal 5 2 2 3 7 4" xfId="10667" xr:uid="{C73E9AF1-8166-4B0D-BBD3-81A097297BEA}"/>
    <cellStyle name="Normal 5 2 2 3 8" xfId="2572" xr:uid="{00000000-0005-0000-0000-0000E3170000}"/>
    <cellStyle name="Normal 5 2 2 3 8 2" xfId="6856" xr:uid="{00000000-0005-0000-0000-0000E4170000}"/>
    <cellStyle name="Normal 5 2 2 3 8 2 2" xfId="15298" xr:uid="{72B6218C-3804-4556-8E45-0CD15951228D}"/>
    <cellStyle name="Normal 5 2 2 3 8 3" xfId="11080" xr:uid="{A510E61E-0EEF-4850-AA51-74A7808FF488}"/>
    <cellStyle name="Normal 5 2 2 3 9" xfId="4791" xr:uid="{00000000-0005-0000-0000-0000E5170000}"/>
    <cellStyle name="Normal 5 2 2 3 9 2" xfId="13233" xr:uid="{E26DEFEA-3017-4F9B-B7E8-BF41B75A2245}"/>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2 2 2" xfId="15796" xr:uid="{9E4B52A2-37BE-440E-98C4-3A439EDC1846}"/>
    <cellStyle name="Normal 5 2 2 4 2 2 2 3" xfId="11578" xr:uid="{9839758F-FA30-48FE-8748-10614552A5A5}"/>
    <cellStyle name="Normal 5 2 2 4 2 2 3" xfId="5209" xr:uid="{00000000-0005-0000-0000-0000EB170000}"/>
    <cellStyle name="Normal 5 2 2 4 2 2 3 2" xfId="13651" xr:uid="{FBA65CEE-9B94-4BCB-9F75-D9CF6112E8D1}"/>
    <cellStyle name="Normal 5 2 2 4 2 2 4" xfId="9433" xr:uid="{87943A2F-0012-4AB9-BF52-784C617F5FB2}"/>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2 2 2" xfId="16209" xr:uid="{E4E26EA3-5250-44E6-9D69-0868F0294501}"/>
    <cellStyle name="Normal 5 2 2 4 2 3 2 3" xfId="11991" xr:uid="{BD83850A-E195-4373-BD6C-C9EFF3485948}"/>
    <cellStyle name="Normal 5 2 2 4 2 3 3" xfId="5622" xr:uid="{00000000-0005-0000-0000-0000EF170000}"/>
    <cellStyle name="Normal 5 2 2 4 2 3 3 2" xfId="14064" xr:uid="{FB1F176C-D586-492C-9455-89771F7C0C3A}"/>
    <cellStyle name="Normal 5 2 2 4 2 3 4" xfId="9846" xr:uid="{CC55FAA9-797A-4DAC-8228-44D4CD7432DD}"/>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2 2 2" xfId="16622" xr:uid="{D2E4D95E-4037-4397-8AF2-4044274C048C}"/>
    <cellStyle name="Normal 5 2 2 4 2 4 2 3" xfId="12404" xr:uid="{91B6F9B9-5105-4E62-9ACD-81C62868EB00}"/>
    <cellStyle name="Normal 5 2 2 4 2 4 3" xfId="6035" xr:uid="{00000000-0005-0000-0000-0000F3170000}"/>
    <cellStyle name="Normal 5 2 2 4 2 4 3 2" xfId="14477" xr:uid="{9DAD8B64-5555-4FD8-9E77-EA5BDBF21DC5}"/>
    <cellStyle name="Normal 5 2 2 4 2 4 4" xfId="10259" xr:uid="{F4FA541E-6A9D-42EC-82C0-FDF71F013746}"/>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2 2 2" xfId="17035" xr:uid="{F824931D-7F5E-45CB-8678-B29D63BE8645}"/>
    <cellStyle name="Normal 5 2 2 4 2 5 2 3" xfId="12817" xr:uid="{86B4D161-840C-42A4-BFE7-32F987A4F0BC}"/>
    <cellStyle name="Normal 5 2 2 4 2 5 3" xfId="6448" xr:uid="{00000000-0005-0000-0000-0000F7170000}"/>
    <cellStyle name="Normal 5 2 2 4 2 5 3 2" xfId="14890" xr:uid="{B7CBB709-7436-4014-B457-93AFBD0C50C8}"/>
    <cellStyle name="Normal 5 2 2 4 2 5 4" xfId="10672" xr:uid="{452B15FA-5A71-4C49-AACE-F0A93ED398E9}"/>
    <cellStyle name="Normal 5 2 2 4 2 6" xfId="2577" xr:uid="{00000000-0005-0000-0000-0000F8170000}"/>
    <cellStyle name="Normal 5 2 2 4 2 6 2" xfId="6861" xr:uid="{00000000-0005-0000-0000-0000F9170000}"/>
    <cellStyle name="Normal 5 2 2 4 2 6 2 2" xfId="15303" xr:uid="{243BE362-6CB0-48FB-9903-8B97B6F8D0AC}"/>
    <cellStyle name="Normal 5 2 2 4 2 6 3" xfId="11085" xr:uid="{0C9A1AB7-AEB6-447A-9430-1701BF77B8D4}"/>
    <cellStyle name="Normal 5 2 2 4 2 7" xfId="4796" xr:uid="{00000000-0005-0000-0000-0000FA170000}"/>
    <cellStyle name="Normal 5 2 2 4 2 7 2" xfId="13238" xr:uid="{02FC6164-0977-4857-A3CE-7ED3E5F37F7A}"/>
    <cellStyle name="Normal 5 2 2 4 2 8" xfId="9020" xr:uid="{31EAE19A-8112-44C8-8FB1-B75257579D15}"/>
    <cellStyle name="Normal 5 2 2 4 3" xfId="895" xr:uid="{00000000-0005-0000-0000-0000FB170000}"/>
    <cellStyle name="Normal 5 2 2 4 3 2" xfId="3130" xr:uid="{00000000-0005-0000-0000-0000FC170000}"/>
    <cellStyle name="Normal 5 2 2 4 3 2 2" xfId="7353" xr:uid="{00000000-0005-0000-0000-0000FD170000}"/>
    <cellStyle name="Normal 5 2 2 4 3 2 2 2" xfId="15795" xr:uid="{C80C4A44-C44A-42EA-A60A-3A77360EECAC}"/>
    <cellStyle name="Normal 5 2 2 4 3 2 3" xfId="11577" xr:uid="{A072BCF4-E498-46C0-A66C-B7E6BEB67559}"/>
    <cellStyle name="Normal 5 2 2 4 3 3" xfId="5208" xr:uid="{00000000-0005-0000-0000-0000FE170000}"/>
    <cellStyle name="Normal 5 2 2 4 3 3 2" xfId="13650" xr:uid="{6CC0A424-AEA6-4CE2-81B4-7668C74E70F9}"/>
    <cellStyle name="Normal 5 2 2 4 3 4" xfId="9432" xr:uid="{BA6997FB-46DE-46E8-A17C-0D8A15A2B01E}"/>
    <cellStyle name="Normal 5 2 2 4 4" xfId="1313" xr:uid="{00000000-0005-0000-0000-0000FF170000}"/>
    <cellStyle name="Normal 5 2 2 4 4 2" xfId="3543" xr:uid="{00000000-0005-0000-0000-000000180000}"/>
    <cellStyle name="Normal 5 2 2 4 4 2 2" xfId="7766" xr:uid="{00000000-0005-0000-0000-000001180000}"/>
    <cellStyle name="Normal 5 2 2 4 4 2 2 2" xfId="16208" xr:uid="{F3A848B8-57E8-45DE-9636-4E1E1EF9F007}"/>
    <cellStyle name="Normal 5 2 2 4 4 2 3" xfId="11990" xr:uid="{A079D272-07B2-4683-9DA5-3B81F1ADC872}"/>
    <cellStyle name="Normal 5 2 2 4 4 3" xfId="5621" xr:uid="{00000000-0005-0000-0000-000002180000}"/>
    <cellStyle name="Normal 5 2 2 4 4 3 2" xfId="14063" xr:uid="{0C8DFD49-591A-4A7A-AC25-59CACE0BD083}"/>
    <cellStyle name="Normal 5 2 2 4 4 4" xfId="9845" xr:uid="{CF7B45EE-D0ED-4B2C-A0DB-F32C8B0FE4E5}"/>
    <cellStyle name="Normal 5 2 2 4 5" xfId="1726" xr:uid="{00000000-0005-0000-0000-000003180000}"/>
    <cellStyle name="Normal 5 2 2 4 5 2" xfId="3956" xr:uid="{00000000-0005-0000-0000-000004180000}"/>
    <cellStyle name="Normal 5 2 2 4 5 2 2" xfId="8179" xr:uid="{00000000-0005-0000-0000-000005180000}"/>
    <cellStyle name="Normal 5 2 2 4 5 2 2 2" xfId="16621" xr:uid="{9F1C2461-E4D3-4336-BE66-83F1EAADEF67}"/>
    <cellStyle name="Normal 5 2 2 4 5 2 3" xfId="12403" xr:uid="{91A1C1DA-5BD0-480E-BEE3-F448593FEB6B}"/>
    <cellStyle name="Normal 5 2 2 4 5 3" xfId="6034" xr:uid="{00000000-0005-0000-0000-000006180000}"/>
    <cellStyle name="Normal 5 2 2 4 5 3 2" xfId="14476" xr:uid="{8E18DBBD-2736-4F3D-A0DA-20940ECB783D}"/>
    <cellStyle name="Normal 5 2 2 4 5 4" xfId="10258" xr:uid="{9C09E85B-F7A0-4903-8A33-E51F13919508}"/>
    <cellStyle name="Normal 5 2 2 4 6" xfId="2140" xr:uid="{00000000-0005-0000-0000-000007180000}"/>
    <cellStyle name="Normal 5 2 2 4 6 2" xfId="4369" xr:uid="{00000000-0005-0000-0000-000008180000}"/>
    <cellStyle name="Normal 5 2 2 4 6 2 2" xfId="8592" xr:uid="{00000000-0005-0000-0000-000009180000}"/>
    <cellStyle name="Normal 5 2 2 4 6 2 2 2" xfId="17034" xr:uid="{1442DB90-C3CE-4140-937C-1F8E3DB125B7}"/>
    <cellStyle name="Normal 5 2 2 4 6 2 3" xfId="12816" xr:uid="{9AD801E6-CF70-4006-9FC3-23112A4D418F}"/>
    <cellStyle name="Normal 5 2 2 4 6 3" xfId="6447" xr:uid="{00000000-0005-0000-0000-00000A180000}"/>
    <cellStyle name="Normal 5 2 2 4 6 3 2" xfId="14889" xr:uid="{D3AB4966-6135-4527-9C6C-C1E79932F6F0}"/>
    <cellStyle name="Normal 5 2 2 4 6 4" xfId="10671" xr:uid="{768388AD-A5C4-4732-97E0-0509ACE6C160}"/>
    <cellStyle name="Normal 5 2 2 4 7" xfId="2576" xr:uid="{00000000-0005-0000-0000-00000B180000}"/>
    <cellStyle name="Normal 5 2 2 4 7 2" xfId="6860" xr:uid="{00000000-0005-0000-0000-00000C180000}"/>
    <cellStyle name="Normal 5 2 2 4 7 2 2" xfId="15302" xr:uid="{CFD4CC08-1F67-4EE0-B735-484EF618BA3A}"/>
    <cellStyle name="Normal 5 2 2 4 7 3" xfId="11084" xr:uid="{63282A8D-71E1-4C03-A181-1A4670035CC7}"/>
    <cellStyle name="Normal 5 2 2 4 8" xfId="4795" xr:uid="{00000000-0005-0000-0000-00000D180000}"/>
    <cellStyle name="Normal 5 2 2 4 8 2" xfId="13237" xr:uid="{AA53643B-805F-4EA9-93F1-9BEC170C95B7}"/>
    <cellStyle name="Normal 5 2 2 4 9" xfId="9019" xr:uid="{21098837-378F-4A72-8447-7251560C75BC}"/>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2 2 2" xfId="15797" xr:uid="{5D658EB8-75F8-4FBD-8A0A-A05D0B6CFD53}"/>
    <cellStyle name="Normal 5 2 2 5 2 2 3" xfId="11579" xr:uid="{D17A81E7-8C5F-482D-AA91-002A9F78F139}"/>
    <cellStyle name="Normal 5 2 2 5 2 3" xfId="5210" xr:uid="{00000000-0005-0000-0000-000012180000}"/>
    <cellStyle name="Normal 5 2 2 5 2 3 2" xfId="13652" xr:uid="{1778072C-2569-4C98-A9C9-F064A8286280}"/>
    <cellStyle name="Normal 5 2 2 5 2 4" xfId="9434" xr:uid="{D1AC5445-0EEF-40A3-A7AD-49AC03EE233A}"/>
    <cellStyle name="Normal 5 2 2 5 3" xfId="1315" xr:uid="{00000000-0005-0000-0000-000013180000}"/>
    <cellStyle name="Normal 5 2 2 5 3 2" xfId="3545" xr:uid="{00000000-0005-0000-0000-000014180000}"/>
    <cellStyle name="Normal 5 2 2 5 3 2 2" xfId="7768" xr:uid="{00000000-0005-0000-0000-000015180000}"/>
    <cellStyle name="Normal 5 2 2 5 3 2 2 2" xfId="16210" xr:uid="{4C27F6FC-D215-483A-8358-6F02DE702046}"/>
    <cellStyle name="Normal 5 2 2 5 3 2 3" xfId="11992" xr:uid="{88842BD8-DFF7-4A4F-8D60-7B8C71C1E729}"/>
    <cellStyle name="Normal 5 2 2 5 3 3" xfId="5623" xr:uid="{00000000-0005-0000-0000-000016180000}"/>
    <cellStyle name="Normal 5 2 2 5 3 3 2" xfId="14065" xr:uid="{D860D00A-F14C-4FFB-8A00-AD6A515E8DF3}"/>
    <cellStyle name="Normal 5 2 2 5 3 4" xfId="9847" xr:uid="{6C48E223-B1DA-4392-BEDB-42ED91ED44CB}"/>
    <cellStyle name="Normal 5 2 2 5 4" xfId="1728" xr:uid="{00000000-0005-0000-0000-000017180000}"/>
    <cellStyle name="Normal 5 2 2 5 4 2" xfId="3958" xr:uid="{00000000-0005-0000-0000-000018180000}"/>
    <cellStyle name="Normal 5 2 2 5 4 2 2" xfId="8181" xr:uid="{00000000-0005-0000-0000-000019180000}"/>
    <cellStyle name="Normal 5 2 2 5 4 2 2 2" xfId="16623" xr:uid="{876ADB48-AF56-405B-ABAC-EC212102DAD2}"/>
    <cellStyle name="Normal 5 2 2 5 4 2 3" xfId="12405" xr:uid="{A9F44BE5-EACF-476D-AA77-743C882E9DA3}"/>
    <cellStyle name="Normal 5 2 2 5 4 3" xfId="6036" xr:uid="{00000000-0005-0000-0000-00001A180000}"/>
    <cellStyle name="Normal 5 2 2 5 4 3 2" xfId="14478" xr:uid="{E21B1A35-C847-4E9F-BB8F-9DED5747A69B}"/>
    <cellStyle name="Normal 5 2 2 5 4 4" xfId="10260" xr:uid="{12AD5661-6FBE-4E88-9FFB-9D7D4576BD9E}"/>
    <cellStyle name="Normal 5 2 2 5 5" xfId="2142" xr:uid="{00000000-0005-0000-0000-00001B180000}"/>
    <cellStyle name="Normal 5 2 2 5 5 2" xfId="4371" xr:uid="{00000000-0005-0000-0000-00001C180000}"/>
    <cellStyle name="Normal 5 2 2 5 5 2 2" xfId="8594" xr:uid="{00000000-0005-0000-0000-00001D180000}"/>
    <cellStyle name="Normal 5 2 2 5 5 2 2 2" xfId="17036" xr:uid="{C8B66079-6755-49C1-BDE6-A474647E5E0B}"/>
    <cellStyle name="Normal 5 2 2 5 5 2 3" xfId="12818" xr:uid="{4959F1BE-B4B4-4637-8436-3F4BE38D05F4}"/>
    <cellStyle name="Normal 5 2 2 5 5 3" xfId="6449" xr:uid="{00000000-0005-0000-0000-00001E180000}"/>
    <cellStyle name="Normal 5 2 2 5 5 3 2" xfId="14891" xr:uid="{85B0C833-C711-4621-AB87-6CCC78C2DF30}"/>
    <cellStyle name="Normal 5 2 2 5 5 4" xfId="10673" xr:uid="{D374E843-60B8-41F6-88FF-960FAA5CED3C}"/>
    <cellStyle name="Normal 5 2 2 5 6" xfId="2578" xr:uid="{00000000-0005-0000-0000-00001F180000}"/>
    <cellStyle name="Normal 5 2 2 5 6 2" xfId="6862" xr:uid="{00000000-0005-0000-0000-000020180000}"/>
    <cellStyle name="Normal 5 2 2 5 6 2 2" xfId="15304" xr:uid="{04092194-2050-4608-AEFC-28BFC2D2CA1A}"/>
    <cellStyle name="Normal 5 2 2 5 6 3" xfId="11086" xr:uid="{A132302F-73EB-4D8F-9C69-FA49B3FB9C48}"/>
    <cellStyle name="Normal 5 2 2 5 7" xfId="4797" xr:uid="{00000000-0005-0000-0000-000021180000}"/>
    <cellStyle name="Normal 5 2 2 5 7 2" xfId="13239" xr:uid="{5BABD48F-995C-427B-A739-2DC459307A08}"/>
    <cellStyle name="Normal 5 2 2 5 8" xfId="9021" xr:uid="{D713E886-FD8A-4180-BE44-F449A5CB24CE}"/>
    <cellStyle name="Normal 5 2 2 6" xfId="882" xr:uid="{00000000-0005-0000-0000-000022180000}"/>
    <cellStyle name="Normal 5 2 2 6 2" xfId="3117" xr:uid="{00000000-0005-0000-0000-000023180000}"/>
    <cellStyle name="Normal 5 2 2 6 2 2" xfId="7340" xr:uid="{00000000-0005-0000-0000-000024180000}"/>
    <cellStyle name="Normal 5 2 2 6 2 2 2" xfId="15782" xr:uid="{ECCF6059-4642-47D6-8B2A-2B6FAC8A6F9B}"/>
    <cellStyle name="Normal 5 2 2 6 2 3" xfId="11564" xr:uid="{83BC798B-3402-4001-AC7B-C917785DD6BA}"/>
    <cellStyle name="Normal 5 2 2 6 3" xfId="5195" xr:uid="{00000000-0005-0000-0000-000025180000}"/>
    <cellStyle name="Normal 5 2 2 6 3 2" xfId="13637" xr:uid="{4F80B620-F8DE-4C48-85CD-0B4029EB8697}"/>
    <cellStyle name="Normal 5 2 2 6 4" xfId="9419" xr:uid="{A1DEE7FB-DCA4-4E63-85D3-8D03A947B1D2}"/>
    <cellStyle name="Normal 5 2 2 7" xfId="1300" xr:uid="{00000000-0005-0000-0000-000026180000}"/>
    <cellStyle name="Normal 5 2 2 7 2" xfId="3530" xr:uid="{00000000-0005-0000-0000-000027180000}"/>
    <cellStyle name="Normal 5 2 2 7 2 2" xfId="7753" xr:uid="{00000000-0005-0000-0000-000028180000}"/>
    <cellStyle name="Normal 5 2 2 7 2 2 2" xfId="16195" xr:uid="{2E45F40F-20AB-4D95-B752-EEE4CC6E892D}"/>
    <cellStyle name="Normal 5 2 2 7 2 3" xfId="11977" xr:uid="{2F667AEE-846C-4E5A-BF39-FB798EB05C12}"/>
    <cellStyle name="Normal 5 2 2 7 3" xfId="5608" xr:uid="{00000000-0005-0000-0000-000029180000}"/>
    <cellStyle name="Normal 5 2 2 7 3 2" xfId="14050" xr:uid="{ADF470FD-C4F0-4847-9E94-9C25E0BA19BC}"/>
    <cellStyle name="Normal 5 2 2 7 4" xfId="9832" xr:uid="{49F8D62F-81E5-4CD5-B01D-C9C0D7E5EAA7}"/>
    <cellStyle name="Normal 5 2 2 8" xfId="1713" xr:uid="{00000000-0005-0000-0000-00002A180000}"/>
    <cellStyle name="Normal 5 2 2 8 2" xfId="3943" xr:uid="{00000000-0005-0000-0000-00002B180000}"/>
    <cellStyle name="Normal 5 2 2 8 2 2" xfId="8166" xr:uid="{00000000-0005-0000-0000-00002C180000}"/>
    <cellStyle name="Normal 5 2 2 8 2 2 2" xfId="16608" xr:uid="{FD9FAB6F-A00E-4C89-88AD-21AA3D3C03A6}"/>
    <cellStyle name="Normal 5 2 2 8 2 3" xfId="12390" xr:uid="{63293C26-388D-4DCC-848B-3251846C9A00}"/>
    <cellStyle name="Normal 5 2 2 8 3" xfId="6021" xr:uid="{00000000-0005-0000-0000-00002D180000}"/>
    <cellStyle name="Normal 5 2 2 8 3 2" xfId="14463" xr:uid="{60D9F7F2-F5D5-4354-83A7-85766740E6BB}"/>
    <cellStyle name="Normal 5 2 2 8 4" xfId="10245" xr:uid="{B6A1C7DF-EF0E-49E3-B531-67FF89A6CBEF}"/>
    <cellStyle name="Normal 5 2 2 9" xfId="2127" xr:uid="{00000000-0005-0000-0000-00002E180000}"/>
    <cellStyle name="Normal 5 2 2 9 2" xfId="4356" xr:uid="{00000000-0005-0000-0000-00002F180000}"/>
    <cellStyle name="Normal 5 2 2 9 2 2" xfId="8579" xr:uid="{00000000-0005-0000-0000-000030180000}"/>
    <cellStyle name="Normal 5 2 2 9 2 2 2" xfId="17021" xr:uid="{AF4B9832-BC7B-498A-BEDE-A4284A645CC4}"/>
    <cellStyle name="Normal 5 2 2 9 2 3" xfId="12803" xr:uid="{4CD90692-03E5-40CC-9701-B2084339E08A}"/>
    <cellStyle name="Normal 5 2 2 9 3" xfId="6434" xr:uid="{00000000-0005-0000-0000-000031180000}"/>
    <cellStyle name="Normal 5 2 2 9 3 2" xfId="14876" xr:uid="{889C31A1-AB8F-4E3C-AE09-B86B7AEFEB71}"/>
    <cellStyle name="Normal 5 2 2 9 4" xfId="10658" xr:uid="{6DA06EFE-BD67-46B4-9877-C294336261B3}"/>
    <cellStyle name="Normal 5 2 3" xfId="424" xr:uid="{00000000-0005-0000-0000-000032180000}"/>
    <cellStyle name="Normal 5 2 3 10" xfId="4798" xr:uid="{00000000-0005-0000-0000-000033180000}"/>
    <cellStyle name="Normal 5 2 3 10 2" xfId="13240" xr:uid="{8C764D8A-7C18-4831-AD2D-B2506C4BA177}"/>
    <cellStyle name="Normal 5 2 3 11" xfId="9022" xr:uid="{ACAC2533-5E27-491C-8989-AD6514272C03}"/>
    <cellStyle name="Normal 5 2 3 2" xfId="425" xr:uid="{00000000-0005-0000-0000-000034180000}"/>
    <cellStyle name="Normal 5 2 3 2 10" xfId="9023" xr:uid="{5AFE4127-C26A-43AA-AE74-E0E2A287D86A}"/>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2 2 2" xfId="15801" xr:uid="{9E25754F-9C2F-442B-AC6C-2DF804B403FF}"/>
    <cellStyle name="Normal 5 2 3 2 2 2 2 2 3" xfId="11583" xr:uid="{846D8A34-43D3-4053-8737-0BE88DA0A663}"/>
    <cellStyle name="Normal 5 2 3 2 2 2 2 3" xfId="5214" xr:uid="{00000000-0005-0000-0000-00003A180000}"/>
    <cellStyle name="Normal 5 2 3 2 2 2 2 3 2" xfId="13656" xr:uid="{6FBE42F7-F74B-489F-BEC5-231A588E451D}"/>
    <cellStyle name="Normal 5 2 3 2 2 2 2 4" xfId="9438" xr:uid="{CB66DFFC-CB21-45DE-85EA-E6BE6409208A}"/>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2 2 2" xfId="16214" xr:uid="{3F975B01-5A15-4202-B15D-97F6C9DAD17C}"/>
    <cellStyle name="Normal 5 2 3 2 2 2 3 2 3" xfId="11996" xr:uid="{70968158-4268-47F5-A4C2-A72C04895BA9}"/>
    <cellStyle name="Normal 5 2 3 2 2 2 3 3" xfId="5627" xr:uid="{00000000-0005-0000-0000-00003E180000}"/>
    <cellStyle name="Normal 5 2 3 2 2 2 3 3 2" xfId="14069" xr:uid="{87CDBC51-F465-4021-B297-67A182A6C25C}"/>
    <cellStyle name="Normal 5 2 3 2 2 2 3 4" xfId="9851" xr:uid="{50089A49-CD5C-4600-8FF2-8D7BF5F840D7}"/>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2 2 2" xfId="16627" xr:uid="{F4ED2423-5D52-4854-8B93-2E90ACB6B5D6}"/>
    <cellStyle name="Normal 5 2 3 2 2 2 4 2 3" xfId="12409" xr:uid="{C773E61D-C675-42A3-8544-9E63E0AAAC93}"/>
    <cellStyle name="Normal 5 2 3 2 2 2 4 3" xfId="6040" xr:uid="{00000000-0005-0000-0000-000042180000}"/>
    <cellStyle name="Normal 5 2 3 2 2 2 4 3 2" xfId="14482" xr:uid="{2A252A4F-BD50-4D66-B8A0-04D2D0991338}"/>
    <cellStyle name="Normal 5 2 3 2 2 2 4 4" xfId="10264" xr:uid="{191BB148-D6D8-45AF-8AC8-9BEBCB0CF396}"/>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2 2 2" xfId="17040" xr:uid="{957FC455-4A75-452C-B595-65AE14A5B6A7}"/>
    <cellStyle name="Normal 5 2 3 2 2 2 5 2 3" xfId="12822" xr:uid="{1A438C8C-4B25-4933-8AAF-E53E3FCEABC5}"/>
    <cellStyle name="Normal 5 2 3 2 2 2 5 3" xfId="6453" xr:uid="{00000000-0005-0000-0000-000046180000}"/>
    <cellStyle name="Normal 5 2 3 2 2 2 5 3 2" xfId="14895" xr:uid="{A209CBA9-094D-48FC-8234-4132FCA91DCA}"/>
    <cellStyle name="Normal 5 2 3 2 2 2 5 4" xfId="10677" xr:uid="{BA854888-E8DF-4533-AD20-292DCCED5181}"/>
    <cellStyle name="Normal 5 2 3 2 2 2 6" xfId="2582" xr:uid="{00000000-0005-0000-0000-000047180000}"/>
    <cellStyle name="Normal 5 2 3 2 2 2 6 2" xfId="6866" xr:uid="{00000000-0005-0000-0000-000048180000}"/>
    <cellStyle name="Normal 5 2 3 2 2 2 6 2 2" xfId="15308" xr:uid="{A7703622-F4A9-4C35-B241-2FB77C192F06}"/>
    <cellStyle name="Normal 5 2 3 2 2 2 6 3" xfId="11090" xr:uid="{B5F3CA91-755E-46C4-B9E1-6C235DC5619F}"/>
    <cellStyle name="Normal 5 2 3 2 2 2 7" xfId="4801" xr:uid="{00000000-0005-0000-0000-000049180000}"/>
    <cellStyle name="Normal 5 2 3 2 2 2 7 2" xfId="13243" xr:uid="{E0CC7FF7-F1F3-47F6-A5CE-64559BE308E6}"/>
    <cellStyle name="Normal 5 2 3 2 2 2 8" xfId="9025" xr:uid="{511D3E40-3611-42B8-8AA8-CF714CE27366}"/>
    <cellStyle name="Normal 5 2 3 2 2 3" xfId="900" xr:uid="{00000000-0005-0000-0000-00004A180000}"/>
    <cellStyle name="Normal 5 2 3 2 2 3 2" xfId="3135" xr:uid="{00000000-0005-0000-0000-00004B180000}"/>
    <cellStyle name="Normal 5 2 3 2 2 3 2 2" xfId="7358" xr:uid="{00000000-0005-0000-0000-00004C180000}"/>
    <cellStyle name="Normal 5 2 3 2 2 3 2 2 2" xfId="15800" xr:uid="{0BCFE106-B224-4A42-BEDE-7EA8E5E28A4D}"/>
    <cellStyle name="Normal 5 2 3 2 2 3 2 3" xfId="11582" xr:uid="{2F998B5C-A78E-40B4-9BA6-FFB9D67F4CC8}"/>
    <cellStyle name="Normal 5 2 3 2 2 3 3" xfId="5213" xr:uid="{00000000-0005-0000-0000-00004D180000}"/>
    <cellStyle name="Normal 5 2 3 2 2 3 3 2" xfId="13655" xr:uid="{EE9B1386-6D66-433C-AAF7-4CB6223705ED}"/>
    <cellStyle name="Normal 5 2 3 2 2 3 4" xfId="9437" xr:uid="{F7B79731-E63E-47F9-9AC8-3D1CA378A31C}"/>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2 2 2" xfId="16213" xr:uid="{55E240F1-96C6-4628-8DEF-860FF018757D}"/>
    <cellStyle name="Normal 5 2 3 2 2 4 2 3" xfId="11995" xr:uid="{38B53CE0-A8F4-4258-8405-8051A4376639}"/>
    <cellStyle name="Normal 5 2 3 2 2 4 3" xfId="5626" xr:uid="{00000000-0005-0000-0000-000051180000}"/>
    <cellStyle name="Normal 5 2 3 2 2 4 3 2" xfId="14068" xr:uid="{B9843272-0C44-4A95-9892-F8212AD4ED63}"/>
    <cellStyle name="Normal 5 2 3 2 2 4 4" xfId="9850" xr:uid="{A62264B1-763A-4D98-A145-992E756363EC}"/>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2 2 2" xfId="16626" xr:uid="{313B757D-DE62-4AFC-9213-C1A6C3EFD7AA}"/>
    <cellStyle name="Normal 5 2 3 2 2 5 2 3" xfId="12408" xr:uid="{369DDA87-7810-41B3-894E-B814519352E9}"/>
    <cellStyle name="Normal 5 2 3 2 2 5 3" xfId="6039" xr:uid="{00000000-0005-0000-0000-000055180000}"/>
    <cellStyle name="Normal 5 2 3 2 2 5 3 2" xfId="14481" xr:uid="{E41FCE78-1E04-438E-957A-8FD5DEE146EA}"/>
    <cellStyle name="Normal 5 2 3 2 2 5 4" xfId="10263" xr:uid="{BF800104-A1F0-4058-8871-7137E23BFF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2 2 2" xfId="17039" xr:uid="{12DB0B39-67DC-4CDD-93B7-7F44C005053E}"/>
    <cellStyle name="Normal 5 2 3 2 2 6 2 3" xfId="12821" xr:uid="{4BA91828-B048-458C-9759-1418463B2E12}"/>
    <cellStyle name="Normal 5 2 3 2 2 6 3" xfId="6452" xr:uid="{00000000-0005-0000-0000-000059180000}"/>
    <cellStyle name="Normal 5 2 3 2 2 6 3 2" xfId="14894" xr:uid="{08F4B9F9-B28E-4063-97D1-1D442DD071B0}"/>
    <cellStyle name="Normal 5 2 3 2 2 6 4" xfId="10676" xr:uid="{131157D8-34C8-453A-98ED-31DF600E3B43}"/>
    <cellStyle name="Normal 5 2 3 2 2 7" xfId="2581" xr:uid="{00000000-0005-0000-0000-00005A180000}"/>
    <cellStyle name="Normal 5 2 3 2 2 7 2" xfId="6865" xr:uid="{00000000-0005-0000-0000-00005B180000}"/>
    <cellStyle name="Normal 5 2 3 2 2 7 2 2" xfId="15307" xr:uid="{C39EF017-C388-4CF0-9427-71E4EAF25102}"/>
    <cellStyle name="Normal 5 2 3 2 2 7 3" xfId="11089" xr:uid="{27B8F7CF-10DC-4C2E-ADDA-0E8DAF86A572}"/>
    <cellStyle name="Normal 5 2 3 2 2 8" xfId="4800" xr:uid="{00000000-0005-0000-0000-00005C180000}"/>
    <cellStyle name="Normal 5 2 3 2 2 8 2" xfId="13242" xr:uid="{65C26555-CBB0-4C9B-A78E-9E5D830715F0}"/>
    <cellStyle name="Normal 5 2 3 2 2 9" xfId="9024" xr:uid="{D41EA987-5302-40D7-A5B4-56D0CE53F178}"/>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2 2 2" xfId="15802" xr:uid="{457B9E89-58D4-409D-B60E-CB642F9FA905}"/>
    <cellStyle name="Normal 5 2 3 2 3 2 2 3" xfId="11584" xr:uid="{D9AB0070-79B1-4AD5-90E1-6EB4ADA03658}"/>
    <cellStyle name="Normal 5 2 3 2 3 2 3" xfId="5215" xr:uid="{00000000-0005-0000-0000-000061180000}"/>
    <cellStyle name="Normal 5 2 3 2 3 2 3 2" xfId="13657" xr:uid="{CBCE4A0B-69E9-48FF-B751-46D4C61B2351}"/>
    <cellStyle name="Normal 5 2 3 2 3 2 4" xfId="9439" xr:uid="{C7EE37B6-A5D4-4389-A3D2-884ED757ECCC}"/>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2 2 2" xfId="16215" xr:uid="{EA79AAB0-774B-4951-8E3A-32E74E56D49C}"/>
    <cellStyle name="Normal 5 2 3 2 3 3 2 3" xfId="11997" xr:uid="{58D01FF4-6B24-4BF8-BC1F-70CEEE01F93A}"/>
    <cellStyle name="Normal 5 2 3 2 3 3 3" xfId="5628" xr:uid="{00000000-0005-0000-0000-000065180000}"/>
    <cellStyle name="Normal 5 2 3 2 3 3 3 2" xfId="14070" xr:uid="{EE74BED7-FCD4-4ECE-A745-F863F370BCC8}"/>
    <cellStyle name="Normal 5 2 3 2 3 3 4" xfId="9852" xr:uid="{87BFB28B-8999-467D-A902-247677F96C6F}"/>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2 2 2" xfId="16628" xr:uid="{2CB69276-880F-4935-B757-F8816838772D}"/>
    <cellStyle name="Normal 5 2 3 2 3 4 2 3" xfId="12410" xr:uid="{4739E8C6-E004-46C9-A795-CC6A54C6177A}"/>
    <cellStyle name="Normal 5 2 3 2 3 4 3" xfId="6041" xr:uid="{00000000-0005-0000-0000-000069180000}"/>
    <cellStyle name="Normal 5 2 3 2 3 4 3 2" xfId="14483" xr:uid="{A7E5A6BF-153D-4A32-9809-290F3721D6A6}"/>
    <cellStyle name="Normal 5 2 3 2 3 4 4" xfId="10265" xr:uid="{8AFF55E2-85E4-4EFB-8B30-052520977EF5}"/>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2 2 2" xfId="17041" xr:uid="{6CF9A8B3-CC0B-4109-A1EA-F70F88C9B0C6}"/>
    <cellStyle name="Normal 5 2 3 2 3 5 2 3" xfId="12823" xr:uid="{AECCCC6E-CE6F-4A07-9918-28BFA5A0E663}"/>
    <cellStyle name="Normal 5 2 3 2 3 5 3" xfId="6454" xr:uid="{00000000-0005-0000-0000-00006D180000}"/>
    <cellStyle name="Normal 5 2 3 2 3 5 3 2" xfId="14896" xr:uid="{D89894FF-9A01-4877-8F5C-1E19A665C81F}"/>
    <cellStyle name="Normal 5 2 3 2 3 5 4" xfId="10678" xr:uid="{BC7713D6-ABC2-475E-A032-48158A268906}"/>
    <cellStyle name="Normal 5 2 3 2 3 6" xfId="2583" xr:uid="{00000000-0005-0000-0000-00006E180000}"/>
    <cellStyle name="Normal 5 2 3 2 3 6 2" xfId="6867" xr:uid="{00000000-0005-0000-0000-00006F180000}"/>
    <cellStyle name="Normal 5 2 3 2 3 6 2 2" xfId="15309" xr:uid="{3831360C-438B-4474-8EE9-663366BDE8CF}"/>
    <cellStyle name="Normal 5 2 3 2 3 6 3" xfId="11091" xr:uid="{448315DE-8F88-4649-95A4-B317F33F7085}"/>
    <cellStyle name="Normal 5 2 3 2 3 7" xfId="4802" xr:uid="{00000000-0005-0000-0000-000070180000}"/>
    <cellStyle name="Normal 5 2 3 2 3 7 2" xfId="13244" xr:uid="{2843E858-8568-4A0F-9D50-3A27701724C5}"/>
    <cellStyle name="Normal 5 2 3 2 3 8" xfId="9026" xr:uid="{7807BF27-04A4-42E4-ADD1-A9D81187E656}"/>
    <cellStyle name="Normal 5 2 3 2 4" xfId="899" xr:uid="{00000000-0005-0000-0000-000071180000}"/>
    <cellStyle name="Normal 5 2 3 2 4 2" xfId="3134" xr:uid="{00000000-0005-0000-0000-000072180000}"/>
    <cellStyle name="Normal 5 2 3 2 4 2 2" xfId="7357" xr:uid="{00000000-0005-0000-0000-000073180000}"/>
    <cellStyle name="Normal 5 2 3 2 4 2 2 2" xfId="15799" xr:uid="{7DE17BD0-D77A-4C50-BC7C-76FC6A6AE797}"/>
    <cellStyle name="Normal 5 2 3 2 4 2 3" xfId="11581" xr:uid="{48DD4380-C8EC-4416-BD90-216529B19400}"/>
    <cellStyle name="Normal 5 2 3 2 4 3" xfId="5212" xr:uid="{00000000-0005-0000-0000-000074180000}"/>
    <cellStyle name="Normal 5 2 3 2 4 3 2" xfId="13654" xr:uid="{88ECD290-4405-4138-B685-464B3D33C366}"/>
    <cellStyle name="Normal 5 2 3 2 4 4" xfId="9436" xr:uid="{CA098662-2586-4570-B2FC-7D2CA64DEB06}"/>
    <cellStyle name="Normal 5 2 3 2 5" xfId="1317" xr:uid="{00000000-0005-0000-0000-000075180000}"/>
    <cellStyle name="Normal 5 2 3 2 5 2" xfId="3547" xr:uid="{00000000-0005-0000-0000-000076180000}"/>
    <cellStyle name="Normal 5 2 3 2 5 2 2" xfId="7770" xr:uid="{00000000-0005-0000-0000-000077180000}"/>
    <cellStyle name="Normal 5 2 3 2 5 2 2 2" xfId="16212" xr:uid="{11BF13A6-F6E5-4449-B35D-1DAAFAAAE2FD}"/>
    <cellStyle name="Normal 5 2 3 2 5 2 3" xfId="11994" xr:uid="{5A1BD883-5551-4D97-AEA8-195B3CDF0783}"/>
    <cellStyle name="Normal 5 2 3 2 5 3" xfId="5625" xr:uid="{00000000-0005-0000-0000-000078180000}"/>
    <cellStyle name="Normal 5 2 3 2 5 3 2" xfId="14067" xr:uid="{3D4B252E-BEA2-42D8-9DAE-56F357D922EC}"/>
    <cellStyle name="Normal 5 2 3 2 5 4" xfId="9849" xr:uid="{E7295DC8-C16A-4D5C-8428-74EBD7113D43}"/>
    <cellStyle name="Normal 5 2 3 2 6" xfId="1730" xr:uid="{00000000-0005-0000-0000-000079180000}"/>
    <cellStyle name="Normal 5 2 3 2 6 2" xfId="3960" xr:uid="{00000000-0005-0000-0000-00007A180000}"/>
    <cellStyle name="Normal 5 2 3 2 6 2 2" xfId="8183" xr:uid="{00000000-0005-0000-0000-00007B180000}"/>
    <cellStyle name="Normal 5 2 3 2 6 2 2 2" xfId="16625" xr:uid="{DEF87241-BD84-4E8B-9580-69C261140EF6}"/>
    <cellStyle name="Normal 5 2 3 2 6 2 3" xfId="12407" xr:uid="{7BB15949-F511-4BE5-9257-EC4CEB69125C}"/>
    <cellStyle name="Normal 5 2 3 2 6 3" xfId="6038" xr:uid="{00000000-0005-0000-0000-00007C180000}"/>
    <cellStyle name="Normal 5 2 3 2 6 3 2" xfId="14480" xr:uid="{E7ADA709-67B5-4C49-B4F8-78A2A69E0580}"/>
    <cellStyle name="Normal 5 2 3 2 6 4" xfId="10262" xr:uid="{00405865-A6F9-44AF-A40C-8CC09D633057}"/>
    <cellStyle name="Normal 5 2 3 2 7" xfId="2144" xr:uid="{00000000-0005-0000-0000-00007D180000}"/>
    <cellStyle name="Normal 5 2 3 2 7 2" xfId="4373" xr:uid="{00000000-0005-0000-0000-00007E180000}"/>
    <cellStyle name="Normal 5 2 3 2 7 2 2" xfId="8596" xr:uid="{00000000-0005-0000-0000-00007F180000}"/>
    <cellStyle name="Normal 5 2 3 2 7 2 2 2" xfId="17038" xr:uid="{A4E08C1D-29DF-43A3-B181-0A7A7B70F46A}"/>
    <cellStyle name="Normal 5 2 3 2 7 2 3" xfId="12820" xr:uid="{B6A55C2A-7EC9-4031-AAB3-641A82203FDF}"/>
    <cellStyle name="Normal 5 2 3 2 7 3" xfId="6451" xr:uid="{00000000-0005-0000-0000-000080180000}"/>
    <cellStyle name="Normal 5 2 3 2 7 3 2" xfId="14893" xr:uid="{17CBB795-1572-4637-9D26-A57FC5E17552}"/>
    <cellStyle name="Normal 5 2 3 2 7 4" xfId="10675" xr:uid="{92FC41F6-4941-426B-88CF-7E77ECB36E0F}"/>
    <cellStyle name="Normal 5 2 3 2 8" xfId="2580" xr:uid="{00000000-0005-0000-0000-000081180000}"/>
    <cellStyle name="Normal 5 2 3 2 8 2" xfId="6864" xr:uid="{00000000-0005-0000-0000-000082180000}"/>
    <cellStyle name="Normal 5 2 3 2 8 2 2" xfId="15306" xr:uid="{1B82362D-45A3-417A-B345-DF12DDF32C66}"/>
    <cellStyle name="Normal 5 2 3 2 8 3" xfId="11088" xr:uid="{D4560500-78F5-4007-9355-3869A71B4427}"/>
    <cellStyle name="Normal 5 2 3 2 9" xfId="4799" xr:uid="{00000000-0005-0000-0000-000083180000}"/>
    <cellStyle name="Normal 5 2 3 2 9 2" xfId="13241" xr:uid="{030A95F9-BFC6-4F5C-97D7-84F38F9CFD39}"/>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2 2 2" xfId="15804" xr:uid="{79CD7247-6DF2-453D-BC49-8D0888B72E58}"/>
    <cellStyle name="Normal 5 2 3 3 2 2 2 3" xfId="11586" xr:uid="{7918E62E-45A3-4F8A-BA87-F7AB2DA5EA8A}"/>
    <cellStyle name="Normal 5 2 3 3 2 2 3" xfId="5217" xr:uid="{00000000-0005-0000-0000-000089180000}"/>
    <cellStyle name="Normal 5 2 3 3 2 2 3 2" xfId="13659" xr:uid="{0FB097DD-AC02-4359-AC68-69B7324D80BB}"/>
    <cellStyle name="Normal 5 2 3 3 2 2 4" xfId="9441" xr:uid="{B0CD842A-D77A-49EF-808D-248D9DE93616}"/>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2 2 2" xfId="16217" xr:uid="{7AEB9EE8-8000-49B2-8889-EE4A4245FBF7}"/>
    <cellStyle name="Normal 5 2 3 3 2 3 2 3" xfId="11999" xr:uid="{08533B06-A322-41E0-B878-063293AA571D}"/>
    <cellStyle name="Normal 5 2 3 3 2 3 3" xfId="5630" xr:uid="{00000000-0005-0000-0000-00008D180000}"/>
    <cellStyle name="Normal 5 2 3 3 2 3 3 2" xfId="14072" xr:uid="{D5A04ED2-3984-4741-A687-099CAEF0BE89}"/>
    <cellStyle name="Normal 5 2 3 3 2 3 4" xfId="9854" xr:uid="{CA888BEC-6058-43A8-AB15-25F70F6544EE}"/>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2 2 2" xfId="16630" xr:uid="{3B6893E6-39D8-43B1-96DC-AEFBB1BBFBEE}"/>
    <cellStyle name="Normal 5 2 3 3 2 4 2 3" xfId="12412" xr:uid="{D02AFF06-7440-4F6A-AA08-7C33F69DF9A1}"/>
    <cellStyle name="Normal 5 2 3 3 2 4 3" xfId="6043" xr:uid="{00000000-0005-0000-0000-000091180000}"/>
    <cellStyle name="Normal 5 2 3 3 2 4 3 2" xfId="14485" xr:uid="{582E69AC-64C1-406B-B127-3EBEF3FCA268}"/>
    <cellStyle name="Normal 5 2 3 3 2 4 4" xfId="10267" xr:uid="{2C86AE63-4441-49BA-84A4-0A7238E35942}"/>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2 2 2" xfId="17043" xr:uid="{25231C8F-376A-4B43-A664-19567A470609}"/>
    <cellStyle name="Normal 5 2 3 3 2 5 2 3" xfId="12825" xr:uid="{F87DD6CA-90EA-4749-BDFB-9F9B50F8B1AD}"/>
    <cellStyle name="Normal 5 2 3 3 2 5 3" xfId="6456" xr:uid="{00000000-0005-0000-0000-000095180000}"/>
    <cellStyle name="Normal 5 2 3 3 2 5 3 2" xfId="14898" xr:uid="{42CEBF96-75ED-4644-9D3D-619E85B2374F}"/>
    <cellStyle name="Normal 5 2 3 3 2 5 4" xfId="10680" xr:uid="{A8E92A65-C5A1-4C38-A361-468347A26809}"/>
    <cellStyle name="Normal 5 2 3 3 2 6" xfId="2585" xr:uid="{00000000-0005-0000-0000-000096180000}"/>
    <cellStyle name="Normal 5 2 3 3 2 6 2" xfId="6869" xr:uid="{00000000-0005-0000-0000-000097180000}"/>
    <cellStyle name="Normal 5 2 3 3 2 6 2 2" xfId="15311" xr:uid="{C5E0EA49-D0F3-4C93-9D89-5E209407DB4D}"/>
    <cellStyle name="Normal 5 2 3 3 2 6 3" xfId="11093" xr:uid="{1BCFD5FE-B980-40DE-A8B2-B294F69D2E04}"/>
    <cellStyle name="Normal 5 2 3 3 2 7" xfId="4804" xr:uid="{00000000-0005-0000-0000-000098180000}"/>
    <cellStyle name="Normal 5 2 3 3 2 7 2" xfId="13246" xr:uid="{0E48D088-A080-4927-B0D8-8E493C201784}"/>
    <cellStyle name="Normal 5 2 3 3 2 8" xfId="9028" xr:uid="{BB0F6C62-CD19-4695-A927-AE252D73276F}"/>
    <cellStyle name="Normal 5 2 3 3 3" xfId="903" xr:uid="{00000000-0005-0000-0000-000099180000}"/>
    <cellStyle name="Normal 5 2 3 3 3 2" xfId="3138" xr:uid="{00000000-0005-0000-0000-00009A180000}"/>
    <cellStyle name="Normal 5 2 3 3 3 2 2" xfId="7361" xr:uid="{00000000-0005-0000-0000-00009B180000}"/>
    <cellStyle name="Normal 5 2 3 3 3 2 2 2" xfId="15803" xr:uid="{5B9442EF-1378-4381-8602-65FEE8E336CE}"/>
    <cellStyle name="Normal 5 2 3 3 3 2 3" xfId="11585" xr:uid="{D065CFFD-98D9-4B5E-8275-10026FA54A10}"/>
    <cellStyle name="Normal 5 2 3 3 3 3" xfId="5216" xr:uid="{00000000-0005-0000-0000-00009C180000}"/>
    <cellStyle name="Normal 5 2 3 3 3 3 2" xfId="13658" xr:uid="{BFC5BEB7-F173-42E2-9B02-A24C40CF77BA}"/>
    <cellStyle name="Normal 5 2 3 3 3 4" xfId="9440" xr:uid="{5358D501-C417-4EC9-BE10-F5DFF77AB8AD}"/>
    <cellStyle name="Normal 5 2 3 3 4" xfId="1321" xr:uid="{00000000-0005-0000-0000-00009D180000}"/>
    <cellStyle name="Normal 5 2 3 3 4 2" xfId="3551" xr:uid="{00000000-0005-0000-0000-00009E180000}"/>
    <cellStyle name="Normal 5 2 3 3 4 2 2" xfId="7774" xr:uid="{00000000-0005-0000-0000-00009F180000}"/>
    <cellStyle name="Normal 5 2 3 3 4 2 2 2" xfId="16216" xr:uid="{8D042FF6-F1D1-4ADB-BA83-1B4B4A851808}"/>
    <cellStyle name="Normal 5 2 3 3 4 2 3" xfId="11998" xr:uid="{12B113E8-5017-42C5-91A5-1AFB8C913647}"/>
    <cellStyle name="Normal 5 2 3 3 4 3" xfId="5629" xr:uid="{00000000-0005-0000-0000-0000A0180000}"/>
    <cellStyle name="Normal 5 2 3 3 4 3 2" xfId="14071" xr:uid="{6122EDB3-F493-43B2-BA17-CAC607193331}"/>
    <cellStyle name="Normal 5 2 3 3 4 4" xfId="9853" xr:uid="{2B020684-1147-4C65-8094-F908083B1D18}"/>
    <cellStyle name="Normal 5 2 3 3 5" xfId="1734" xr:uid="{00000000-0005-0000-0000-0000A1180000}"/>
    <cellStyle name="Normal 5 2 3 3 5 2" xfId="3964" xr:uid="{00000000-0005-0000-0000-0000A2180000}"/>
    <cellStyle name="Normal 5 2 3 3 5 2 2" xfId="8187" xr:uid="{00000000-0005-0000-0000-0000A3180000}"/>
    <cellStyle name="Normal 5 2 3 3 5 2 2 2" xfId="16629" xr:uid="{1083DAE1-5F31-4DF1-AEAE-E7EE3325CB12}"/>
    <cellStyle name="Normal 5 2 3 3 5 2 3" xfId="12411" xr:uid="{4170389D-00B2-4D7B-B3E4-9019AD5A6DE4}"/>
    <cellStyle name="Normal 5 2 3 3 5 3" xfId="6042" xr:uid="{00000000-0005-0000-0000-0000A4180000}"/>
    <cellStyle name="Normal 5 2 3 3 5 3 2" xfId="14484" xr:uid="{5A7ACDFA-8666-42F7-A33C-65AABD8A006E}"/>
    <cellStyle name="Normal 5 2 3 3 5 4" xfId="10266" xr:uid="{69E2AA4D-C667-4F44-90A2-2510BF0723E3}"/>
    <cellStyle name="Normal 5 2 3 3 6" xfId="2148" xr:uid="{00000000-0005-0000-0000-0000A5180000}"/>
    <cellStyle name="Normal 5 2 3 3 6 2" xfId="4377" xr:uid="{00000000-0005-0000-0000-0000A6180000}"/>
    <cellStyle name="Normal 5 2 3 3 6 2 2" xfId="8600" xr:uid="{00000000-0005-0000-0000-0000A7180000}"/>
    <cellStyle name="Normal 5 2 3 3 6 2 2 2" xfId="17042" xr:uid="{B080D755-615C-4169-8B22-9897A782383F}"/>
    <cellStyle name="Normal 5 2 3 3 6 2 3" xfId="12824" xr:uid="{60DE8A8D-A368-469B-96F6-B609B6B65A6B}"/>
    <cellStyle name="Normal 5 2 3 3 6 3" xfId="6455" xr:uid="{00000000-0005-0000-0000-0000A8180000}"/>
    <cellStyle name="Normal 5 2 3 3 6 3 2" xfId="14897" xr:uid="{0A745373-07D9-4DF7-9338-B6C8A031F4B6}"/>
    <cellStyle name="Normal 5 2 3 3 6 4" xfId="10679" xr:uid="{4B9C572C-96C8-4FD8-9358-E89136A18E61}"/>
    <cellStyle name="Normal 5 2 3 3 7" xfId="2584" xr:uid="{00000000-0005-0000-0000-0000A9180000}"/>
    <cellStyle name="Normal 5 2 3 3 7 2" xfId="6868" xr:uid="{00000000-0005-0000-0000-0000AA180000}"/>
    <cellStyle name="Normal 5 2 3 3 7 2 2" xfId="15310" xr:uid="{1A29DF6B-D934-43AF-9773-254B7BE0DDE2}"/>
    <cellStyle name="Normal 5 2 3 3 7 3" xfId="11092" xr:uid="{F2A56AAF-5595-48CF-ADFC-829958681C84}"/>
    <cellStyle name="Normal 5 2 3 3 8" xfId="4803" xr:uid="{00000000-0005-0000-0000-0000AB180000}"/>
    <cellStyle name="Normal 5 2 3 3 8 2" xfId="13245" xr:uid="{32D63C7B-3568-4215-83BD-D26E8716967B}"/>
    <cellStyle name="Normal 5 2 3 3 9" xfId="9027" xr:uid="{A7C949C3-B4FE-4D88-904E-3B5E46E5985A}"/>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2 2 2" xfId="15805" xr:uid="{AE38750C-1ACC-41F1-A368-C3E7D38DA586}"/>
    <cellStyle name="Normal 5 2 3 4 2 2 3" xfId="11587" xr:uid="{D85C339D-C3CC-42B5-81BC-A836EC62017E}"/>
    <cellStyle name="Normal 5 2 3 4 2 3" xfId="5218" xr:uid="{00000000-0005-0000-0000-0000B0180000}"/>
    <cellStyle name="Normal 5 2 3 4 2 3 2" xfId="13660" xr:uid="{63134145-35DD-45EC-B6B6-CE8D516B0F2B}"/>
    <cellStyle name="Normal 5 2 3 4 2 4" xfId="9442" xr:uid="{1D047593-2C4D-450E-9882-291668C7D44D}"/>
    <cellStyle name="Normal 5 2 3 4 3" xfId="1323" xr:uid="{00000000-0005-0000-0000-0000B1180000}"/>
    <cellStyle name="Normal 5 2 3 4 3 2" xfId="3553" xr:uid="{00000000-0005-0000-0000-0000B2180000}"/>
    <cellStyle name="Normal 5 2 3 4 3 2 2" xfId="7776" xr:uid="{00000000-0005-0000-0000-0000B3180000}"/>
    <cellStyle name="Normal 5 2 3 4 3 2 2 2" xfId="16218" xr:uid="{E52FFCFC-F30D-45C4-872B-ED09D5EFE85E}"/>
    <cellStyle name="Normal 5 2 3 4 3 2 3" xfId="12000" xr:uid="{2044DB80-84C0-4F31-A995-160384929881}"/>
    <cellStyle name="Normal 5 2 3 4 3 3" xfId="5631" xr:uid="{00000000-0005-0000-0000-0000B4180000}"/>
    <cellStyle name="Normal 5 2 3 4 3 3 2" xfId="14073" xr:uid="{C03CEE28-92B5-4E67-9CD1-AB8559AFC9B3}"/>
    <cellStyle name="Normal 5 2 3 4 3 4" xfId="9855" xr:uid="{445EF805-376F-4621-843E-A4BCF4EA414A}"/>
    <cellStyle name="Normal 5 2 3 4 4" xfId="1736" xr:uid="{00000000-0005-0000-0000-0000B5180000}"/>
    <cellStyle name="Normal 5 2 3 4 4 2" xfId="3966" xr:uid="{00000000-0005-0000-0000-0000B6180000}"/>
    <cellStyle name="Normal 5 2 3 4 4 2 2" xfId="8189" xr:uid="{00000000-0005-0000-0000-0000B7180000}"/>
    <cellStyle name="Normal 5 2 3 4 4 2 2 2" xfId="16631" xr:uid="{9E440838-28EF-474F-B6BB-EFD20155595E}"/>
    <cellStyle name="Normal 5 2 3 4 4 2 3" xfId="12413" xr:uid="{FBD8A08E-828A-465C-86B8-EEB76D4F4E58}"/>
    <cellStyle name="Normal 5 2 3 4 4 3" xfId="6044" xr:uid="{00000000-0005-0000-0000-0000B8180000}"/>
    <cellStyle name="Normal 5 2 3 4 4 3 2" xfId="14486" xr:uid="{9A12DCE4-1553-4584-8FF1-8DB77A2E1D2B}"/>
    <cellStyle name="Normal 5 2 3 4 4 4" xfId="10268" xr:uid="{35317B22-63DE-4ED2-B237-E512D3CDFABF}"/>
    <cellStyle name="Normal 5 2 3 4 5" xfId="2150" xr:uid="{00000000-0005-0000-0000-0000B9180000}"/>
    <cellStyle name="Normal 5 2 3 4 5 2" xfId="4379" xr:uid="{00000000-0005-0000-0000-0000BA180000}"/>
    <cellStyle name="Normal 5 2 3 4 5 2 2" xfId="8602" xr:uid="{00000000-0005-0000-0000-0000BB180000}"/>
    <cellStyle name="Normal 5 2 3 4 5 2 2 2" xfId="17044" xr:uid="{F6A5544B-179A-4AFC-B2A7-1A673543825D}"/>
    <cellStyle name="Normal 5 2 3 4 5 2 3" xfId="12826" xr:uid="{E2241467-4C74-482A-9753-F11754AB3988}"/>
    <cellStyle name="Normal 5 2 3 4 5 3" xfId="6457" xr:uid="{00000000-0005-0000-0000-0000BC180000}"/>
    <cellStyle name="Normal 5 2 3 4 5 3 2" xfId="14899" xr:uid="{8FE9F543-8713-4AAC-8299-4910EF137E12}"/>
    <cellStyle name="Normal 5 2 3 4 5 4" xfId="10681" xr:uid="{839E2FFD-F66E-476D-9A47-2EE1F02C5518}"/>
    <cellStyle name="Normal 5 2 3 4 6" xfId="2586" xr:uid="{00000000-0005-0000-0000-0000BD180000}"/>
    <cellStyle name="Normal 5 2 3 4 6 2" xfId="6870" xr:uid="{00000000-0005-0000-0000-0000BE180000}"/>
    <cellStyle name="Normal 5 2 3 4 6 2 2" xfId="15312" xr:uid="{A80307C7-BD5B-472B-ABA8-F261387209FB}"/>
    <cellStyle name="Normal 5 2 3 4 6 3" xfId="11094" xr:uid="{15261DF3-E1AC-4FEE-B645-074EC0F22229}"/>
    <cellStyle name="Normal 5 2 3 4 7" xfId="4805" xr:uid="{00000000-0005-0000-0000-0000BF180000}"/>
    <cellStyle name="Normal 5 2 3 4 7 2" xfId="13247" xr:uid="{46D0DFCA-6F61-4DCC-A86D-1C5A4180B6AB}"/>
    <cellStyle name="Normal 5 2 3 4 8" xfId="9029" xr:uid="{EF836B44-BCB7-40AF-A0B0-D8DA9834645E}"/>
    <cellStyle name="Normal 5 2 3 5" xfId="898" xr:uid="{00000000-0005-0000-0000-0000C0180000}"/>
    <cellStyle name="Normal 5 2 3 5 2" xfId="3133" xr:uid="{00000000-0005-0000-0000-0000C1180000}"/>
    <cellStyle name="Normal 5 2 3 5 2 2" xfId="7356" xr:uid="{00000000-0005-0000-0000-0000C2180000}"/>
    <cellStyle name="Normal 5 2 3 5 2 2 2" xfId="15798" xr:uid="{2006B4D6-1B80-4258-B3BF-DA41FFEA66EA}"/>
    <cellStyle name="Normal 5 2 3 5 2 3" xfId="11580" xr:uid="{46F4D366-D5D9-45F8-8988-570D5363F7CD}"/>
    <cellStyle name="Normal 5 2 3 5 3" xfId="5211" xr:uid="{00000000-0005-0000-0000-0000C3180000}"/>
    <cellStyle name="Normal 5 2 3 5 3 2" xfId="13653" xr:uid="{B166CA9A-1E09-48FF-A42C-348CC770B8FF}"/>
    <cellStyle name="Normal 5 2 3 5 4" xfId="9435" xr:uid="{AF373761-18FB-4570-B0FC-C04F19B0EE52}"/>
    <cellStyle name="Normal 5 2 3 6" xfId="1316" xr:uid="{00000000-0005-0000-0000-0000C4180000}"/>
    <cellStyle name="Normal 5 2 3 6 2" xfId="3546" xr:uid="{00000000-0005-0000-0000-0000C5180000}"/>
    <cellStyle name="Normal 5 2 3 6 2 2" xfId="7769" xr:uid="{00000000-0005-0000-0000-0000C6180000}"/>
    <cellStyle name="Normal 5 2 3 6 2 2 2" xfId="16211" xr:uid="{17D121D5-3B3B-427C-8CEA-DED556D105C5}"/>
    <cellStyle name="Normal 5 2 3 6 2 3" xfId="11993" xr:uid="{223BE0D9-07E0-4055-8CE0-AD12E90C8F99}"/>
    <cellStyle name="Normal 5 2 3 6 3" xfId="5624" xr:uid="{00000000-0005-0000-0000-0000C7180000}"/>
    <cellStyle name="Normal 5 2 3 6 3 2" xfId="14066" xr:uid="{7A4AE544-02BB-45F3-BEBB-5F1608FBD4CB}"/>
    <cellStyle name="Normal 5 2 3 6 4" xfId="9848" xr:uid="{86297051-A057-4651-A0D3-B2F4610D2D51}"/>
    <cellStyle name="Normal 5 2 3 7" xfId="1729" xr:uid="{00000000-0005-0000-0000-0000C8180000}"/>
    <cellStyle name="Normal 5 2 3 7 2" xfId="3959" xr:uid="{00000000-0005-0000-0000-0000C9180000}"/>
    <cellStyle name="Normal 5 2 3 7 2 2" xfId="8182" xr:uid="{00000000-0005-0000-0000-0000CA180000}"/>
    <cellStyle name="Normal 5 2 3 7 2 2 2" xfId="16624" xr:uid="{F292CBEC-ED1E-4083-9148-A83C566F8FEE}"/>
    <cellStyle name="Normal 5 2 3 7 2 3" xfId="12406" xr:uid="{816D664A-6725-4503-ACE3-0FAFD9AF6BCC}"/>
    <cellStyle name="Normal 5 2 3 7 3" xfId="6037" xr:uid="{00000000-0005-0000-0000-0000CB180000}"/>
    <cellStyle name="Normal 5 2 3 7 3 2" xfId="14479" xr:uid="{80F9AFC2-D1F3-49BE-979F-EB0418B01D78}"/>
    <cellStyle name="Normal 5 2 3 7 4" xfId="10261" xr:uid="{7A8B86BA-EE81-48AF-8891-9D3D9F0E611B}"/>
    <cellStyle name="Normal 5 2 3 8" xfId="2143" xr:uid="{00000000-0005-0000-0000-0000CC180000}"/>
    <cellStyle name="Normal 5 2 3 8 2" xfId="4372" xr:uid="{00000000-0005-0000-0000-0000CD180000}"/>
    <cellStyle name="Normal 5 2 3 8 2 2" xfId="8595" xr:uid="{00000000-0005-0000-0000-0000CE180000}"/>
    <cellStyle name="Normal 5 2 3 8 2 2 2" xfId="17037" xr:uid="{4BBB3A91-D940-48DA-9CDB-5181E4FBCBF8}"/>
    <cellStyle name="Normal 5 2 3 8 2 3" xfId="12819" xr:uid="{0E362D7E-9C1A-4A79-BEB4-A3D9271CCAAF}"/>
    <cellStyle name="Normal 5 2 3 8 3" xfId="6450" xr:uid="{00000000-0005-0000-0000-0000CF180000}"/>
    <cellStyle name="Normal 5 2 3 8 3 2" xfId="14892" xr:uid="{6A625514-92C4-4A12-AAD4-E43532159DDC}"/>
    <cellStyle name="Normal 5 2 3 8 4" xfId="10674" xr:uid="{CE1CACBD-EECE-4A4E-950C-235C0E169DD9}"/>
    <cellStyle name="Normal 5 2 3 9" xfId="2579" xr:uid="{00000000-0005-0000-0000-0000D0180000}"/>
    <cellStyle name="Normal 5 2 3 9 2" xfId="6863" xr:uid="{00000000-0005-0000-0000-0000D1180000}"/>
    <cellStyle name="Normal 5 2 3 9 2 2" xfId="15305" xr:uid="{C58251C8-1A28-41BE-B933-EACD127C53C3}"/>
    <cellStyle name="Normal 5 2 3 9 3" xfId="11087" xr:uid="{82BAF0A0-9058-419E-8321-800753EB57B0}"/>
    <cellStyle name="Normal 5 2 4" xfId="432" xr:uid="{00000000-0005-0000-0000-0000D2180000}"/>
    <cellStyle name="Normal 5 2 4 10" xfId="9030" xr:uid="{F8871317-EEF9-4FD2-AFAD-1CEB49408BF7}"/>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2 2 2" xfId="15808" xr:uid="{F77179B5-731D-4E8C-9C24-16FDDAB623C8}"/>
    <cellStyle name="Normal 5 2 4 2 2 2 2 3" xfId="11590" xr:uid="{2A760850-B28E-4BB6-A739-71A1215B618D}"/>
    <cellStyle name="Normal 5 2 4 2 2 2 3" xfId="5221" xr:uid="{00000000-0005-0000-0000-0000D8180000}"/>
    <cellStyle name="Normal 5 2 4 2 2 2 3 2" xfId="13663" xr:uid="{9ED36183-FDA2-4047-B6C0-BD18BA030DB9}"/>
    <cellStyle name="Normal 5 2 4 2 2 2 4" xfId="9445" xr:uid="{BCA2D153-1D76-43F2-87A7-CA73D046E916}"/>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2 2 2" xfId="16221" xr:uid="{615961A6-789B-44A1-B092-0A84A7C95EB1}"/>
    <cellStyle name="Normal 5 2 4 2 2 3 2 3" xfId="12003" xr:uid="{E432F5C4-9D1E-4291-BDA1-8CA12BFADBD0}"/>
    <cellStyle name="Normal 5 2 4 2 2 3 3" xfId="5634" xr:uid="{00000000-0005-0000-0000-0000DC180000}"/>
    <cellStyle name="Normal 5 2 4 2 2 3 3 2" xfId="14076" xr:uid="{4C2EABED-386F-4BB6-AEB9-F8FD80E41CFD}"/>
    <cellStyle name="Normal 5 2 4 2 2 3 4" xfId="9858" xr:uid="{D1D8AE79-F0FE-413A-9D7D-78BC6150940D}"/>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2 2 2" xfId="16634" xr:uid="{CA2EFB06-FDEB-4300-8818-E396A6C19A75}"/>
    <cellStyle name="Normal 5 2 4 2 2 4 2 3" xfId="12416" xr:uid="{4D53175F-BEA0-465B-AE50-12230A129521}"/>
    <cellStyle name="Normal 5 2 4 2 2 4 3" xfId="6047" xr:uid="{00000000-0005-0000-0000-0000E0180000}"/>
    <cellStyle name="Normal 5 2 4 2 2 4 3 2" xfId="14489" xr:uid="{7666B3BA-3034-4504-9E17-6E27EE322093}"/>
    <cellStyle name="Normal 5 2 4 2 2 4 4" xfId="10271" xr:uid="{C7FE6C6D-45BF-4E4B-BC2B-065D9068D71C}"/>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2 2 2" xfId="17047" xr:uid="{83F218A4-A96B-4802-84E2-B827B7CA5303}"/>
    <cellStyle name="Normal 5 2 4 2 2 5 2 3" xfId="12829" xr:uid="{28C13EC6-466E-4EE9-9057-5C4893603656}"/>
    <cellStyle name="Normal 5 2 4 2 2 5 3" xfId="6460" xr:uid="{00000000-0005-0000-0000-0000E4180000}"/>
    <cellStyle name="Normal 5 2 4 2 2 5 3 2" xfId="14902" xr:uid="{286E60BC-3602-4C32-A931-16E79A11CFFA}"/>
    <cellStyle name="Normal 5 2 4 2 2 5 4" xfId="10684" xr:uid="{769EBDF0-F7DB-4DD9-B6D1-192D92EEECDF}"/>
    <cellStyle name="Normal 5 2 4 2 2 6" xfId="2589" xr:uid="{00000000-0005-0000-0000-0000E5180000}"/>
    <cellStyle name="Normal 5 2 4 2 2 6 2" xfId="6873" xr:uid="{00000000-0005-0000-0000-0000E6180000}"/>
    <cellStyle name="Normal 5 2 4 2 2 6 2 2" xfId="15315" xr:uid="{D7421F3C-EC88-46D0-AE2F-FD84305B1304}"/>
    <cellStyle name="Normal 5 2 4 2 2 6 3" xfId="11097" xr:uid="{8DDAA38E-897D-4346-94C4-E38DEB960B89}"/>
    <cellStyle name="Normal 5 2 4 2 2 7" xfId="4808" xr:uid="{00000000-0005-0000-0000-0000E7180000}"/>
    <cellStyle name="Normal 5 2 4 2 2 7 2" xfId="13250" xr:uid="{73F20DE4-2194-47DA-8F9D-6BFD98350F7C}"/>
    <cellStyle name="Normal 5 2 4 2 2 8" xfId="9032" xr:uid="{FE15F2D5-25DB-4E15-9A23-11527E858B79}"/>
    <cellStyle name="Normal 5 2 4 2 3" xfId="907" xr:uid="{00000000-0005-0000-0000-0000E8180000}"/>
    <cellStyle name="Normal 5 2 4 2 3 2" xfId="3142" xr:uid="{00000000-0005-0000-0000-0000E9180000}"/>
    <cellStyle name="Normal 5 2 4 2 3 2 2" xfId="7365" xr:uid="{00000000-0005-0000-0000-0000EA180000}"/>
    <cellStyle name="Normal 5 2 4 2 3 2 2 2" xfId="15807" xr:uid="{11F4B6A8-C97F-4D5B-B5DC-66AA766CE954}"/>
    <cellStyle name="Normal 5 2 4 2 3 2 3" xfId="11589" xr:uid="{87A16569-76D6-4333-9D54-CD2D2EA1D676}"/>
    <cellStyle name="Normal 5 2 4 2 3 3" xfId="5220" xr:uid="{00000000-0005-0000-0000-0000EB180000}"/>
    <cellStyle name="Normal 5 2 4 2 3 3 2" xfId="13662" xr:uid="{5D966A0B-2FD5-4F47-B6DD-D8C95027A92C}"/>
    <cellStyle name="Normal 5 2 4 2 3 4" xfId="9444" xr:uid="{9C5F610E-4563-4F61-9066-4ED10640DB53}"/>
    <cellStyle name="Normal 5 2 4 2 4" xfId="1325" xr:uid="{00000000-0005-0000-0000-0000EC180000}"/>
    <cellStyle name="Normal 5 2 4 2 4 2" xfId="3555" xr:uid="{00000000-0005-0000-0000-0000ED180000}"/>
    <cellStyle name="Normal 5 2 4 2 4 2 2" xfId="7778" xr:uid="{00000000-0005-0000-0000-0000EE180000}"/>
    <cellStyle name="Normal 5 2 4 2 4 2 2 2" xfId="16220" xr:uid="{24061B3B-E02D-4DF3-A9A2-52AF6D865CC6}"/>
    <cellStyle name="Normal 5 2 4 2 4 2 3" xfId="12002" xr:uid="{51675A21-DD9C-40A5-ABBA-1014CF5BCDD2}"/>
    <cellStyle name="Normal 5 2 4 2 4 3" xfId="5633" xr:uid="{00000000-0005-0000-0000-0000EF180000}"/>
    <cellStyle name="Normal 5 2 4 2 4 3 2" xfId="14075" xr:uid="{814F0142-EB8A-4EF4-94D4-D3D8269F4927}"/>
    <cellStyle name="Normal 5 2 4 2 4 4" xfId="9857" xr:uid="{1F42FEF1-AE35-4340-8CC3-94B5043E85B6}"/>
    <cellStyle name="Normal 5 2 4 2 5" xfId="1738" xr:uid="{00000000-0005-0000-0000-0000F0180000}"/>
    <cellStyle name="Normal 5 2 4 2 5 2" xfId="3968" xr:uid="{00000000-0005-0000-0000-0000F1180000}"/>
    <cellStyle name="Normal 5 2 4 2 5 2 2" xfId="8191" xr:uid="{00000000-0005-0000-0000-0000F2180000}"/>
    <cellStyle name="Normal 5 2 4 2 5 2 2 2" xfId="16633" xr:uid="{2746FA86-4B71-4BFC-AC3C-DB2616BC497A}"/>
    <cellStyle name="Normal 5 2 4 2 5 2 3" xfId="12415" xr:uid="{5AB3E8B7-549C-4B95-880E-9E72F30071A5}"/>
    <cellStyle name="Normal 5 2 4 2 5 3" xfId="6046" xr:uid="{00000000-0005-0000-0000-0000F3180000}"/>
    <cellStyle name="Normal 5 2 4 2 5 3 2" xfId="14488" xr:uid="{90865E9C-5F1B-4C29-8D53-E7F2F641D383}"/>
    <cellStyle name="Normal 5 2 4 2 5 4" xfId="10270" xr:uid="{0A5FB646-FF68-4E22-8B1F-C7A7D00CAB7D}"/>
    <cellStyle name="Normal 5 2 4 2 6" xfId="2152" xr:uid="{00000000-0005-0000-0000-0000F4180000}"/>
    <cellStyle name="Normal 5 2 4 2 6 2" xfId="4381" xr:uid="{00000000-0005-0000-0000-0000F5180000}"/>
    <cellStyle name="Normal 5 2 4 2 6 2 2" xfId="8604" xr:uid="{00000000-0005-0000-0000-0000F6180000}"/>
    <cellStyle name="Normal 5 2 4 2 6 2 2 2" xfId="17046" xr:uid="{C9E95F75-91B5-4AF9-8BC4-3EE13F9895F9}"/>
    <cellStyle name="Normal 5 2 4 2 6 2 3" xfId="12828" xr:uid="{BE5BD0EE-2C8F-4E39-86FA-0EF117295834}"/>
    <cellStyle name="Normal 5 2 4 2 6 3" xfId="6459" xr:uid="{00000000-0005-0000-0000-0000F7180000}"/>
    <cellStyle name="Normal 5 2 4 2 6 3 2" xfId="14901" xr:uid="{A3AD75E4-18CE-4470-8E45-E1562C86A1B1}"/>
    <cellStyle name="Normal 5 2 4 2 6 4" xfId="10683" xr:uid="{95D45EBC-E1AC-4C2D-9247-76FC353FD734}"/>
    <cellStyle name="Normal 5 2 4 2 7" xfId="2588" xr:uid="{00000000-0005-0000-0000-0000F8180000}"/>
    <cellStyle name="Normal 5 2 4 2 7 2" xfId="6872" xr:uid="{00000000-0005-0000-0000-0000F9180000}"/>
    <cellStyle name="Normal 5 2 4 2 7 2 2" xfId="15314" xr:uid="{59ED942F-EFF2-4707-9215-DFE4579D5EC9}"/>
    <cellStyle name="Normal 5 2 4 2 7 3" xfId="11096" xr:uid="{B3F100E5-5336-478B-A1D9-1786DBC708D0}"/>
    <cellStyle name="Normal 5 2 4 2 8" xfId="4807" xr:uid="{00000000-0005-0000-0000-0000FA180000}"/>
    <cellStyle name="Normal 5 2 4 2 8 2" xfId="13249" xr:uid="{044AF792-8194-438B-A7B2-7CA0539B2779}"/>
    <cellStyle name="Normal 5 2 4 2 9" xfId="9031" xr:uid="{2E6487F3-1CD2-4C49-9FD6-46A5C520FE2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2 2 2" xfId="15809" xr:uid="{FF38C2B4-8BB5-4CDD-8BD7-BCD21D2790F8}"/>
    <cellStyle name="Normal 5 2 4 3 2 2 3" xfId="11591" xr:uid="{5A21A0E8-ADB9-4945-8BDE-9B127277DBD1}"/>
    <cellStyle name="Normal 5 2 4 3 2 3" xfId="5222" xr:uid="{00000000-0005-0000-0000-0000FF180000}"/>
    <cellStyle name="Normal 5 2 4 3 2 3 2" xfId="13664" xr:uid="{CEC9D07D-214C-4C27-BD38-C7423F88638B}"/>
    <cellStyle name="Normal 5 2 4 3 2 4" xfId="9446" xr:uid="{82710BFA-0CC3-4A8C-9D6F-C02CF664F7B2}"/>
    <cellStyle name="Normal 5 2 4 3 3" xfId="1327" xr:uid="{00000000-0005-0000-0000-000000190000}"/>
    <cellStyle name="Normal 5 2 4 3 3 2" xfId="3557" xr:uid="{00000000-0005-0000-0000-000001190000}"/>
    <cellStyle name="Normal 5 2 4 3 3 2 2" xfId="7780" xr:uid="{00000000-0005-0000-0000-000002190000}"/>
    <cellStyle name="Normal 5 2 4 3 3 2 2 2" xfId="16222" xr:uid="{337336F9-057F-42E1-BAE3-0C74ECC91C71}"/>
    <cellStyle name="Normal 5 2 4 3 3 2 3" xfId="12004" xr:uid="{57C235F5-6B15-4605-BDD7-7F5634DF54A6}"/>
    <cellStyle name="Normal 5 2 4 3 3 3" xfId="5635" xr:uid="{00000000-0005-0000-0000-000003190000}"/>
    <cellStyle name="Normal 5 2 4 3 3 3 2" xfId="14077" xr:uid="{07A30074-2BB0-450B-BBE6-883C2B2C9C0A}"/>
    <cellStyle name="Normal 5 2 4 3 3 4" xfId="9859" xr:uid="{D144904C-74D5-4810-8D0B-6E7FEA52C18B}"/>
    <cellStyle name="Normal 5 2 4 3 4" xfId="1740" xr:uid="{00000000-0005-0000-0000-000004190000}"/>
    <cellStyle name="Normal 5 2 4 3 4 2" xfId="3970" xr:uid="{00000000-0005-0000-0000-000005190000}"/>
    <cellStyle name="Normal 5 2 4 3 4 2 2" xfId="8193" xr:uid="{00000000-0005-0000-0000-000006190000}"/>
    <cellStyle name="Normal 5 2 4 3 4 2 2 2" xfId="16635" xr:uid="{67131F42-B7B1-40F0-B949-83935E086AA9}"/>
    <cellStyle name="Normal 5 2 4 3 4 2 3" xfId="12417" xr:uid="{12AAAA00-9059-452A-B9A0-B361F4A10B50}"/>
    <cellStyle name="Normal 5 2 4 3 4 3" xfId="6048" xr:uid="{00000000-0005-0000-0000-000007190000}"/>
    <cellStyle name="Normal 5 2 4 3 4 3 2" xfId="14490" xr:uid="{4539CA5B-9949-4832-93CA-D8258963D8BA}"/>
    <cellStyle name="Normal 5 2 4 3 4 4" xfId="10272" xr:uid="{CB21E966-4398-4D3C-9DBC-871DCA3389E4}"/>
    <cellStyle name="Normal 5 2 4 3 5" xfId="2154" xr:uid="{00000000-0005-0000-0000-000008190000}"/>
    <cellStyle name="Normal 5 2 4 3 5 2" xfId="4383" xr:uid="{00000000-0005-0000-0000-000009190000}"/>
    <cellStyle name="Normal 5 2 4 3 5 2 2" xfId="8606" xr:uid="{00000000-0005-0000-0000-00000A190000}"/>
    <cellStyle name="Normal 5 2 4 3 5 2 2 2" xfId="17048" xr:uid="{C77CAF9A-85DE-4898-A80D-F53349D50990}"/>
    <cellStyle name="Normal 5 2 4 3 5 2 3" xfId="12830" xr:uid="{671CF13F-A197-4F30-8EF0-B250D74EC276}"/>
    <cellStyle name="Normal 5 2 4 3 5 3" xfId="6461" xr:uid="{00000000-0005-0000-0000-00000B190000}"/>
    <cellStyle name="Normal 5 2 4 3 5 3 2" xfId="14903" xr:uid="{AB16962A-38A0-4DE7-960A-BFB339146F9C}"/>
    <cellStyle name="Normal 5 2 4 3 5 4" xfId="10685" xr:uid="{72742C82-E5A3-459F-8725-19B8280C9245}"/>
    <cellStyle name="Normal 5 2 4 3 6" xfId="2590" xr:uid="{00000000-0005-0000-0000-00000C190000}"/>
    <cellStyle name="Normal 5 2 4 3 6 2" xfId="6874" xr:uid="{00000000-0005-0000-0000-00000D190000}"/>
    <cellStyle name="Normal 5 2 4 3 6 2 2" xfId="15316" xr:uid="{E4E45236-A99D-459C-8445-23B5DE11C6B8}"/>
    <cellStyle name="Normal 5 2 4 3 6 3" xfId="11098" xr:uid="{2ADCBE57-4F24-405E-AF79-C3C2E1797D04}"/>
    <cellStyle name="Normal 5 2 4 3 7" xfId="4809" xr:uid="{00000000-0005-0000-0000-00000E190000}"/>
    <cellStyle name="Normal 5 2 4 3 7 2" xfId="13251" xr:uid="{5FAC6BB5-4413-41CA-A584-BD66DE9BE36A}"/>
    <cellStyle name="Normal 5 2 4 3 8" xfId="9033" xr:uid="{352B19AB-0F16-4E6B-AED5-E81FA91CDADB}"/>
    <cellStyle name="Normal 5 2 4 4" xfId="906" xr:uid="{00000000-0005-0000-0000-00000F190000}"/>
    <cellStyle name="Normal 5 2 4 4 2" xfId="3141" xr:uid="{00000000-0005-0000-0000-000010190000}"/>
    <cellStyle name="Normal 5 2 4 4 2 2" xfId="7364" xr:uid="{00000000-0005-0000-0000-000011190000}"/>
    <cellStyle name="Normal 5 2 4 4 2 2 2" xfId="15806" xr:uid="{BC94C933-3A68-400B-8B3C-10477B04E9FB}"/>
    <cellStyle name="Normal 5 2 4 4 2 3" xfId="11588" xr:uid="{41260775-CE0C-405B-A11E-D14CBE3B2F13}"/>
    <cellStyle name="Normal 5 2 4 4 3" xfId="5219" xr:uid="{00000000-0005-0000-0000-000012190000}"/>
    <cellStyle name="Normal 5 2 4 4 3 2" xfId="13661" xr:uid="{41C74E5F-B607-49C7-AB7D-E382F37456E7}"/>
    <cellStyle name="Normal 5 2 4 4 4" xfId="9443" xr:uid="{2CF072B4-2F79-40A0-95B3-28EC99D04712}"/>
    <cellStyle name="Normal 5 2 4 5" xfId="1324" xr:uid="{00000000-0005-0000-0000-000013190000}"/>
    <cellStyle name="Normal 5 2 4 5 2" xfId="3554" xr:uid="{00000000-0005-0000-0000-000014190000}"/>
    <cellStyle name="Normal 5 2 4 5 2 2" xfId="7777" xr:uid="{00000000-0005-0000-0000-000015190000}"/>
    <cellStyle name="Normal 5 2 4 5 2 2 2" xfId="16219" xr:uid="{3CE1983A-F6BE-4A39-B791-A0CE2A345080}"/>
    <cellStyle name="Normal 5 2 4 5 2 3" xfId="12001" xr:uid="{ADE3F394-6ECC-4D51-BEC8-78439B9AFF4C}"/>
    <cellStyle name="Normal 5 2 4 5 3" xfId="5632" xr:uid="{00000000-0005-0000-0000-000016190000}"/>
    <cellStyle name="Normal 5 2 4 5 3 2" xfId="14074" xr:uid="{5E54ADA7-8FBA-48C8-A751-01B566BC3E26}"/>
    <cellStyle name="Normal 5 2 4 5 4" xfId="9856" xr:uid="{E3BFBBDD-2BB9-4290-A712-066363407A6E}"/>
    <cellStyle name="Normal 5 2 4 6" xfId="1737" xr:uid="{00000000-0005-0000-0000-000017190000}"/>
    <cellStyle name="Normal 5 2 4 6 2" xfId="3967" xr:uid="{00000000-0005-0000-0000-000018190000}"/>
    <cellStyle name="Normal 5 2 4 6 2 2" xfId="8190" xr:uid="{00000000-0005-0000-0000-000019190000}"/>
    <cellStyle name="Normal 5 2 4 6 2 2 2" xfId="16632" xr:uid="{85FD5B88-B5CC-4F94-A2F1-63A16B230B9E}"/>
    <cellStyle name="Normal 5 2 4 6 2 3" xfId="12414" xr:uid="{4BF5F47D-F3B0-450B-9043-5341EEDA084F}"/>
    <cellStyle name="Normal 5 2 4 6 3" xfId="6045" xr:uid="{00000000-0005-0000-0000-00001A190000}"/>
    <cellStyle name="Normal 5 2 4 6 3 2" xfId="14487" xr:uid="{A8808FEF-A89A-4C9D-8635-9BFA11D1519F}"/>
    <cellStyle name="Normal 5 2 4 6 4" xfId="10269" xr:uid="{AA61B47B-B775-4770-8DF8-38F72384A8CA}"/>
    <cellStyle name="Normal 5 2 4 7" xfId="2151" xr:uid="{00000000-0005-0000-0000-00001B190000}"/>
    <cellStyle name="Normal 5 2 4 7 2" xfId="4380" xr:uid="{00000000-0005-0000-0000-00001C190000}"/>
    <cellStyle name="Normal 5 2 4 7 2 2" xfId="8603" xr:uid="{00000000-0005-0000-0000-00001D190000}"/>
    <cellStyle name="Normal 5 2 4 7 2 2 2" xfId="17045" xr:uid="{99A119CC-A422-413E-ACA9-6D077D386340}"/>
    <cellStyle name="Normal 5 2 4 7 2 3" xfId="12827" xr:uid="{A11B0D8E-BA15-4375-98F7-C2A320B7E5C6}"/>
    <cellStyle name="Normal 5 2 4 7 3" xfId="6458" xr:uid="{00000000-0005-0000-0000-00001E190000}"/>
    <cellStyle name="Normal 5 2 4 7 3 2" xfId="14900" xr:uid="{2946D22F-617C-4727-BFF5-91E7ECB25178}"/>
    <cellStyle name="Normal 5 2 4 7 4" xfId="10682" xr:uid="{66F3E18C-5D66-4F5A-B9A7-B744A644F511}"/>
    <cellStyle name="Normal 5 2 4 8" xfId="2587" xr:uid="{00000000-0005-0000-0000-00001F190000}"/>
    <cellStyle name="Normal 5 2 4 8 2" xfId="6871" xr:uid="{00000000-0005-0000-0000-000020190000}"/>
    <cellStyle name="Normal 5 2 4 8 2 2" xfId="15313" xr:uid="{75ADCAF2-BA71-4222-9599-8EB44E042D90}"/>
    <cellStyle name="Normal 5 2 4 8 3" xfId="11095" xr:uid="{9E04DC8C-DCF7-4540-91E8-B0B0D085B73A}"/>
    <cellStyle name="Normal 5 2 4 9" xfId="4806" xr:uid="{00000000-0005-0000-0000-000021190000}"/>
    <cellStyle name="Normal 5 2 4 9 2" xfId="13248" xr:uid="{47AC75EF-3A09-4114-AF84-F30469BA6BC4}"/>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2 2 2" xfId="15811" xr:uid="{C5C4E428-4F41-4540-A825-0C56586CF207}"/>
    <cellStyle name="Normal 5 2 5 2 2 2 3" xfId="11593" xr:uid="{76F8FBDB-0678-4BD6-9E9A-E4E55974AF76}"/>
    <cellStyle name="Normal 5 2 5 2 2 3" xfId="5224" xr:uid="{00000000-0005-0000-0000-000027190000}"/>
    <cellStyle name="Normal 5 2 5 2 2 3 2" xfId="13666" xr:uid="{478DAAD6-483D-4ED5-9EE4-184C66BF8867}"/>
    <cellStyle name="Normal 5 2 5 2 2 4" xfId="9448" xr:uid="{5812DE68-5718-4407-8B99-F26E298FD31D}"/>
    <cellStyle name="Normal 5 2 5 2 3" xfId="1329" xr:uid="{00000000-0005-0000-0000-000028190000}"/>
    <cellStyle name="Normal 5 2 5 2 3 2" xfId="3559" xr:uid="{00000000-0005-0000-0000-000029190000}"/>
    <cellStyle name="Normal 5 2 5 2 3 2 2" xfId="7782" xr:uid="{00000000-0005-0000-0000-00002A190000}"/>
    <cellStyle name="Normal 5 2 5 2 3 2 2 2" xfId="16224" xr:uid="{A5305412-0D82-4232-8554-C719DBCB3147}"/>
    <cellStyle name="Normal 5 2 5 2 3 2 3" xfId="12006" xr:uid="{ADDB7EBC-0DD2-40DA-8E0B-B29BAB3399F1}"/>
    <cellStyle name="Normal 5 2 5 2 3 3" xfId="5637" xr:uid="{00000000-0005-0000-0000-00002B190000}"/>
    <cellStyle name="Normal 5 2 5 2 3 3 2" xfId="14079" xr:uid="{26AF4145-5082-45E0-ACA4-E36237D1E3DF}"/>
    <cellStyle name="Normal 5 2 5 2 3 4" xfId="9861" xr:uid="{CFD47499-4200-47C0-81EA-0DF6496B3F49}"/>
    <cellStyle name="Normal 5 2 5 2 4" xfId="1742" xr:uid="{00000000-0005-0000-0000-00002C190000}"/>
    <cellStyle name="Normal 5 2 5 2 4 2" xfId="3972" xr:uid="{00000000-0005-0000-0000-00002D190000}"/>
    <cellStyle name="Normal 5 2 5 2 4 2 2" xfId="8195" xr:uid="{00000000-0005-0000-0000-00002E190000}"/>
    <cellStyle name="Normal 5 2 5 2 4 2 2 2" xfId="16637" xr:uid="{C4D24E59-37CD-4819-87F5-1926CFB7C082}"/>
    <cellStyle name="Normal 5 2 5 2 4 2 3" xfId="12419" xr:uid="{5BC0641F-0BEF-4C2E-87C3-E7DC47149D05}"/>
    <cellStyle name="Normal 5 2 5 2 4 3" xfId="6050" xr:uid="{00000000-0005-0000-0000-00002F190000}"/>
    <cellStyle name="Normal 5 2 5 2 4 3 2" xfId="14492" xr:uid="{E707F355-BC40-4C4F-9008-DDD172947E3C}"/>
    <cellStyle name="Normal 5 2 5 2 4 4" xfId="10274" xr:uid="{0419DEDB-B818-4FF6-BE52-5009CD5AF063}"/>
    <cellStyle name="Normal 5 2 5 2 5" xfId="2156" xr:uid="{00000000-0005-0000-0000-000030190000}"/>
    <cellStyle name="Normal 5 2 5 2 5 2" xfId="4385" xr:uid="{00000000-0005-0000-0000-000031190000}"/>
    <cellStyle name="Normal 5 2 5 2 5 2 2" xfId="8608" xr:uid="{00000000-0005-0000-0000-000032190000}"/>
    <cellStyle name="Normal 5 2 5 2 5 2 2 2" xfId="17050" xr:uid="{E2F7041B-49DB-43FC-BF66-89F9614C7A96}"/>
    <cellStyle name="Normal 5 2 5 2 5 2 3" xfId="12832" xr:uid="{8875D12C-A5C3-4DBB-9900-8D677A3A0346}"/>
    <cellStyle name="Normal 5 2 5 2 5 3" xfId="6463" xr:uid="{00000000-0005-0000-0000-000033190000}"/>
    <cellStyle name="Normal 5 2 5 2 5 3 2" xfId="14905" xr:uid="{EC92A3EB-5A26-4C4C-B782-C3DBB5BCBC35}"/>
    <cellStyle name="Normal 5 2 5 2 5 4" xfId="10687" xr:uid="{DE5CB23C-1BEE-4213-9D91-D2F8462D2D55}"/>
    <cellStyle name="Normal 5 2 5 2 6" xfId="2592" xr:uid="{00000000-0005-0000-0000-000034190000}"/>
    <cellStyle name="Normal 5 2 5 2 6 2" xfId="6876" xr:uid="{00000000-0005-0000-0000-000035190000}"/>
    <cellStyle name="Normal 5 2 5 2 6 2 2" xfId="15318" xr:uid="{DA7A65BB-A10D-44C0-A36D-D4D9F1B1AE39}"/>
    <cellStyle name="Normal 5 2 5 2 6 3" xfId="11100" xr:uid="{6767E907-0942-4DB9-BB8D-B48B88B0DE8C}"/>
    <cellStyle name="Normal 5 2 5 2 7" xfId="4811" xr:uid="{00000000-0005-0000-0000-000036190000}"/>
    <cellStyle name="Normal 5 2 5 2 7 2" xfId="13253" xr:uid="{AB247C26-2088-40FE-A74A-2D269EBEDB84}"/>
    <cellStyle name="Normal 5 2 5 2 8" xfId="9035" xr:uid="{909A8FE4-3FE1-4F78-90CF-75A076595C6A}"/>
    <cellStyle name="Normal 5 2 5 3" xfId="910" xr:uid="{00000000-0005-0000-0000-000037190000}"/>
    <cellStyle name="Normal 5 2 5 3 2" xfId="3145" xr:uid="{00000000-0005-0000-0000-000038190000}"/>
    <cellStyle name="Normal 5 2 5 3 2 2" xfId="7368" xr:uid="{00000000-0005-0000-0000-000039190000}"/>
    <cellStyle name="Normal 5 2 5 3 2 2 2" xfId="15810" xr:uid="{8A13C9F5-FA76-43D6-814F-E3837090713E}"/>
    <cellStyle name="Normal 5 2 5 3 2 3" xfId="11592" xr:uid="{A9D37736-5B54-4DEE-AB34-EAF1FC1BCE23}"/>
    <cellStyle name="Normal 5 2 5 3 3" xfId="5223" xr:uid="{00000000-0005-0000-0000-00003A190000}"/>
    <cellStyle name="Normal 5 2 5 3 3 2" xfId="13665" xr:uid="{B4FB5B79-5133-4140-AACA-9468FB79D6A1}"/>
    <cellStyle name="Normal 5 2 5 3 4" xfId="9447" xr:uid="{968E0C03-A421-4396-8461-02708B09031F}"/>
    <cellStyle name="Normal 5 2 5 4" xfId="1328" xr:uid="{00000000-0005-0000-0000-00003B190000}"/>
    <cellStyle name="Normal 5 2 5 4 2" xfId="3558" xr:uid="{00000000-0005-0000-0000-00003C190000}"/>
    <cellStyle name="Normal 5 2 5 4 2 2" xfId="7781" xr:uid="{00000000-0005-0000-0000-00003D190000}"/>
    <cellStyle name="Normal 5 2 5 4 2 2 2" xfId="16223" xr:uid="{BD8F5030-0CAA-416B-8683-D1CCAB04D31C}"/>
    <cellStyle name="Normal 5 2 5 4 2 3" xfId="12005" xr:uid="{FED9B4B3-1FEC-4DD0-888A-A83759A058F3}"/>
    <cellStyle name="Normal 5 2 5 4 3" xfId="5636" xr:uid="{00000000-0005-0000-0000-00003E190000}"/>
    <cellStyle name="Normal 5 2 5 4 3 2" xfId="14078" xr:uid="{E985023C-FE2D-4E51-947A-079CCEB0CE4F}"/>
    <cellStyle name="Normal 5 2 5 4 4" xfId="9860" xr:uid="{C2F9641D-B273-4B9E-95B4-26B7124984BE}"/>
    <cellStyle name="Normal 5 2 5 5" xfId="1741" xr:uid="{00000000-0005-0000-0000-00003F190000}"/>
    <cellStyle name="Normal 5 2 5 5 2" xfId="3971" xr:uid="{00000000-0005-0000-0000-000040190000}"/>
    <cellStyle name="Normal 5 2 5 5 2 2" xfId="8194" xr:uid="{00000000-0005-0000-0000-000041190000}"/>
    <cellStyle name="Normal 5 2 5 5 2 2 2" xfId="16636" xr:uid="{5744FE14-359A-4DEA-907A-77B7D83E03B6}"/>
    <cellStyle name="Normal 5 2 5 5 2 3" xfId="12418" xr:uid="{8F83FD02-DD7D-4B6F-B79E-E03F3B39089A}"/>
    <cellStyle name="Normal 5 2 5 5 3" xfId="6049" xr:uid="{00000000-0005-0000-0000-000042190000}"/>
    <cellStyle name="Normal 5 2 5 5 3 2" xfId="14491" xr:uid="{ACC6A305-8DB9-4CAB-AF46-E166D0D7BC8E}"/>
    <cellStyle name="Normal 5 2 5 5 4" xfId="10273" xr:uid="{BBDFCF16-555B-4ECF-AD61-30A49166C8CE}"/>
    <cellStyle name="Normal 5 2 5 6" xfId="2155" xr:uid="{00000000-0005-0000-0000-000043190000}"/>
    <cellStyle name="Normal 5 2 5 6 2" xfId="4384" xr:uid="{00000000-0005-0000-0000-000044190000}"/>
    <cellStyle name="Normal 5 2 5 6 2 2" xfId="8607" xr:uid="{00000000-0005-0000-0000-000045190000}"/>
    <cellStyle name="Normal 5 2 5 6 2 2 2" xfId="17049" xr:uid="{9B86832F-412C-4C48-A726-B1340C14A2B9}"/>
    <cellStyle name="Normal 5 2 5 6 2 3" xfId="12831" xr:uid="{C0BCE0A7-0532-40B0-AAE9-6EDC47FC55A4}"/>
    <cellStyle name="Normal 5 2 5 6 3" xfId="6462" xr:uid="{00000000-0005-0000-0000-000046190000}"/>
    <cellStyle name="Normal 5 2 5 6 3 2" xfId="14904" xr:uid="{12424F26-1765-4504-8757-15690D0F8D35}"/>
    <cellStyle name="Normal 5 2 5 6 4" xfId="10686" xr:uid="{67BE207F-C064-42B6-8428-479221208CED}"/>
    <cellStyle name="Normal 5 2 5 7" xfId="2591" xr:uid="{00000000-0005-0000-0000-000047190000}"/>
    <cellStyle name="Normal 5 2 5 7 2" xfId="6875" xr:uid="{00000000-0005-0000-0000-000048190000}"/>
    <cellStyle name="Normal 5 2 5 7 2 2" xfId="15317" xr:uid="{589B793A-3A1E-47D4-B903-5B40755679B0}"/>
    <cellStyle name="Normal 5 2 5 7 3" xfId="11099" xr:uid="{EAC013EB-85ED-4C8B-92E5-A77214620F71}"/>
    <cellStyle name="Normal 5 2 5 8" xfId="4810" xr:uid="{00000000-0005-0000-0000-000049190000}"/>
    <cellStyle name="Normal 5 2 5 8 2" xfId="13252" xr:uid="{59ED8663-8083-4203-8F54-CB8FAC13F729}"/>
    <cellStyle name="Normal 5 2 5 9" xfId="9034" xr:uid="{D2846EF1-7CC8-4683-AAFD-3586D08EB2FC}"/>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2 2 2" xfId="15812" xr:uid="{EE929BB8-945A-479A-90DB-8C0DBB015C5B}"/>
    <cellStyle name="Normal 5 2 6 2 2 3" xfId="11594" xr:uid="{2A936410-70E8-4ED1-9BCD-6702B013D048}"/>
    <cellStyle name="Normal 5 2 6 2 3" xfId="5225" xr:uid="{00000000-0005-0000-0000-00004E190000}"/>
    <cellStyle name="Normal 5 2 6 2 3 2" xfId="13667" xr:uid="{57846D4D-86FF-4760-8875-F90E2106D1BA}"/>
    <cellStyle name="Normal 5 2 6 2 4" xfId="9449" xr:uid="{7CB2ADDD-BBAE-45E6-A355-CB7F73BB1B14}"/>
    <cellStyle name="Normal 5 2 6 3" xfId="1330" xr:uid="{00000000-0005-0000-0000-00004F190000}"/>
    <cellStyle name="Normal 5 2 6 3 2" xfId="3560" xr:uid="{00000000-0005-0000-0000-000050190000}"/>
    <cellStyle name="Normal 5 2 6 3 2 2" xfId="7783" xr:uid="{00000000-0005-0000-0000-000051190000}"/>
    <cellStyle name="Normal 5 2 6 3 2 2 2" xfId="16225" xr:uid="{A9ED5114-2F09-4E10-B201-9C2B4976CAA1}"/>
    <cellStyle name="Normal 5 2 6 3 2 3" xfId="12007" xr:uid="{FE744FC1-D653-47F6-AA24-3052B7CA70D5}"/>
    <cellStyle name="Normal 5 2 6 3 3" xfId="5638" xr:uid="{00000000-0005-0000-0000-000052190000}"/>
    <cellStyle name="Normal 5 2 6 3 3 2" xfId="14080" xr:uid="{A2EF3C8D-5E7F-4FFC-9429-C49431AC1336}"/>
    <cellStyle name="Normal 5 2 6 3 4" xfId="9862" xr:uid="{B2320DE9-5CB6-4EAD-B8E3-A9AA88355108}"/>
    <cellStyle name="Normal 5 2 6 4" xfId="1743" xr:uid="{00000000-0005-0000-0000-000053190000}"/>
    <cellStyle name="Normal 5 2 6 4 2" xfId="3973" xr:uid="{00000000-0005-0000-0000-000054190000}"/>
    <cellStyle name="Normal 5 2 6 4 2 2" xfId="8196" xr:uid="{00000000-0005-0000-0000-000055190000}"/>
    <cellStyle name="Normal 5 2 6 4 2 2 2" xfId="16638" xr:uid="{E4FEBFF4-5235-45C3-B90C-AD9EB40790CF}"/>
    <cellStyle name="Normal 5 2 6 4 2 3" xfId="12420" xr:uid="{DA41A363-D77D-45E0-9244-F27B8B9EF1E4}"/>
    <cellStyle name="Normal 5 2 6 4 3" xfId="6051" xr:uid="{00000000-0005-0000-0000-000056190000}"/>
    <cellStyle name="Normal 5 2 6 4 3 2" xfId="14493" xr:uid="{D97AE8AD-D3B5-4A2A-9D2D-815313066475}"/>
    <cellStyle name="Normal 5 2 6 4 4" xfId="10275" xr:uid="{C56A7A6F-4EBB-45A1-8355-89B5A6970DA4}"/>
    <cellStyle name="Normal 5 2 6 5" xfId="2157" xr:uid="{00000000-0005-0000-0000-000057190000}"/>
    <cellStyle name="Normal 5 2 6 5 2" xfId="4386" xr:uid="{00000000-0005-0000-0000-000058190000}"/>
    <cellStyle name="Normal 5 2 6 5 2 2" xfId="8609" xr:uid="{00000000-0005-0000-0000-000059190000}"/>
    <cellStyle name="Normal 5 2 6 5 2 2 2" xfId="17051" xr:uid="{8F3286EA-3C69-4D98-B4AD-0F2FB75510CF}"/>
    <cellStyle name="Normal 5 2 6 5 2 3" xfId="12833" xr:uid="{C5513D4C-BBDB-44D5-9FDF-D5B939012C82}"/>
    <cellStyle name="Normal 5 2 6 5 3" xfId="6464" xr:uid="{00000000-0005-0000-0000-00005A190000}"/>
    <cellStyle name="Normal 5 2 6 5 3 2" xfId="14906" xr:uid="{839D1D67-315F-4EAF-8073-FAACB7CDD1ED}"/>
    <cellStyle name="Normal 5 2 6 5 4" xfId="10688" xr:uid="{0578E94B-8D0B-4F82-B3A0-142BEDDFE43E}"/>
    <cellStyle name="Normal 5 2 6 6" xfId="2593" xr:uid="{00000000-0005-0000-0000-00005B190000}"/>
    <cellStyle name="Normal 5 2 6 6 2" xfId="6877" xr:uid="{00000000-0005-0000-0000-00005C190000}"/>
    <cellStyle name="Normal 5 2 6 6 2 2" xfId="15319" xr:uid="{7048E46C-4D94-4A19-8E3F-9B387F01B7E7}"/>
    <cellStyle name="Normal 5 2 6 6 3" xfId="11101" xr:uid="{D431F5E9-61C7-42C5-BF2F-EBEFC8AC4FA4}"/>
    <cellStyle name="Normal 5 2 6 7" xfId="4812" xr:uid="{00000000-0005-0000-0000-00005D190000}"/>
    <cellStyle name="Normal 5 2 6 7 2" xfId="13254" xr:uid="{9645109A-4715-4F69-B18B-A2B747306238}"/>
    <cellStyle name="Normal 5 2 6 8" xfId="9036" xr:uid="{5F060239-31A5-44DA-834A-5DB76A6DA698}"/>
    <cellStyle name="Normal 5 2 7" xfId="881" xr:uid="{00000000-0005-0000-0000-00005E190000}"/>
    <cellStyle name="Normal 5 2 7 2" xfId="3116" xr:uid="{00000000-0005-0000-0000-00005F190000}"/>
    <cellStyle name="Normal 5 2 7 2 2" xfId="7339" xr:uid="{00000000-0005-0000-0000-000060190000}"/>
    <cellStyle name="Normal 5 2 7 2 2 2" xfId="15781" xr:uid="{9BFEFB01-B727-4220-81A4-E05EE09F71ED}"/>
    <cellStyle name="Normal 5 2 7 2 3" xfId="11563" xr:uid="{AAA90D2F-4A8F-4FAD-8B1C-C7D8CEAA0595}"/>
    <cellStyle name="Normal 5 2 7 3" xfId="5194" xr:uid="{00000000-0005-0000-0000-000061190000}"/>
    <cellStyle name="Normal 5 2 7 3 2" xfId="13636" xr:uid="{2EE0213F-9B28-4426-81A7-81205499D578}"/>
    <cellStyle name="Normal 5 2 7 4" xfId="9418" xr:uid="{A3A67C03-0B8A-4116-AD5D-9FD4F554DDAA}"/>
    <cellStyle name="Normal 5 2 8" xfId="1299" xr:uid="{00000000-0005-0000-0000-000062190000}"/>
    <cellStyle name="Normal 5 2 8 2" xfId="3529" xr:uid="{00000000-0005-0000-0000-000063190000}"/>
    <cellStyle name="Normal 5 2 8 2 2" xfId="7752" xr:uid="{00000000-0005-0000-0000-000064190000}"/>
    <cellStyle name="Normal 5 2 8 2 2 2" xfId="16194" xr:uid="{E234D1E3-83CE-4B2C-B73B-6C577FD40281}"/>
    <cellStyle name="Normal 5 2 8 2 3" xfId="11976" xr:uid="{5060F54E-513C-4FF7-B1F0-21FC64626CC8}"/>
    <cellStyle name="Normal 5 2 8 3" xfId="5607" xr:uid="{00000000-0005-0000-0000-000065190000}"/>
    <cellStyle name="Normal 5 2 8 3 2" xfId="14049" xr:uid="{930DCFA7-532E-491B-919A-53C03958BB0E}"/>
    <cellStyle name="Normal 5 2 8 4" xfId="9831" xr:uid="{33EE4898-530B-4D9E-9DF9-FA6A1F74D105}"/>
    <cellStyle name="Normal 5 2 9" xfId="1712" xr:uid="{00000000-0005-0000-0000-000066190000}"/>
    <cellStyle name="Normal 5 2 9 2" xfId="3942" xr:uid="{00000000-0005-0000-0000-000067190000}"/>
    <cellStyle name="Normal 5 2 9 2 2" xfId="8165" xr:uid="{00000000-0005-0000-0000-000068190000}"/>
    <cellStyle name="Normal 5 2 9 2 2 2" xfId="16607" xr:uid="{762CD8FB-BF2C-4044-8749-6124E921174F}"/>
    <cellStyle name="Normal 5 2 9 2 3" xfId="12389" xr:uid="{407553A2-E8E4-4EBA-A524-D2CE14D4C616}"/>
    <cellStyle name="Normal 5 2 9 3" xfId="6020" xr:uid="{00000000-0005-0000-0000-000069190000}"/>
    <cellStyle name="Normal 5 2 9 3 2" xfId="14462" xr:uid="{6EFB629B-C67B-4AD3-AC26-B64E4652E1BF}"/>
    <cellStyle name="Normal 5 2 9 4" xfId="10244" xr:uid="{D5C0D32C-247F-4F22-A07E-23DB828AA0C9}"/>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2 2 2" xfId="17052" xr:uid="{C1A8A6EF-9382-4EA1-A962-6AC2F283D05F}"/>
    <cellStyle name="Normal 5 3 10 2 3" xfId="12834" xr:uid="{45EF71DC-C310-4FC9-A86D-6A36662ACB50}"/>
    <cellStyle name="Normal 5 3 10 3" xfId="6465" xr:uid="{00000000-0005-0000-0000-00006E190000}"/>
    <cellStyle name="Normal 5 3 10 3 2" xfId="14907" xr:uid="{AF66D72A-E1D3-47B6-9D66-7B8AC281582E}"/>
    <cellStyle name="Normal 5 3 10 4" xfId="10689" xr:uid="{55E6940B-4848-41C6-9EAA-51B1608D3EE3}"/>
    <cellStyle name="Normal 5 3 11" xfId="2594" xr:uid="{00000000-0005-0000-0000-00006F190000}"/>
    <cellStyle name="Normal 5 3 11 2" xfId="6878" xr:uid="{00000000-0005-0000-0000-000070190000}"/>
    <cellStyle name="Normal 5 3 11 2 2" xfId="15320" xr:uid="{5C2ACBE9-BD6B-46C9-A749-76D8EC49E279}"/>
    <cellStyle name="Normal 5 3 11 3" xfId="11102" xr:uid="{7F959FE6-DD63-4D6C-9E01-D622BCC7E5E5}"/>
    <cellStyle name="Normal 5 3 12" xfId="4813" xr:uid="{00000000-0005-0000-0000-000071190000}"/>
    <cellStyle name="Normal 5 3 12 2" xfId="13255" xr:uid="{C95DDF07-8436-47FC-BA17-D0B9CE5F4506}"/>
    <cellStyle name="Normal 5 3 13" xfId="9037" xr:uid="{34009930-8F7C-4DED-BC85-0BDF73B653EA}"/>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10 2" xfId="13256" xr:uid="{F78566EA-BB99-4F9F-B5E5-7C9703C131F7}"/>
    <cellStyle name="Normal 5 3 3 11" xfId="9038" xr:uid="{01C90E15-DD05-452B-9547-954038BD0055}"/>
    <cellStyle name="Normal 5 3 3 2" xfId="442" xr:uid="{00000000-0005-0000-0000-000076190000}"/>
    <cellStyle name="Normal 5 3 3 2 10" xfId="9039" xr:uid="{32C61321-22FF-4B40-9F7D-658E03123CBB}"/>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2 2 2" xfId="15817" xr:uid="{2766CE5D-9BF2-43E9-A5E4-83F0D6875FD9}"/>
    <cellStyle name="Normal 5 3 3 2 2 2 2 2 3" xfId="11599" xr:uid="{F386C9BB-2F7A-4AD1-B8F5-6407E38F47DA}"/>
    <cellStyle name="Normal 5 3 3 2 2 2 2 3" xfId="5230" xr:uid="{00000000-0005-0000-0000-00007C190000}"/>
    <cellStyle name="Normal 5 3 3 2 2 2 2 3 2" xfId="13672" xr:uid="{09F7ECAA-515E-4F2E-B6C6-FA6A309D80FD}"/>
    <cellStyle name="Normal 5 3 3 2 2 2 2 4" xfId="9454" xr:uid="{BFA2ACA9-BAE7-4639-923A-86258BFEB1AA}"/>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2 2 2" xfId="16230" xr:uid="{03CD83D4-1513-4228-80F9-39B3B88FC91C}"/>
    <cellStyle name="Normal 5 3 3 2 2 2 3 2 3" xfId="12012" xr:uid="{4FA08158-71C5-4F03-A121-F7741820922E}"/>
    <cellStyle name="Normal 5 3 3 2 2 2 3 3" xfId="5643" xr:uid="{00000000-0005-0000-0000-000080190000}"/>
    <cellStyle name="Normal 5 3 3 2 2 2 3 3 2" xfId="14085" xr:uid="{E22CD8B9-1529-4807-B212-11C4773FAA43}"/>
    <cellStyle name="Normal 5 3 3 2 2 2 3 4" xfId="9867" xr:uid="{8E28E602-A82E-4B5A-AEA2-18B0D2C9699B}"/>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2 2 2" xfId="16643" xr:uid="{4AD2ED63-D97B-4653-9A51-82EC326F9A41}"/>
    <cellStyle name="Normal 5 3 3 2 2 2 4 2 3" xfId="12425" xr:uid="{45574EC9-EF64-49DA-B19E-76D3C81CF76F}"/>
    <cellStyle name="Normal 5 3 3 2 2 2 4 3" xfId="6056" xr:uid="{00000000-0005-0000-0000-000084190000}"/>
    <cellStyle name="Normal 5 3 3 2 2 2 4 3 2" xfId="14498" xr:uid="{A4B50DBD-9C33-4B7A-86C4-DDA7229A0573}"/>
    <cellStyle name="Normal 5 3 3 2 2 2 4 4" xfId="10280" xr:uid="{0CD7FEDE-49C9-4073-A443-C5A5A3873491}"/>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2 2 2" xfId="17056" xr:uid="{62A676E2-85E8-462A-8485-EA5A13911DAB}"/>
    <cellStyle name="Normal 5 3 3 2 2 2 5 2 3" xfId="12838" xr:uid="{90B9B69E-B4D8-4996-9D88-8BF7715F19E9}"/>
    <cellStyle name="Normal 5 3 3 2 2 2 5 3" xfId="6469" xr:uid="{00000000-0005-0000-0000-000088190000}"/>
    <cellStyle name="Normal 5 3 3 2 2 2 5 3 2" xfId="14911" xr:uid="{BE0EA832-C105-44C8-AC78-320D6016E53E}"/>
    <cellStyle name="Normal 5 3 3 2 2 2 5 4" xfId="10693" xr:uid="{ECFB1D65-8225-4C41-91A0-7D8EBAA12C6C}"/>
    <cellStyle name="Normal 5 3 3 2 2 2 6" xfId="2598" xr:uid="{00000000-0005-0000-0000-000089190000}"/>
    <cellStyle name="Normal 5 3 3 2 2 2 6 2" xfId="6882" xr:uid="{00000000-0005-0000-0000-00008A190000}"/>
    <cellStyle name="Normal 5 3 3 2 2 2 6 2 2" xfId="15324" xr:uid="{257F8888-4894-45E8-AC6B-84369AF5EB5F}"/>
    <cellStyle name="Normal 5 3 3 2 2 2 6 3" xfId="11106" xr:uid="{B2D65334-D300-4C9A-9A7B-3768A17B2367}"/>
    <cellStyle name="Normal 5 3 3 2 2 2 7" xfId="4817" xr:uid="{00000000-0005-0000-0000-00008B190000}"/>
    <cellStyle name="Normal 5 3 3 2 2 2 7 2" xfId="13259" xr:uid="{0EBE57B8-9B08-4898-8634-10B71751045A}"/>
    <cellStyle name="Normal 5 3 3 2 2 2 8" xfId="9041" xr:uid="{336DA1CF-C94C-4332-871E-C8C4B0F99583}"/>
    <cellStyle name="Normal 5 3 3 2 2 3" xfId="917" xr:uid="{00000000-0005-0000-0000-00008C190000}"/>
    <cellStyle name="Normal 5 3 3 2 2 3 2" xfId="3151" xr:uid="{00000000-0005-0000-0000-00008D190000}"/>
    <cellStyle name="Normal 5 3 3 2 2 3 2 2" xfId="7374" xr:uid="{00000000-0005-0000-0000-00008E190000}"/>
    <cellStyle name="Normal 5 3 3 2 2 3 2 2 2" xfId="15816" xr:uid="{D6EBE769-E139-41E0-99AC-F81E38DB721E}"/>
    <cellStyle name="Normal 5 3 3 2 2 3 2 3" xfId="11598" xr:uid="{20F5214B-4237-46B2-AE4C-B6BE0DBEE3C0}"/>
    <cellStyle name="Normal 5 3 3 2 2 3 3" xfId="5229" xr:uid="{00000000-0005-0000-0000-00008F190000}"/>
    <cellStyle name="Normal 5 3 3 2 2 3 3 2" xfId="13671" xr:uid="{994D27F3-63FB-4F44-B6B9-52719B3614DA}"/>
    <cellStyle name="Normal 5 3 3 2 2 3 4" xfId="9453" xr:uid="{B3FBB557-FA3C-4149-8202-394494B32A6C}"/>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2 2 2" xfId="16229" xr:uid="{DD8E73A4-364E-4070-BDE2-9BA83E26C6DC}"/>
    <cellStyle name="Normal 5 3 3 2 2 4 2 3" xfId="12011" xr:uid="{573A68CF-2E37-4396-80AA-E24C77400F92}"/>
    <cellStyle name="Normal 5 3 3 2 2 4 3" xfId="5642" xr:uid="{00000000-0005-0000-0000-000093190000}"/>
    <cellStyle name="Normal 5 3 3 2 2 4 3 2" xfId="14084" xr:uid="{814B9651-15B9-410D-896A-4391CE1E2E7F}"/>
    <cellStyle name="Normal 5 3 3 2 2 4 4" xfId="9866" xr:uid="{A453D5A6-646F-4F38-8045-E11CC394D17B}"/>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2 2 2" xfId="16642" xr:uid="{B0DA2CE1-EBA0-4BA8-A3AB-A8155570F8A0}"/>
    <cellStyle name="Normal 5 3 3 2 2 5 2 3" xfId="12424" xr:uid="{3EC940DA-A2D2-4789-A087-D2B3542683C8}"/>
    <cellStyle name="Normal 5 3 3 2 2 5 3" xfId="6055" xr:uid="{00000000-0005-0000-0000-000097190000}"/>
    <cellStyle name="Normal 5 3 3 2 2 5 3 2" xfId="14497" xr:uid="{C3DFC0AA-43D5-44C1-8854-75BC394F486C}"/>
    <cellStyle name="Normal 5 3 3 2 2 5 4" xfId="10279" xr:uid="{A865C954-5A18-4BCE-81A2-79F7CF74A684}"/>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2 2 2" xfId="17055" xr:uid="{8E1812DF-538D-407B-85CD-4DE9F4E26449}"/>
    <cellStyle name="Normal 5 3 3 2 2 6 2 3" xfId="12837" xr:uid="{3BD19553-108F-4B16-B805-CB5C051C28A6}"/>
    <cellStyle name="Normal 5 3 3 2 2 6 3" xfId="6468" xr:uid="{00000000-0005-0000-0000-00009B190000}"/>
    <cellStyle name="Normal 5 3 3 2 2 6 3 2" xfId="14910" xr:uid="{1AC61A0E-5D3D-4678-8136-2172C1491784}"/>
    <cellStyle name="Normal 5 3 3 2 2 6 4" xfId="10692" xr:uid="{719F6583-2295-4849-A4D5-1B6DAEEFEB41}"/>
    <cellStyle name="Normal 5 3 3 2 2 7" xfId="2597" xr:uid="{00000000-0005-0000-0000-00009C190000}"/>
    <cellStyle name="Normal 5 3 3 2 2 7 2" xfId="6881" xr:uid="{00000000-0005-0000-0000-00009D190000}"/>
    <cellStyle name="Normal 5 3 3 2 2 7 2 2" xfId="15323" xr:uid="{9DB8A2FF-088C-41B4-B36B-54C21D3118B9}"/>
    <cellStyle name="Normal 5 3 3 2 2 7 3" xfId="11105" xr:uid="{3D603969-E317-4819-8598-90DB2209FB21}"/>
    <cellStyle name="Normal 5 3 3 2 2 8" xfId="4816" xr:uid="{00000000-0005-0000-0000-00009E190000}"/>
    <cellStyle name="Normal 5 3 3 2 2 8 2" xfId="13258" xr:uid="{55921DB6-D68D-4554-B601-4CA1CC6C9373}"/>
    <cellStyle name="Normal 5 3 3 2 2 9" xfId="9040" xr:uid="{1FA5223E-B446-4A8F-8387-9BE7BB2EAED8}"/>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2 2 2" xfId="15818" xr:uid="{FF2EAC50-1455-4390-A286-7D8E7F7795DB}"/>
    <cellStyle name="Normal 5 3 3 2 3 2 2 3" xfId="11600" xr:uid="{AB0BD45A-4C57-43A4-99C6-82FF72D28420}"/>
    <cellStyle name="Normal 5 3 3 2 3 2 3" xfId="5231" xr:uid="{00000000-0005-0000-0000-0000A3190000}"/>
    <cellStyle name="Normal 5 3 3 2 3 2 3 2" xfId="13673" xr:uid="{DCC41E47-D7B6-4D75-B1E3-EC079337FCA4}"/>
    <cellStyle name="Normal 5 3 3 2 3 2 4" xfId="9455" xr:uid="{A8904D41-A183-4A6B-B8FA-51E2D1264C19}"/>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2 2 2" xfId="16231" xr:uid="{AE192AF3-6450-46D0-93C8-DFBF151BE135}"/>
    <cellStyle name="Normal 5 3 3 2 3 3 2 3" xfId="12013" xr:uid="{0CA31CC6-379C-48B8-A15C-76853C9066C9}"/>
    <cellStyle name="Normal 5 3 3 2 3 3 3" xfId="5644" xr:uid="{00000000-0005-0000-0000-0000A7190000}"/>
    <cellStyle name="Normal 5 3 3 2 3 3 3 2" xfId="14086" xr:uid="{573E173F-6068-433D-9466-756CE56B4C5E}"/>
    <cellStyle name="Normal 5 3 3 2 3 3 4" xfId="9868" xr:uid="{5624CC2C-4C34-4A6D-BEFC-16A8111E067F}"/>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2 2 2" xfId="16644" xr:uid="{69680074-A786-4FFA-A562-B1AD2D2C70AE}"/>
    <cellStyle name="Normal 5 3 3 2 3 4 2 3" xfId="12426" xr:uid="{20F808B2-C18C-44A6-9E85-1A26B309A88B}"/>
    <cellStyle name="Normal 5 3 3 2 3 4 3" xfId="6057" xr:uid="{00000000-0005-0000-0000-0000AB190000}"/>
    <cellStyle name="Normal 5 3 3 2 3 4 3 2" xfId="14499" xr:uid="{B8481CCA-308A-419D-80E7-8239A9D60B41}"/>
    <cellStyle name="Normal 5 3 3 2 3 4 4" xfId="10281" xr:uid="{91D3DC20-E937-4A52-873B-91EDCBCD1FEC}"/>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2 2 2" xfId="17057" xr:uid="{8DA896DA-2783-4E28-879E-C4892BBFFBF3}"/>
    <cellStyle name="Normal 5 3 3 2 3 5 2 3" xfId="12839" xr:uid="{3176F6BE-B3CD-4258-ADD0-9EA9B8483BAD}"/>
    <cellStyle name="Normal 5 3 3 2 3 5 3" xfId="6470" xr:uid="{00000000-0005-0000-0000-0000AF190000}"/>
    <cellStyle name="Normal 5 3 3 2 3 5 3 2" xfId="14912" xr:uid="{E277FEC8-69F2-44A5-BC8A-3E2481CFD89B}"/>
    <cellStyle name="Normal 5 3 3 2 3 5 4" xfId="10694" xr:uid="{83670E23-500F-41F3-B6D0-1117EA51276B}"/>
    <cellStyle name="Normal 5 3 3 2 3 6" xfId="2599" xr:uid="{00000000-0005-0000-0000-0000B0190000}"/>
    <cellStyle name="Normal 5 3 3 2 3 6 2" xfId="6883" xr:uid="{00000000-0005-0000-0000-0000B1190000}"/>
    <cellStyle name="Normal 5 3 3 2 3 6 2 2" xfId="15325" xr:uid="{250B1047-A3C7-49BD-BC60-2E14FEDCB158}"/>
    <cellStyle name="Normal 5 3 3 2 3 6 3" xfId="11107" xr:uid="{FC520837-A48A-4D67-AF51-2A98674B2E4C}"/>
    <cellStyle name="Normal 5 3 3 2 3 7" xfId="4818" xr:uid="{00000000-0005-0000-0000-0000B2190000}"/>
    <cellStyle name="Normal 5 3 3 2 3 7 2" xfId="13260" xr:uid="{46C24CFE-81B2-4E80-9C0A-1BAD11977F9D}"/>
    <cellStyle name="Normal 5 3 3 2 3 8" xfId="9042" xr:uid="{80802E2A-D552-403B-A82D-DBA461CDEA21}"/>
    <cellStyle name="Normal 5 3 3 2 4" xfId="916" xr:uid="{00000000-0005-0000-0000-0000B3190000}"/>
    <cellStyle name="Normal 5 3 3 2 4 2" xfId="3150" xr:uid="{00000000-0005-0000-0000-0000B4190000}"/>
    <cellStyle name="Normal 5 3 3 2 4 2 2" xfId="7373" xr:uid="{00000000-0005-0000-0000-0000B5190000}"/>
    <cellStyle name="Normal 5 3 3 2 4 2 2 2" xfId="15815" xr:uid="{4AFCC22D-2C43-4874-ACD7-E87A1F8C6555}"/>
    <cellStyle name="Normal 5 3 3 2 4 2 3" xfId="11597" xr:uid="{1CDD7231-BC4B-4BB1-955F-1D071A47AD98}"/>
    <cellStyle name="Normal 5 3 3 2 4 3" xfId="5228" xr:uid="{00000000-0005-0000-0000-0000B6190000}"/>
    <cellStyle name="Normal 5 3 3 2 4 3 2" xfId="13670" xr:uid="{9436A941-8CFA-4B09-8BDC-A79B53322BF0}"/>
    <cellStyle name="Normal 5 3 3 2 4 4" xfId="9452" xr:uid="{B2C077D6-20E7-43CB-A08A-E4FC0715D9DA}"/>
    <cellStyle name="Normal 5 3 3 2 5" xfId="1333" xr:uid="{00000000-0005-0000-0000-0000B7190000}"/>
    <cellStyle name="Normal 5 3 3 2 5 2" xfId="3563" xr:uid="{00000000-0005-0000-0000-0000B8190000}"/>
    <cellStyle name="Normal 5 3 3 2 5 2 2" xfId="7786" xr:uid="{00000000-0005-0000-0000-0000B9190000}"/>
    <cellStyle name="Normal 5 3 3 2 5 2 2 2" xfId="16228" xr:uid="{0D4A05B4-885A-4744-BC9B-4F1BB5C498FA}"/>
    <cellStyle name="Normal 5 3 3 2 5 2 3" xfId="12010" xr:uid="{4AD46048-C26C-4100-98BF-AEE6926020AA}"/>
    <cellStyle name="Normal 5 3 3 2 5 3" xfId="5641" xr:uid="{00000000-0005-0000-0000-0000BA190000}"/>
    <cellStyle name="Normal 5 3 3 2 5 3 2" xfId="14083" xr:uid="{A8353A8F-8A5C-44C4-847F-22B5FA640E1B}"/>
    <cellStyle name="Normal 5 3 3 2 5 4" xfId="9865" xr:uid="{9AC95E3E-4BC0-4208-8010-56AE235A509E}"/>
    <cellStyle name="Normal 5 3 3 2 6" xfId="1746" xr:uid="{00000000-0005-0000-0000-0000BB190000}"/>
    <cellStyle name="Normal 5 3 3 2 6 2" xfId="3976" xr:uid="{00000000-0005-0000-0000-0000BC190000}"/>
    <cellStyle name="Normal 5 3 3 2 6 2 2" xfId="8199" xr:uid="{00000000-0005-0000-0000-0000BD190000}"/>
    <cellStyle name="Normal 5 3 3 2 6 2 2 2" xfId="16641" xr:uid="{BCFEC8E2-8ADA-4D18-8D1E-938CB4B92969}"/>
    <cellStyle name="Normal 5 3 3 2 6 2 3" xfId="12423" xr:uid="{C5C01B8C-9AD9-42C8-AE50-43BFE9E8D8A0}"/>
    <cellStyle name="Normal 5 3 3 2 6 3" xfId="6054" xr:uid="{00000000-0005-0000-0000-0000BE190000}"/>
    <cellStyle name="Normal 5 3 3 2 6 3 2" xfId="14496" xr:uid="{AB7EB46C-D50E-442F-821C-E92F5C4B5D70}"/>
    <cellStyle name="Normal 5 3 3 2 6 4" xfId="10278" xr:uid="{54D050BF-2D9C-4F84-8068-EC57B0BE469E}"/>
    <cellStyle name="Normal 5 3 3 2 7" xfId="2160" xr:uid="{00000000-0005-0000-0000-0000BF190000}"/>
    <cellStyle name="Normal 5 3 3 2 7 2" xfId="4389" xr:uid="{00000000-0005-0000-0000-0000C0190000}"/>
    <cellStyle name="Normal 5 3 3 2 7 2 2" xfId="8612" xr:uid="{00000000-0005-0000-0000-0000C1190000}"/>
    <cellStyle name="Normal 5 3 3 2 7 2 2 2" xfId="17054" xr:uid="{AD37EEC3-2C44-4AA0-AAFA-E2CB3EF77699}"/>
    <cellStyle name="Normal 5 3 3 2 7 2 3" xfId="12836" xr:uid="{D1046D2B-FD0D-48A9-A0B6-F02B6B2A6BB4}"/>
    <cellStyle name="Normal 5 3 3 2 7 3" xfId="6467" xr:uid="{00000000-0005-0000-0000-0000C2190000}"/>
    <cellStyle name="Normal 5 3 3 2 7 3 2" xfId="14909" xr:uid="{DD1ED77C-BE55-464E-B110-E7775A21D25A}"/>
    <cellStyle name="Normal 5 3 3 2 7 4" xfId="10691" xr:uid="{061BC57E-F3EF-4910-9115-894D7DFC8512}"/>
    <cellStyle name="Normal 5 3 3 2 8" xfId="2596" xr:uid="{00000000-0005-0000-0000-0000C3190000}"/>
    <cellStyle name="Normal 5 3 3 2 8 2" xfId="6880" xr:uid="{00000000-0005-0000-0000-0000C4190000}"/>
    <cellStyle name="Normal 5 3 3 2 8 2 2" xfId="15322" xr:uid="{A48F7383-C1CA-4C62-9A75-D6C821330BAF}"/>
    <cellStyle name="Normal 5 3 3 2 8 3" xfId="11104" xr:uid="{E218443B-3BD8-4A67-8415-83C08738FD02}"/>
    <cellStyle name="Normal 5 3 3 2 9" xfId="4815" xr:uid="{00000000-0005-0000-0000-0000C5190000}"/>
    <cellStyle name="Normal 5 3 3 2 9 2" xfId="13257" xr:uid="{90669CBD-A395-4009-996F-47BEE2A1ADCD}"/>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2 2 2" xfId="15820" xr:uid="{F05F42BA-E327-407D-B93C-EF6DC67ACF10}"/>
    <cellStyle name="Normal 5 3 3 3 2 2 2 3" xfId="11602" xr:uid="{0599574A-1AEA-4951-BE09-F18A26B86BB1}"/>
    <cellStyle name="Normal 5 3 3 3 2 2 3" xfId="5233" xr:uid="{00000000-0005-0000-0000-0000CB190000}"/>
    <cellStyle name="Normal 5 3 3 3 2 2 3 2" xfId="13675" xr:uid="{B3CE1605-FFAA-4495-8BE0-BF34E271549F}"/>
    <cellStyle name="Normal 5 3 3 3 2 2 4" xfId="9457" xr:uid="{72573B2D-FAEF-48E6-AD3C-E8C0E93458A5}"/>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2 2 2" xfId="16233" xr:uid="{DE6075EE-9357-4CB9-9A69-427F740616B9}"/>
    <cellStyle name="Normal 5 3 3 3 2 3 2 3" xfId="12015" xr:uid="{FA589DFE-086A-4F24-92D2-6F625A2D3CE3}"/>
    <cellStyle name="Normal 5 3 3 3 2 3 3" xfId="5646" xr:uid="{00000000-0005-0000-0000-0000CF190000}"/>
    <cellStyle name="Normal 5 3 3 3 2 3 3 2" xfId="14088" xr:uid="{FAC4FB38-1A06-4602-A045-10611E58DAAE}"/>
    <cellStyle name="Normal 5 3 3 3 2 3 4" xfId="9870" xr:uid="{80866C0D-7235-4FDA-8623-4BE507762EAA}"/>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2 2 2" xfId="16646" xr:uid="{EBFFF0C7-82C8-41B4-A22D-5CACB25E46F5}"/>
    <cellStyle name="Normal 5 3 3 3 2 4 2 3" xfId="12428" xr:uid="{E66FD611-7310-42DB-A111-F9240D01A21E}"/>
    <cellStyle name="Normal 5 3 3 3 2 4 3" xfId="6059" xr:uid="{00000000-0005-0000-0000-0000D3190000}"/>
    <cellStyle name="Normal 5 3 3 3 2 4 3 2" xfId="14501" xr:uid="{5B58FC36-1E22-45AD-ACF5-20DD3A70CEB0}"/>
    <cellStyle name="Normal 5 3 3 3 2 4 4" xfId="10283" xr:uid="{9F9E9B2E-4BE8-467A-BFD2-E74AA899DA1A}"/>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2 2 2" xfId="17059" xr:uid="{AE4B27DE-C561-4387-914F-A5B642C0B90E}"/>
    <cellStyle name="Normal 5 3 3 3 2 5 2 3" xfId="12841" xr:uid="{3B89A152-F068-44DB-86AE-BEE3180DA2E1}"/>
    <cellStyle name="Normal 5 3 3 3 2 5 3" xfId="6472" xr:uid="{00000000-0005-0000-0000-0000D7190000}"/>
    <cellStyle name="Normal 5 3 3 3 2 5 3 2" xfId="14914" xr:uid="{A061690C-ED13-4862-B052-9CDA9A95240E}"/>
    <cellStyle name="Normal 5 3 3 3 2 5 4" xfId="10696" xr:uid="{131DC97B-F452-4E6B-AECE-4DDE1E3DBCDD}"/>
    <cellStyle name="Normal 5 3 3 3 2 6" xfId="2601" xr:uid="{00000000-0005-0000-0000-0000D8190000}"/>
    <cellStyle name="Normal 5 3 3 3 2 6 2" xfId="6885" xr:uid="{00000000-0005-0000-0000-0000D9190000}"/>
    <cellStyle name="Normal 5 3 3 3 2 6 2 2" xfId="15327" xr:uid="{AE9C129D-D82F-4B4A-AE15-CF032CE2FAAA}"/>
    <cellStyle name="Normal 5 3 3 3 2 6 3" xfId="11109" xr:uid="{7B1B1ABA-20DD-4A3A-B876-508EE88F7446}"/>
    <cellStyle name="Normal 5 3 3 3 2 7" xfId="4820" xr:uid="{00000000-0005-0000-0000-0000DA190000}"/>
    <cellStyle name="Normal 5 3 3 3 2 7 2" xfId="13262" xr:uid="{D6691829-06FC-4E1A-8C7D-60583A768F06}"/>
    <cellStyle name="Normal 5 3 3 3 2 8" xfId="9044" xr:uid="{9D8C9625-471B-4294-BC9A-1E420E9673ED}"/>
    <cellStyle name="Normal 5 3 3 3 3" xfId="920" xr:uid="{00000000-0005-0000-0000-0000DB190000}"/>
    <cellStyle name="Normal 5 3 3 3 3 2" xfId="3154" xr:uid="{00000000-0005-0000-0000-0000DC190000}"/>
    <cellStyle name="Normal 5 3 3 3 3 2 2" xfId="7377" xr:uid="{00000000-0005-0000-0000-0000DD190000}"/>
    <cellStyle name="Normal 5 3 3 3 3 2 2 2" xfId="15819" xr:uid="{285263C9-5C82-463C-A4E0-464DB94220D9}"/>
    <cellStyle name="Normal 5 3 3 3 3 2 3" xfId="11601" xr:uid="{B78CF9A4-FEA7-47DD-85A4-EAAF18898DB9}"/>
    <cellStyle name="Normal 5 3 3 3 3 3" xfId="5232" xr:uid="{00000000-0005-0000-0000-0000DE190000}"/>
    <cellStyle name="Normal 5 3 3 3 3 3 2" xfId="13674" xr:uid="{C896B50A-11F0-4F56-BF63-17ECFB63081A}"/>
    <cellStyle name="Normal 5 3 3 3 3 4" xfId="9456" xr:uid="{8BE6C499-ED58-47E9-84A0-39E4D2EF1434}"/>
    <cellStyle name="Normal 5 3 3 3 4" xfId="1337" xr:uid="{00000000-0005-0000-0000-0000DF190000}"/>
    <cellStyle name="Normal 5 3 3 3 4 2" xfId="3567" xr:uid="{00000000-0005-0000-0000-0000E0190000}"/>
    <cellStyle name="Normal 5 3 3 3 4 2 2" xfId="7790" xr:uid="{00000000-0005-0000-0000-0000E1190000}"/>
    <cellStyle name="Normal 5 3 3 3 4 2 2 2" xfId="16232" xr:uid="{D541A46C-97BB-41E4-A248-B9F21B1E0172}"/>
    <cellStyle name="Normal 5 3 3 3 4 2 3" xfId="12014" xr:uid="{791EE4B5-413E-48F8-AF6E-2E6DDB872D52}"/>
    <cellStyle name="Normal 5 3 3 3 4 3" xfId="5645" xr:uid="{00000000-0005-0000-0000-0000E2190000}"/>
    <cellStyle name="Normal 5 3 3 3 4 3 2" xfId="14087" xr:uid="{58B44308-8A83-478E-B8D8-F7361591BF77}"/>
    <cellStyle name="Normal 5 3 3 3 4 4" xfId="9869" xr:uid="{4E3DC50E-E25C-42A5-BFFB-162B36683734}"/>
    <cellStyle name="Normal 5 3 3 3 5" xfId="1750" xr:uid="{00000000-0005-0000-0000-0000E3190000}"/>
    <cellStyle name="Normal 5 3 3 3 5 2" xfId="3980" xr:uid="{00000000-0005-0000-0000-0000E4190000}"/>
    <cellStyle name="Normal 5 3 3 3 5 2 2" xfId="8203" xr:uid="{00000000-0005-0000-0000-0000E5190000}"/>
    <cellStyle name="Normal 5 3 3 3 5 2 2 2" xfId="16645" xr:uid="{69CA2955-1CAE-41FA-877E-B2E8F5022269}"/>
    <cellStyle name="Normal 5 3 3 3 5 2 3" xfId="12427" xr:uid="{329BA426-A9A8-430A-A220-60A300D0CA2C}"/>
    <cellStyle name="Normal 5 3 3 3 5 3" xfId="6058" xr:uid="{00000000-0005-0000-0000-0000E6190000}"/>
    <cellStyle name="Normal 5 3 3 3 5 3 2" xfId="14500" xr:uid="{67525CB0-76CC-41E4-9E77-81832637C2CA}"/>
    <cellStyle name="Normal 5 3 3 3 5 4" xfId="10282" xr:uid="{AB103E05-7A07-488D-99B5-883E28C6ED5D}"/>
    <cellStyle name="Normal 5 3 3 3 6" xfId="2164" xr:uid="{00000000-0005-0000-0000-0000E7190000}"/>
    <cellStyle name="Normal 5 3 3 3 6 2" xfId="4393" xr:uid="{00000000-0005-0000-0000-0000E8190000}"/>
    <cellStyle name="Normal 5 3 3 3 6 2 2" xfId="8616" xr:uid="{00000000-0005-0000-0000-0000E9190000}"/>
    <cellStyle name="Normal 5 3 3 3 6 2 2 2" xfId="17058" xr:uid="{9A0AF5D4-36D3-4DF6-A60B-359756B67088}"/>
    <cellStyle name="Normal 5 3 3 3 6 2 3" xfId="12840" xr:uid="{EF7F6C25-E74B-4B5F-BF41-764C0562BDC3}"/>
    <cellStyle name="Normal 5 3 3 3 6 3" xfId="6471" xr:uid="{00000000-0005-0000-0000-0000EA190000}"/>
    <cellStyle name="Normal 5 3 3 3 6 3 2" xfId="14913" xr:uid="{01A53427-CD9C-4C50-97CF-583639C7C391}"/>
    <cellStyle name="Normal 5 3 3 3 6 4" xfId="10695" xr:uid="{D89787CD-E7CB-4EF7-8081-0CC2FD48F3DE}"/>
    <cellStyle name="Normal 5 3 3 3 7" xfId="2600" xr:uid="{00000000-0005-0000-0000-0000EB190000}"/>
    <cellStyle name="Normal 5 3 3 3 7 2" xfId="6884" xr:uid="{00000000-0005-0000-0000-0000EC190000}"/>
    <cellStyle name="Normal 5 3 3 3 7 2 2" xfId="15326" xr:uid="{6EF1908C-912D-4FF4-BDAD-622DE71FEE62}"/>
    <cellStyle name="Normal 5 3 3 3 7 3" xfId="11108" xr:uid="{548D97CE-F9DC-4644-98E8-EEA1291C642D}"/>
    <cellStyle name="Normal 5 3 3 3 8" xfId="4819" xr:uid="{00000000-0005-0000-0000-0000ED190000}"/>
    <cellStyle name="Normal 5 3 3 3 8 2" xfId="13261" xr:uid="{06A0EDFA-DEC6-4098-9305-BDFEAFA54723}"/>
    <cellStyle name="Normal 5 3 3 3 9" xfId="9043" xr:uid="{CEC06B7D-E136-4904-B0DD-FD798E3AE302}"/>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2 2 2" xfId="15821" xr:uid="{C550BCCF-7E9C-4C08-B870-A6E269D780C8}"/>
    <cellStyle name="Normal 5 3 3 4 2 2 3" xfId="11603" xr:uid="{AC7E1869-A5FD-45F5-9FDE-792ED12BBF5F}"/>
    <cellStyle name="Normal 5 3 3 4 2 3" xfId="5234" xr:uid="{00000000-0005-0000-0000-0000F2190000}"/>
    <cellStyle name="Normal 5 3 3 4 2 3 2" xfId="13676" xr:uid="{34893547-8880-4C91-8BB5-2B7B92975123}"/>
    <cellStyle name="Normal 5 3 3 4 2 4" xfId="9458" xr:uid="{BB047FF2-29BE-49E1-AFDB-515437832E1F}"/>
    <cellStyle name="Normal 5 3 3 4 3" xfId="1339" xr:uid="{00000000-0005-0000-0000-0000F3190000}"/>
    <cellStyle name="Normal 5 3 3 4 3 2" xfId="3569" xr:uid="{00000000-0005-0000-0000-0000F4190000}"/>
    <cellStyle name="Normal 5 3 3 4 3 2 2" xfId="7792" xr:uid="{00000000-0005-0000-0000-0000F5190000}"/>
    <cellStyle name="Normal 5 3 3 4 3 2 2 2" xfId="16234" xr:uid="{4906E1C8-5F96-41A1-A216-C0988A1BC27F}"/>
    <cellStyle name="Normal 5 3 3 4 3 2 3" xfId="12016" xr:uid="{4EED9980-E1FF-43B0-A008-7F1C6717F8A4}"/>
    <cellStyle name="Normal 5 3 3 4 3 3" xfId="5647" xr:uid="{00000000-0005-0000-0000-0000F6190000}"/>
    <cellStyle name="Normal 5 3 3 4 3 3 2" xfId="14089" xr:uid="{ED1546AE-AD1D-4BC9-BBB9-C55ADCC30CAE}"/>
    <cellStyle name="Normal 5 3 3 4 3 4" xfId="9871" xr:uid="{ABB310FB-11D5-4E7A-BA88-1292D706C533}"/>
    <cellStyle name="Normal 5 3 3 4 4" xfId="1752" xr:uid="{00000000-0005-0000-0000-0000F7190000}"/>
    <cellStyle name="Normal 5 3 3 4 4 2" xfId="3982" xr:uid="{00000000-0005-0000-0000-0000F8190000}"/>
    <cellStyle name="Normal 5 3 3 4 4 2 2" xfId="8205" xr:uid="{00000000-0005-0000-0000-0000F9190000}"/>
    <cellStyle name="Normal 5 3 3 4 4 2 2 2" xfId="16647" xr:uid="{92A1A184-B257-463B-80DE-5DA66D9279C0}"/>
    <cellStyle name="Normal 5 3 3 4 4 2 3" xfId="12429" xr:uid="{75401475-DA0B-4060-A225-2281DCB113AA}"/>
    <cellStyle name="Normal 5 3 3 4 4 3" xfId="6060" xr:uid="{00000000-0005-0000-0000-0000FA190000}"/>
    <cellStyle name="Normal 5 3 3 4 4 3 2" xfId="14502" xr:uid="{688D987A-A121-46A3-B54F-57810D89FD9C}"/>
    <cellStyle name="Normal 5 3 3 4 4 4" xfId="10284" xr:uid="{AA2920E0-F8B8-4850-9BB8-4EF81F3895C5}"/>
    <cellStyle name="Normal 5 3 3 4 5" xfId="2166" xr:uid="{00000000-0005-0000-0000-0000FB190000}"/>
    <cellStyle name="Normal 5 3 3 4 5 2" xfId="4395" xr:uid="{00000000-0005-0000-0000-0000FC190000}"/>
    <cellStyle name="Normal 5 3 3 4 5 2 2" xfId="8618" xr:uid="{00000000-0005-0000-0000-0000FD190000}"/>
    <cellStyle name="Normal 5 3 3 4 5 2 2 2" xfId="17060" xr:uid="{A97562DF-9819-4461-BBA2-EAC25688CFEC}"/>
    <cellStyle name="Normal 5 3 3 4 5 2 3" xfId="12842" xr:uid="{E11A8D17-C139-4841-B935-C2B154762150}"/>
    <cellStyle name="Normal 5 3 3 4 5 3" xfId="6473" xr:uid="{00000000-0005-0000-0000-0000FE190000}"/>
    <cellStyle name="Normal 5 3 3 4 5 3 2" xfId="14915" xr:uid="{DFEA8786-51AC-4EFB-B1D3-0A335C737303}"/>
    <cellStyle name="Normal 5 3 3 4 5 4" xfId="10697" xr:uid="{9C61F3B7-BD3D-4AA8-8916-45AB5151C03B}"/>
    <cellStyle name="Normal 5 3 3 4 6" xfId="2602" xr:uid="{00000000-0005-0000-0000-0000FF190000}"/>
    <cellStyle name="Normal 5 3 3 4 6 2" xfId="6886" xr:uid="{00000000-0005-0000-0000-0000001A0000}"/>
    <cellStyle name="Normal 5 3 3 4 6 2 2" xfId="15328" xr:uid="{6CEE428B-2031-46D7-95FE-E7B78347BD60}"/>
    <cellStyle name="Normal 5 3 3 4 6 3" xfId="11110" xr:uid="{7F9025FC-D955-4295-A11D-8FC530E0F8D8}"/>
    <cellStyle name="Normal 5 3 3 4 7" xfId="4821" xr:uid="{00000000-0005-0000-0000-0000011A0000}"/>
    <cellStyle name="Normal 5 3 3 4 7 2" xfId="13263" xr:uid="{44930393-9E56-49ED-B246-BDE484943A5F}"/>
    <cellStyle name="Normal 5 3 3 4 8" xfId="9045" xr:uid="{1281891E-E6AA-4DA1-A2FB-8211971ED2FA}"/>
    <cellStyle name="Normal 5 3 3 5" xfId="915" xr:uid="{00000000-0005-0000-0000-0000021A0000}"/>
    <cellStyle name="Normal 5 3 3 5 2" xfId="3149" xr:uid="{00000000-0005-0000-0000-0000031A0000}"/>
    <cellStyle name="Normal 5 3 3 5 2 2" xfId="7372" xr:uid="{00000000-0005-0000-0000-0000041A0000}"/>
    <cellStyle name="Normal 5 3 3 5 2 2 2" xfId="15814" xr:uid="{518F1146-2958-4EAB-B3D2-CD3BDEF0F1C4}"/>
    <cellStyle name="Normal 5 3 3 5 2 3" xfId="11596" xr:uid="{CE4DA5E5-9AB8-49DC-B753-45CDE6264D17}"/>
    <cellStyle name="Normal 5 3 3 5 3" xfId="5227" xr:uid="{00000000-0005-0000-0000-0000051A0000}"/>
    <cellStyle name="Normal 5 3 3 5 3 2" xfId="13669" xr:uid="{8E118C97-CBE6-45F6-A4FA-C06EABD50108}"/>
    <cellStyle name="Normal 5 3 3 5 4" xfId="9451" xr:uid="{F7713BD8-DC70-47A1-B918-C799CE93F8A0}"/>
    <cellStyle name="Normal 5 3 3 6" xfId="1332" xr:uid="{00000000-0005-0000-0000-0000061A0000}"/>
    <cellStyle name="Normal 5 3 3 6 2" xfId="3562" xr:uid="{00000000-0005-0000-0000-0000071A0000}"/>
    <cellStyle name="Normal 5 3 3 6 2 2" xfId="7785" xr:uid="{00000000-0005-0000-0000-0000081A0000}"/>
    <cellStyle name="Normal 5 3 3 6 2 2 2" xfId="16227" xr:uid="{829AAA43-F260-436B-9FB5-AD0B6CF3BCE1}"/>
    <cellStyle name="Normal 5 3 3 6 2 3" xfId="12009" xr:uid="{56A868F3-F5B0-4055-87C4-AF49126BDC2E}"/>
    <cellStyle name="Normal 5 3 3 6 3" xfId="5640" xr:uid="{00000000-0005-0000-0000-0000091A0000}"/>
    <cellStyle name="Normal 5 3 3 6 3 2" xfId="14082" xr:uid="{A125A95A-BA00-4F56-8349-ACBC29C67CC1}"/>
    <cellStyle name="Normal 5 3 3 6 4" xfId="9864" xr:uid="{2DC88579-0325-498F-BDAE-851599216BBA}"/>
    <cellStyle name="Normal 5 3 3 7" xfId="1745" xr:uid="{00000000-0005-0000-0000-00000A1A0000}"/>
    <cellStyle name="Normal 5 3 3 7 2" xfId="3975" xr:uid="{00000000-0005-0000-0000-00000B1A0000}"/>
    <cellStyle name="Normal 5 3 3 7 2 2" xfId="8198" xr:uid="{00000000-0005-0000-0000-00000C1A0000}"/>
    <cellStyle name="Normal 5 3 3 7 2 2 2" xfId="16640" xr:uid="{FCE912BF-0135-4E76-AE18-281AB2CDD2FF}"/>
    <cellStyle name="Normal 5 3 3 7 2 3" xfId="12422" xr:uid="{150A163B-E449-4809-AEE0-DE5ECD039443}"/>
    <cellStyle name="Normal 5 3 3 7 3" xfId="6053" xr:uid="{00000000-0005-0000-0000-00000D1A0000}"/>
    <cellStyle name="Normal 5 3 3 7 3 2" xfId="14495" xr:uid="{181B89C8-B9E8-4132-AD29-7018C9447838}"/>
    <cellStyle name="Normal 5 3 3 7 4" xfId="10277" xr:uid="{ACE8E3A5-348F-4656-ABE3-467567E786F6}"/>
    <cellStyle name="Normal 5 3 3 8" xfId="2159" xr:uid="{00000000-0005-0000-0000-00000E1A0000}"/>
    <cellStyle name="Normal 5 3 3 8 2" xfId="4388" xr:uid="{00000000-0005-0000-0000-00000F1A0000}"/>
    <cellStyle name="Normal 5 3 3 8 2 2" xfId="8611" xr:uid="{00000000-0005-0000-0000-0000101A0000}"/>
    <cellStyle name="Normal 5 3 3 8 2 2 2" xfId="17053" xr:uid="{3A47061E-562C-4AD1-83D7-845432091224}"/>
    <cellStyle name="Normal 5 3 3 8 2 3" xfId="12835" xr:uid="{3F675508-24D0-44C7-8294-B7E0FEA905D1}"/>
    <cellStyle name="Normal 5 3 3 8 3" xfId="6466" xr:uid="{00000000-0005-0000-0000-0000111A0000}"/>
    <cellStyle name="Normal 5 3 3 8 3 2" xfId="14908" xr:uid="{9F706897-1E57-4FB2-B791-F13E8B4651BC}"/>
    <cellStyle name="Normal 5 3 3 8 4" xfId="10690" xr:uid="{CE37A91F-784D-45FC-B4AB-E7B46D41DF16}"/>
    <cellStyle name="Normal 5 3 3 9" xfId="2595" xr:uid="{00000000-0005-0000-0000-0000121A0000}"/>
    <cellStyle name="Normal 5 3 3 9 2" xfId="6879" xr:uid="{00000000-0005-0000-0000-0000131A0000}"/>
    <cellStyle name="Normal 5 3 3 9 2 2" xfId="15321" xr:uid="{86336078-6DB6-4D76-BF92-C746116FEE88}"/>
    <cellStyle name="Normal 5 3 3 9 3" xfId="11103" xr:uid="{B0CDB9A4-0F5F-482F-916C-86E55A211C2F}"/>
    <cellStyle name="Normal 5 3 4" xfId="449" xr:uid="{00000000-0005-0000-0000-0000141A0000}"/>
    <cellStyle name="Normal 5 3 4 10" xfId="9046" xr:uid="{BA4F9AFF-179D-41F8-9691-73C500244CC8}"/>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2 2 2" xfId="15824" xr:uid="{62E248F5-9633-4F5C-9C7E-478B214F8D7E}"/>
    <cellStyle name="Normal 5 3 4 2 2 2 2 3" xfId="11606" xr:uid="{415648EF-99F0-492D-951E-10CECD0260DE}"/>
    <cellStyle name="Normal 5 3 4 2 2 2 3" xfId="5237" xr:uid="{00000000-0005-0000-0000-00001A1A0000}"/>
    <cellStyle name="Normal 5 3 4 2 2 2 3 2" xfId="13679" xr:uid="{7AB37D89-6606-416C-B246-41A55761D104}"/>
    <cellStyle name="Normal 5 3 4 2 2 2 4" xfId="9461" xr:uid="{1557370D-54E4-40E8-A2D0-A58AF0E0389E}"/>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2 2 2" xfId="16237" xr:uid="{33241D2A-0E69-4F0B-9941-6C2998AA9538}"/>
    <cellStyle name="Normal 5 3 4 2 2 3 2 3" xfId="12019" xr:uid="{E774C65C-4DB2-47A5-BED5-91A6C88FDEE8}"/>
    <cellStyle name="Normal 5 3 4 2 2 3 3" xfId="5650" xr:uid="{00000000-0005-0000-0000-00001E1A0000}"/>
    <cellStyle name="Normal 5 3 4 2 2 3 3 2" xfId="14092" xr:uid="{095AC1BB-F6FF-4F81-81A0-96662DB8A67E}"/>
    <cellStyle name="Normal 5 3 4 2 2 3 4" xfId="9874" xr:uid="{2A27205B-9CFA-4298-9FD5-5299B0E7821A}"/>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2 2 2" xfId="16650" xr:uid="{24E0A367-CD8D-4B2F-9C43-D82EE67CD1BC}"/>
    <cellStyle name="Normal 5 3 4 2 2 4 2 3" xfId="12432" xr:uid="{F3B031E6-4244-4230-AFAF-BAFBB3356B3D}"/>
    <cellStyle name="Normal 5 3 4 2 2 4 3" xfId="6063" xr:uid="{00000000-0005-0000-0000-0000221A0000}"/>
    <cellStyle name="Normal 5 3 4 2 2 4 3 2" xfId="14505" xr:uid="{59D87D94-E4F6-4850-BB17-4540E64CE175}"/>
    <cellStyle name="Normal 5 3 4 2 2 4 4" xfId="10287" xr:uid="{6C85FAA9-9E5E-479C-A383-3C5E9C9B122B}"/>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2 2 2" xfId="17063" xr:uid="{0290BD5F-686A-4090-9BAB-9154EC73398E}"/>
    <cellStyle name="Normal 5 3 4 2 2 5 2 3" xfId="12845" xr:uid="{7037288E-EDBC-43DD-B887-F71766E068A7}"/>
    <cellStyle name="Normal 5 3 4 2 2 5 3" xfId="6476" xr:uid="{00000000-0005-0000-0000-0000261A0000}"/>
    <cellStyle name="Normal 5 3 4 2 2 5 3 2" xfId="14918" xr:uid="{8472D91F-1731-4CC5-8A3F-9EFEFA4F41B7}"/>
    <cellStyle name="Normal 5 3 4 2 2 5 4" xfId="10700" xr:uid="{32F4E92D-A63A-4ADB-93C9-756E254DB9A7}"/>
    <cellStyle name="Normal 5 3 4 2 2 6" xfId="2605" xr:uid="{00000000-0005-0000-0000-0000271A0000}"/>
    <cellStyle name="Normal 5 3 4 2 2 6 2" xfId="6889" xr:uid="{00000000-0005-0000-0000-0000281A0000}"/>
    <cellStyle name="Normal 5 3 4 2 2 6 2 2" xfId="15331" xr:uid="{3706F84C-A3CE-44F6-AACE-44D04D8F5222}"/>
    <cellStyle name="Normal 5 3 4 2 2 6 3" xfId="11113" xr:uid="{595820BE-4281-4308-9401-BC2776516459}"/>
    <cellStyle name="Normal 5 3 4 2 2 7" xfId="4824" xr:uid="{00000000-0005-0000-0000-0000291A0000}"/>
    <cellStyle name="Normal 5 3 4 2 2 7 2" xfId="13266" xr:uid="{69DCCA8F-9408-4E03-A5CE-430638B40F68}"/>
    <cellStyle name="Normal 5 3 4 2 2 8" xfId="9048" xr:uid="{7DB56A26-67C0-48CA-B4F8-A7634A73B954}"/>
    <cellStyle name="Normal 5 3 4 2 3" xfId="924" xr:uid="{00000000-0005-0000-0000-00002A1A0000}"/>
    <cellStyle name="Normal 5 3 4 2 3 2" xfId="3158" xr:uid="{00000000-0005-0000-0000-00002B1A0000}"/>
    <cellStyle name="Normal 5 3 4 2 3 2 2" xfId="7381" xr:uid="{00000000-0005-0000-0000-00002C1A0000}"/>
    <cellStyle name="Normal 5 3 4 2 3 2 2 2" xfId="15823" xr:uid="{23185C3D-F266-40BE-8987-BD9C5B5AE3D9}"/>
    <cellStyle name="Normal 5 3 4 2 3 2 3" xfId="11605" xr:uid="{8B5BA2A1-BE8E-4A17-B30A-C19C9644A0FE}"/>
    <cellStyle name="Normal 5 3 4 2 3 3" xfId="5236" xr:uid="{00000000-0005-0000-0000-00002D1A0000}"/>
    <cellStyle name="Normal 5 3 4 2 3 3 2" xfId="13678" xr:uid="{60502BAE-67D9-4CC5-9DBE-0ED20AB99AEC}"/>
    <cellStyle name="Normal 5 3 4 2 3 4" xfId="9460" xr:uid="{2EC18572-CBB6-4A21-96DB-286505BBC0F4}"/>
    <cellStyle name="Normal 5 3 4 2 4" xfId="1341" xr:uid="{00000000-0005-0000-0000-00002E1A0000}"/>
    <cellStyle name="Normal 5 3 4 2 4 2" xfId="3571" xr:uid="{00000000-0005-0000-0000-00002F1A0000}"/>
    <cellStyle name="Normal 5 3 4 2 4 2 2" xfId="7794" xr:uid="{00000000-0005-0000-0000-0000301A0000}"/>
    <cellStyle name="Normal 5 3 4 2 4 2 2 2" xfId="16236" xr:uid="{0705CDF9-5CEE-4BB6-9F5C-29B2ED56C388}"/>
    <cellStyle name="Normal 5 3 4 2 4 2 3" xfId="12018" xr:uid="{704A65AD-1660-46A7-A6FC-FA0A4A91E58E}"/>
    <cellStyle name="Normal 5 3 4 2 4 3" xfId="5649" xr:uid="{00000000-0005-0000-0000-0000311A0000}"/>
    <cellStyle name="Normal 5 3 4 2 4 3 2" xfId="14091" xr:uid="{5529E97F-A777-4F5D-9C91-4EA559229B0A}"/>
    <cellStyle name="Normal 5 3 4 2 4 4" xfId="9873" xr:uid="{FCC87351-A663-4FBA-85C6-C12F696C2015}"/>
    <cellStyle name="Normal 5 3 4 2 5" xfId="1754" xr:uid="{00000000-0005-0000-0000-0000321A0000}"/>
    <cellStyle name="Normal 5 3 4 2 5 2" xfId="3984" xr:uid="{00000000-0005-0000-0000-0000331A0000}"/>
    <cellStyle name="Normal 5 3 4 2 5 2 2" xfId="8207" xr:uid="{00000000-0005-0000-0000-0000341A0000}"/>
    <cellStyle name="Normal 5 3 4 2 5 2 2 2" xfId="16649" xr:uid="{0C11F83E-09F1-43FE-99EF-548AEBC5A106}"/>
    <cellStyle name="Normal 5 3 4 2 5 2 3" xfId="12431" xr:uid="{28888ED1-67AC-471C-8708-AACBEA5E8D4A}"/>
    <cellStyle name="Normal 5 3 4 2 5 3" xfId="6062" xr:uid="{00000000-0005-0000-0000-0000351A0000}"/>
    <cellStyle name="Normal 5 3 4 2 5 3 2" xfId="14504" xr:uid="{F0C99DFA-5768-4D79-884C-D35D8570895F}"/>
    <cellStyle name="Normal 5 3 4 2 5 4" xfId="10286" xr:uid="{CA94861F-3258-47CD-98AF-B5AE46D316FB}"/>
    <cellStyle name="Normal 5 3 4 2 6" xfId="2168" xr:uid="{00000000-0005-0000-0000-0000361A0000}"/>
    <cellStyle name="Normal 5 3 4 2 6 2" xfId="4397" xr:uid="{00000000-0005-0000-0000-0000371A0000}"/>
    <cellStyle name="Normal 5 3 4 2 6 2 2" xfId="8620" xr:uid="{00000000-0005-0000-0000-0000381A0000}"/>
    <cellStyle name="Normal 5 3 4 2 6 2 2 2" xfId="17062" xr:uid="{E228871E-05CD-4B5A-AC01-C50207F2B2C8}"/>
    <cellStyle name="Normal 5 3 4 2 6 2 3" xfId="12844" xr:uid="{D1D00186-3035-4595-BD23-98926CF08D53}"/>
    <cellStyle name="Normal 5 3 4 2 6 3" xfId="6475" xr:uid="{00000000-0005-0000-0000-0000391A0000}"/>
    <cellStyle name="Normal 5 3 4 2 6 3 2" xfId="14917" xr:uid="{E1431FE0-7CD7-405D-BA15-4F92F0BFA5FF}"/>
    <cellStyle name="Normal 5 3 4 2 6 4" xfId="10699" xr:uid="{89289E25-4337-4CDB-95EC-BE6E35B89B30}"/>
    <cellStyle name="Normal 5 3 4 2 7" xfId="2604" xr:uid="{00000000-0005-0000-0000-00003A1A0000}"/>
    <cellStyle name="Normal 5 3 4 2 7 2" xfId="6888" xr:uid="{00000000-0005-0000-0000-00003B1A0000}"/>
    <cellStyle name="Normal 5 3 4 2 7 2 2" xfId="15330" xr:uid="{BED32A9F-BE4C-485D-9F11-3F9D1933D413}"/>
    <cellStyle name="Normal 5 3 4 2 7 3" xfId="11112" xr:uid="{434DFFF9-7528-45F8-8D93-3CF2799FBED1}"/>
    <cellStyle name="Normal 5 3 4 2 8" xfId="4823" xr:uid="{00000000-0005-0000-0000-00003C1A0000}"/>
    <cellStyle name="Normal 5 3 4 2 8 2" xfId="13265" xr:uid="{F892BC2E-BB0E-4A40-8568-F9D10634597F}"/>
    <cellStyle name="Normal 5 3 4 2 9" xfId="9047" xr:uid="{FA973CAD-1444-44DD-9B47-57FE7553F53E}"/>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2 2 2" xfId="15825" xr:uid="{79298D78-46FC-458E-8EB7-EAA669518720}"/>
    <cellStyle name="Normal 5 3 4 3 2 2 3" xfId="11607" xr:uid="{EE42E201-04C0-4A7A-805E-E75ED91D088A}"/>
    <cellStyle name="Normal 5 3 4 3 2 3" xfId="5238" xr:uid="{00000000-0005-0000-0000-0000411A0000}"/>
    <cellStyle name="Normal 5 3 4 3 2 3 2" xfId="13680" xr:uid="{0A9E95D0-D136-44C8-9DC2-0F2B73B11550}"/>
    <cellStyle name="Normal 5 3 4 3 2 4" xfId="9462" xr:uid="{5BB69A60-BEA2-43DC-A0DC-4B5BB9733DD0}"/>
    <cellStyle name="Normal 5 3 4 3 3" xfId="1343" xr:uid="{00000000-0005-0000-0000-0000421A0000}"/>
    <cellStyle name="Normal 5 3 4 3 3 2" xfId="3573" xr:uid="{00000000-0005-0000-0000-0000431A0000}"/>
    <cellStyle name="Normal 5 3 4 3 3 2 2" xfId="7796" xr:uid="{00000000-0005-0000-0000-0000441A0000}"/>
    <cellStyle name="Normal 5 3 4 3 3 2 2 2" xfId="16238" xr:uid="{C05B948B-5402-4882-9F05-801E845D49BF}"/>
    <cellStyle name="Normal 5 3 4 3 3 2 3" xfId="12020" xr:uid="{53F4D8BD-D5E2-423E-A159-7A083B824B98}"/>
    <cellStyle name="Normal 5 3 4 3 3 3" xfId="5651" xr:uid="{00000000-0005-0000-0000-0000451A0000}"/>
    <cellStyle name="Normal 5 3 4 3 3 3 2" xfId="14093" xr:uid="{2861F71E-5305-4805-BBA5-99392E5CB19A}"/>
    <cellStyle name="Normal 5 3 4 3 3 4" xfId="9875" xr:uid="{DC833C48-78A6-49DB-82FC-70F4AF96F0A9}"/>
    <cellStyle name="Normal 5 3 4 3 4" xfId="1756" xr:uid="{00000000-0005-0000-0000-0000461A0000}"/>
    <cellStyle name="Normal 5 3 4 3 4 2" xfId="3986" xr:uid="{00000000-0005-0000-0000-0000471A0000}"/>
    <cellStyle name="Normal 5 3 4 3 4 2 2" xfId="8209" xr:uid="{00000000-0005-0000-0000-0000481A0000}"/>
    <cellStyle name="Normal 5 3 4 3 4 2 2 2" xfId="16651" xr:uid="{47112A9D-7BC4-4985-9561-A6C746989B07}"/>
    <cellStyle name="Normal 5 3 4 3 4 2 3" xfId="12433" xr:uid="{22296F65-F6B2-4885-8949-38A59F8D67A2}"/>
    <cellStyle name="Normal 5 3 4 3 4 3" xfId="6064" xr:uid="{00000000-0005-0000-0000-0000491A0000}"/>
    <cellStyle name="Normal 5 3 4 3 4 3 2" xfId="14506" xr:uid="{76A15411-03D4-4260-A280-4F5840057C92}"/>
    <cellStyle name="Normal 5 3 4 3 4 4" xfId="10288" xr:uid="{D7C50636-48A1-40B7-97C0-602344F1451F}"/>
    <cellStyle name="Normal 5 3 4 3 5" xfId="2170" xr:uid="{00000000-0005-0000-0000-00004A1A0000}"/>
    <cellStyle name="Normal 5 3 4 3 5 2" xfId="4399" xr:uid="{00000000-0005-0000-0000-00004B1A0000}"/>
    <cellStyle name="Normal 5 3 4 3 5 2 2" xfId="8622" xr:uid="{00000000-0005-0000-0000-00004C1A0000}"/>
    <cellStyle name="Normal 5 3 4 3 5 2 2 2" xfId="17064" xr:uid="{8B64FE58-6B4A-4B11-AC9D-2C1DBA91F141}"/>
    <cellStyle name="Normal 5 3 4 3 5 2 3" xfId="12846" xr:uid="{39E5125E-F94E-4B8E-928C-D2FC947AE6FA}"/>
    <cellStyle name="Normal 5 3 4 3 5 3" xfId="6477" xr:uid="{00000000-0005-0000-0000-00004D1A0000}"/>
    <cellStyle name="Normal 5 3 4 3 5 3 2" xfId="14919" xr:uid="{630CBD2A-C8CC-493F-8BCA-2B2C867D2722}"/>
    <cellStyle name="Normal 5 3 4 3 5 4" xfId="10701" xr:uid="{988F634F-4738-4526-949D-637EEE228925}"/>
    <cellStyle name="Normal 5 3 4 3 6" xfId="2606" xr:uid="{00000000-0005-0000-0000-00004E1A0000}"/>
    <cellStyle name="Normal 5 3 4 3 6 2" xfId="6890" xr:uid="{00000000-0005-0000-0000-00004F1A0000}"/>
    <cellStyle name="Normal 5 3 4 3 6 2 2" xfId="15332" xr:uid="{382A19C7-AD04-4D1E-B5E8-890846F19424}"/>
    <cellStyle name="Normal 5 3 4 3 6 3" xfId="11114" xr:uid="{53DC4B53-D9DF-49BF-8D3E-3172DD8D90F9}"/>
    <cellStyle name="Normal 5 3 4 3 7" xfId="4825" xr:uid="{00000000-0005-0000-0000-0000501A0000}"/>
    <cellStyle name="Normal 5 3 4 3 7 2" xfId="13267" xr:uid="{E7C7B797-55AE-446D-B7C6-90DBD481C14A}"/>
    <cellStyle name="Normal 5 3 4 3 8" xfId="9049" xr:uid="{BC551E55-8913-4CDE-8753-7548A4503191}"/>
    <cellStyle name="Normal 5 3 4 4" xfId="923" xr:uid="{00000000-0005-0000-0000-0000511A0000}"/>
    <cellStyle name="Normal 5 3 4 4 2" xfId="3157" xr:uid="{00000000-0005-0000-0000-0000521A0000}"/>
    <cellStyle name="Normal 5 3 4 4 2 2" xfId="7380" xr:uid="{00000000-0005-0000-0000-0000531A0000}"/>
    <cellStyle name="Normal 5 3 4 4 2 2 2" xfId="15822" xr:uid="{52ACE0B2-7BCF-4AF5-9BB9-F6B16E539CBC}"/>
    <cellStyle name="Normal 5 3 4 4 2 3" xfId="11604" xr:uid="{036E2DB5-2F1F-4476-8DBC-42975C162BC9}"/>
    <cellStyle name="Normal 5 3 4 4 3" xfId="5235" xr:uid="{00000000-0005-0000-0000-0000541A0000}"/>
    <cellStyle name="Normal 5 3 4 4 3 2" xfId="13677" xr:uid="{3409DCE2-667D-412B-AA47-D747490B5F1C}"/>
    <cellStyle name="Normal 5 3 4 4 4" xfId="9459" xr:uid="{94C0E699-D218-48D8-AB0D-6C025079F3FD}"/>
    <cellStyle name="Normal 5 3 4 5" xfId="1340" xr:uid="{00000000-0005-0000-0000-0000551A0000}"/>
    <cellStyle name="Normal 5 3 4 5 2" xfId="3570" xr:uid="{00000000-0005-0000-0000-0000561A0000}"/>
    <cellStyle name="Normal 5 3 4 5 2 2" xfId="7793" xr:uid="{00000000-0005-0000-0000-0000571A0000}"/>
    <cellStyle name="Normal 5 3 4 5 2 2 2" xfId="16235" xr:uid="{B50C93DF-561B-4EA4-94A4-D032CBBE58B3}"/>
    <cellStyle name="Normal 5 3 4 5 2 3" xfId="12017" xr:uid="{B1D92F2D-7691-4D97-BAEA-4D11FE35EA52}"/>
    <cellStyle name="Normal 5 3 4 5 3" xfId="5648" xr:uid="{00000000-0005-0000-0000-0000581A0000}"/>
    <cellStyle name="Normal 5 3 4 5 3 2" xfId="14090" xr:uid="{F10394A4-D70B-4670-A276-BFE04BC5AD57}"/>
    <cellStyle name="Normal 5 3 4 5 4" xfId="9872" xr:uid="{E3607FCF-50D3-4FEA-B7C2-00A5CE7F1029}"/>
    <cellStyle name="Normal 5 3 4 6" xfId="1753" xr:uid="{00000000-0005-0000-0000-0000591A0000}"/>
    <cellStyle name="Normal 5 3 4 6 2" xfId="3983" xr:uid="{00000000-0005-0000-0000-00005A1A0000}"/>
    <cellStyle name="Normal 5 3 4 6 2 2" xfId="8206" xr:uid="{00000000-0005-0000-0000-00005B1A0000}"/>
    <cellStyle name="Normal 5 3 4 6 2 2 2" xfId="16648" xr:uid="{470BBA05-28E4-4686-8F18-70486E685416}"/>
    <cellStyle name="Normal 5 3 4 6 2 3" xfId="12430" xr:uid="{52ABF147-99A6-4D89-8320-4FB2BC2A5539}"/>
    <cellStyle name="Normal 5 3 4 6 3" xfId="6061" xr:uid="{00000000-0005-0000-0000-00005C1A0000}"/>
    <cellStyle name="Normal 5 3 4 6 3 2" xfId="14503" xr:uid="{0C3A35B0-F936-48E4-9879-C266A8D12DD2}"/>
    <cellStyle name="Normal 5 3 4 6 4" xfId="10285" xr:uid="{1A22581A-407B-4891-A7D4-A0BE6461E0EE}"/>
    <cellStyle name="Normal 5 3 4 7" xfId="2167" xr:uid="{00000000-0005-0000-0000-00005D1A0000}"/>
    <cellStyle name="Normal 5 3 4 7 2" xfId="4396" xr:uid="{00000000-0005-0000-0000-00005E1A0000}"/>
    <cellStyle name="Normal 5 3 4 7 2 2" xfId="8619" xr:uid="{00000000-0005-0000-0000-00005F1A0000}"/>
    <cellStyle name="Normal 5 3 4 7 2 2 2" xfId="17061" xr:uid="{2C678284-D845-41E4-A674-938F902BC524}"/>
    <cellStyle name="Normal 5 3 4 7 2 3" xfId="12843" xr:uid="{6AAF2899-7280-4041-82F0-6F5E22354BE4}"/>
    <cellStyle name="Normal 5 3 4 7 3" xfId="6474" xr:uid="{00000000-0005-0000-0000-0000601A0000}"/>
    <cellStyle name="Normal 5 3 4 7 3 2" xfId="14916" xr:uid="{A60A82AB-EFCE-4B47-A302-573888794415}"/>
    <cellStyle name="Normal 5 3 4 7 4" xfId="10698" xr:uid="{DCDCAB57-A1D0-4690-925C-4338675CAE29}"/>
    <cellStyle name="Normal 5 3 4 8" xfId="2603" xr:uid="{00000000-0005-0000-0000-0000611A0000}"/>
    <cellStyle name="Normal 5 3 4 8 2" xfId="6887" xr:uid="{00000000-0005-0000-0000-0000621A0000}"/>
    <cellStyle name="Normal 5 3 4 8 2 2" xfId="15329" xr:uid="{376DA26B-505C-4644-A4EF-191A2FA0E12E}"/>
    <cellStyle name="Normal 5 3 4 8 3" xfId="11111" xr:uid="{F883700F-3DAF-4681-931F-ABA7307BF2F8}"/>
    <cellStyle name="Normal 5 3 4 9" xfId="4822" xr:uid="{00000000-0005-0000-0000-0000631A0000}"/>
    <cellStyle name="Normal 5 3 4 9 2" xfId="13264" xr:uid="{B7273273-00D8-4077-ADE6-D0F724937BE3}"/>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2 2 2" xfId="15827" xr:uid="{8905D6F4-D273-4404-976C-9EBB3953040E}"/>
    <cellStyle name="Normal 5 3 5 2 2 2 3" xfId="11609" xr:uid="{EAF1E048-BFAA-4B33-86A2-2700600A710E}"/>
    <cellStyle name="Normal 5 3 5 2 2 3" xfId="5240" xr:uid="{00000000-0005-0000-0000-0000691A0000}"/>
    <cellStyle name="Normal 5 3 5 2 2 3 2" xfId="13682" xr:uid="{C5B3829C-190C-45FD-AA4A-673976342FA5}"/>
    <cellStyle name="Normal 5 3 5 2 2 4" xfId="9464" xr:uid="{34098DA2-07F6-4BEB-92A8-8324DD5F0371}"/>
    <cellStyle name="Normal 5 3 5 2 3" xfId="1345" xr:uid="{00000000-0005-0000-0000-00006A1A0000}"/>
    <cellStyle name="Normal 5 3 5 2 3 2" xfId="3575" xr:uid="{00000000-0005-0000-0000-00006B1A0000}"/>
    <cellStyle name="Normal 5 3 5 2 3 2 2" xfId="7798" xr:uid="{00000000-0005-0000-0000-00006C1A0000}"/>
    <cellStyle name="Normal 5 3 5 2 3 2 2 2" xfId="16240" xr:uid="{73195A51-332C-47DA-BBB3-E764FA4826C3}"/>
    <cellStyle name="Normal 5 3 5 2 3 2 3" xfId="12022" xr:uid="{7A526A81-68A3-42AB-8A71-9C3C44390409}"/>
    <cellStyle name="Normal 5 3 5 2 3 3" xfId="5653" xr:uid="{00000000-0005-0000-0000-00006D1A0000}"/>
    <cellStyle name="Normal 5 3 5 2 3 3 2" xfId="14095" xr:uid="{7AD30E78-0558-4FDC-B499-9511A67E0EC0}"/>
    <cellStyle name="Normal 5 3 5 2 3 4" xfId="9877" xr:uid="{8D017E7F-57F0-4D83-B692-EE6868C21D7B}"/>
    <cellStyle name="Normal 5 3 5 2 4" xfId="1758" xr:uid="{00000000-0005-0000-0000-00006E1A0000}"/>
    <cellStyle name="Normal 5 3 5 2 4 2" xfId="3988" xr:uid="{00000000-0005-0000-0000-00006F1A0000}"/>
    <cellStyle name="Normal 5 3 5 2 4 2 2" xfId="8211" xr:uid="{00000000-0005-0000-0000-0000701A0000}"/>
    <cellStyle name="Normal 5 3 5 2 4 2 2 2" xfId="16653" xr:uid="{F54F60BE-3B2C-4F9D-9AFA-243C1128720B}"/>
    <cellStyle name="Normal 5 3 5 2 4 2 3" xfId="12435" xr:uid="{AECF6CA0-4B47-431E-B970-053A95102025}"/>
    <cellStyle name="Normal 5 3 5 2 4 3" xfId="6066" xr:uid="{00000000-0005-0000-0000-0000711A0000}"/>
    <cellStyle name="Normal 5 3 5 2 4 3 2" xfId="14508" xr:uid="{6D1C48E7-C651-4045-ABA1-7764DB3E0DEE}"/>
    <cellStyle name="Normal 5 3 5 2 4 4" xfId="10290" xr:uid="{8D84C627-4C55-43A8-B106-513C17F611E3}"/>
    <cellStyle name="Normal 5 3 5 2 5" xfId="2172" xr:uid="{00000000-0005-0000-0000-0000721A0000}"/>
    <cellStyle name="Normal 5 3 5 2 5 2" xfId="4401" xr:uid="{00000000-0005-0000-0000-0000731A0000}"/>
    <cellStyle name="Normal 5 3 5 2 5 2 2" xfId="8624" xr:uid="{00000000-0005-0000-0000-0000741A0000}"/>
    <cellStyle name="Normal 5 3 5 2 5 2 2 2" xfId="17066" xr:uid="{C7E0447D-FC46-4BD0-9D4A-931E4A706CB6}"/>
    <cellStyle name="Normal 5 3 5 2 5 2 3" xfId="12848" xr:uid="{41C6C225-5043-4BE1-9970-5E956C6AD469}"/>
    <cellStyle name="Normal 5 3 5 2 5 3" xfId="6479" xr:uid="{00000000-0005-0000-0000-0000751A0000}"/>
    <cellStyle name="Normal 5 3 5 2 5 3 2" xfId="14921" xr:uid="{C436500A-5FD5-4284-8007-2511326A6EE2}"/>
    <cellStyle name="Normal 5 3 5 2 5 4" xfId="10703" xr:uid="{5312D24B-6AD2-4A6D-8F9B-3FACEEE88B8C}"/>
    <cellStyle name="Normal 5 3 5 2 6" xfId="2608" xr:uid="{00000000-0005-0000-0000-0000761A0000}"/>
    <cellStyle name="Normal 5 3 5 2 6 2" xfId="6892" xr:uid="{00000000-0005-0000-0000-0000771A0000}"/>
    <cellStyle name="Normal 5 3 5 2 6 2 2" xfId="15334" xr:uid="{51EBABF5-75B0-4EE3-A4D3-AEE17EAFA864}"/>
    <cellStyle name="Normal 5 3 5 2 6 3" xfId="11116" xr:uid="{D5CFD24D-3E3C-48DE-8DB2-09EE62D2033F}"/>
    <cellStyle name="Normal 5 3 5 2 7" xfId="4827" xr:uid="{00000000-0005-0000-0000-0000781A0000}"/>
    <cellStyle name="Normal 5 3 5 2 7 2" xfId="13269" xr:uid="{EB244C15-6548-44F8-B2CA-5E91E7A18153}"/>
    <cellStyle name="Normal 5 3 5 2 8" xfId="9051" xr:uid="{30F8B2F0-7D60-4737-B4BD-FB18AA30110F}"/>
    <cellStyle name="Normal 5 3 5 3" xfId="927" xr:uid="{00000000-0005-0000-0000-0000791A0000}"/>
    <cellStyle name="Normal 5 3 5 3 2" xfId="3161" xr:uid="{00000000-0005-0000-0000-00007A1A0000}"/>
    <cellStyle name="Normal 5 3 5 3 2 2" xfId="7384" xr:uid="{00000000-0005-0000-0000-00007B1A0000}"/>
    <cellStyle name="Normal 5 3 5 3 2 2 2" xfId="15826" xr:uid="{CE3020F2-267C-42CA-9B12-569FFFC8D6AB}"/>
    <cellStyle name="Normal 5 3 5 3 2 3" xfId="11608" xr:uid="{305DC3AE-DDD7-4B76-97BE-3BBD27A2CBA7}"/>
    <cellStyle name="Normal 5 3 5 3 3" xfId="5239" xr:uid="{00000000-0005-0000-0000-00007C1A0000}"/>
    <cellStyle name="Normal 5 3 5 3 3 2" xfId="13681" xr:uid="{FA136CE5-D13A-469C-859E-973742A9EC56}"/>
    <cellStyle name="Normal 5 3 5 3 4" xfId="9463" xr:uid="{A448EA97-565E-40B1-A2FB-87514DEA941C}"/>
    <cellStyle name="Normal 5 3 5 4" xfId="1344" xr:uid="{00000000-0005-0000-0000-00007D1A0000}"/>
    <cellStyle name="Normal 5 3 5 4 2" xfId="3574" xr:uid="{00000000-0005-0000-0000-00007E1A0000}"/>
    <cellStyle name="Normal 5 3 5 4 2 2" xfId="7797" xr:uid="{00000000-0005-0000-0000-00007F1A0000}"/>
    <cellStyle name="Normal 5 3 5 4 2 2 2" xfId="16239" xr:uid="{D8BA893F-72D2-48D8-8B3C-C02B4D2F0681}"/>
    <cellStyle name="Normal 5 3 5 4 2 3" xfId="12021" xr:uid="{D42F02CD-62AF-402A-8756-9CF5C0174C50}"/>
    <cellStyle name="Normal 5 3 5 4 3" xfId="5652" xr:uid="{00000000-0005-0000-0000-0000801A0000}"/>
    <cellStyle name="Normal 5 3 5 4 3 2" xfId="14094" xr:uid="{F681C4BE-FEB5-4D0E-8684-978B987DA632}"/>
    <cellStyle name="Normal 5 3 5 4 4" xfId="9876" xr:uid="{07A235D9-4C7B-4C8D-B8EE-285B5B9DB4ED}"/>
    <cellStyle name="Normal 5 3 5 5" xfId="1757" xr:uid="{00000000-0005-0000-0000-0000811A0000}"/>
    <cellStyle name="Normal 5 3 5 5 2" xfId="3987" xr:uid="{00000000-0005-0000-0000-0000821A0000}"/>
    <cellStyle name="Normal 5 3 5 5 2 2" xfId="8210" xr:uid="{00000000-0005-0000-0000-0000831A0000}"/>
    <cellStyle name="Normal 5 3 5 5 2 2 2" xfId="16652" xr:uid="{3E51F051-4B6F-41B5-B05C-6FDA3C48ADF9}"/>
    <cellStyle name="Normal 5 3 5 5 2 3" xfId="12434" xr:uid="{5AAEF494-E4B9-4933-A61E-7891E4FD1B7C}"/>
    <cellStyle name="Normal 5 3 5 5 3" xfId="6065" xr:uid="{00000000-0005-0000-0000-0000841A0000}"/>
    <cellStyle name="Normal 5 3 5 5 3 2" xfId="14507" xr:uid="{F5D9160F-97E0-4F56-A094-DBB1CCC97EAD}"/>
    <cellStyle name="Normal 5 3 5 5 4" xfId="10289" xr:uid="{93B338AE-196B-487F-A2FD-13E23802D7C4}"/>
    <cellStyle name="Normal 5 3 5 6" xfId="2171" xr:uid="{00000000-0005-0000-0000-0000851A0000}"/>
    <cellStyle name="Normal 5 3 5 6 2" xfId="4400" xr:uid="{00000000-0005-0000-0000-0000861A0000}"/>
    <cellStyle name="Normal 5 3 5 6 2 2" xfId="8623" xr:uid="{00000000-0005-0000-0000-0000871A0000}"/>
    <cellStyle name="Normal 5 3 5 6 2 2 2" xfId="17065" xr:uid="{5DF15865-D26C-4D67-AA5E-AA3E7E7C960B}"/>
    <cellStyle name="Normal 5 3 5 6 2 3" xfId="12847" xr:uid="{6DCF3D74-F89D-41AE-905F-120D17489458}"/>
    <cellStyle name="Normal 5 3 5 6 3" xfId="6478" xr:uid="{00000000-0005-0000-0000-0000881A0000}"/>
    <cellStyle name="Normal 5 3 5 6 3 2" xfId="14920" xr:uid="{D8A95A5D-6E7E-4472-A256-7C72370AE81E}"/>
    <cellStyle name="Normal 5 3 5 6 4" xfId="10702" xr:uid="{0B4D42D8-F925-4151-8064-2879FC840CD6}"/>
    <cellStyle name="Normal 5 3 5 7" xfId="2607" xr:uid="{00000000-0005-0000-0000-0000891A0000}"/>
    <cellStyle name="Normal 5 3 5 7 2" xfId="6891" xr:uid="{00000000-0005-0000-0000-00008A1A0000}"/>
    <cellStyle name="Normal 5 3 5 7 2 2" xfId="15333" xr:uid="{B63C3FA3-4978-4CCA-8743-998D2B95B5CA}"/>
    <cellStyle name="Normal 5 3 5 7 3" xfId="11115" xr:uid="{B1A8EBC3-BE18-4340-A1C0-505C1702F056}"/>
    <cellStyle name="Normal 5 3 5 8" xfId="4826" xr:uid="{00000000-0005-0000-0000-00008B1A0000}"/>
    <cellStyle name="Normal 5 3 5 8 2" xfId="13268" xr:uid="{5A241B65-6AC2-458D-AF81-BA8AADD7689A}"/>
    <cellStyle name="Normal 5 3 5 9" xfId="9050" xr:uid="{9308A7A5-A261-4954-9635-1FEB1D6A20B9}"/>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2 2 2" xfId="15828" xr:uid="{5FC25638-D6BA-4484-AE1C-95841DD7056F}"/>
    <cellStyle name="Normal 5 3 6 2 2 3" xfId="11610" xr:uid="{F34A0A7D-A21E-4F7F-A7AA-DE7307EC10E8}"/>
    <cellStyle name="Normal 5 3 6 2 3" xfId="5241" xr:uid="{00000000-0005-0000-0000-0000901A0000}"/>
    <cellStyle name="Normal 5 3 6 2 3 2" xfId="13683" xr:uid="{56E730B8-23E8-421F-B9D3-43D0F9258350}"/>
    <cellStyle name="Normal 5 3 6 2 4" xfId="9465" xr:uid="{1A3E26B9-3941-4C82-8D28-66DDBC6ED065}"/>
    <cellStyle name="Normal 5 3 6 3" xfId="1346" xr:uid="{00000000-0005-0000-0000-0000911A0000}"/>
    <cellStyle name="Normal 5 3 6 3 2" xfId="3576" xr:uid="{00000000-0005-0000-0000-0000921A0000}"/>
    <cellStyle name="Normal 5 3 6 3 2 2" xfId="7799" xr:uid="{00000000-0005-0000-0000-0000931A0000}"/>
    <cellStyle name="Normal 5 3 6 3 2 2 2" xfId="16241" xr:uid="{ADC19E0D-5798-4B63-BDCF-5F1EB771BC38}"/>
    <cellStyle name="Normal 5 3 6 3 2 3" xfId="12023" xr:uid="{4EE8CBBF-DEDC-4265-B01D-EA77AA5405A9}"/>
    <cellStyle name="Normal 5 3 6 3 3" xfId="5654" xr:uid="{00000000-0005-0000-0000-0000941A0000}"/>
    <cellStyle name="Normal 5 3 6 3 3 2" xfId="14096" xr:uid="{190D5422-7B52-4C29-BCB1-DB41BC84EFEB}"/>
    <cellStyle name="Normal 5 3 6 3 4" xfId="9878" xr:uid="{53694992-A439-458C-ACEB-EC547B901E48}"/>
    <cellStyle name="Normal 5 3 6 4" xfId="1759" xr:uid="{00000000-0005-0000-0000-0000951A0000}"/>
    <cellStyle name="Normal 5 3 6 4 2" xfId="3989" xr:uid="{00000000-0005-0000-0000-0000961A0000}"/>
    <cellStyle name="Normal 5 3 6 4 2 2" xfId="8212" xr:uid="{00000000-0005-0000-0000-0000971A0000}"/>
    <cellStyle name="Normal 5 3 6 4 2 2 2" xfId="16654" xr:uid="{8D5DA778-9715-4C6C-A8E1-A4515EE85A48}"/>
    <cellStyle name="Normal 5 3 6 4 2 3" xfId="12436" xr:uid="{0942650A-885D-426B-990E-794370EB326E}"/>
    <cellStyle name="Normal 5 3 6 4 3" xfId="6067" xr:uid="{00000000-0005-0000-0000-0000981A0000}"/>
    <cellStyle name="Normal 5 3 6 4 3 2" xfId="14509" xr:uid="{CFC50287-CF2D-4C44-9532-3671C8F3E2BF}"/>
    <cellStyle name="Normal 5 3 6 4 4" xfId="10291" xr:uid="{5BCECDA1-C5BC-4B9B-9DF5-9A18AD08B6C7}"/>
    <cellStyle name="Normal 5 3 6 5" xfId="2173" xr:uid="{00000000-0005-0000-0000-0000991A0000}"/>
    <cellStyle name="Normal 5 3 6 5 2" xfId="4402" xr:uid="{00000000-0005-0000-0000-00009A1A0000}"/>
    <cellStyle name="Normal 5 3 6 5 2 2" xfId="8625" xr:uid="{00000000-0005-0000-0000-00009B1A0000}"/>
    <cellStyle name="Normal 5 3 6 5 2 2 2" xfId="17067" xr:uid="{E6ABF8F1-52B6-4EF9-A261-28864DDDD973}"/>
    <cellStyle name="Normal 5 3 6 5 2 3" xfId="12849" xr:uid="{194B0D8B-3F47-40FD-B358-901D7B5E2F56}"/>
    <cellStyle name="Normal 5 3 6 5 3" xfId="6480" xr:uid="{00000000-0005-0000-0000-00009C1A0000}"/>
    <cellStyle name="Normal 5 3 6 5 3 2" xfId="14922" xr:uid="{4277A234-DBB3-4996-9E4E-0B78626B96CF}"/>
    <cellStyle name="Normal 5 3 6 5 4" xfId="10704" xr:uid="{ACCE8558-5F44-4AB7-9B50-0F272F15E14A}"/>
    <cellStyle name="Normal 5 3 6 6" xfId="2609" xr:uid="{00000000-0005-0000-0000-00009D1A0000}"/>
    <cellStyle name="Normal 5 3 6 6 2" xfId="6893" xr:uid="{00000000-0005-0000-0000-00009E1A0000}"/>
    <cellStyle name="Normal 5 3 6 6 2 2" xfId="15335" xr:uid="{E983B480-F32B-43D0-ADDD-BA0F895F58B1}"/>
    <cellStyle name="Normal 5 3 6 6 3" xfId="11117" xr:uid="{3BECBC83-EC2F-4341-BE9E-29FA1FB532D7}"/>
    <cellStyle name="Normal 5 3 6 7" xfId="4828" xr:uid="{00000000-0005-0000-0000-00009F1A0000}"/>
    <cellStyle name="Normal 5 3 6 7 2" xfId="13270" xr:uid="{CFB8F128-13AB-4BCE-BB34-AD2B86A659F0}"/>
    <cellStyle name="Normal 5 3 6 8" xfId="9052" xr:uid="{1CC8D57F-3319-40C2-B0D6-E4167C30DE7B}"/>
    <cellStyle name="Normal 5 3 7" xfId="913" xr:uid="{00000000-0005-0000-0000-0000A01A0000}"/>
    <cellStyle name="Normal 5 3 7 2" xfId="3148" xr:uid="{00000000-0005-0000-0000-0000A11A0000}"/>
    <cellStyle name="Normal 5 3 7 2 2" xfId="7371" xr:uid="{00000000-0005-0000-0000-0000A21A0000}"/>
    <cellStyle name="Normal 5 3 7 2 2 2" xfId="15813" xr:uid="{2052D7DD-B413-433A-AFBB-94109E5947DC}"/>
    <cellStyle name="Normal 5 3 7 2 3" xfId="11595" xr:uid="{A588C358-DF2F-4520-AC90-8463F3C5DAE8}"/>
    <cellStyle name="Normal 5 3 7 3" xfId="5226" xr:uid="{00000000-0005-0000-0000-0000A31A0000}"/>
    <cellStyle name="Normal 5 3 7 3 2" xfId="13668" xr:uid="{6A8EF02F-5D58-46FD-AD67-E886EC0D8750}"/>
    <cellStyle name="Normal 5 3 7 4" xfId="9450" xr:uid="{50ED2F18-D8D4-463C-88D8-F1B54A87D5BE}"/>
    <cellStyle name="Normal 5 3 8" xfId="1331" xr:uid="{00000000-0005-0000-0000-0000A41A0000}"/>
    <cellStyle name="Normal 5 3 8 2" xfId="3561" xr:uid="{00000000-0005-0000-0000-0000A51A0000}"/>
    <cellStyle name="Normal 5 3 8 2 2" xfId="7784" xr:uid="{00000000-0005-0000-0000-0000A61A0000}"/>
    <cellStyle name="Normal 5 3 8 2 2 2" xfId="16226" xr:uid="{4097B7A0-5988-467F-90FA-93816159BE8B}"/>
    <cellStyle name="Normal 5 3 8 2 3" xfId="12008" xr:uid="{714BF4AD-2AE0-4493-A80C-8A3B6B3BD038}"/>
    <cellStyle name="Normal 5 3 8 3" xfId="5639" xr:uid="{00000000-0005-0000-0000-0000A71A0000}"/>
    <cellStyle name="Normal 5 3 8 3 2" xfId="14081" xr:uid="{D18D36EB-61AC-4716-80DC-17BBD9FB047D}"/>
    <cellStyle name="Normal 5 3 8 4" xfId="9863" xr:uid="{3C8B5DF9-ADEF-45E7-A062-CA45AC0F86B0}"/>
    <cellStyle name="Normal 5 3 9" xfId="1744" xr:uid="{00000000-0005-0000-0000-0000A81A0000}"/>
    <cellStyle name="Normal 5 3 9 2" xfId="3974" xr:uid="{00000000-0005-0000-0000-0000A91A0000}"/>
    <cellStyle name="Normal 5 3 9 2 2" xfId="8197" xr:uid="{00000000-0005-0000-0000-0000AA1A0000}"/>
    <cellStyle name="Normal 5 3 9 2 2 2" xfId="16639" xr:uid="{5BB8D13F-3722-4B8B-81A8-DC027CE099C7}"/>
    <cellStyle name="Normal 5 3 9 2 3" xfId="12421" xr:uid="{D43794E0-A39E-492D-9FC1-3EE641B455A2}"/>
    <cellStyle name="Normal 5 3 9 3" xfId="6052" xr:uid="{00000000-0005-0000-0000-0000AB1A0000}"/>
    <cellStyle name="Normal 5 3 9 3 2" xfId="14494" xr:uid="{22455BC7-1CED-4D15-B0A1-1D95EBF042E4}"/>
    <cellStyle name="Normal 5 3 9 4" xfId="10276" xr:uid="{364B06E4-C08B-4DE4-8C42-DD43E79F985D}"/>
    <cellStyle name="Normal 5 4" xfId="456" xr:uid="{00000000-0005-0000-0000-0000AC1A0000}"/>
    <cellStyle name="Normal 5 4 10" xfId="4829" xr:uid="{00000000-0005-0000-0000-0000AD1A0000}"/>
    <cellStyle name="Normal 5 4 10 2" xfId="13271" xr:uid="{8F7DAAA1-8284-4D6C-8289-FBD4AB90E935}"/>
    <cellStyle name="Normal 5 4 11" xfId="9053" xr:uid="{D7F2D8E5-B2D4-4EB7-8E8A-7F10A0F7C69B}"/>
    <cellStyle name="Normal 5 4 2" xfId="457" xr:uid="{00000000-0005-0000-0000-0000AE1A0000}"/>
    <cellStyle name="Normal 5 4 2 10" xfId="9054" xr:uid="{BCE95A89-4E2F-4066-B36F-E1D7416EF1F3}"/>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2 2 2" xfId="15832" xr:uid="{A7A2D062-B31B-4E8A-9554-8CFFDA7B2AB6}"/>
    <cellStyle name="Normal 5 4 2 2 2 2 2 3" xfId="11614" xr:uid="{45EA493C-5C1D-4E5B-B0AD-444430C5617F}"/>
    <cellStyle name="Normal 5 4 2 2 2 2 3" xfId="5245" xr:uid="{00000000-0005-0000-0000-0000B41A0000}"/>
    <cellStyle name="Normal 5 4 2 2 2 2 3 2" xfId="13687" xr:uid="{44E6936C-7FC6-4807-B46B-E62220CF5514}"/>
    <cellStyle name="Normal 5 4 2 2 2 2 4" xfId="9469" xr:uid="{7608F039-D8B8-4382-8D56-E45DF0F5CD33}"/>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2 2 2" xfId="16245" xr:uid="{C66F875B-7A9F-4F43-A682-4A36109401D5}"/>
    <cellStyle name="Normal 5 4 2 2 2 3 2 3" xfId="12027" xr:uid="{AF6C7E91-ACD8-43E9-8166-CE29609796B7}"/>
    <cellStyle name="Normal 5 4 2 2 2 3 3" xfId="5658" xr:uid="{00000000-0005-0000-0000-0000B81A0000}"/>
    <cellStyle name="Normal 5 4 2 2 2 3 3 2" xfId="14100" xr:uid="{D6B36E87-74A1-4670-8E85-C571817B4FE7}"/>
    <cellStyle name="Normal 5 4 2 2 2 3 4" xfId="9882" xr:uid="{AC471CB5-7EB2-4191-AC09-41DF06391A5C}"/>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2 2 2" xfId="16658" xr:uid="{49E50A0B-C73A-4458-8F5D-12170F8B5691}"/>
    <cellStyle name="Normal 5 4 2 2 2 4 2 3" xfId="12440" xr:uid="{8D551B00-ACDA-44B3-8B13-FB2551E9AE6F}"/>
    <cellStyle name="Normal 5 4 2 2 2 4 3" xfId="6071" xr:uid="{00000000-0005-0000-0000-0000BC1A0000}"/>
    <cellStyle name="Normal 5 4 2 2 2 4 3 2" xfId="14513" xr:uid="{D256A670-3AFF-4FB9-9037-1914359CB1E7}"/>
    <cellStyle name="Normal 5 4 2 2 2 4 4" xfId="10295" xr:uid="{61280F06-CDB3-427B-B1C4-FD3D9C24252C}"/>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2 2 2" xfId="17071" xr:uid="{47D8B374-8F3E-46EF-97D4-7013BF117158}"/>
    <cellStyle name="Normal 5 4 2 2 2 5 2 3" xfId="12853" xr:uid="{2EB4552A-447D-4AF6-8486-1FFC40456CF0}"/>
    <cellStyle name="Normal 5 4 2 2 2 5 3" xfId="6484" xr:uid="{00000000-0005-0000-0000-0000C01A0000}"/>
    <cellStyle name="Normal 5 4 2 2 2 5 3 2" xfId="14926" xr:uid="{9B4F3096-73A4-48AC-948C-69ACED89D682}"/>
    <cellStyle name="Normal 5 4 2 2 2 5 4" xfId="10708" xr:uid="{23B4256B-0CF3-494C-877F-6D4213F34D6B}"/>
    <cellStyle name="Normal 5 4 2 2 2 6" xfId="2613" xr:uid="{00000000-0005-0000-0000-0000C11A0000}"/>
    <cellStyle name="Normal 5 4 2 2 2 6 2" xfId="6897" xr:uid="{00000000-0005-0000-0000-0000C21A0000}"/>
    <cellStyle name="Normal 5 4 2 2 2 6 2 2" xfId="15339" xr:uid="{7B245977-71DD-4DB9-94A5-C4CA5D67D9BC}"/>
    <cellStyle name="Normal 5 4 2 2 2 6 3" xfId="11121" xr:uid="{107B1613-29FC-4BCA-95C9-77ED5118A85D}"/>
    <cellStyle name="Normal 5 4 2 2 2 7" xfId="4832" xr:uid="{00000000-0005-0000-0000-0000C31A0000}"/>
    <cellStyle name="Normal 5 4 2 2 2 7 2" xfId="13274" xr:uid="{ED68F65F-7EB5-431F-9E69-A10AF68AF64E}"/>
    <cellStyle name="Normal 5 4 2 2 2 8" xfId="9056" xr:uid="{AA534B4D-D5B0-4A0A-A3D9-AB1DA5358D1B}"/>
    <cellStyle name="Normal 5 4 2 2 3" xfId="932" xr:uid="{00000000-0005-0000-0000-0000C41A0000}"/>
    <cellStyle name="Normal 5 4 2 2 3 2" xfId="3166" xr:uid="{00000000-0005-0000-0000-0000C51A0000}"/>
    <cellStyle name="Normal 5 4 2 2 3 2 2" xfId="7389" xr:uid="{00000000-0005-0000-0000-0000C61A0000}"/>
    <cellStyle name="Normal 5 4 2 2 3 2 2 2" xfId="15831" xr:uid="{2985FBBF-7A78-4E9E-A360-17063FDA4979}"/>
    <cellStyle name="Normal 5 4 2 2 3 2 3" xfId="11613" xr:uid="{EE57950F-FF08-48FB-B17E-01F07930D6C3}"/>
    <cellStyle name="Normal 5 4 2 2 3 3" xfId="5244" xr:uid="{00000000-0005-0000-0000-0000C71A0000}"/>
    <cellStyle name="Normal 5 4 2 2 3 3 2" xfId="13686" xr:uid="{817A7024-E5F1-4F40-B4B5-1A3665BF8418}"/>
    <cellStyle name="Normal 5 4 2 2 3 4" xfId="9468" xr:uid="{F5566501-604D-4951-A9C2-3F4B0A49F56D}"/>
    <cellStyle name="Normal 5 4 2 2 4" xfId="1349" xr:uid="{00000000-0005-0000-0000-0000C81A0000}"/>
    <cellStyle name="Normal 5 4 2 2 4 2" xfId="3579" xr:uid="{00000000-0005-0000-0000-0000C91A0000}"/>
    <cellStyle name="Normal 5 4 2 2 4 2 2" xfId="7802" xr:uid="{00000000-0005-0000-0000-0000CA1A0000}"/>
    <cellStyle name="Normal 5 4 2 2 4 2 2 2" xfId="16244" xr:uid="{3C81F33A-6BAE-46DC-AE19-18D5A388FF1B}"/>
    <cellStyle name="Normal 5 4 2 2 4 2 3" xfId="12026" xr:uid="{C21A8353-EE56-47D7-8BE3-36D7FDCB24FE}"/>
    <cellStyle name="Normal 5 4 2 2 4 3" xfId="5657" xr:uid="{00000000-0005-0000-0000-0000CB1A0000}"/>
    <cellStyle name="Normal 5 4 2 2 4 3 2" xfId="14099" xr:uid="{35B8A60F-98AB-4B1D-8F86-605A81423623}"/>
    <cellStyle name="Normal 5 4 2 2 4 4" xfId="9881" xr:uid="{23075B2C-6648-4B4F-A194-5ADEB85831AE}"/>
    <cellStyle name="Normal 5 4 2 2 5" xfId="1762" xr:uid="{00000000-0005-0000-0000-0000CC1A0000}"/>
    <cellStyle name="Normal 5 4 2 2 5 2" xfId="3992" xr:uid="{00000000-0005-0000-0000-0000CD1A0000}"/>
    <cellStyle name="Normal 5 4 2 2 5 2 2" xfId="8215" xr:uid="{00000000-0005-0000-0000-0000CE1A0000}"/>
    <cellStyle name="Normal 5 4 2 2 5 2 2 2" xfId="16657" xr:uid="{91AAE642-CBAF-4921-95E1-8BF75466C302}"/>
    <cellStyle name="Normal 5 4 2 2 5 2 3" xfId="12439" xr:uid="{533E0E44-6C4C-403E-B561-FE711EA6C01B}"/>
    <cellStyle name="Normal 5 4 2 2 5 3" xfId="6070" xr:uid="{00000000-0005-0000-0000-0000CF1A0000}"/>
    <cellStyle name="Normal 5 4 2 2 5 3 2" xfId="14512" xr:uid="{29FC0EC5-9B8F-4108-B687-49F9F91246FA}"/>
    <cellStyle name="Normal 5 4 2 2 5 4" xfId="10294" xr:uid="{22C5FCC8-9D7E-45BE-A4B1-6015B46C66C7}"/>
    <cellStyle name="Normal 5 4 2 2 6" xfId="2176" xr:uid="{00000000-0005-0000-0000-0000D01A0000}"/>
    <cellStyle name="Normal 5 4 2 2 6 2" xfId="4405" xr:uid="{00000000-0005-0000-0000-0000D11A0000}"/>
    <cellStyle name="Normal 5 4 2 2 6 2 2" xfId="8628" xr:uid="{00000000-0005-0000-0000-0000D21A0000}"/>
    <cellStyle name="Normal 5 4 2 2 6 2 2 2" xfId="17070" xr:uid="{FBBBBABC-BA70-4DFC-851C-DB9BE78F4F06}"/>
    <cellStyle name="Normal 5 4 2 2 6 2 3" xfId="12852" xr:uid="{AF4EF5C7-1EB8-414A-A776-1A1D2055106B}"/>
    <cellStyle name="Normal 5 4 2 2 6 3" xfId="6483" xr:uid="{00000000-0005-0000-0000-0000D31A0000}"/>
    <cellStyle name="Normal 5 4 2 2 6 3 2" xfId="14925" xr:uid="{CCBAC35D-B676-41E4-8F9C-9428B7525FC2}"/>
    <cellStyle name="Normal 5 4 2 2 6 4" xfId="10707" xr:uid="{C84FDB16-9B58-4657-9889-CABECF353B8A}"/>
    <cellStyle name="Normal 5 4 2 2 7" xfId="2612" xr:uid="{00000000-0005-0000-0000-0000D41A0000}"/>
    <cellStyle name="Normal 5 4 2 2 7 2" xfId="6896" xr:uid="{00000000-0005-0000-0000-0000D51A0000}"/>
    <cellStyle name="Normal 5 4 2 2 7 2 2" xfId="15338" xr:uid="{48712B7C-7BAC-48EE-A0D9-F799513D4DDE}"/>
    <cellStyle name="Normal 5 4 2 2 7 3" xfId="11120" xr:uid="{A3A436BE-AF1E-4529-AC1D-B26082889855}"/>
    <cellStyle name="Normal 5 4 2 2 8" xfId="4831" xr:uid="{00000000-0005-0000-0000-0000D61A0000}"/>
    <cellStyle name="Normal 5 4 2 2 8 2" xfId="13273" xr:uid="{37C35B34-705C-4B43-8EEE-86AA9F6CA982}"/>
    <cellStyle name="Normal 5 4 2 2 9" xfId="9055" xr:uid="{9AEF1C07-AF8F-4DAE-A127-5FA67D2BE5F5}"/>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2 2 2" xfId="15833" xr:uid="{A1C8D961-067F-49C5-85E6-9C9841CAE041}"/>
    <cellStyle name="Normal 5 4 2 3 2 2 3" xfId="11615" xr:uid="{43042AEB-8BF7-47C0-B9F6-77C43313C5A8}"/>
    <cellStyle name="Normal 5 4 2 3 2 3" xfId="5246" xr:uid="{00000000-0005-0000-0000-0000DB1A0000}"/>
    <cellStyle name="Normal 5 4 2 3 2 3 2" xfId="13688" xr:uid="{CD30A84E-6C81-4FEB-8965-0B040714E9C7}"/>
    <cellStyle name="Normal 5 4 2 3 2 4" xfId="9470" xr:uid="{D5DD60B2-E225-4EBA-9DA3-6A9EE1513073}"/>
    <cellStyle name="Normal 5 4 2 3 3" xfId="1351" xr:uid="{00000000-0005-0000-0000-0000DC1A0000}"/>
    <cellStyle name="Normal 5 4 2 3 3 2" xfId="3581" xr:uid="{00000000-0005-0000-0000-0000DD1A0000}"/>
    <cellStyle name="Normal 5 4 2 3 3 2 2" xfId="7804" xr:uid="{00000000-0005-0000-0000-0000DE1A0000}"/>
    <cellStyle name="Normal 5 4 2 3 3 2 2 2" xfId="16246" xr:uid="{660CB381-DA5F-495B-9C62-09BF7A66AB01}"/>
    <cellStyle name="Normal 5 4 2 3 3 2 3" xfId="12028" xr:uid="{1D336A1D-C03F-40B0-8E76-AAC72B606DB9}"/>
    <cellStyle name="Normal 5 4 2 3 3 3" xfId="5659" xr:uid="{00000000-0005-0000-0000-0000DF1A0000}"/>
    <cellStyle name="Normal 5 4 2 3 3 3 2" xfId="14101" xr:uid="{EFF3FAAB-9CF9-4F78-A419-9AF0B81B4E8A}"/>
    <cellStyle name="Normal 5 4 2 3 3 4" xfId="9883" xr:uid="{2740CD1F-FED9-4102-98DF-BC311FCCB03D}"/>
    <cellStyle name="Normal 5 4 2 3 4" xfId="1764" xr:uid="{00000000-0005-0000-0000-0000E01A0000}"/>
    <cellStyle name="Normal 5 4 2 3 4 2" xfId="3994" xr:uid="{00000000-0005-0000-0000-0000E11A0000}"/>
    <cellStyle name="Normal 5 4 2 3 4 2 2" xfId="8217" xr:uid="{00000000-0005-0000-0000-0000E21A0000}"/>
    <cellStyle name="Normal 5 4 2 3 4 2 2 2" xfId="16659" xr:uid="{48DB1F29-B2AD-43D7-867A-7BD75E796AEF}"/>
    <cellStyle name="Normal 5 4 2 3 4 2 3" xfId="12441" xr:uid="{DA6F28D9-4A85-4A38-B27B-D130419DF987}"/>
    <cellStyle name="Normal 5 4 2 3 4 3" xfId="6072" xr:uid="{00000000-0005-0000-0000-0000E31A0000}"/>
    <cellStyle name="Normal 5 4 2 3 4 3 2" xfId="14514" xr:uid="{EC021E86-875B-44A3-8B09-1E7A41DD871A}"/>
    <cellStyle name="Normal 5 4 2 3 4 4" xfId="10296" xr:uid="{245AD7DB-2212-414F-AE51-7E3CBFECCAF0}"/>
    <cellStyle name="Normal 5 4 2 3 5" xfId="2178" xr:uid="{00000000-0005-0000-0000-0000E41A0000}"/>
    <cellStyle name="Normal 5 4 2 3 5 2" xfId="4407" xr:uid="{00000000-0005-0000-0000-0000E51A0000}"/>
    <cellStyle name="Normal 5 4 2 3 5 2 2" xfId="8630" xr:uid="{00000000-0005-0000-0000-0000E61A0000}"/>
    <cellStyle name="Normal 5 4 2 3 5 2 2 2" xfId="17072" xr:uid="{E96C933A-0D27-4366-AA5E-E4B0FE304B73}"/>
    <cellStyle name="Normal 5 4 2 3 5 2 3" xfId="12854" xr:uid="{9634D5E7-6CD2-4FE2-8249-EBB88FEF0875}"/>
    <cellStyle name="Normal 5 4 2 3 5 3" xfId="6485" xr:uid="{00000000-0005-0000-0000-0000E71A0000}"/>
    <cellStyle name="Normal 5 4 2 3 5 3 2" xfId="14927" xr:uid="{0032BC75-0EA1-4205-81FC-FE07ECAD8B07}"/>
    <cellStyle name="Normal 5 4 2 3 5 4" xfId="10709" xr:uid="{B6BE8BFA-982B-48CA-8CD6-D86D4635D228}"/>
    <cellStyle name="Normal 5 4 2 3 6" xfId="2614" xr:uid="{00000000-0005-0000-0000-0000E81A0000}"/>
    <cellStyle name="Normal 5 4 2 3 6 2" xfId="6898" xr:uid="{00000000-0005-0000-0000-0000E91A0000}"/>
    <cellStyle name="Normal 5 4 2 3 6 2 2" xfId="15340" xr:uid="{7CDBBC8E-7EE6-4389-A106-D981482DED0D}"/>
    <cellStyle name="Normal 5 4 2 3 6 3" xfId="11122" xr:uid="{52E64020-89EF-411B-AC07-240BEA753442}"/>
    <cellStyle name="Normal 5 4 2 3 7" xfId="4833" xr:uid="{00000000-0005-0000-0000-0000EA1A0000}"/>
    <cellStyle name="Normal 5 4 2 3 7 2" xfId="13275" xr:uid="{794C3C2E-A55C-4FD5-9E92-3E86B19E930E}"/>
    <cellStyle name="Normal 5 4 2 3 8" xfId="9057" xr:uid="{87C5A2BC-35FD-42F6-9663-F5979BBDB272}"/>
    <cellStyle name="Normal 5 4 2 4" xfId="931" xr:uid="{00000000-0005-0000-0000-0000EB1A0000}"/>
    <cellStyle name="Normal 5 4 2 4 2" xfId="3165" xr:uid="{00000000-0005-0000-0000-0000EC1A0000}"/>
    <cellStyle name="Normal 5 4 2 4 2 2" xfId="7388" xr:uid="{00000000-0005-0000-0000-0000ED1A0000}"/>
    <cellStyle name="Normal 5 4 2 4 2 2 2" xfId="15830" xr:uid="{7783A763-121C-4FD4-AF86-A1DF4392D85D}"/>
    <cellStyle name="Normal 5 4 2 4 2 3" xfId="11612" xr:uid="{97635E31-0D98-4BA3-977E-3E450090490F}"/>
    <cellStyle name="Normal 5 4 2 4 3" xfId="5243" xr:uid="{00000000-0005-0000-0000-0000EE1A0000}"/>
    <cellStyle name="Normal 5 4 2 4 3 2" xfId="13685" xr:uid="{28A94493-C960-4236-8EED-167F28FDFDD4}"/>
    <cellStyle name="Normal 5 4 2 4 4" xfId="9467" xr:uid="{66F0D4CC-8142-486B-9E40-CDBAB223F778}"/>
    <cellStyle name="Normal 5 4 2 5" xfId="1348" xr:uid="{00000000-0005-0000-0000-0000EF1A0000}"/>
    <cellStyle name="Normal 5 4 2 5 2" xfId="3578" xr:uid="{00000000-0005-0000-0000-0000F01A0000}"/>
    <cellStyle name="Normal 5 4 2 5 2 2" xfId="7801" xr:uid="{00000000-0005-0000-0000-0000F11A0000}"/>
    <cellStyle name="Normal 5 4 2 5 2 2 2" xfId="16243" xr:uid="{F22EA920-E148-4219-85FF-A89CD44FC0D4}"/>
    <cellStyle name="Normal 5 4 2 5 2 3" xfId="12025" xr:uid="{FC193A91-9F87-4804-A24B-C5E9FFC95CCA}"/>
    <cellStyle name="Normal 5 4 2 5 3" xfId="5656" xr:uid="{00000000-0005-0000-0000-0000F21A0000}"/>
    <cellStyle name="Normal 5 4 2 5 3 2" xfId="14098" xr:uid="{43759951-CE06-466C-AD9C-AB8F044F5436}"/>
    <cellStyle name="Normal 5 4 2 5 4" xfId="9880" xr:uid="{848371DD-C954-4BA7-912F-2073FFF07987}"/>
    <cellStyle name="Normal 5 4 2 6" xfId="1761" xr:uid="{00000000-0005-0000-0000-0000F31A0000}"/>
    <cellStyle name="Normal 5 4 2 6 2" xfId="3991" xr:uid="{00000000-0005-0000-0000-0000F41A0000}"/>
    <cellStyle name="Normal 5 4 2 6 2 2" xfId="8214" xr:uid="{00000000-0005-0000-0000-0000F51A0000}"/>
    <cellStyle name="Normal 5 4 2 6 2 2 2" xfId="16656" xr:uid="{3396BA00-7B22-4716-BC4E-9F276AB4D92C}"/>
    <cellStyle name="Normal 5 4 2 6 2 3" xfId="12438" xr:uid="{7EB8E70F-18C3-4DE1-BA6C-17BA9AD16E49}"/>
    <cellStyle name="Normal 5 4 2 6 3" xfId="6069" xr:uid="{00000000-0005-0000-0000-0000F61A0000}"/>
    <cellStyle name="Normal 5 4 2 6 3 2" xfId="14511" xr:uid="{C361BFC4-CCFA-4C08-8638-DEC99A169F59}"/>
    <cellStyle name="Normal 5 4 2 6 4" xfId="10293" xr:uid="{3B47E159-7595-4A31-98B2-6DF409BC48AA}"/>
    <cellStyle name="Normal 5 4 2 7" xfId="2175" xr:uid="{00000000-0005-0000-0000-0000F71A0000}"/>
    <cellStyle name="Normal 5 4 2 7 2" xfId="4404" xr:uid="{00000000-0005-0000-0000-0000F81A0000}"/>
    <cellStyle name="Normal 5 4 2 7 2 2" xfId="8627" xr:uid="{00000000-0005-0000-0000-0000F91A0000}"/>
    <cellStyle name="Normal 5 4 2 7 2 2 2" xfId="17069" xr:uid="{F98EB89D-7CB7-4A79-95DB-51440C330E70}"/>
    <cellStyle name="Normal 5 4 2 7 2 3" xfId="12851" xr:uid="{EFE28E75-87F7-4C66-A158-C35BAEB20C1E}"/>
    <cellStyle name="Normal 5 4 2 7 3" xfId="6482" xr:uid="{00000000-0005-0000-0000-0000FA1A0000}"/>
    <cellStyle name="Normal 5 4 2 7 3 2" xfId="14924" xr:uid="{9816931B-A515-4077-A5FD-900FBF6A934B}"/>
    <cellStyle name="Normal 5 4 2 7 4" xfId="10706" xr:uid="{C73EFF09-C211-41DB-AAC0-8F1AA624B832}"/>
    <cellStyle name="Normal 5 4 2 8" xfId="2611" xr:uid="{00000000-0005-0000-0000-0000FB1A0000}"/>
    <cellStyle name="Normal 5 4 2 8 2" xfId="6895" xr:uid="{00000000-0005-0000-0000-0000FC1A0000}"/>
    <cellStyle name="Normal 5 4 2 8 2 2" xfId="15337" xr:uid="{5B471310-8689-49AE-ABC5-81FA8388F791}"/>
    <cellStyle name="Normal 5 4 2 8 3" xfId="11119" xr:uid="{2AAAD20A-01FE-4BE5-B1F8-BE45CF6F42F6}"/>
    <cellStyle name="Normal 5 4 2 9" xfId="4830" xr:uid="{00000000-0005-0000-0000-0000FD1A0000}"/>
    <cellStyle name="Normal 5 4 2 9 2" xfId="13272" xr:uid="{921C5124-4E6D-4C98-90D3-ECB4FF8816C8}"/>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2 2 2" xfId="15835" xr:uid="{8EF79403-4F5B-451C-882A-C1D22F1C2C54}"/>
    <cellStyle name="Normal 5 4 3 2 2 2 3" xfId="11617" xr:uid="{AC114C3E-891D-4566-9D5D-048FCC621056}"/>
    <cellStyle name="Normal 5 4 3 2 2 3" xfId="5248" xr:uid="{00000000-0005-0000-0000-0000031B0000}"/>
    <cellStyle name="Normal 5 4 3 2 2 3 2" xfId="13690" xr:uid="{AD44536B-58E4-466C-9A8C-F5D57245F6E7}"/>
    <cellStyle name="Normal 5 4 3 2 2 4" xfId="9472" xr:uid="{4DE598AF-A731-4FE4-8107-BDF16C2538B9}"/>
    <cellStyle name="Normal 5 4 3 2 3" xfId="1353" xr:uid="{00000000-0005-0000-0000-0000041B0000}"/>
    <cellStyle name="Normal 5 4 3 2 3 2" xfId="3583" xr:uid="{00000000-0005-0000-0000-0000051B0000}"/>
    <cellStyle name="Normal 5 4 3 2 3 2 2" xfId="7806" xr:uid="{00000000-0005-0000-0000-0000061B0000}"/>
    <cellStyle name="Normal 5 4 3 2 3 2 2 2" xfId="16248" xr:uid="{7CCE8133-4CE8-4037-A35B-245AAC3DC5B3}"/>
    <cellStyle name="Normal 5 4 3 2 3 2 3" xfId="12030" xr:uid="{F17871F1-92AA-41F4-8EBB-3BE95A54B464}"/>
    <cellStyle name="Normal 5 4 3 2 3 3" xfId="5661" xr:uid="{00000000-0005-0000-0000-0000071B0000}"/>
    <cellStyle name="Normal 5 4 3 2 3 3 2" xfId="14103" xr:uid="{9B3F9DAF-6411-478E-9CCD-6E8C1126E659}"/>
    <cellStyle name="Normal 5 4 3 2 3 4" xfId="9885" xr:uid="{6D9E9F1E-6D53-43F1-8971-4BD90A4E14A2}"/>
    <cellStyle name="Normal 5 4 3 2 4" xfId="1766" xr:uid="{00000000-0005-0000-0000-0000081B0000}"/>
    <cellStyle name="Normal 5 4 3 2 4 2" xfId="3996" xr:uid="{00000000-0005-0000-0000-0000091B0000}"/>
    <cellStyle name="Normal 5 4 3 2 4 2 2" xfId="8219" xr:uid="{00000000-0005-0000-0000-00000A1B0000}"/>
    <cellStyle name="Normal 5 4 3 2 4 2 2 2" xfId="16661" xr:uid="{329DB1A4-5229-4F8A-A26F-6E0A1D22F05B}"/>
    <cellStyle name="Normal 5 4 3 2 4 2 3" xfId="12443" xr:uid="{23F633C6-648E-4329-89D9-F4D3C9F747F8}"/>
    <cellStyle name="Normal 5 4 3 2 4 3" xfId="6074" xr:uid="{00000000-0005-0000-0000-00000B1B0000}"/>
    <cellStyle name="Normal 5 4 3 2 4 3 2" xfId="14516" xr:uid="{2455CA81-AA1A-433F-B7D0-504C4363E525}"/>
    <cellStyle name="Normal 5 4 3 2 4 4" xfId="10298" xr:uid="{9C17024C-FAD3-47BD-9850-D61CF7A3CF29}"/>
    <cellStyle name="Normal 5 4 3 2 5" xfId="2180" xr:uid="{00000000-0005-0000-0000-00000C1B0000}"/>
    <cellStyle name="Normal 5 4 3 2 5 2" xfId="4409" xr:uid="{00000000-0005-0000-0000-00000D1B0000}"/>
    <cellStyle name="Normal 5 4 3 2 5 2 2" xfId="8632" xr:uid="{00000000-0005-0000-0000-00000E1B0000}"/>
    <cellStyle name="Normal 5 4 3 2 5 2 2 2" xfId="17074" xr:uid="{DB30C5FB-23BC-44E6-BC62-08B93DFABF10}"/>
    <cellStyle name="Normal 5 4 3 2 5 2 3" xfId="12856" xr:uid="{49897786-4139-4B88-BD1D-BE4D7B2BA351}"/>
    <cellStyle name="Normal 5 4 3 2 5 3" xfId="6487" xr:uid="{00000000-0005-0000-0000-00000F1B0000}"/>
    <cellStyle name="Normal 5 4 3 2 5 3 2" xfId="14929" xr:uid="{E7AB2029-96DB-4B1D-84F3-148B49546DB4}"/>
    <cellStyle name="Normal 5 4 3 2 5 4" xfId="10711" xr:uid="{9CBE28AA-6951-4506-BB33-44BD9D047FF9}"/>
    <cellStyle name="Normal 5 4 3 2 6" xfId="2616" xr:uid="{00000000-0005-0000-0000-0000101B0000}"/>
    <cellStyle name="Normal 5 4 3 2 6 2" xfId="6900" xr:uid="{00000000-0005-0000-0000-0000111B0000}"/>
    <cellStyle name="Normal 5 4 3 2 6 2 2" xfId="15342" xr:uid="{2077BADB-EE1A-448D-8751-2723E78BA135}"/>
    <cellStyle name="Normal 5 4 3 2 6 3" xfId="11124" xr:uid="{3D0762DA-4A76-46DC-A8FA-21EB49975886}"/>
    <cellStyle name="Normal 5 4 3 2 7" xfId="4835" xr:uid="{00000000-0005-0000-0000-0000121B0000}"/>
    <cellStyle name="Normal 5 4 3 2 7 2" xfId="13277" xr:uid="{FE8D1A2E-CB33-4165-8F2B-E9520D22839D}"/>
    <cellStyle name="Normal 5 4 3 2 8" xfId="9059" xr:uid="{D0557D6E-9DE7-412B-9B09-46695DAB85B7}"/>
    <cellStyle name="Normal 5 4 3 3" xfId="935" xr:uid="{00000000-0005-0000-0000-0000131B0000}"/>
    <cellStyle name="Normal 5 4 3 3 2" xfId="3169" xr:uid="{00000000-0005-0000-0000-0000141B0000}"/>
    <cellStyle name="Normal 5 4 3 3 2 2" xfId="7392" xr:uid="{00000000-0005-0000-0000-0000151B0000}"/>
    <cellStyle name="Normal 5 4 3 3 2 2 2" xfId="15834" xr:uid="{FF28F704-DB8F-4D34-8906-31884D2E2E27}"/>
    <cellStyle name="Normal 5 4 3 3 2 3" xfId="11616" xr:uid="{732904E0-2D47-4A52-B7B3-6F6378853291}"/>
    <cellStyle name="Normal 5 4 3 3 3" xfId="5247" xr:uid="{00000000-0005-0000-0000-0000161B0000}"/>
    <cellStyle name="Normal 5 4 3 3 3 2" xfId="13689" xr:uid="{0CC5D984-62CC-4B25-A948-B97D13AD9BBB}"/>
    <cellStyle name="Normal 5 4 3 3 4" xfId="9471" xr:uid="{E4618EBB-4ADD-43FF-8E01-319DE047AFAA}"/>
    <cellStyle name="Normal 5 4 3 4" xfId="1352" xr:uid="{00000000-0005-0000-0000-0000171B0000}"/>
    <cellStyle name="Normal 5 4 3 4 2" xfId="3582" xr:uid="{00000000-0005-0000-0000-0000181B0000}"/>
    <cellStyle name="Normal 5 4 3 4 2 2" xfId="7805" xr:uid="{00000000-0005-0000-0000-0000191B0000}"/>
    <cellStyle name="Normal 5 4 3 4 2 2 2" xfId="16247" xr:uid="{DAC2A2D9-DFE9-46AD-881C-0CABED1C4C83}"/>
    <cellStyle name="Normal 5 4 3 4 2 3" xfId="12029" xr:uid="{EC785A38-CD93-40E5-BCA1-C0327D37D630}"/>
    <cellStyle name="Normal 5 4 3 4 3" xfId="5660" xr:uid="{00000000-0005-0000-0000-00001A1B0000}"/>
    <cellStyle name="Normal 5 4 3 4 3 2" xfId="14102" xr:uid="{8E8D05D2-1A23-48E8-BEB0-B163F30AFCC7}"/>
    <cellStyle name="Normal 5 4 3 4 4" xfId="9884" xr:uid="{B3177386-B846-410B-984E-4B306620A05E}"/>
    <cellStyle name="Normal 5 4 3 5" xfId="1765" xr:uid="{00000000-0005-0000-0000-00001B1B0000}"/>
    <cellStyle name="Normal 5 4 3 5 2" xfId="3995" xr:uid="{00000000-0005-0000-0000-00001C1B0000}"/>
    <cellStyle name="Normal 5 4 3 5 2 2" xfId="8218" xr:uid="{00000000-0005-0000-0000-00001D1B0000}"/>
    <cellStyle name="Normal 5 4 3 5 2 2 2" xfId="16660" xr:uid="{BB4B22DE-0CFF-4955-93AC-0BC68FF789AB}"/>
    <cellStyle name="Normal 5 4 3 5 2 3" xfId="12442" xr:uid="{84AA5CAF-9121-48FC-9BCF-75EEE877B51E}"/>
    <cellStyle name="Normal 5 4 3 5 3" xfId="6073" xr:uid="{00000000-0005-0000-0000-00001E1B0000}"/>
    <cellStyle name="Normal 5 4 3 5 3 2" xfId="14515" xr:uid="{0CD42B3A-EB6D-4E1E-A342-B112ECD30B04}"/>
    <cellStyle name="Normal 5 4 3 5 4" xfId="10297" xr:uid="{9FA7B7F7-2800-4D3D-BFB8-20F8300E763F}"/>
    <cellStyle name="Normal 5 4 3 6" xfId="2179" xr:uid="{00000000-0005-0000-0000-00001F1B0000}"/>
    <cellStyle name="Normal 5 4 3 6 2" xfId="4408" xr:uid="{00000000-0005-0000-0000-0000201B0000}"/>
    <cellStyle name="Normal 5 4 3 6 2 2" xfId="8631" xr:uid="{00000000-0005-0000-0000-0000211B0000}"/>
    <cellStyle name="Normal 5 4 3 6 2 2 2" xfId="17073" xr:uid="{B04E7A50-0C7E-4274-8D65-0B7631BA0E32}"/>
    <cellStyle name="Normal 5 4 3 6 2 3" xfId="12855" xr:uid="{635397A3-F5D9-497C-9363-9FADEFFC0B88}"/>
    <cellStyle name="Normal 5 4 3 6 3" xfId="6486" xr:uid="{00000000-0005-0000-0000-0000221B0000}"/>
    <cellStyle name="Normal 5 4 3 6 3 2" xfId="14928" xr:uid="{B521F6A2-195E-4DFB-8512-87D94C8AC064}"/>
    <cellStyle name="Normal 5 4 3 6 4" xfId="10710" xr:uid="{2215A869-A115-418B-B288-C9BD47C05074}"/>
    <cellStyle name="Normal 5 4 3 7" xfId="2615" xr:uid="{00000000-0005-0000-0000-0000231B0000}"/>
    <cellStyle name="Normal 5 4 3 7 2" xfId="6899" xr:uid="{00000000-0005-0000-0000-0000241B0000}"/>
    <cellStyle name="Normal 5 4 3 7 2 2" xfId="15341" xr:uid="{AB09D3A9-CB52-4A34-92C3-844B8F11CA1D}"/>
    <cellStyle name="Normal 5 4 3 7 3" xfId="11123" xr:uid="{1B885485-17A1-4E56-A9AB-F8B710B44140}"/>
    <cellStyle name="Normal 5 4 3 8" xfId="4834" xr:uid="{00000000-0005-0000-0000-0000251B0000}"/>
    <cellStyle name="Normal 5 4 3 8 2" xfId="13276" xr:uid="{1B406FBB-6871-4863-8936-08F48A1B082E}"/>
    <cellStyle name="Normal 5 4 3 9" xfId="9058" xr:uid="{6947A433-626B-4C35-B527-4E8456CEBD9B}"/>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2 2 2" xfId="15836" xr:uid="{6B26A611-9693-41FF-B824-B97EB72E00B1}"/>
    <cellStyle name="Normal 5 4 4 2 2 3" xfId="11618" xr:uid="{3B3A3CBD-7632-44B8-A2F3-E190B1B903A2}"/>
    <cellStyle name="Normal 5 4 4 2 3" xfId="5249" xr:uid="{00000000-0005-0000-0000-00002A1B0000}"/>
    <cellStyle name="Normal 5 4 4 2 3 2" xfId="13691" xr:uid="{74883F91-C076-4529-97E0-DB11A3328324}"/>
    <cellStyle name="Normal 5 4 4 2 4" xfId="9473" xr:uid="{2848EFB2-0E29-40BB-AFE8-30A526C2876D}"/>
    <cellStyle name="Normal 5 4 4 3" xfId="1354" xr:uid="{00000000-0005-0000-0000-00002B1B0000}"/>
    <cellStyle name="Normal 5 4 4 3 2" xfId="3584" xr:uid="{00000000-0005-0000-0000-00002C1B0000}"/>
    <cellStyle name="Normal 5 4 4 3 2 2" xfId="7807" xr:uid="{00000000-0005-0000-0000-00002D1B0000}"/>
    <cellStyle name="Normal 5 4 4 3 2 2 2" xfId="16249" xr:uid="{974548AC-8ACD-4340-B82B-9FD19EF58C1F}"/>
    <cellStyle name="Normal 5 4 4 3 2 3" xfId="12031" xr:uid="{A9098C09-6A51-45B9-B4FC-B99A0E573B1C}"/>
    <cellStyle name="Normal 5 4 4 3 3" xfId="5662" xr:uid="{00000000-0005-0000-0000-00002E1B0000}"/>
    <cellStyle name="Normal 5 4 4 3 3 2" xfId="14104" xr:uid="{FCBF5818-11D3-43B1-A85F-160589A6769C}"/>
    <cellStyle name="Normal 5 4 4 3 4" xfId="9886" xr:uid="{A0810B40-1114-484D-85B4-7A84F13B98C8}"/>
    <cellStyle name="Normal 5 4 4 4" xfId="1767" xr:uid="{00000000-0005-0000-0000-00002F1B0000}"/>
    <cellStyle name="Normal 5 4 4 4 2" xfId="3997" xr:uid="{00000000-0005-0000-0000-0000301B0000}"/>
    <cellStyle name="Normal 5 4 4 4 2 2" xfId="8220" xr:uid="{00000000-0005-0000-0000-0000311B0000}"/>
    <cellStyle name="Normal 5 4 4 4 2 2 2" xfId="16662" xr:uid="{53BF5DA3-62CA-4CF5-AAC6-039D11A5C684}"/>
    <cellStyle name="Normal 5 4 4 4 2 3" xfId="12444" xr:uid="{9B476C8E-B4E9-439D-9777-1CE15054645D}"/>
    <cellStyle name="Normal 5 4 4 4 3" xfId="6075" xr:uid="{00000000-0005-0000-0000-0000321B0000}"/>
    <cellStyle name="Normal 5 4 4 4 3 2" xfId="14517" xr:uid="{074A06ED-E066-4C85-9CD4-497FD67FF6CC}"/>
    <cellStyle name="Normal 5 4 4 4 4" xfId="10299" xr:uid="{E9328825-6FB2-4E3E-B965-698250286A41}"/>
    <cellStyle name="Normal 5 4 4 5" xfId="2181" xr:uid="{00000000-0005-0000-0000-0000331B0000}"/>
    <cellStyle name="Normal 5 4 4 5 2" xfId="4410" xr:uid="{00000000-0005-0000-0000-0000341B0000}"/>
    <cellStyle name="Normal 5 4 4 5 2 2" xfId="8633" xr:uid="{00000000-0005-0000-0000-0000351B0000}"/>
    <cellStyle name="Normal 5 4 4 5 2 2 2" xfId="17075" xr:uid="{C1FC05F5-4402-4584-A719-37B57AF46E73}"/>
    <cellStyle name="Normal 5 4 4 5 2 3" xfId="12857" xr:uid="{09A76C4A-8EA6-49E5-8E55-B0220C7ACCC1}"/>
    <cellStyle name="Normal 5 4 4 5 3" xfId="6488" xr:uid="{00000000-0005-0000-0000-0000361B0000}"/>
    <cellStyle name="Normal 5 4 4 5 3 2" xfId="14930" xr:uid="{EE5B90E4-68F1-402A-8C5B-FCBF5F9A6AB9}"/>
    <cellStyle name="Normal 5 4 4 5 4" xfId="10712" xr:uid="{A3E2CC4C-C722-4D75-9DF6-ECCFF4D22FBB}"/>
    <cellStyle name="Normal 5 4 4 6" xfId="2617" xr:uid="{00000000-0005-0000-0000-0000371B0000}"/>
    <cellStyle name="Normal 5 4 4 6 2" xfId="6901" xr:uid="{00000000-0005-0000-0000-0000381B0000}"/>
    <cellStyle name="Normal 5 4 4 6 2 2" xfId="15343" xr:uid="{414E7835-13A5-4C1F-9D66-C95479BB1122}"/>
    <cellStyle name="Normal 5 4 4 6 3" xfId="11125" xr:uid="{400CFCD9-162D-4E04-97E1-F34322A96FB7}"/>
    <cellStyle name="Normal 5 4 4 7" xfId="4836" xr:uid="{00000000-0005-0000-0000-0000391B0000}"/>
    <cellStyle name="Normal 5 4 4 7 2" xfId="13278" xr:uid="{FEACF85C-BFBB-4560-84B1-3A6F5FB84878}"/>
    <cellStyle name="Normal 5 4 4 8" xfId="9060" xr:uid="{A055D90A-C206-432A-85CD-72913A315D16}"/>
    <cellStyle name="Normal 5 4 5" xfId="930" xr:uid="{00000000-0005-0000-0000-00003A1B0000}"/>
    <cellStyle name="Normal 5 4 5 2" xfId="3164" xr:uid="{00000000-0005-0000-0000-00003B1B0000}"/>
    <cellStyle name="Normal 5 4 5 2 2" xfId="7387" xr:uid="{00000000-0005-0000-0000-00003C1B0000}"/>
    <cellStyle name="Normal 5 4 5 2 2 2" xfId="15829" xr:uid="{2E5FA0CA-C14D-4F62-B369-2AF1FAC53184}"/>
    <cellStyle name="Normal 5 4 5 2 3" xfId="11611" xr:uid="{0AD1CB8B-4A87-4474-9F38-3BC11C55551C}"/>
    <cellStyle name="Normal 5 4 5 3" xfId="5242" xr:uid="{00000000-0005-0000-0000-00003D1B0000}"/>
    <cellStyle name="Normal 5 4 5 3 2" xfId="13684" xr:uid="{C64ED9CC-0B8A-427A-BD84-94572926EE70}"/>
    <cellStyle name="Normal 5 4 5 4" xfId="9466" xr:uid="{864FE5EF-3667-4A9F-9FA1-ED0761B21AE7}"/>
    <cellStyle name="Normal 5 4 6" xfId="1347" xr:uid="{00000000-0005-0000-0000-00003E1B0000}"/>
    <cellStyle name="Normal 5 4 6 2" xfId="3577" xr:uid="{00000000-0005-0000-0000-00003F1B0000}"/>
    <cellStyle name="Normal 5 4 6 2 2" xfId="7800" xr:uid="{00000000-0005-0000-0000-0000401B0000}"/>
    <cellStyle name="Normal 5 4 6 2 2 2" xfId="16242" xr:uid="{C33DDEFA-712F-43A4-9024-31B8DCB42E8E}"/>
    <cellStyle name="Normal 5 4 6 2 3" xfId="12024" xr:uid="{63AEBF84-4CC6-486D-9A2E-5EEE616CF9A5}"/>
    <cellStyle name="Normal 5 4 6 3" xfId="5655" xr:uid="{00000000-0005-0000-0000-0000411B0000}"/>
    <cellStyle name="Normal 5 4 6 3 2" xfId="14097" xr:uid="{2CCE63DF-7C51-49F2-A6C9-DE2761200EA1}"/>
    <cellStyle name="Normal 5 4 6 4" xfId="9879" xr:uid="{76AC7C6F-C2F4-40F0-B36E-2F4EE36F821E}"/>
    <cellStyle name="Normal 5 4 7" xfId="1760" xr:uid="{00000000-0005-0000-0000-0000421B0000}"/>
    <cellStyle name="Normal 5 4 7 2" xfId="3990" xr:uid="{00000000-0005-0000-0000-0000431B0000}"/>
    <cellStyle name="Normal 5 4 7 2 2" xfId="8213" xr:uid="{00000000-0005-0000-0000-0000441B0000}"/>
    <cellStyle name="Normal 5 4 7 2 2 2" xfId="16655" xr:uid="{1100AA60-D0A3-4C26-BF23-0DEF10422546}"/>
    <cellStyle name="Normal 5 4 7 2 3" xfId="12437" xr:uid="{6895C920-B17C-462D-A82F-0B3D8A0DDE06}"/>
    <cellStyle name="Normal 5 4 7 3" xfId="6068" xr:uid="{00000000-0005-0000-0000-0000451B0000}"/>
    <cellStyle name="Normal 5 4 7 3 2" xfId="14510" xr:uid="{69F3B375-E7E7-4D0D-9CE4-14497CE60E6F}"/>
    <cellStyle name="Normal 5 4 7 4" xfId="10292" xr:uid="{ED892A7D-B4D7-42B3-82F4-2EDBB9551CC0}"/>
    <cellStyle name="Normal 5 4 8" xfId="2174" xr:uid="{00000000-0005-0000-0000-0000461B0000}"/>
    <cellStyle name="Normal 5 4 8 2" xfId="4403" xr:uid="{00000000-0005-0000-0000-0000471B0000}"/>
    <cellStyle name="Normal 5 4 8 2 2" xfId="8626" xr:uid="{00000000-0005-0000-0000-0000481B0000}"/>
    <cellStyle name="Normal 5 4 8 2 2 2" xfId="17068" xr:uid="{25158BC2-A678-4AFC-B934-53C743E45C8D}"/>
    <cellStyle name="Normal 5 4 8 2 3" xfId="12850" xr:uid="{81F4B53B-9DD8-4516-8BEB-7AF25579F350}"/>
    <cellStyle name="Normal 5 4 8 3" xfId="6481" xr:uid="{00000000-0005-0000-0000-0000491B0000}"/>
    <cellStyle name="Normal 5 4 8 3 2" xfId="14923" xr:uid="{DBA086D2-D325-4898-810C-438017CE0556}"/>
    <cellStyle name="Normal 5 4 8 4" xfId="10705" xr:uid="{5BB8DC4A-2CE1-4940-B9EE-C29EA2CA4496}"/>
    <cellStyle name="Normal 5 4 9" xfId="2610" xr:uid="{00000000-0005-0000-0000-00004A1B0000}"/>
    <cellStyle name="Normal 5 4 9 2" xfId="6894" xr:uid="{00000000-0005-0000-0000-00004B1B0000}"/>
    <cellStyle name="Normal 5 4 9 2 2" xfId="15336" xr:uid="{37DB73B9-F10E-4710-B859-FC7CAB7C3A59}"/>
    <cellStyle name="Normal 5 4 9 3" xfId="11118" xr:uid="{3ECE355A-A14F-44D4-A306-F120A7FB4C0E}"/>
    <cellStyle name="Normal 5 5" xfId="464" xr:uid="{00000000-0005-0000-0000-00004C1B0000}"/>
    <cellStyle name="Normal 5 5 10" xfId="9061" xr:uid="{E9BB54BE-58E0-4774-9E3F-1C6F09223415}"/>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2 2 2" xfId="15839" xr:uid="{E0B3E265-99F0-4B2F-82E3-AB27975E134B}"/>
    <cellStyle name="Normal 5 5 2 2 2 2 3" xfId="11621" xr:uid="{99E05650-5679-4692-94AF-6C8C0203DA82}"/>
    <cellStyle name="Normal 5 5 2 2 2 3" xfId="5252" xr:uid="{00000000-0005-0000-0000-0000521B0000}"/>
    <cellStyle name="Normal 5 5 2 2 2 3 2" xfId="13694" xr:uid="{0CDC9A71-66A6-4815-AD13-77818BFC0523}"/>
    <cellStyle name="Normal 5 5 2 2 2 4" xfId="9476" xr:uid="{A8787A86-6AA6-4813-A87E-F873F9D6700D}"/>
    <cellStyle name="Normal 5 5 2 2 3" xfId="1357" xr:uid="{00000000-0005-0000-0000-0000531B0000}"/>
    <cellStyle name="Normal 5 5 2 2 3 2" xfId="3587" xr:uid="{00000000-0005-0000-0000-0000541B0000}"/>
    <cellStyle name="Normal 5 5 2 2 3 2 2" xfId="7810" xr:uid="{00000000-0005-0000-0000-0000551B0000}"/>
    <cellStyle name="Normal 5 5 2 2 3 2 2 2" xfId="16252" xr:uid="{355C913F-173B-4C7D-9FA1-B3CA074E27C8}"/>
    <cellStyle name="Normal 5 5 2 2 3 2 3" xfId="12034" xr:uid="{D07141DD-BA1F-42EF-B2B0-C0C53DB66A8A}"/>
    <cellStyle name="Normal 5 5 2 2 3 3" xfId="5665" xr:uid="{00000000-0005-0000-0000-0000561B0000}"/>
    <cellStyle name="Normal 5 5 2 2 3 3 2" xfId="14107" xr:uid="{29960F00-F03C-437A-846B-679C04560A15}"/>
    <cellStyle name="Normal 5 5 2 2 3 4" xfId="9889" xr:uid="{A5C08861-4836-4F57-94AA-44D5F778617F}"/>
    <cellStyle name="Normal 5 5 2 2 4" xfId="1770" xr:uid="{00000000-0005-0000-0000-0000571B0000}"/>
    <cellStyle name="Normal 5 5 2 2 4 2" xfId="4000" xr:uid="{00000000-0005-0000-0000-0000581B0000}"/>
    <cellStyle name="Normal 5 5 2 2 4 2 2" xfId="8223" xr:uid="{00000000-0005-0000-0000-0000591B0000}"/>
    <cellStyle name="Normal 5 5 2 2 4 2 2 2" xfId="16665" xr:uid="{5C7541EB-D8F8-4157-BCFC-D143A462218E}"/>
    <cellStyle name="Normal 5 5 2 2 4 2 3" xfId="12447" xr:uid="{149F268E-9ABC-4BC4-BC70-FB943BA41C5B}"/>
    <cellStyle name="Normal 5 5 2 2 4 3" xfId="6078" xr:uid="{00000000-0005-0000-0000-00005A1B0000}"/>
    <cellStyle name="Normal 5 5 2 2 4 3 2" xfId="14520" xr:uid="{1914A43F-9597-4FA8-BE5C-1F2EEFEC4A3D}"/>
    <cellStyle name="Normal 5 5 2 2 4 4" xfId="10302" xr:uid="{FB6DF282-AF9A-497A-AC4B-EE2032B00AB7}"/>
    <cellStyle name="Normal 5 5 2 2 5" xfId="2184" xr:uid="{00000000-0005-0000-0000-00005B1B0000}"/>
    <cellStyle name="Normal 5 5 2 2 5 2" xfId="4413" xr:uid="{00000000-0005-0000-0000-00005C1B0000}"/>
    <cellStyle name="Normal 5 5 2 2 5 2 2" xfId="8636" xr:uid="{00000000-0005-0000-0000-00005D1B0000}"/>
    <cellStyle name="Normal 5 5 2 2 5 2 2 2" xfId="17078" xr:uid="{10895F32-9282-4F66-9D17-0B2E07651D94}"/>
    <cellStyle name="Normal 5 5 2 2 5 2 3" xfId="12860" xr:uid="{B96BB014-BEF8-482A-8688-4CA61E66FCCC}"/>
    <cellStyle name="Normal 5 5 2 2 5 3" xfId="6491" xr:uid="{00000000-0005-0000-0000-00005E1B0000}"/>
    <cellStyle name="Normal 5 5 2 2 5 3 2" xfId="14933" xr:uid="{A4663713-5E49-466C-A96F-8DEB36C43476}"/>
    <cellStyle name="Normal 5 5 2 2 5 4" xfId="10715" xr:uid="{8E6BACF2-2AA2-426E-96FC-4EAFEBAB1B66}"/>
    <cellStyle name="Normal 5 5 2 2 6" xfId="2620" xr:uid="{00000000-0005-0000-0000-00005F1B0000}"/>
    <cellStyle name="Normal 5 5 2 2 6 2" xfId="6904" xr:uid="{00000000-0005-0000-0000-0000601B0000}"/>
    <cellStyle name="Normal 5 5 2 2 6 2 2" xfId="15346" xr:uid="{95754D43-6FED-4C59-A2AE-1F0A648565A6}"/>
    <cellStyle name="Normal 5 5 2 2 6 3" xfId="11128" xr:uid="{457B5FE5-80D6-4DDF-B35D-F69E5A8CA62E}"/>
    <cellStyle name="Normal 5 5 2 2 7" xfId="4839" xr:uid="{00000000-0005-0000-0000-0000611B0000}"/>
    <cellStyle name="Normal 5 5 2 2 7 2" xfId="13281" xr:uid="{71E0FE00-AD83-41DB-BED2-0E5BA0E6FC26}"/>
    <cellStyle name="Normal 5 5 2 2 8" xfId="9063" xr:uid="{C7FE72B6-C03E-4FE7-B941-FCE2BEB8BF2E}"/>
    <cellStyle name="Normal 5 5 2 3" xfId="939" xr:uid="{00000000-0005-0000-0000-0000621B0000}"/>
    <cellStyle name="Normal 5 5 2 3 2" xfId="3173" xr:uid="{00000000-0005-0000-0000-0000631B0000}"/>
    <cellStyle name="Normal 5 5 2 3 2 2" xfId="7396" xr:uid="{00000000-0005-0000-0000-0000641B0000}"/>
    <cellStyle name="Normal 5 5 2 3 2 2 2" xfId="15838" xr:uid="{C347B27F-3B78-423B-BCB3-EF460765B097}"/>
    <cellStyle name="Normal 5 5 2 3 2 3" xfId="11620" xr:uid="{479E3C4A-F3A3-4E78-8663-50A9793AC92E}"/>
    <cellStyle name="Normal 5 5 2 3 3" xfId="5251" xr:uid="{00000000-0005-0000-0000-0000651B0000}"/>
    <cellStyle name="Normal 5 5 2 3 3 2" xfId="13693" xr:uid="{BA8F429A-551A-42BD-A6B2-A32F6C15112B}"/>
    <cellStyle name="Normal 5 5 2 3 4" xfId="9475" xr:uid="{C9807492-4E98-4D50-B91E-F50E7C6EB67C}"/>
    <cellStyle name="Normal 5 5 2 4" xfId="1356" xr:uid="{00000000-0005-0000-0000-0000661B0000}"/>
    <cellStyle name="Normal 5 5 2 4 2" xfId="3586" xr:uid="{00000000-0005-0000-0000-0000671B0000}"/>
    <cellStyle name="Normal 5 5 2 4 2 2" xfId="7809" xr:uid="{00000000-0005-0000-0000-0000681B0000}"/>
    <cellStyle name="Normal 5 5 2 4 2 2 2" xfId="16251" xr:uid="{1E01175E-6C24-42E0-BD69-0360C96B0850}"/>
    <cellStyle name="Normal 5 5 2 4 2 3" xfId="12033" xr:uid="{9F4853F6-2544-444A-AD38-87452B1187F3}"/>
    <cellStyle name="Normal 5 5 2 4 3" xfId="5664" xr:uid="{00000000-0005-0000-0000-0000691B0000}"/>
    <cellStyle name="Normal 5 5 2 4 3 2" xfId="14106" xr:uid="{A82C6BEE-8BAC-4200-B023-D442EC5A1086}"/>
    <cellStyle name="Normal 5 5 2 4 4" xfId="9888" xr:uid="{3F04BE90-C85D-420D-9BB6-139421DF6B95}"/>
    <cellStyle name="Normal 5 5 2 5" xfId="1769" xr:uid="{00000000-0005-0000-0000-00006A1B0000}"/>
    <cellStyle name="Normal 5 5 2 5 2" xfId="3999" xr:uid="{00000000-0005-0000-0000-00006B1B0000}"/>
    <cellStyle name="Normal 5 5 2 5 2 2" xfId="8222" xr:uid="{00000000-0005-0000-0000-00006C1B0000}"/>
    <cellStyle name="Normal 5 5 2 5 2 2 2" xfId="16664" xr:uid="{9F1D1F2F-5B96-4DA9-9144-2FE316B9E1CF}"/>
    <cellStyle name="Normal 5 5 2 5 2 3" xfId="12446" xr:uid="{155D31EE-BCA6-407F-BDD7-574EBAC1ED63}"/>
    <cellStyle name="Normal 5 5 2 5 3" xfId="6077" xr:uid="{00000000-0005-0000-0000-00006D1B0000}"/>
    <cellStyle name="Normal 5 5 2 5 3 2" xfId="14519" xr:uid="{1D6BF025-4846-491A-A4FE-A02386431392}"/>
    <cellStyle name="Normal 5 5 2 5 4" xfId="10301" xr:uid="{6C0B0E14-F381-49F5-88EC-73D30A32F593}"/>
    <cellStyle name="Normal 5 5 2 6" xfId="2183" xr:uid="{00000000-0005-0000-0000-00006E1B0000}"/>
    <cellStyle name="Normal 5 5 2 6 2" xfId="4412" xr:uid="{00000000-0005-0000-0000-00006F1B0000}"/>
    <cellStyle name="Normal 5 5 2 6 2 2" xfId="8635" xr:uid="{00000000-0005-0000-0000-0000701B0000}"/>
    <cellStyle name="Normal 5 5 2 6 2 2 2" xfId="17077" xr:uid="{F1E35D93-CFC6-4818-84A3-06F9216F36B2}"/>
    <cellStyle name="Normal 5 5 2 6 2 3" xfId="12859" xr:uid="{49865A05-D087-45DA-A9CE-4A378BFA19BC}"/>
    <cellStyle name="Normal 5 5 2 6 3" xfId="6490" xr:uid="{00000000-0005-0000-0000-0000711B0000}"/>
    <cellStyle name="Normal 5 5 2 6 3 2" xfId="14932" xr:uid="{5B40D8B9-541D-4FAA-A7FF-6FA21C4F39F1}"/>
    <cellStyle name="Normal 5 5 2 6 4" xfId="10714" xr:uid="{F68CBEB0-0727-486C-8D30-2EB688216B45}"/>
    <cellStyle name="Normal 5 5 2 7" xfId="2619" xr:uid="{00000000-0005-0000-0000-0000721B0000}"/>
    <cellStyle name="Normal 5 5 2 7 2" xfId="6903" xr:uid="{00000000-0005-0000-0000-0000731B0000}"/>
    <cellStyle name="Normal 5 5 2 7 2 2" xfId="15345" xr:uid="{E7B1A3B1-87E8-479F-8D2B-F680867E2327}"/>
    <cellStyle name="Normal 5 5 2 7 3" xfId="11127" xr:uid="{44B333B0-A90C-43CD-8E3F-966E04108F8E}"/>
    <cellStyle name="Normal 5 5 2 8" xfId="4838" xr:uid="{00000000-0005-0000-0000-0000741B0000}"/>
    <cellStyle name="Normal 5 5 2 8 2" xfId="13280" xr:uid="{D44B1F6A-2800-412B-B6A5-35133260BDA9}"/>
    <cellStyle name="Normal 5 5 2 9" xfId="9062" xr:uid="{5FBA1B14-C8DE-4C0F-833A-A13056871049}"/>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2 2 2" xfId="15840" xr:uid="{8F5FBE2E-51F4-4435-8E10-CE6D50F8BBF8}"/>
    <cellStyle name="Normal 5 5 3 2 2 3" xfId="11622" xr:uid="{ED564D90-D2B5-40E2-B8A4-D68FF5D8EAED}"/>
    <cellStyle name="Normal 5 5 3 2 3" xfId="5253" xr:uid="{00000000-0005-0000-0000-0000791B0000}"/>
    <cellStyle name="Normal 5 5 3 2 3 2" xfId="13695" xr:uid="{6325B097-23EC-4B14-86E3-73FD9D17DA01}"/>
    <cellStyle name="Normal 5 5 3 2 4" xfId="9477" xr:uid="{2AE2584E-5171-4DD1-9F64-82E0B992AEC4}"/>
    <cellStyle name="Normal 5 5 3 3" xfId="1358" xr:uid="{00000000-0005-0000-0000-00007A1B0000}"/>
    <cellStyle name="Normal 5 5 3 3 2" xfId="3588" xr:uid="{00000000-0005-0000-0000-00007B1B0000}"/>
    <cellStyle name="Normal 5 5 3 3 2 2" xfId="7811" xr:uid="{00000000-0005-0000-0000-00007C1B0000}"/>
    <cellStyle name="Normal 5 5 3 3 2 2 2" xfId="16253" xr:uid="{BC268252-4745-4A18-A534-571CB0189B18}"/>
    <cellStyle name="Normal 5 5 3 3 2 3" xfId="12035" xr:uid="{C4982E7F-C424-41D7-8DAA-124EDA3ACDC1}"/>
    <cellStyle name="Normal 5 5 3 3 3" xfId="5666" xr:uid="{00000000-0005-0000-0000-00007D1B0000}"/>
    <cellStyle name="Normal 5 5 3 3 3 2" xfId="14108" xr:uid="{410E0E9E-725A-494F-8AE8-3264A69526AF}"/>
    <cellStyle name="Normal 5 5 3 3 4" xfId="9890" xr:uid="{123E2CA7-BA4E-4BD0-BF17-8B5DAF8463AE}"/>
    <cellStyle name="Normal 5 5 3 4" xfId="1771" xr:uid="{00000000-0005-0000-0000-00007E1B0000}"/>
    <cellStyle name="Normal 5 5 3 4 2" xfId="4001" xr:uid="{00000000-0005-0000-0000-00007F1B0000}"/>
    <cellStyle name="Normal 5 5 3 4 2 2" xfId="8224" xr:uid="{00000000-0005-0000-0000-0000801B0000}"/>
    <cellStyle name="Normal 5 5 3 4 2 2 2" xfId="16666" xr:uid="{3133CC7A-8CBF-4431-ACAD-181D19E27226}"/>
    <cellStyle name="Normal 5 5 3 4 2 3" xfId="12448" xr:uid="{E4C8B21C-74F0-498E-9E11-AA5236790CA6}"/>
    <cellStyle name="Normal 5 5 3 4 3" xfId="6079" xr:uid="{00000000-0005-0000-0000-0000811B0000}"/>
    <cellStyle name="Normal 5 5 3 4 3 2" xfId="14521" xr:uid="{5A124CA8-D92C-4A28-B466-3C8F169782CA}"/>
    <cellStyle name="Normal 5 5 3 4 4" xfId="10303" xr:uid="{ACFD7BAF-DB42-43CD-B478-A748696B75B5}"/>
    <cellStyle name="Normal 5 5 3 5" xfId="2185" xr:uid="{00000000-0005-0000-0000-0000821B0000}"/>
    <cellStyle name="Normal 5 5 3 5 2" xfId="4414" xr:uid="{00000000-0005-0000-0000-0000831B0000}"/>
    <cellStyle name="Normal 5 5 3 5 2 2" xfId="8637" xr:uid="{00000000-0005-0000-0000-0000841B0000}"/>
    <cellStyle name="Normal 5 5 3 5 2 2 2" xfId="17079" xr:uid="{5A41BE23-7427-4558-83AF-F6D50A0B3059}"/>
    <cellStyle name="Normal 5 5 3 5 2 3" xfId="12861" xr:uid="{43D95A5B-0EA6-40E3-88F4-5FDE8E3FEE89}"/>
    <cellStyle name="Normal 5 5 3 5 3" xfId="6492" xr:uid="{00000000-0005-0000-0000-0000851B0000}"/>
    <cellStyle name="Normal 5 5 3 5 3 2" xfId="14934" xr:uid="{8BFB479E-949D-41E4-B1EE-EB6224AEA801}"/>
    <cellStyle name="Normal 5 5 3 5 4" xfId="10716" xr:uid="{001DEBC7-28EE-4DF8-AF36-DF007ECC5F07}"/>
    <cellStyle name="Normal 5 5 3 6" xfId="2621" xr:uid="{00000000-0005-0000-0000-0000861B0000}"/>
    <cellStyle name="Normal 5 5 3 6 2" xfId="6905" xr:uid="{00000000-0005-0000-0000-0000871B0000}"/>
    <cellStyle name="Normal 5 5 3 6 2 2" xfId="15347" xr:uid="{B585FE92-EF5A-4E7E-93E6-C134DF9040FA}"/>
    <cellStyle name="Normal 5 5 3 6 3" xfId="11129" xr:uid="{082C3B0E-BF70-4894-B777-918DC8EEC5D6}"/>
    <cellStyle name="Normal 5 5 3 7" xfId="4840" xr:uid="{00000000-0005-0000-0000-0000881B0000}"/>
    <cellStyle name="Normal 5 5 3 7 2" xfId="13282" xr:uid="{A8A0EE83-9E4F-41F9-BC83-C7DD8B922EF7}"/>
    <cellStyle name="Normal 5 5 3 8" xfId="9064" xr:uid="{CE651239-A054-473E-B95E-F4F7D84B70D9}"/>
    <cellStyle name="Normal 5 5 4" xfId="938" xr:uid="{00000000-0005-0000-0000-0000891B0000}"/>
    <cellStyle name="Normal 5 5 4 2" xfId="3172" xr:uid="{00000000-0005-0000-0000-00008A1B0000}"/>
    <cellStyle name="Normal 5 5 4 2 2" xfId="7395" xr:uid="{00000000-0005-0000-0000-00008B1B0000}"/>
    <cellStyle name="Normal 5 5 4 2 2 2" xfId="15837" xr:uid="{151B0E14-FA78-4310-8D62-3201FF776D10}"/>
    <cellStyle name="Normal 5 5 4 2 3" xfId="11619" xr:uid="{C5861D93-91D9-4F3C-BBAB-5EA92792DC20}"/>
    <cellStyle name="Normal 5 5 4 3" xfId="5250" xr:uid="{00000000-0005-0000-0000-00008C1B0000}"/>
    <cellStyle name="Normal 5 5 4 3 2" xfId="13692" xr:uid="{CA3C1D7F-E365-4879-B819-7DDEDDFA3CAD}"/>
    <cellStyle name="Normal 5 5 4 4" xfId="9474" xr:uid="{2218AE01-F5D5-49E0-9103-60836C9B9F7D}"/>
    <cellStyle name="Normal 5 5 5" xfId="1355" xr:uid="{00000000-0005-0000-0000-00008D1B0000}"/>
    <cellStyle name="Normal 5 5 5 2" xfId="3585" xr:uid="{00000000-0005-0000-0000-00008E1B0000}"/>
    <cellStyle name="Normal 5 5 5 2 2" xfId="7808" xr:uid="{00000000-0005-0000-0000-00008F1B0000}"/>
    <cellStyle name="Normal 5 5 5 2 2 2" xfId="16250" xr:uid="{5AFF114D-0C3F-4E19-8503-7169BEB7CE9F}"/>
    <cellStyle name="Normal 5 5 5 2 3" xfId="12032" xr:uid="{98547C27-2CE0-4F47-92CD-521F88661AA0}"/>
    <cellStyle name="Normal 5 5 5 3" xfId="5663" xr:uid="{00000000-0005-0000-0000-0000901B0000}"/>
    <cellStyle name="Normal 5 5 5 3 2" xfId="14105" xr:uid="{F2C79EBF-56F4-4036-9E3E-1B61B37216E9}"/>
    <cellStyle name="Normal 5 5 5 4" xfId="9887" xr:uid="{4EE07251-8295-4988-9DC5-C5D46DCD8627}"/>
    <cellStyle name="Normal 5 5 6" xfId="1768" xr:uid="{00000000-0005-0000-0000-0000911B0000}"/>
    <cellStyle name="Normal 5 5 6 2" xfId="3998" xr:uid="{00000000-0005-0000-0000-0000921B0000}"/>
    <cellStyle name="Normal 5 5 6 2 2" xfId="8221" xr:uid="{00000000-0005-0000-0000-0000931B0000}"/>
    <cellStyle name="Normal 5 5 6 2 2 2" xfId="16663" xr:uid="{30838A62-BAC1-41CF-ACCD-8ADABFF0B582}"/>
    <cellStyle name="Normal 5 5 6 2 3" xfId="12445" xr:uid="{38810F94-EC16-45C5-8826-775619A74D87}"/>
    <cellStyle name="Normal 5 5 6 3" xfId="6076" xr:uid="{00000000-0005-0000-0000-0000941B0000}"/>
    <cellStyle name="Normal 5 5 6 3 2" xfId="14518" xr:uid="{5E2423BC-1384-4CDF-8F7F-18F6104C3FB7}"/>
    <cellStyle name="Normal 5 5 6 4" xfId="10300" xr:uid="{CF4FB28E-3FA4-452C-B17C-CEDDD9B912AA}"/>
    <cellStyle name="Normal 5 5 7" xfId="2182" xr:uid="{00000000-0005-0000-0000-0000951B0000}"/>
    <cellStyle name="Normal 5 5 7 2" xfId="4411" xr:uid="{00000000-0005-0000-0000-0000961B0000}"/>
    <cellStyle name="Normal 5 5 7 2 2" xfId="8634" xr:uid="{00000000-0005-0000-0000-0000971B0000}"/>
    <cellStyle name="Normal 5 5 7 2 2 2" xfId="17076" xr:uid="{C79B9252-0D34-4A2A-90C7-406C9FFA1043}"/>
    <cellStyle name="Normal 5 5 7 2 3" xfId="12858" xr:uid="{7E3A149A-5FCB-4620-99B2-D19A0555A4B1}"/>
    <cellStyle name="Normal 5 5 7 3" xfId="6489" xr:uid="{00000000-0005-0000-0000-0000981B0000}"/>
    <cellStyle name="Normal 5 5 7 3 2" xfId="14931" xr:uid="{FBA9F5B2-A5BF-4873-B819-D58B414FABD2}"/>
    <cellStyle name="Normal 5 5 7 4" xfId="10713" xr:uid="{5EA122D9-E194-4CD3-A0A1-61A11AC95CE9}"/>
    <cellStyle name="Normal 5 5 8" xfId="2618" xr:uid="{00000000-0005-0000-0000-0000991B0000}"/>
    <cellStyle name="Normal 5 5 8 2" xfId="6902" xr:uid="{00000000-0005-0000-0000-00009A1B0000}"/>
    <cellStyle name="Normal 5 5 8 2 2" xfId="15344" xr:uid="{30565F28-F71D-4EB0-B414-B1BE8572FDEF}"/>
    <cellStyle name="Normal 5 5 8 3" xfId="11126" xr:uid="{553C819A-44D7-4D9B-AC60-8689596D0A27}"/>
    <cellStyle name="Normal 5 5 9" xfId="4837" xr:uid="{00000000-0005-0000-0000-00009B1B0000}"/>
    <cellStyle name="Normal 5 5 9 2" xfId="13279" xr:uid="{8B541DA5-0273-4C06-95B7-353932E1FB96}"/>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2 2 2" xfId="15842" xr:uid="{0A32CF4B-7F71-451A-9E1E-0C9FEE2DA7A0}"/>
    <cellStyle name="Normal 5 6 2 2 2 3" xfId="11624" xr:uid="{43EA0FDE-1446-4C75-9C13-721FA505BAE2}"/>
    <cellStyle name="Normal 5 6 2 2 3" xfId="5255" xr:uid="{00000000-0005-0000-0000-0000A11B0000}"/>
    <cellStyle name="Normal 5 6 2 2 3 2" xfId="13697" xr:uid="{3FF4F5E2-A4C4-43AC-ACA2-B43286D38FAF}"/>
    <cellStyle name="Normal 5 6 2 2 4" xfId="9479" xr:uid="{23EAAB8E-0E0D-459D-8E2C-6E627AA98A33}"/>
    <cellStyle name="Normal 5 6 2 3" xfId="1360" xr:uid="{00000000-0005-0000-0000-0000A21B0000}"/>
    <cellStyle name="Normal 5 6 2 3 2" xfId="3590" xr:uid="{00000000-0005-0000-0000-0000A31B0000}"/>
    <cellStyle name="Normal 5 6 2 3 2 2" xfId="7813" xr:uid="{00000000-0005-0000-0000-0000A41B0000}"/>
    <cellStyle name="Normal 5 6 2 3 2 2 2" xfId="16255" xr:uid="{89E3A006-6436-47A2-83C6-E2F41205D0DE}"/>
    <cellStyle name="Normal 5 6 2 3 2 3" xfId="12037" xr:uid="{0CF2D0E3-17A7-4B14-B126-A37EE34D6A5B}"/>
    <cellStyle name="Normal 5 6 2 3 3" xfId="5668" xr:uid="{00000000-0005-0000-0000-0000A51B0000}"/>
    <cellStyle name="Normal 5 6 2 3 3 2" xfId="14110" xr:uid="{30707EBE-4A3B-4661-BDFB-5EDF3C84A081}"/>
    <cellStyle name="Normal 5 6 2 3 4" xfId="9892" xr:uid="{4072678C-C5E5-4148-B971-78DE0331E70E}"/>
    <cellStyle name="Normal 5 6 2 4" xfId="1773" xr:uid="{00000000-0005-0000-0000-0000A61B0000}"/>
    <cellStyle name="Normal 5 6 2 4 2" xfId="4003" xr:uid="{00000000-0005-0000-0000-0000A71B0000}"/>
    <cellStyle name="Normal 5 6 2 4 2 2" xfId="8226" xr:uid="{00000000-0005-0000-0000-0000A81B0000}"/>
    <cellStyle name="Normal 5 6 2 4 2 2 2" xfId="16668" xr:uid="{9115B052-580F-4FB9-8A5F-2DA8301D3386}"/>
    <cellStyle name="Normal 5 6 2 4 2 3" xfId="12450" xr:uid="{F29B2A87-42A7-4FAF-89BD-AFA57F77C867}"/>
    <cellStyle name="Normal 5 6 2 4 3" xfId="6081" xr:uid="{00000000-0005-0000-0000-0000A91B0000}"/>
    <cellStyle name="Normal 5 6 2 4 3 2" xfId="14523" xr:uid="{E8C74D25-B393-467B-A38A-CB5E448C85EA}"/>
    <cellStyle name="Normal 5 6 2 4 4" xfId="10305" xr:uid="{FFD688DE-668D-47A9-A2CB-805EB0060A3E}"/>
    <cellStyle name="Normal 5 6 2 5" xfId="2187" xr:uid="{00000000-0005-0000-0000-0000AA1B0000}"/>
    <cellStyle name="Normal 5 6 2 5 2" xfId="4416" xr:uid="{00000000-0005-0000-0000-0000AB1B0000}"/>
    <cellStyle name="Normal 5 6 2 5 2 2" xfId="8639" xr:uid="{00000000-0005-0000-0000-0000AC1B0000}"/>
    <cellStyle name="Normal 5 6 2 5 2 2 2" xfId="17081" xr:uid="{3AB5838B-B7F0-4537-B021-00073698D60C}"/>
    <cellStyle name="Normal 5 6 2 5 2 3" xfId="12863" xr:uid="{69807309-12B4-43C9-952E-680DBC0BDA67}"/>
    <cellStyle name="Normal 5 6 2 5 3" xfId="6494" xr:uid="{00000000-0005-0000-0000-0000AD1B0000}"/>
    <cellStyle name="Normal 5 6 2 5 3 2" xfId="14936" xr:uid="{8C75CA79-0527-477C-9032-A2D418CE168E}"/>
    <cellStyle name="Normal 5 6 2 5 4" xfId="10718" xr:uid="{3D490CEE-6430-4C6E-AC42-81F6C9C3A10B}"/>
    <cellStyle name="Normal 5 6 2 6" xfId="2623" xr:uid="{00000000-0005-0000-0000-0000AE1B0000}"/>
    <cellStyle name="Normal 5 6 2 6 2" xfId="6907" xr:uid="{00000000-0005-0000-0000-0000AF1B0000}"/>
    <cellStyle name="Normal 5 6 2 6 2 2" xfId="15349" xr:uid="{04DD4B57-38BB-4153-BBF5-DB6A7395175C}"/>
    <cellStyle name="Normal 5 6 2 6 3" xfId="11131" xr:uid="{253A6702-24BB-42EF-9576-0ACA9691D397}"/>
    <cellStyle name="Normal 5 6 2 7" xfId="4842" xr:uid="{00000000-0005-0000-0000-0000B01B0000}"/>
    <cellStyle name="Normal 5 6 2 7 2" xfId="13284" xr:uid="{E174E196-67E0-4C7A-B489-831E58891B94}"/>
    <cellStyle name="Normal 5 6 2 8" xfId="9066" xr:uid="{79A626C6-68AF-48CA-B741-863F96AE8408}"/>
    <cellStyle name="Normal 5 6 3" xfId="942" xr:uid="{00000000-0005-0000-0000-0000B11B0000}"/>
    <cellStyle name="Normal 5 6 3 2" xfId="3176" xr:uid="{00000000-0005-0000-0000-0000B21B0000}"/>
    <cellStyle name="Normal 5 6 3 2 2" xfId="7399" xr:uid="{00000000-0005-0000-0000-0000B31B0000}"/>
    <cellStyle name="Normal 5 6 3 2 2 2" xfId="15841" xr:uid="{D6501C7D-4876-4DEF-804F-6467B6277F9F}"/>
    <cellStyle name="Normal 5 6 3 2 3" xfId="11623" xr:uid="{CE6E324C-D8DA-4179-8E12-4D44E25DBF20}"/>
    <cellStyle name="Normal 5 6 3 3" xfId="5254" xr:uid="{00000000-0005-0000-0000-0000B41B0000}"/>
    <cellStyle name="Normal 5 6 3 3 2" xfId="13696" xr:uid="{ACEB102E-918B-492B-BEE3-E7DF39813050}"/>
    <cellStyle name="Normal 5 6 3 4" xfId="9478" xr:uid="{66EA5F0A-94DA-4F2E-8C4B-5173022C4B87}"/>
    <cellStyle name="Normal 5 6 4" xfId="1359" xr:uid="{00000000-0005-0000-0000-0000B51B0000}"/>
    <cellStyle name="Normal 5 6 4 2" xfId="3589" xr:uid="{00000000-0005-0000-0000-0000B61B0000}"/>
    <cellStyle name="Normal 5 6 4 2 2" xfId="7812" xr:uid="{00000000-0005-0000-0000-0000B71B0000}"/>
    <cellStyle name="Normal 5 6 4 2 2 2" xfId="16254" xr:uid="{BF14A048-1720-4F50-A555-74BF568B7609}"/>
    <cellStyle name="Normal 5 6 4 2 3" xfId="12036" xr:uid="{5443C6F5-5B6F-415B-8290-0026C9CFDF68}"/>
    <cellStyle name="Normal 5 6 4 3" xfId="5667" xr:uid="{00000000-0005-0000-0000-0000B81B0000}"/>
    <cellStyle name="Normal 5 6 4 3 2" xfId="14109" xr:uid="{9FE1CA10-FE40-463B-812D-34E29E41C966}"/>
    <cellStyle name="Normal 5 6 4 4" xfId="9891" xr:uid="{D008B74F-6196-4B2A-86EB-79C5C1E6DF23}"/>
    <cellStyle name="Normal 5 6 5" xfId="1772" xr:uid="{00000000-0005-0000-0000-0000B91B0000}"/>
    <cellStyle name="Normal 5 6 5 2" xfId="4002" xr:uid="{00000000-0005-0000-0000-0000BA1B0000}"/>
    <cellStyle name="Normal 5 6 5 2 2" xfId="8225" xr:uid="{00000000-0005-0000-0000-0000BB1B0000}"/>
    <cellStyle name="Normal 5 6 5 2 2 2" xfId="16667" xr:uid="{9719BA25-546D-4776-B384-CEA84749E5B0}"/>
    <cellStyle name="Normal 5 6 5 2 3" xfId="12449" xr:uid="{1571A4D9-B286-46F7-9995-DC449CA14FB6}"/>
    <cellStyle name="Normal 5 6 5 3" xfId="6080" xr:uid="{00000000-0005-0000-0000-0000BC1B0000}"/>
    <cellStyle name="Normal 5 6 5 3 2" xfId="14522" xr:uid="{C5E948D4-0E2D-4471-851A-267BFF39398D}"/>
    <cellStyle name="Normal 5 6 5 4" xfId="10304" xr:uid="{D3D1408F-87B9-4E90-B309-26E7E0876606}"/>
    <cellStyle name="Normal 5 6 6" xfId="2186" xr:uid="{00000000-0005-0000-0000-0000BD1B0000}"/>
    <cellStyle name="Normal 5 6 6 2" xfId="4415" xr:uid="{00000000-0005-0000-0000-0000BE1B0000}"/>
    <cellStyle name="Normal 5 6 6 2 2" xfId="8638" xr:uid="{00000000-0005-0000-0000-0000BF1B0000}"/>
    <cellStyle name="Normal 5 6 6 2 2 2" xfId="17080" xr:uid="{6379670B-E329-4CA7-B348-B1A9D51EE5CB}"/>
    <cellStyle name="Normal 5 6 6 2 3" xfId="12862" xr:uid="{F1081C97-1C52-46E4-9112-037F36663276}"/>
    <cellStyle name="Normal 5 6 6 3" xfId="6493" xr:uid="{00000000-0005-0000-0000-0000C01B0000}"/>
    <cellStyle name="Normal 5 6 6 3 2" xfId="14935" xr:uid="{13896B47-CFC2-4BC7-A9F1-D11A7030671E}"/>
    <cellStyle name="Normal 5 6 6 4" xfId="10717" xr:uid="{8AB70563-357E-4EDF-83A8-58FEE7AE519F}"/>
    <cellStyle name="Normal 5 6 7" xfId="2622" xr:uid="{00000000-0005-0000-0000-0000C11B0000}"/>
    <cellStyle name="Normal 5 6 7 2" xfId="6906" xr:uid="{00000000-0005-0000-0000-0000C21B0000}"/>
    <cellStyle name="Normal 5 6 7 2 2" xfId="15348" xr:uid="{CA7BD2D9-725F-42C5-8984-B095C5C796C3}"/>
    <cellStyle name="Normal 5 6 7 3" xfId="11130" xr:uid="{51E8DBC1-EED1-4A9B-A9C1-B35A6D287513}"/>
    <cellStyle name="Normal 5 6 8" xfId="4841" xr:uid="{00000000-0005-0000-0000-0000C31B0000}"/>
    <cellStyle name="Normal 5 6 8 2" xfId="13283" xr:uid="{300E92B0-756F-41A0-9C31-F8581638B6EB}"/>
    <cellStyle name="Normal 5 6 9" xfId="9065" xr:uid="{57322F42-9E52-4A64-93DF-895C2E3F07A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2 2 2" xfId="15843" xr:uid="{55EFFE31-930D-417D-B57D-D32648655FCB}"/>
    <cellStyle name="Normal 5 7 2 2 3" xfId="11625" xr:uid="{3140A4FA-1D51-4980-87A3-D0958E03B51F}"/>
    <cellStyle name="Normal 5 7 2 3" xfId="5256" xr:uid="{00000000-0005-0000-0000-0000C81B0000}"/>
    <cellStyle name="Normal 5 7 2 3 2" xfId="13698" xr:uid="{A4A512EF-CCDA-4CE0-A840-6B81B77563C4}"/>
    <cellStyle name="Normal 5 7 2 4" xfId="9480" xr:uid="{6DAC1060-96E7-4FA9-A77D-48EBE8D7D9EB}"/>
    <cellStyle name="Normal 5 7 3" xfId="1361" xr:uid="{00000000-0005-0000-0000-0000C91B0000}"/>
    <cellStyle name="Normal 5 7 3 2" xfId="3591" xr:uid="{00000000-0005-0000-0000-0000CA1B0000}"/>
    <cellStyle name="Normal 5 7 3 2 2" xfId="7814" xr:uid="{00000000-0005-0000-0000-0000CB1B0000}"/>
    <cellStyle name="Normal 5 7 3 2 2 2" xfId="16256" xr:uid="{C612F162-51F7-4694-84F3-E22DBC6B1DB5}"/>
    <cellStyle name="Normal 5 7 3 2 3" xfId="12038" xr:uid="{96E40673-F3E5-43AD-9D77-A22D7583C10F}"/>
    <cellStyle name="Normal 5 7 3 3" xfId="5669" xr:uid="{00000000-0005-0000-0000-0000CC1B0000}"/>
    <cellStyle name="Normal 5 7 3 3 2" xfId="14111" xr:uid="{AD401ABC-4567-4A41-90FC-23ADBBB32EAD}"/>
    <cellStyle name="Normal 5 7 3 4" xfId="9893" xr:uid="{47BC91A3-51BE-4CB9-9E3F-33AB811F2C29}"/>
    <cellStyle name="Normal 5 7 4" xfId="1774" xr:uid="{00000000-0005-0000-0000-0000CD1B0000}"/>
    <cellStyle name="Normal 5 7 4 2" xfId="4004" xr:uid="{00000000-0005-0000-0000-0000CE1B0000}"/>
    <cellStyle name="Normal 5 7 4 2 2" xfId="8227" xr:uid="{00000000-0005-0000-0000-0000CF1B0000}"/>
    <cellStyle name="Normal 5 7 4 2 2 2" xfId="16669" xr:uid="{0F14D67A-0E50-4029-A360-0B3F48C48C46}"/>
    <cellStyle name="Normal 5 7 4 2 3" xfId="12451" xr:uid="{36255CCE-CBC1-4867-9ADD-C52B732B8650}"/>
    <cellStyle name="Normal 5 7 4 3" xfId="6082" xr:uid="{00000000-0005-0000-0000-0000D01B0000}"/>
    <cellStyle name="Normal 5 7 4 3 2" xfId="14524" xr:uid="{3EE1E2DA-950B-49DF-857C-B2315D72C1AE}"/>
    <cellStyle name="Normal 5 7 4 4" xfId="10306" xr:uid="{3A321DD5-9F18-46B4-8E12-9A13EA477741}"/>
    <cellStyle name="Normal 5 7 5" xfId="2188" xr:uid="{00000000-0005-0000-0000-0000D11B0000}"/>
    <cellStyle name="Normal 5 7 5 2" xfId="4417" xr:uid="{00000000-0005-0000-0000-0000D21B0000}"/>
    <cellStyle name="Normal 5 7 5 2 2" xfId="8640" xr:uid="{00000000-0005-0000-0000-0000D31B0000}"/>
    <cellStyle name="Normal 5 7 5 2 2 2" xfId="17082" xr:uid="{485B390F-5DB5-446C-9575-10D1D82A8AE9}"/>
    <cellStyle name="Normal 5 7 5 2 3" xfId="12864" xr:uid="{0BBCBA92-15DF-4FE0-A854-A294345582EB}"/>
    <cellStyle name="Normal 5 7 5 3" xfId="6495" xr:uid="{00000000-0005-0000-0000-0000D41B0000}"/>
    <cellStyle name="Normal 5 7 5 3 2" xfId="14937" xr:uid="{F80AD2BA-3174-4B99-8190-F93B6D742883}"/>
    <cellStyle name="Normal 5 7 5 4" xfId="10719" xr:uid="{A8873D34-C2AE-4E3F-B01D-3CFFBFADDF4A}"/>
    <cellStyle name="Normal 5 7 6" xfId="2624" xr:uid="{00000000-0005-0000-0000-0000D51B0000}"/>
    <cellStyle name="Normal 5 7 6 2" xfId="6908" xr:uid="{00000000-0005-0000-0000-0000D61B0000}"/>
    <cellStyle name="Normal 5 7 6 2 2" xfId="15350" xr:uid="{E504DDE1-FA3C-436E-BBC2-FC49557EE4F4}"/>
    <cellStyle name="Normal 5 7 6 3" xfId="11132" xr:uid="{60D79CD5-06EA-4031-84EF-C1A28926E739}"/>
    <cellStyle name="Normal 5 7 7" xfId="4843" xr:uid="{00000000-0005-0000-0000-0000D71B0000}"/>
    <cellStyle name="Normal 5 7 7 2" xfId="13285" xr:uid="{9C218D9B-7D52-4B6B-B4F6-B794E29B9516}"/>
    <cellStyle name="Normal 5 7 8" xfId="9067" xr:uid="{3E9F5888-7314-4982-9E3B-5524C5B3369E}"/>
    <cellStyle name="Normal 5 8" xfId="880" xr:uid="{00000000-0005-0000-0000-0000D81B0000}"/>
    <cellStyle name="Normal 5 8 2" xfId="3115" xr:uid="{00000000-0005-0000-0000-0000D91B0000}"/>
    <cellStyle name="Normal 5 8 2 2" xfId="7338" xr:uid="{00000000-0005-0000-0000-0000DA1B0000}"/>
    <cellStyle name="Normal 5 8 2 2 2" xfId="15780" xr:uid="{47DF917F-65A8-4AFA-9CD5-F248D0195AD9}"/>
    <cellStyle name="Normal 5 8 2 3" xfId="11562" xr:uid="{CB220128-2529-4A10-B54B-E1B114D903E4}"/>
    <cellStyle name="Normal 5 8 3" xfId="5193" xr:uid="{00000000-0005-0000-0000-0000DB1B0000}"/>
    <cellStyle name="Normal 5 8 3 2" xfId="13635" xr:uid="{7141B9A7-5764-41E9-B424-AEF0B82B1395}"/>
    <cellStyle name="Normal 5 8 4" xfId="9417" xr:uid="{F80D9DED-E084-4536-B838-9B5BF4B8614F}"/>
    <cellStyle name="Normal 5 9" xfId="1298" xr:uid="{00000000-0005-0000-0000-0000DC1B0000}"/>
    <cellStyle name="Normal 5 9 2" xfId="3528" xr:uid="{00000000-0005-0000-0000-0000DD1B0000}"/>
    <cellStyle name="Normal 5 9 2 2" xfId="7751" xr:uid="{00000000-0005-0000-0000-0000DE1B0000}"/>
    <cellStyle name="Normal 5 9 2 2 2" xfId="16193" xr:uid="{ED731ED1-FC49-48FD-B452-B3AB0411B0C1}"/>
    <cellStyle name="Normal 5 9 2 3" xfId="11975" xr:uid="{60AC6B92-25E6-4E93-9FB1-2CB8DD4F38D6}"/>
    <cellStyle name="Normal 5 9 3" xfId="5606" xr:uid="{00000000-0005-0000-0000-0000DF1B0000}"/>
    <cellStyle name="Normal 5 9 3 2" xfId="14048" xr:uid="{ED2ADBDF-F348-4AF0-8C27-77A5D8145973}"/>
    <cellStyle name="Normal 5 9 4" xfId="9830" xr:uid="{87BBA702-B78A-4AED-8B93-5329F5ED7419}"/>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2 2 2" xfId="17083" xr:uid="{1D6E5930-19A3-41B6-AC41-7AD170F94FAF}"/>
    <cellStyle name="Normal 8 10 2 3" xfId="12865" xr:uid="{3406B039-D12E-4D54-87AD-3D78F7FCF1D3}"/>
    <cellStyle name="Normal 8 10 3" xfId="6496" xr:uid="{00000000-0005-0000-0000-0000EB1B0000}"/>
    <cellStyle name="Normal 8 10 3 2" xfId="14938" xr:uid="{00EE6516-67AA-4DB0-BCC8-462FD764FAA8}"/>
    <cellStyle name="Normal 8 10 4" xfId="10720" xr:uid="{26E9DD76-E112-4DD7-A328-73EFE4AFA66D}"/>
    <cellStyle name="Normal 8 11" xfId="2625" xr:uid="{00000000-0005-0000-0000-0000EC1B0000}"/>
    <cellStyle name="Normal 8 11 2" xfId="6909" xr:uid="{00000000-0005-0000-0000-0000ED1B0000}"/>
    <cellStyle name="Normal 8 11 2 2" xfId="15351" xr:uid="{CFCC2EB0-57A7-499B-B6C5-A4517DAF3925}"/>
    <cellStyle name="Normal 8 11 3" xfId="11133" xr:uid="{92261627-A46B-40AE-8DB7-E25FF8A590B7}"/>
    <cellStyle name="Normal 8 12" xfId="4844" xr:uid="{00000000-0005-0000-0000-0000EE1B0000}"/>
    <cellStyle name="Normal 8 12 2" xfId="13286" xr:uid="{68A67D55-A437-430B-BCC1-C6A349C81FED}"/>
    <cellStyle name="Normal 8 13" xfId="9068" xr:uid="{7C4A3981-1743-4191-B945-A3A3C62F325E}"/>
    <cellStyle name="Normal 8 2" xfId="479" xr:uid="{00000000-0005-0000-0000-0000EF1B0000}"/>
    <cellStyle name="Normal 8 2 10" xfId="2626" xr:uid="{00000000-0005-0000-0000-0000F01B0000}"/>
    <cellStyle name="Normal 8 2 10 2" xfId="6910" xr:uid="{00000000-0005-0000-0000-0000F11B0000}"/>
    <cellStyle name="Normal 8 2 10 2 2" xfId="15352" xr:uid="{19A97A2E-DBA5-4394-8E14-95F2F31DD071}"/>
    <cellStyle name="Normal 8 2 10 3" xfId="11134" xr:uid="{2EB59F35-CA51-4093-B7EB-268262E9B3AD}"/>
    <cellStyle name="Normal 8 2 11" xfId="4845" xr:uid="{00000000-0005-0000-0000-0000F21B0000}"/>
    <cellStyle name="Normal 8 2 11 2" xfId="13287" xr:uid="{CA6B01ED-7972-4B8D-8C2D-42DD70DE24C3}"/>
    <cellStyle name="Normal 8 2 12" xfId="9069" xr:uid="{72ADCADC-07F5-4006-82FE-3703AC8312EB}"/>
    <cellStyle name="Normal 8 2 2" xfId="480" xr:uid="{00000000-0005-0000-0000-0000F31B0000}"/>
    <cellStyle name="Normal 8 2 2 10" xfId="4846" xr:uid="{00000000-0005-0000-0000-0000F41B0000}"/>
    <cellStyle name="Normal 8 2 2 10 2" xfId="13288" xr:uid="{18BD269D-4C7B-4E03-98B0-3739D89E5391}"/>
    <cellStyle name="Normal 8 2 2 11" xfId="9070" xr:uid="{6561A580-2054-4C2F-98B4-BB835F4F7951}"/>
    <cellStyle name="Normal 8 2 2 2" xfId="481" xr:uid="{00000000-0005-0000-0000-0000F51B0000}"/>
    <cellStyle name="Normal 8 2 2 2 10" xfId="9071" xr:uid="{0AFCAACA-6EC3-41C8-B83B-C55791E1437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2 2 2" xfId="15849" xr:uid="{7762AE72-BD23-4AAA-ABFB-CACD4420E8F3}"/>
    <cellStyle name="Normal 8 2 2 2 2 2 2 2 3" xfId="11631" xr:uid="{961FE39A-E3D8-444D-939E-3E6D9D7763B0}"/>
    <cellStyle name="Normal 8 2 2 2 2 2 2 3" xfId="5262" xr:uid="{00000000-0005-0000-0000-0000FB1B0000}"/>
    <cellStyle name="Normal 8 2 2 2 2 2 2 3 2" xfId="13704" xr:uid="{D5B18798-65E0-4293-8FCE-58513B959EB4}"/>
    <cellStyle name="Normal 8 2 2 2 2 2 2 4" xfId="9486" xr:uid="{0868224E-7B5B-4492-ADEA-3018D545EAF2}"/>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2 2 2" xfId="16262" xr:uid="{4DC15C03-D463-4295-B2C1-7F569B125520}"/>
    <cellStyle name="Normal 8 2 2 2 2 2 3 2 3" xfId="12044" xr:uid="{5A1C1932-C7AF-4488-9759-9B082E178303}"/>
    <cellStyle name="Normal 8 2 2 2 2 2 3 3" xfId="5675" xr:uid="{00000000-0005-0000-0000-0000FF1B0000}"/>
    <cellStyle name="Normal 8 2 2 2 2 2 3 3 2" xfId="14117" xr:uid="{2E08518B-98D5-4400-A5CF-6721101672F4}"/>
    <cellStyle name="Normal 8 2 2 2 2 2 3 4" xfId="9899" xr:uid="{A87411FD-F467-42CD-AF48-F62892BA1083}"/>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2 2 2" xfId="16675" xr:uid="{23302300-679F-4876-B907-558F99DC8DB4}"/>
    <cellStyle name="Normal 8 2 2 2 2 2 4 2 3" xfId="12457" xr:uid="{B569302F-3FF2-4595-822E-8317761915AD}"/>
    <cellStyle name="Normal 8 2 2 2 2 2 4 3" xfId="6088" xr:uid="{00000000-0005-0000-0000-0000031C0000}"/>
    <cellStyle name="Normal 8 2 2 2 2 2 4 3 2" xfId="14530" xr:uid="{0B216C42-5997-40E7-AA5A-2052A4C9899A}"/>
    <cellStyle name="Normal 8 2 2 2 2 2 4 4" xfId="10312" xr:uid="{F97A0700-CD42-4258-BFB1-707E4A9AAB72}"/>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2 2 2" xfId="17088" xr:uid="{4CF18361-8FD4-4EC8-A134-D024B9B55538}"/>
    <cellStyle name="Normal 8 2 2 2 2 2 5 2 3" xfId="12870" xr:uid="{B98CA2DF-3164-4450-AA48-6F8E59D900D4}"/>
    <cellStyle name="Normal 8 2 2 2 2 2 5 3" xfId="6501" xr:uid="{00000000-0005-0000-0000-0000071C0000}"/>
    <cellStyle name="Normal 8 2 2 2 2 2 5 3 2" xfId="14943" xr:uid="{53D8E139-A6C2-4AFC-A236-9DDCC43C7687}"/>
    <cellStyle name="Normal 8 2 2 2 2 2 5 4" xfId="10725" xr:uid="{250055B8-1803-4056-9992-37DC61756FD0}"/>
    <cellStyle name="Normal 8 2 2 2 2 2 6" xfId="2630" xr:uid="{00000000-0005-0000-0000-0000081C0000}"/>
    <cellStyle name="Normal 8 2 2 2 2 2 6 2" xfId="6914" xr:uid="{00000000-0005-0000-0000-0000091C0000}"/>
    <cellStyle name="Normal 8 2 2 2 2 2 6 2 2" xfId="15356" xr:uid="{0A4EDFF1-36E8-4A3F-B4AF-AF411198CDBC}"/>
    <cellStyle name="Normal 8 2 2 2 2 2 6 3" xfId="11138" xr:uid="{AFEBEC4A-03A0-40A0-94AE-A04362E0CDE2}"/>
    <cellStyle name="Normal 8 2 2 2 2 2 7" xfId="4849" xr:uid="{00000000-0005-0000-0000-00000A1C0000}"/>
    <cellStyle name="Normal 8 2 2 2 2 2 7 2" xfId="13291" xr:uid="{925B9481-F9E6-4C9D-ADC0-C905D304ACD9}"/>
    <cellStyle name="Normal 8 2 2 2 2 2 8" xfId="9073" xr:uid="{7C267D29-5D3D-4F7A-A160-7AAAF2A687B2}"/>
    <cellStyle name="Normal 8 2 2 2 2 3" xfId="949" xr:uid="{00000000-0005-0000-0000-00000B1C0000}"/>
    <cellStyle name="Normal 8 2 2 2 2 3 2" xfId="3183" xr:uid="{00000000-0005-0000-0000-00000C1C0000}"/>
    <cellStyle name="Normal 8 2 2 2 2 3 2 2" xfId="7406" xr:uid="{00000000-0005-0000-0000-00000D1C0000}"/>
    <cellStyle name="Normal 8 2 2 2 2 3 2 2 2" xfId="15848" xr:uid="{DE9FAAB3-1744-4D45-A1F8-25580B337C3B}"/>
    <cellStyle name="Normal 8 2 2 2 2 3 2 3" xfId="11630" xr:uid="{0EF489FC-A7CD-4EF9-B2BB-D2F1C6E75993}"/>
    <cellStyle name="Normal 8 2 2 2 2 3 3" xfId="5261" xr:uid="{00000000-0005-0000-0000-00000E1C0000}"/>
    <cellStyle name="Normal 8 2 2 2 2 3 3 2" xfId="13703" xr:uid="{038C2DF2-90B0-4324-A5C7-6D02BDBEE8A5}"/>
    <cellStyle name="Normal 8 2 2 2 2 3 4" xfId="9485" xr:uid="{0EE3C83B-8C66-44CE-B175-408BCECCD8D4}"/>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2 2 2" xfId="16261" xr:uid="{B446C9B3-B925-4753-8020-2513AFAFAB1C}"/>
    <cellStyle name="Normal 8 2 2 2 2 4 2 3" xfId="12043" xr:uid="{A80108E6-BC1E-4C08-A89A-AFEF9A9CD675}"/>
    <cellStyle name="Normal 8 2 2 2 2 4 3" xfId="5674" xr:uid="{00000000-0005-0000-0000-0000121C0000}"/>
    <cellStyle name="Normal 8 2 2 2 2 4 3 2" xfId="14116" xr:uid="{10119AC6-9975-4FA9-808B-9E1A5882D9EC}"/>
    <cellStyle name="Normal 8 2 2 2 2 4 4" xfId="9898" xr:uid="{AD0E69D1-520B-4725-8610-FA4DDE660AD4}"/>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2 2 2" xfId="16674" xr:uid="{86AA93F7-5F81-4D5C-8EF2-E62232FBC15C}"/>
    <cellStyle name="Normal 8 2 2 2 2 5 2 3" xfId="12456" xr:uid="{42CFCEAE-BBDA-4495-AD39-AEEEE23669B4}"/>
    <cellStyle name="Normal 8 2 2 2 2 5 3" xfId="6087" xr:uid="{00000000-0005-0000-0000-0000161C0000}"/>
    <cellStyle name="Normal 8 2 2 2 2 5 3 2" xfId="14529" xr:uid="{11B0716D-8992-4200-B5EB-A0CB40C3148F}"/>
    <cellStyle name="Normal 8 2 2 2 2 5 4" xfId="10311" xr:uid="{85667BFE-2F17-4A51-AA6A-78F977198186}"/>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2 2 2" xfId="17087" xr:uid="{46FC50FA-46E7-4D93-90EF-1CA2E109F5B5}"/>
    <cellStyle name="Normal 8 2 2 2 2 6 2 3" xfId="12869" xr:uid="{B5144A06-1E48-40DD-A9E4-3027817EBB0E}"/>
    <cellStyle name="Normal 8 2 2 2 2 6 3" xfId="6500" xr:uid="{00000000-0005-0000-0000-00001A1C0000}"/>
    <cellStyle name="Normal 8 2 2 2 2 6 3 2" xfId="14942" xr:uid="{7192D9AC-AFC4-4004-89D6-9E544A9AFAF1}"/>
    <cellStyle name="Normal 8 2 2 2 2 6 4" xfId="10724" xr:uid="{6A6DE888-7990-43B6-AB37-088045B8E57C}"/>
    <cellStyle name="Normal 8 2 2 2 2 7" xfId="2629" xr:uid="{00000000-0005-0000-0000-00001B1C0000}"/>
    <cellStyle name="Normal 8 2 2 2 2 7 2" xfId="6913" xr:uid="{00000000-0005-0000-0000-00001C1C0000}"/>
    <cellStyle name="Normal 8 2 2 2 2 7 2 2" xfId="15355" xr:uid="{A3408069-6B5B-42B3-8ED5-53E8D93CFB6A}"/>
    <cellStyle name="Normal 8 2 2 2 2 7 3" xfId="11137" xr:uid="{17A8B0FA-C8F9-46CD-9327-D8B58C1C09CA}"/>
    <cellStyle name="Normal 8 2 2 2 2 8" xfId="4848" xr:uid="{00000000-0005-0000-0000-00001D1C0000}"/>
    <cellStyle name="Normal 8 2 2 2 2 8 2" xfId="13290" xr:uid="{AEE924CA-1F20-4DB0-826C-1DCD884A744F}"/>
    <cellStyle name="Normal 8 2 2 2 2 9" xfId="9072" xr:uid="{CB65DC53-6189-43C1-BE3D-EAFF45362651}"/>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2 2 2" xfId="15850" xr:uid="{62DE3D47-D963-4339-84FA-F87D35600A51}"/>
    <cellStyle name="Normal 8 2 2 2 3 2 2 3" xfId="11632" xr:uid="{32C9090D-ABC1-4030-8473-FDAF8BEAE4C7}"/>
    <cellStyle name="Normal 8 2 2 2 3 2 3" xfId="5263" xr:uid="{00000000-0005-0000-0000-0000221C0000}"/>
    <cellStyle name="Normal 8 2 2 2 3 2 3 2" xfId="13705" xr:uid="{A46FA1F8-351E-4085-B52F-128EA2E94BB9}"/>
    <cellStyle name="Normal 8 2 2 2 3 2 4" xfId="9487" xr:uid="{74DE0DE2-4711-4F63-944D-63D74AF2AA62}"/>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2 2 2" xfId="16263" xr:uid="{237235E7-EE28-4831-BE70-814A1534087F}"/>
    <cellStyle name="Normal 8 2 2 2 3 3 2 3" xfId="12045" xr:uid="{5A18A236-9F1E-415B-B1A8-27561A2ED7D8}"/>
    <cellStyle name="Normal 8 2 2 2 3 3 3" xfId="5676" xr:uid="{00000000-0005-0000-0000-0000261C0000}"/>
    <cellStyle name="Normal 8 2 2 2 3 3 3 2" xfId="14118" xr:uid="{BDA40ADF-8962-4F96-B34B-C3C77957A450}"/>
    <cellStyle name="Normal 8 2 2 2 3 3 4" xfId="9900" xr:uid="{B8685D1E-DDCC-48B1-A908-703497A59ED9}"/>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2 2 2" xfId="16676" xr:uid="{644306E4-B465-42EA-93ED-5A6121AEA21D}"/>
    <cellStyle name="Normal 8 2 2 2 3 4 2 3" xfId="12458" xr:uid="{0D4A4BA3-FA91-48F7-8127-EF316EC700BF}"/>
    <cellStyle name="Normal 8 2 2 2 3 4 3" xfId="6089" xr:uid="{00000000-0005-0000-0000-00002A1C0000}"/>
    <cellStyle name="Normal 8 2 2 2 3 4 3 2" xfId="14531" xr:uid="{2964940E-D6B5-464E-ADC6-B7CF2764F017}"/>
    <cellStyle name="Normal 8 2 2 2 3 4 4" xfId="10313" xr:uid="{6B021A48-92EC-42A5-83C4-EF971EFE59F1}"/>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2 2 2" xfId="17089" xr:uid="{B4C2527A-248A-4B82-92F3-F10C6B0D598C}"/>
    <cellStyle name="Normal 8 2 2 2 3 5 2 3" xfId="12871" xr:uid="{CB02405F-CC0A-4099-A69F-E50AF2A82030}"/>
    <cellStyle name="Normal 8 2 2 2 3 5 3" xfId="6502" xr:uid="{00000000-0005-0000-0000-00002E1C0000}"/>
    <cellStyle name="Normal 8 2 2 2 3 5 3 2" xfId="14944" xr:uid="{C3739694-D88A-467A-87CB-4D2465151141}"/>
    <cellStyle name="Normal 8 2 2 2 3 5 4" xfId="10726" xr:uid="{65142DB8-6C1F-4655-8ECE-C6CEFD5D3B5F}"/>
    <cellStyle name="Normal 8 2 2 2 3 6" xfId="2631" xr:uid="{00000000-0005-0000-0000-00002F1C0000}"/>
    <cellStyle name="Normal 8 2 2 2 3 6 2" xfId="6915" xr:uid="{00000000-0005-0000-0000-0000301C0000}"/>
    <cellStyle name="Normal 8 2 2 2 3 6 2 2" xfId="15357" xr:uid="{6188F0B0-A12E-4A8F-84D9-7B99921D4A15}"/>
    <cellStyle name="Normal 8 2 2 2 3 6 3" xfId="11139" xr:uid="{73271342-95FC-4464-915C-EF323020DDF2}"/>
    <cellStyle name="Normal 8 2 2 2 3 7" xfId="4850" xr:uid="{00000000-0005-0000-0000-0000311C0000}"/>
    <cellStyle name="Normal 8 2 2 2 3 7 2" xfId="13292" xr:uid="{020B4513-1DE8-4ABD-AC72-F0963C0D7E1A}"/>
    <cellStyle name="Normal 8 2 2 2 3 8" xfId="9074" xr:uid="{98CB4DEA-5C51-4EFB-A130-A3CDC4297E23}"/>
    <cellStyle name="Normal 8 2 2 2 4" xfId="948" xr:uid="{00000000-0005-0000-0000-0000321C0000}"/>
    <cellStyle name="Normal 8 2 2 2 4 2" xfId="3182" xr:uid="{00000000-0005-0000-0000-0000331C0000}"/>
    <cellStyle name="Normal 8 2 2 2 4 2 2" xfId="7405" xr:uid="{00000000-0005-0000-0000-0000341C0000}"/>
    <cellStyle name="Normal 8 2 2 2 4 2 2 2" xfId="15847" xr:uid="{EDDCAC08-235F-47A6-8E0D-639222C1D1E0}"/>
    <cellStyle name="Normal 8 2 2 2 4 2 3" xfId="11629" xr:uid="{D0DE453F-ED76-4649-B72C-9AB72BA1DDF9}"/>
    <cellStyle name="Normal 8 2 2 2 4 3" xfId="5260" xr:uid="{00000000-0005-0000-0000-0000351C0000}"/>
    <cellStyle name="Normal 8 2 2 2 4 3 2" xfId="13702" xr:uid="{53297F57-7BCB-4B1A-9077-8A3FC9EDD08C}"/>
    <cellStyle name="Normal 8 2 2 2 4 4" xfId="9484" xr:uid="{E77E2ACC-B0AA-4780-B8B1-F74652196BA6}"/>
    <cellStyle name="Normal 8 2 2 2 5" xfId="1365" xr:uid="{00000000-0005-0000-0000-0000361C0000}"/>
    <cellStyle name="Normal 8 2 2 2 5 2" xfId="3595" xr:uid="{00000000-0005-0000-0000-0000371C0000}"/>
    <cellStyle name="Normal 8 2 2 2 5 2 2" xfId="7818" xr:uid="{00000000-0005-0000-0000-0000381C0000}"/>
    <cellStyle name="Normal 8 2 2 2 5 2 2 2" xfId="16260" xr:uid="{BAC3B3E2-A176-40F7-8800-AD8F0D4E82D7}"/>
    <cellStyle name="Normal 8 2 2 2 5 2 3" xfId="12042" xr:uid="{CCB0BC6A-422E-4167-A349-085CD017E2FB}"/>
    <cellStyle name="Normal 8 2 2 2 5 3" xfId="5673" xr:uid="{00000000-0005-0000-0000-0000391C0000}"/>
    <cellStyle name="Normal 8 2 2 2 5 3 2" xfId="14115" xr:uid="{CB69CB83-2842-482A-BECF-295257BE4171}"/>
    <cellStyle name="Normal 8 2 2 2 5 4" xfId="9897" xr:uid="{347F6CBE-71C1-480B-9EBC-24AF1B46C3F8}"/>
    <cellStyle name="Normal 8 2 2 2 6" xfId="1778" xr:uid="{00000000-0005-0000-0000-00003A1C0000}"/>
    <cellStyle name="Normal 8 2 2 2 6 2" xfId="4008" xr:uid="{00000000-0005-0000-0000-00003B1C0000}"/>
    <cellStyle name="Normal 8 2 2 2 6 2 2" xfId="8231" xr:uid="{00000000-0005-0000-0000-00003C1C0000}"/>
    <cellStyle name="Normal 8 2 2 2 6 2 2 2" xfId="16673" xr:uid="{56DEEB69-D374-4F27-A5B6-B048A1D09581}"/>
    <cellStyle name="Normal 8 2 2 2 6 2 3" xfId="12455" xr:uid="{3C75E8E7-2955-4D54-A9BD-824D45A3C3B6}"/>
    <cellStyle name="Normal 8 2 2 2 6 3" xfId="6086" xr:uid="{00000000-0005-0000-0000-00003D1C0000}"/>
    <cellStyle name="Normal 8 2 2 2 6 3 2" xfId="14528" xr:uid="{82C804B3-AA86-42A9-9165-FF9E7149B68F}"/>
    <cellStyle name="Normal 8 2 2 2 6 4" xfId="10310" xr:uid="{4A2E8A38-06CA-4744-AB75-6D9354067BEE}"/>
    <cellStyle name="Normal 8 2 2 2 7" xfId="2192" xr:uid="{00000000-0005-0000-0000-00003E1C0000}"/>
    <cellStyle name="Normal 8 2 2 2 7 2" xfId="4421" xr:uid="{00000000-0005-0000-0000-00003F1C0000}"/>
    <cellStyle name="Normal 8 2 2 2 7 2 2" xfId="8644" xr:uid="{00000000-0005-0000-0000-0000401C0000}"/>
    <cellStyle name="Normal 8 2 2 2 7 2 2 2" xfId="17086" xr:uid="{C7F73102-9198-4AE1-90B7-27ABD54A1523}"/>
    <cellStyle name="Normal 8 2 2 2 7 2 3" xfId="12868" xr:uid="{FCFE735B-2125-4880-9107-D5695BA409F4}"/>
    <cellStyle name="Normal 8 2 2 2 7 3" xfId="6499" xr:uid="{00000000-0005-0000-0000-0000411C0000}"/>
    <cellStyle name="Normal 8 2 2 2 7 3 2" xfId="14941" xr:uid="{151DA044-1DB0-498D-8A0A-43B5EFF7F6C1}"/>
    <cellStyle name="Normal 8 2 2 2 7 4" xfId="10723" xr:uid="{38D199C3-68F0-419F-8E0E-B9A3871C5722}"/>
    <cellStyle name="Normal 8 2 2 2 8" xfId="2628" xr:uid="{00000000-0005-0000-0000-0000421C0000}"/>
    <cellStyle name="Normal 8 2 2 2 8 2" xfId="6912" xr:uid="{00000000-0005-0000-0000-0000431C0000}"/>
    <cellStyle name="Normal 8 2 2 2 8 2 2" xfId="15354" xr:uid="{B3FFAAA0-2470-4D4F-881D-A05EDAD5ABA3}"/>
    <cellStyle name="Normal 8 2 2 2 8 3" xfId="11136" xr:uid="{05F915FF-A7BB-483A-BF16-73CFDCC74B7D}"/>
    <cellStyle name="Normal 8 2 2 2 9" xfId="4847" xr:uid="{00000000-0005-0000-0000-0000441C0000}"/>
    <cellStyle name="Normal 8 2 2 2 9 2" xfId="13289" xr:uid="{D21B8F3E-0A9D-4F9A-98A9-3BEB13BBE5F7}"/>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2 2 2" xfId="15852" xr:uid="{1C89A73E-3517-46E7-AADC-16B07EA31965}"/>
    <cellStyle name="Normal 8 2 2 3 2 2 2 3" xfId="11634" xr:uid="{60A1E48A-9F9F-4D68-BB98-AB7286E51A86}"/>
    <cellStyle name="Normal 8 2 2 3 2 2 3" xfId="5265" xr:uid="{00000000-0005-0000-0000-00004A1C0000}"/>
    <cellStyle name="Normal 8 2 2 3 2 2 3 2" xfId="13707" xr:uid="{6BAC2E21-624E-4A36-ABF3-252F9EA3718A}"/>
    <cellStyle name="Normal 8 2 2 3 2 2 4" xfId="9489" xr:uid="{E3DC50CE-F835-4537-893C-2A8217B19DF5}"/>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2 2 2" xfId="16265" xr:uid="{88E2E204-5117-4443-91C5-C4B0629147E1}"/>
    <cellStyle name="Normal 8 2 2 3 2 3 2 3" xfId="12047" xr:uid="{00B1DB64-2C8D-430A-B127-63C5F449250C}"/>
    <cellStyle name="Normal 8 2 2 3 2 3 3" xfId="5678" xr:uid="{00000000-0005-0000-0000-00004E1C0000}"/>
    <cellStyle name="Normal 8 2 2 3 2 3 3 2" xfId="14120" xr:uid="{674D1CFE-F917-4DB6-A464-FE1146D852B8}"/>
    <cellStyle name="Normal 8 2 2 3 2 3 4" xfId="9902" xr:uid="{B87335F8-3E8D-410D-91AE-F4E7CDC4D97B}"/>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2 2 2" xfId="16678" xr:uid="{99251E30-A886-4791-88EE-F1558E622BC9}"/>
    <cellStyle name="Normal 8 2 2 3 2 4 2 3" xfId="12460" xr:uid="{F2E1E73B-0EEA-40C2-85F2-AEEA3C68E08E}"/>
    <cellStyle name="Normal 8 2 2 3 2 4 3" xfId="6091" xr:uid="{00000000-0005-0000-0000-0000521C0000}"/>
    <cellStyle name="Normal 8 2 2 3 2 4 3 2" xfId="14533" xr:uid="{D75D983E-B8B5-4523-9B57-B70A5DF7A7E1}"/>
    <cellStyle name="Normal 8 2 2 3 2 4 4" xfId="10315" xr:uid="{BAED872B-26D2-464F-9CBA-7CDA03B95349}"/>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2 2 2" xfId="17091" xr:uid="{308EE755-097D-48C6-9770-88D0FF052468}"/>
    <cellStyle name="Normal 8 2 2 3 2 5 2 3" xfId="12873" xr:uid="{3716778B-A614-4328-B34F-9FDFD45E56C1}"/>
    <cellStyle name="Normal 8 2 2 3 2 5 3" xfId="6504" xr:uid="{00000000-0005-0000-0000-0000561C0000}"/>
    <cellStyle name="Normal 8 2 2 3 2 5 3 2" xfId="14946" xr:uid="{73A7E468-0B7A-40B1-8C2F-7E1345F1048E}"/>
    <cellStyle name="Normal 8 2 2 3 2 5 4" xfId="10728" xr:uid="{B04F9A0C-E9A3-4BEE-B456-D7657774D9F3}"/>
    <cellStyle name="Normal 8 2 2 3 2 6" xfId="2633" xr:uid="{00000000-0005-0000-0000-0000571C0000}"/>
    <cellStyle name="Normal 8 2 2 3 2 6 2" xfId="6917" xr:uid="{00000000-0005-0000-0000-0000581C0000}"/>
    <cellStyle name="Normal 8 2 2 3 2 6 2 2" xfId="15359" xr:uid="{5331D4F4-D486-4D86-9BBD-4FE201720E8D}"/>
    <cellStyle name="Normal 8 2 2 3 2 6 3" xfId="11141" xr:uid="{0C06184D-3E7A-451F-A848-7A889CCC486E}"/>
    <cellStyle name="Normal 8 2 2 3 2 7" xfId="4852" xr:uid="{00000000-0005-0000-0000-0000591C0000}"/>
    <cellStyle name="Normal 8 2 2 3 2 7 2" xfId="13294" xr:uid="{74BBB195-777F-4ED6-89E1-75C1DC4FC63A}"/>
    <cellStyle name="Normal 8 2 2 3 2 8" xfId="9076" xr:uid="{9416AE10-7BD8-4654-AB25-93ACC24408AA}"/>
    <cellStyle name="Normal 8 2 2 3 3" xfId="952" xr:uid="{00000000-0005-0000-0000-00005A1C0000}"/>
    <cellStyle name="Normal 8 2 2 3 3 2" xfId="3186" xr:uid="{00000000-0005-0000-0000-00005B1C0000}"/>
    <cellStyle name="Normal 8 2 2 3 3 2 2" xfId="7409" xr:uid="{00000000-0005-0000-0000-00005C1C0000}"/>
    <cellStyle name="Normal 8 2 2 3 3 2 2 2" xfId="15851" xr:uid="{127FD8B3-C09A-40B0-A32C-BC8FA5A30531}"/>
    <cellStyle name="Normal 8 2 2 3 3 2 3" xfId="11633" xr:uid="{F5E22DFE-3B14-47A4-A878-7B3B48F5E84F}"/>
    <cellStyle name="Normal 8 2 2 3 3 3" xfId="5264" xr:uid="{00000000-0005-0000-0000-00005D1C0000}"/>
    <cellStyle name="Normal 8 2 2 3 3 3 2" xfId="13706" xr:uid="{002693C0-275C-4EF5-A1D0-A096F2A603EC}"/>
    <cellStyle name="Normal 8 2 2 3 3 4" xfId="9488" xr:uid="{C185FBDC-CD04-4DFA-83D5-7962A9530B57}"/>
    <cellStyle name="Normal 8 2 2 3 4" xfId="1369" xr:uid="{00000000-0005-0000-0000-00005E1C0000}"/>
    <cellStyle name="Normal 8 2 2 3 4 2" xfId="3599" xr:uid="{00000000-0005-0000-0000-00005F1C0000}"/>
    <cellStyle name="Normal 8 2 2 3 4 2 2" xfId="7822" xr:uid="{00000000-0005-0000-0000-0000601C0000}"/>
    <cellStyle name="Normal 8 2 2 3 4 2 2 2" xfId="16264" xr:uid="{8252E367-8903-4019-8DF7-5D91004D9A4E}"/>
    <cellStyle name="Normal 8 2 2 3 4 2 3" xfId="12046" xr:uid="{F23D8CC3-396E-46D6-886B-F990DDE5DC16}"/>
    <cellStyle name="Normal 8 2 2 3 4 3" xfId="5677" xr:uid="{00000000-0005-0000-0000-0000611C0000}"/>
    <cellStyle name="Normal 8 2 2 3 4 3 2" xfId="14119" xr:uid="{E2814AD1-367F-4EB1-A723-B497A2D66F03}"/>
    <cellStyle name="Normal 8 2 2 3 4 4" xfId="9901" xr:uid="{A314AA3B-974D-4732-A528-787498CD6E0C}"/>
    <cellStyle name="Normal 8 2 2 3 5" xfId="1782" xr:uid="{00000000-0005-0000-0000-0000621C0000}"/>
    <cellStyle name="Normal 8 2 2 3 5 2" xfId="4012" xr:uid="{00000000-0005-0000-0000-0000631C0000}"/>
    <cellStyle name="Normal 8 2 2 3 5 2 2" xfId="8235" xr:uid="{00000000-0005-0000-0000-0000641C0000}"/>
    <cellStyle name="Normal 8 2 2 3 5 2 2 2" xfId="16677" xr:uid="{5A00C2E0-2733-4385-9FB2-2CEC9EB34CB7}"/>
    <cellStyle name="Normal 8 2 2 3 5 2 3" xfId="12459" xr:uid="{56BC44E0-5804-416F-BF95-1269E7E48658}"/>
    <cellStyle name="Normal 8 2 2 3 5 3" xfId="6090" xr:uid="{00000000-0005-0000-0000-0000651C0000}"/>
    <cellStyle name="Normal 8 2 2 3 5 3 2" xfId="14532" xr:uid="{D66C98AB-A928-4329-B887-EDD830CC5CF7}"/>
    <cellStyle name="Normal 8 2 2 3 5 4" xfId="10314" xr:uid="{F039C983-FF1B-4591-9DFB-1D8323BE0A31}"/>
    <cellStyle name="Normal 8 2 2 3 6" xfId="2196" xr:uid="{00000000-0005-0000-0000-0000661C0000}"/>
    <cellStyle name="Normal 8 2 2 3 6 2" xfId="4425" xr:uid="{00000000-0005-0000-0000-0000671C0000}"/>
    <cellStyle name="Normal 8 2 2 3 6 2 2" xfId="8648" xr:uid="{00000000-0005-0000-0000-0000681C0000}"/>
    <cellStyle name="Normal 8 2 2 3 6 2 2 2" xfId="17090" xr:uid="{49AF0651-EBDD-4BE7-9E25-248CC6D1F99A}"/>
    <cellStyle name="Normal 8 2 2 3 6 2 3" xfId="12872" xr:uid="{B099374E-8CA8-4DB9-9142-EB696B1BFEE6}"/>
    <cellStyle name="Normal 8 2 2 3 6 3" xfId="6503" xr:uid="{00000000-0005-0000-0000-0000691C0000}"/>
    <cellStyle name="Normal 8 2 2 3 6 3 2" xfId="14945" xr:uid="{1ABC03AA-E6B1-4B23-8D96-A587C9069580}"/>
    <cellStyle name="Normal 8 2 2 3 6 4" xfId="10727" xr:uid="{0FBD9BDB-B4C9-4F29-8A9E-1B3BCD414267}"/>
    <cellStyle name="Normal 8 2 2 3 7" xfId="2632" xr:uid="{00000000-0005-0000-0000-00006A1C0000}"/>
    <cellStyle name="Normal 8 2 2 3 7 2" xfId="6916" xr:uid="{00000000-0005-0000-0000-00006B1C0000}"/>
    <cellStyle name="Normal 8 2 2 3 7 2 2" xfId="15358" xr:uid="{5516D0AF-5113-48E6-80C5-95A43F70825F}"/>
    <cellStyle name="Normal 8 2 2 3 7 3" xfId="11140" xr:uid="{D14C1B4F-7DBC-4561-80AC-986723AD7D7A}"/>
    <cellStyle name="Normal 8 2 2 3 8" xfId="4851" xr:uid="{00000000-0005-0000-0000-00006C1C0000}"/>
    <cellStyle name="Normal 8 2 2 3 8 2" xfId="13293" xr:uid="{F59ED9B8-5181-4920-B3CB-A2CD3D021911}"/>
    <cellStyle name="Normal 8 2 2 3 9" xfId="9075" xr:uid="{AEF54CD5-0D36-4227-ABC2-2F1EAC49630F}"/>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2 2 2" xfId="15853" xr:uid="{7642DDB6-2421-4154-BE49-670F8D69E0BB}"/>
    <cellStyle name="Normal 8 2 2 4 2 2 3" xfId="11635" xr:uid="{FC07D643-37B1-43C0-96B1-AE06342712C5}"/>
    <cellStyle name="Normal 8 2 2 4 2 3" xfId="5266" xr:uid="{00000000-0005-0000-0000-0000711C0000}"/>
    <cellStyle name="Normal 8 2 2 4 2 3 2" xfId="13708" xr:uid="{CB9F8240-1199-4913-A603-FD73FADE1912}"/>
    <cellStyle name="Normal 8 2 2 4 2 4" xfId="9490" xr:uid="{4A0809DA-086D-4271-BD8F-01AC7CB3F28D}"/>
    <cellStyle name="Normal 8 2 2 4 3" xfId="1371" xr:uid="{00000000-0005-0000-0000-0000721C0000}"/>
    <cellStyle name="Normal 8 2 2 4 3 2" xfId="3601" xr:uid="{00000000-0005-0000-0000-0000731C0000}"/>
    <cellStyle name="Normal 8 2 2 4 3 2 2" xfId="7824" xr:uid="{00000000-0005-0000-0000-0000741C0000}"/>
    <cellStyle name="Normal 8 2 2 4 3 2 2 2" xfId="16266" xr:uid="{4AFAA169-D506-4E9E-A7FC-C9256E0F5F9B}"/>
    <cellStyle name="Normal 8 2 2 4 3 2 3" xfId="12048" xr:uid="{DF79C341-4C2C-437C-A523-BBE4120C7F48}"/>
    <cellStyle name="Normal 8 2 2 4 3 3" xfId="5679" xr:uid="{00000000-0005-0000-0000-0000751C0000}"/>
    <cellStyle name="Normal 8 2 2 4 3 3 2" xfId="14121" xr:uid="{423FAF1D-8D76-4687-B278-8E86D2B4A827}"/>
    <cellStyle name="Normal 8 2 2 4 3 4" xfId="9903" xr:uid="{064BF50B-3F19-4F8D-80E5-64E97D4F6F64}"/>
    <cellStyle name="Normal 8 2 2 4 4" xfId="1784" xr:uid="{00000000-0005-0000-0000-0000761C0000}"/>
    <cellStyle name="Normal 8 2 2 4 4 2" xfId="4014" xr:uid="{00000000-0005-0000-0000-0000771C0000}"/>
    <cellStyle name="Normal 8 2 2 4 4 2 2" xfId="8237" xr:uid="{00000000-0005-0000-0000-0000781C0000}"/>
    <cellStyle name="Normal 8 2 2 4 4 2 2 2" xfId="16679" xr:uid="{85ABFF48-1F91-4E9A-9CB9-BE0A601F70D4}"/>
    <cellStyle name="Normal 8 2 2 4 4 2 3" xfId="12461" xr:uid="{C9133C9C-7261-4BC7-B785-279D0E10EC9C}"/>
    <cellStyle name="Normal 8 2 2 4 4 3" xfId="6092" xr:uid="{00000000-0005-0000-0000-0000791C0000}"/>
    <cellStyle name="Normal 8 2 2 4 4 3 2" xfId="14534" xr:uid="{2EFF6FEC-ED21-486E-BA99-FF8BB1259A62}"/>
    <cellStyle name="Normal 8 2 2 4 4 4" xfId="10316" xr:uid="{8189CC04-0DE5-446C-9488-8A21924C0B32}"/>
    <cellStyle name="Normal 8 2 2 4 5" xfId="2198" xr:uid="{00000000-0005-0000-0000-00007A1C0000}"/>
    <cellStyle name="Normal 8 2 2 4 5 2" xfId="4427" xr:uid="{00000000-0005-0000-0000-00007B1C0000}"/>
    <cellStyle name="Normal 8 2 2 4 5 2 2" xfId="8650" xr:uid="{00000000-0005-0000-0000-00007C1C0000}"/>
    <cellStyle name="Normal 8 2 2 4 5 2 2 2" xfId="17092" xr:uid="{60C4F5A9-5B95-410B-B8B1-D36F36C4C2B2}"/>
    <cellStyle name="Normal 8 2 2 4 5 2 3" xfId="12874" xr:uid="{1C97C134-869E-4D57-8410-629815C2581D}"/>
    <cellStyle name="Normal 8 2 2 4 5 3" xfId="6505" xr:uid="{00000000-0005-0000-0000-00007D1C0000}"/>
    <cellStyle name="Normal 8 2 2 4 5 3 2" xfId="14947" xr:uid="{F0E44248-5805-40B1-9FDC-2F6A8ED923F1}"/>
    <cellStyle name="Normal 8 2 2 4 5 4" xfId="10729" xr:uid="{33284013-8447-4D83-96BC-F07A41340FE6}"/>
    <cellStyle name="Normal 8 2 2 4 6" xfId="2634" xr:uid="{00000000-0005-0000-0000-00007E1C0000}"/>
    <cellStyle name="Normal 8 2 2 4 6 2" xfId="6918" xr:uid="{00000000-0005-0000-0000-00007F1C0000}"/>
    <cellStyle name="Normal 8 2 2 4 6 2 2" xfId="15360" xr:uid="{A95E0551-DCB0-4599-B1F5-334781A8CBB0}"/>
    <cellStyle name="Normal 8 2 2 4 6 3" xfId="11142" xr:uid="{9322D793-2ABA-4D70-B9DD-3F21D596FA85}"/>
    <cellStyle name="Normal 8 2 2 4 7" xfId="4853" xr:uid="{00000000-0005-0000-0000-0000801C0000}"/>
    <cellStyle name="Normal 8 2 2 4 7 2" xfId="13295" xr:uid="{79509692-E381-4FC0-AEF5-80590AB4434B}"/>
    <cellStyle name="Normal 8 2 2 4 8" xfId="9077" xr:uid="{7F33084B-CD1A-4365-82E6-E692791211B5}"/>
    <cellStyle name="Normal 8 2 2 5" xfId="947" xr:uid="{00000000-0005-0000-0000-0000811C0000}"/>
    <cellStyle name="Normal 8 2 2 5 2" xfId="3181" xr:uid="{00000000-0005-0000-0000-0000821C0000}"/>
    <cellStyle name="Normal 8 2 2 5 2 2" xfId="7404" xr:uid="{00000000-0005-0000-0000-0000831C0000}"/>
    <cellStyle name="Normal 8 2 2 5 2 2 2" xfId="15846" xr:uid="{EA354BE9-24B1-490A-B228-30D38D726BC2}"/>
    <cellStyle name="Normal 8 2 2 5 2 3" xfId="11628" xr:uid="{86BBE3C7-1DCC-41F3-9F0A-B2CBE1EDBD79}"/>
    <cellStyle name="Normal 8 2 2 5 3" xfId="5259" xr:uid="{00000000-0005-0000-0000-0000841C0000}"/>
    <cellStyle name="Normal 8 2 2 5 3 2" xfId="13701" xr:uid="{1E23D45E-92FD-46A7-A948-D819DD0B9021}"/>
    <cellStyle name="Normal 8 2 2 5 4" xfId="9483" xr:uid="{8276DD46-800B-4EC8-8C49-C5D63EDC5CBD}"/>
    <cellStyle name="Normal 8 2 2 6" xfId="1364" xr:uid="{00000000-0005-0000-0000-0000851C0000}"/>
    <cellStyle name="Normal 8 2 2 6 2" xfId="3594" xr:uid="{00000000-0005-0000-0000-0000861C0000}"/>
    <cellStyle name="Normal 8 2 2 6 2 2" xfId="7817" xr:uid="{00000000-0005-0000-0000-0000871C0000}"/>
    <cellStyle name="Normal 8 2 2 6 2 2 2" xfId="16259" xr:uid="{E0092106-B714-44C1-B4A0-E739184D8A45}"/>
    <cellStyle name="Normal 8 2 2 6 2 3" xfId="12041" xr:uid="{3F03BB60-2616-4F34-87B6-4ED2DD7E1229}"/>
    <cellStyle name="Normal 8 2 2 6 3" xfId="5672" xr:uid="{00000000-0005-0000-0000-0000881C0000}"/>
    <cellStyle name="Normal 8 2 2 6 3 2" xfId="14114" xr:uid="{90527C18-0775-4BAF-8441-931B8E45E33A}"/>
    <cellStyle name="Normal 8 2 2 6 4" xfId="9896" xr:uid="{7AD96B7A-ED38-4D69-A25A-C59A4232BB97}"/>
    <cellStyle name="Normal 8 2 2 7" xfId="1777" xr:uid="{00000000-0005-0000-0000-0000891C0000}"/>
    <cellStyle name="Normal 8 2 2 7 2" xfId="4007" xr:uid="{00000000-0005-0000-0000-00008A1C0000}"/>
    <cellStyle name="Normal 8 2 2 7 2 2" xfId="8230" xr:uid="{00000000-0005-0000-0000-00008B1C0000}"/>
    <cellStyle name="Normal 8 2 2 7 2 2 2" xfId="16672" xr:uid="{D10D0224-D6B6-4AC7-81AF-AEC64F9DA9E9}"/>
    <cellStyle name="Normal 8 2 2 7 2 3" xfId="12454" xr:uid="{FF791351-DC7B-4774-8FA2-2F9FCA58823D}"/>
    <cellStyle name="Normal 8 2 2 7 3" xfId="6085" xr:uid="{00000000-0005-0000-0000-00008C1C0000}"/>
    <cellStyle name="Normal 8 2 2 7 3 2" xfId="14527" xr:uid="{19DCFBBD-7B21-42FF-997B-13485A3736F4}"/>
    <cellStyle name="Normal 8 2 2 7 4" xfId="10309" xr:uid="{9B0E6035-D918-4AF3-9CDE-BCB9990C13EB}"/>
    <cellStyle name="Normal 8 2 2 8" xfId="2191" xr:uid="{00000000-0005-0000-0000-00008D1C0000}"/>
    <cellStyle name="Normal 8 2 2 8 2" xfId="4420" xr:uid="{00000000-0005-0000-0000-00008E1C0000}"/>
    <cellStyle name="Normal 8 2 2 8 2 2" xfId="8643" xr:uid="{00000000-0005-0000-0000-00008F1C0000}"/>
    <cellStyle name="Normal 8 2 2 8 2 2 2" xfId="17085" xr:uid="{2B108645-2F37-4209-8D01-41F7F3300485}"/>
    <cellStyle name="Normal 8 2 2 8 2 3" xfId="12867" xr:uid="{E14115AD-B246-4ED1-8AD7-BA6443575D65}"/>
    <cellStyle name="Normal 8 2 2 8 3" xfId="6498" xr:uid="{00000000-0005-0000-0000-0000901C0000}"/>
    <cellStyle name="Normal 8 2 2 8 3 2" xfId="14940" xr:uid="{40D79E18-9907-4B86-8E5D-D40D19A9BE39}"/>
    <cellStyle name="Normal 8 2 2 8 4" xfId="10722" xr:uid="{84064D89-106F-41B7-B46F-4B58817B2310}"/>
    <cellStyle name="Normal 8 2 2 9" xfId="2627" xr:uid="{00000000-0005-0000-0000-0000911C0000}"/>
    <cellStyle name="Normal 8 2 2 9 2" xfId="6911" xr:uid="{00000000-0005-0000-0000-0000921C0000}"/>
    <cellStyle name="Normal 8 2 2 9 2 2" xfId="15353" xr:uid="{C3317F6F-4B67-41AC-9B38-DA8E03EE2422}"/>
    <cellStyle name="Normal 8 2 2 9 3" xfId="11135" xr:uid="{561F017B-B9E1-4A13-B813-7D37BE12A62D}"/>
    <cellStyle name="Normal 8 2 3" xfId="488" xr:uid="{00000000-0005-0000-0000-0000931C0000}"/>
    <cellStyle name="Normal 8 2 3 10" xfId="9078" xr:uid="{DFCA5DAB-5EF9-487E-ACB0-59F7C43BE891}"/>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2 2 2" xfId="15856" xr:uid="{D6D90F90-AE41-480A-880E-BEDE10976DED}"/>
    <cellStyle name="Normal 8 2 3 2 2 2 2 3" xfId="11638" xr:uid="{188F6412-D685-4C0A-B21D-78AE4D1D7F8A}"/>
    <cellStyle name="Normal 8 2 3 2 2 2 3" xfId="5269" xr:uid="{00000000-0005-0000-0000-0000991C0000}"/>
    <cellStyle name="Normal 8 2 3 2 2 2 3 2" xfId="13711" xr:uid="{B2AC95DF-0BB8-426D-87D9-D5F430847065}"/>
    <cellStyle name="Normal 8 2 3 2 2 2 4" xfId="9493" xr:uid="{E98D5041-DFA7-4FF3-BBBE-7D883F74C1B7}"/>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2 2 2" xfId="16269" xr:uid="{B7347B71-1D12-4D6C-8962-E93C6E3D9BFD}"/>
    <cellStyle name="Normal 8 2 3 2 2 3 2 3" xfId="12051" xr:uid="{586C3E6B-A927-4385-A7C4-365BC7BA6A80}"/>
    <cellStyle name="Normal 8 2 3 2 2 3 3" xfId="5682" xr:uid="{00000000-0005-0000-0000-00009D1C0000}"/>
    <cellStyle name="Normal 8 2 3 2 2 3 3 2" xfId="14124" xr:uid="{48810B4F-5A96-4DAC-A9F9-35BCF8F215B2}"/>
    <cellStyle name="Normal 8 2 3 2 2 3 4" xfId="9906" xr:uid="{2DD09AB6-07CE-47AD-B960-D86A3ADA9254}"/>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2 2 2" xfId="16682" xr:uid="{62B1785E-7894-4F12-9FAC-DBF6B6CCA689}"/>
    <cellStyle name="Normal 8 2 3 2 2 4 2 3" xfId="12464" xr:uid="{0106309B-3C08-45D4-85FC-8237232346CB}"/>
    <cellStyle name="Normal 8 2 3 2 2 4 3" xfId="6095" xr:uid="{00000000-0005-0000-0000-0000A11C0000}"/>
    <cellStyle name="Normal 8 2 3 2 2 4 3 2" xfId="14537" xr:uid="{8B2B0A0A-D387-474C-9A00-23BACA4E61F2}"/>
    <cellStyle name="Normal 8 2 3 2 2 4 4" xfId="10319" xr:uid="{3CC169FC-7AD7-4202-8623-72EAA922B1C7}"/>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2 2 2" xfId="17095" xr:uid="{C356E371-FD30-4E17-8BA6-6212B324E5A5}"/>
    <cellStyle name="Normal 8 2 3 2 2 5 2 3" xfId="12877" xr:uid="{A2042CC8-0002-44F9-81CE-17E37C63179F}"/>
    <cellStyle name="Normal 8 2 3 2 2 5 3" xfId="6508" xr:uid="{00000000-0005-0000-0000-0000A51C0000}"/>
    <cellStyle name="Normal 8 2 3 2 2 5 3 2" xfId="14950" xr:uid="{8607104E-77AF-4534-B922-016D2FBAA59C}"/>
    <cellStyle name="Normal 8 2 3 2 2 5 4" xfId="10732" xr:uid="{71BA23E3-28BD-4A1D-9C18-48529688CDAC}"/>
    <cellStyle name="Normal 8 2 3 2 2 6" xfId="2637" xr:uid="{00000000-0005-0000-0000-0000A61C0000}"/>
    <cellStyle name="Normal 8 2 3 2 2 6 2" xfId="6921" xr:uid="{00000000-0005-0000-0000-0000A71C0000}"/>
    <cellStyle name="Normal 8 2 3 2 2 6 2 2" xfId="15363" xr:uid="{99A0C13E-AA91-452A-BA22-E5B7FD66599C}"/>
    <cellStyle name="Normal 8 2 3 2 2 6 3" xfId="11145" xr:uid="{DA05CB31-C576-44AC-9AD8-3CF8B6F3EA92}"/>
    <cellStyle name="Normal 8 2 3 2 2 7" xfId="4856" xr:uid="{00000000-0005-0000-0000-0000A81C0000}"/>
    <cellStyle name="Normal 8 2 3 2 2 7 2" xfId="13298" xr:uid="{A65F360D-3A58-4E33-B02B-3E250E9162B1}"/>
    <cellStyle name="Normal 8 2 3 2 2 8" xfId="9080" xr:uid="{5B8BA3D5-26EF-4AE2-8807-A6D32E76D1BB}"/>
    <cellStyle name="Normal 8 2 3 2 3" xfId="956" xr:uid="{00000000-0005-0000-0000-0000A91C0000}"/>
    <cellStyle name="Normal 8 2 3 2 3 2" xfId="3190" xr:uid="{00000000-0005-0000-0000-0000AA1C0000}"/>
    <cellStyle name="Normal 8 2 3 2 3 2 2" xfId="7413" xr:uid="{00000000-0005-0000-0000-0000AB1C0000}"/>
    <cellStyle name="Normal 8 2 3 2 3 2 2 2" xfId="15855" xr:uid="{3D1A5DEB-9615-4D44-A041-4F9FD52C20BE}"/>
    <cellStyle name="Normal 8 2 3 2 3 2 3" xfId="11637" xr:uid="{906EAA98-AF53-4776-BCB6-AA26A10393EA}"/>
    <cellStyle name="Normal 8 2 3 2 3 3" xfId="5268" xr:uid="{00000000-0005-0000-0000-0000AC1C0000}"/>
    <cellStyle name="Normal 8 2 3 2 3 3 2" xfId="13710" xr:uid="{C249347E-14B4-4678-B563-11AC803849EA}"/>
    <cellStyle name="Normal 8 2 3 2 3 4" xfId="9492" xr:uid="{5AE266CE-2156-4A1B-9579-76B95C0A1CF9}"/>
    <cellStyle name="Normal 8 2 3 2 4" xfId="1373" xr:uid="{00000000-0005-0000-0000-0000AD1C0000}"/>
    <cellStyle name="Normal 8 2 3 2 4 2" xfId="3603" xr:uid="{00000000-0005-0000-0000-0000AE1C0000}"/>
    <cellStyle name="Normal 8 2 3 2 4 2 2" xfId="7826" xr:uid="{00000000-0005-0000-0000-0000AF1C0000}"/>
    <cellStyle name="Normal 8 2 3 2 4 2 2 2" xfId="16268" xr:uid="{11A57B9F-2E5B-40AF-906C-6D7FCBCA02F7}"/>
    <cellStyle name="Normal 8 2 3 2 4 2 3" xfId="12050" xr:uid="{84012337-7E9D-446B-A5D0-450653953E55}"/>
    <cellStyle name="Normal 8 2 3 2 4 3" xfId="5681" xr:uid="{00000000-0005-0000-0000-0000B01C0000}"/>
    <cellStyle name="Normal 8 2 3 2 4 3 2" xfId="14123" xr:uid="{7AD725E3-8593-46B5-BAC1-1DC1770AA6B4}"/>
    <cellStyle name="Normal 8 2 3 2 4 4" xfId="9905" xr:uid="{F0CB0781-C5FF-4858-B046-FC372FAD8FF7}"/>
    <cellStyle name="Normal 8 2 3 2 5" xfId="1786" xr:uid="{00000000-0005-0000-0000-0000B11C0000}"/>
    <cellStyle name="Normal 8 2 3 2 5 2" xfId="4016" xr:uid="{00000000-0005-0000-0000-0000B21C0000}"/>
    <cellStyle name="Normal 8 2 3 2 5 2 2" xfId="8239" xr:uid="{00000000-0005-0000-0000-0000B31C0000}"/>
    <cellStyle name="Normal 8 2 3 2 5 2 2 2" xfId="16681" xr:uid="{643ADA7C-B96E-42B6-A3B1-C9A3BB698FA3}"/>
    <cellStyle name="Normal 8 2 3 2 5 2 3" xfId="12463" xr:uid="{BB87FD5A-D326-49C5-92D0-63CBC3D69539}"/>
    <cellStyle name="Normal 8 2 3 2 5 3" xfId="6094" xr:uid="{00000000-0005-0000-0000-0000B41C0000}"/>
    <cellStyle name="Normal 8 2 3 2 5 3 2" xfId="14536" xr:uid="{5F9A7254-04F3-44D4-8907-BB7BA81901EC}"/>
    <cellStyle name="Normal 8 2 3 2 5 4" xfId="10318" xr:uid="{43AAE9F4-47EF-463C-95B6-F92C0F974B85}"/>
    <cellStyle name="Normal 8 2 3 2 6" xfId="2200" xr:uid="{00000000-0005-0000-0000-0000B51C0000}"/>
    <cellStyle name="Normal 8 2 3 2 6 2" xfId="4429" xr:uid="{00000000-0005-0000-0000-0000B61C0000}"/>
    <cellStyle name="Normal 8 2 3 2 6 2 2" xfId="8652" xr:uid="{00000000-0005-0000-0000-0000B71C0000}"/>
    <cellStyle name="Normal 8 2 3 2 6 2 2 2" xfId="17094" xr:uid="{92CDF913-10C0-4FBC-8830-656B3531FB89}"/>
    <cellStyle name="Normal 8 2 3 2 6 2 3" xfId="12876" xr:uid="{60A9FFF1-A113-448A-AC2C-ECF6D1397F6B}"/>
    <cellStyle name="Normal 8 2 3 2 6 3" xfId="6507" xr:uid="{00000000-0005-0000-0000-0000B81C0000}"/>
    <cellStyle name="Normal 8 2 3 2 6 3 2" xfId="14949" xr:uid="{07A81A52-810D-47C8-9994-B13D15B22C35}"/>
    <cellStyle name="Normal 8 2 3 2 6 4" xfId="10731" xr:uid="{07917BD1-7769-4F46-B0AE-CCDF61467301}"/>
    <cellStyle name="Normal 8 2 3 2 7" xfId="2636" xr:uid="{00000000-0005-0000-0000-0000B91C0000}"/>
    <cellStyle name="Normal 8 2 3 2 7 2" xfId="6920" xr:uid="{00000000-0005-0000-0000-0000BA1C0000}"/>
    <cellStyle name="Normal 8 2 3 2 7 2 2" xfId="15362" xr:uid="{4636722A-8D23-4C3B-889D-A4DB3054AACA}"/>
    <cellStyle name="Normal 8 2 3 2 7 3" xfId="11144" xr:uid="{9AF70CCD-DEA9-453B-8561-4D87350D1A75}"/>
    <cellStyle name="Normal 8 2 3 2 8" xfId="4855" xr:uid="{00000000-0005-0000-0000-0000BB1C0000}"/>
    <cellStyle name="Normal 8 2 3 2 8 2" xfId="13297" xr:uid="{77F7568D-BADE-4098-90BE-020EB41F08BD}"/>
    <cellStyle name="Normal 8 2 3 2 9" xfId="9079" xr:uid="{BA41D630-2D4C-4030-9DB0-A30F1567AA41}"/>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2 2 2" xfId="15857" xr:uid="{D54B964E-7E56-4AD0-93E3-2554ABC905A7}"/>
    <cellStyle name="Normal 8 2 3 3 2 2 3" xfId="11639" xr:uid="{68F6E911-76BB-456F-990F-71E4C1704263}"/>
    <cellStyle name="Normal 8 2 3 3 2 3" xfId="5270" xr:uid="{00000000-0005-0000-0000-0000C01C0000}"/>
    <cellStyle name="Normal 8 2 3 3 2 3 2" xfId="13712" xr:uid="{84B026E0-7877-4AE5-8EED-D1DD081A34A2}"/>
    <cellStyle name="Normal 8 2 3 3 2 4" xfId="9494" xr:uid="{B66E486E-0A09-4649-8D69-A3ECC02AADAF}"/>
    <cellStyle name="Normal 8 2 3 3 3" xfId="1375" xr:uid="{00000000-0005-0000-0000-0000C11C0000}"/>
    <cellStyle name="Normal 8 2 3 3 3 2" xfId="3605" xr:uid="{00000000-0005-0000-0000-0000C21C0000}"/>
    <cellStyle name="Normal 8 2 3 3 3 2 2" xfId="7828" xr:uid="{00000000-0005-0000-0000-0000C31C0000}"/>
    <cellStyle name="Normal 8 2 3 3 3 2 2 2" xfId="16270" xr:uid="{6003EA62-74E0-468A-9955-F5D3B328289C}"/>
    <cellStyle name="Normal 8 2 3 3 3 2 3" xfId="12052" xr:uid="{2F5C9C02-D748-478E-85D5-0FFF1677D365}"/>
    <cellStyle name="Normal 8 2 3 3 3 3" xfId="5683" xr:uid="{00000000-0005-0000-0000-0000C41C0000}"/>
    <cellStyle name="Normal 8 2 3 3 3 3 2" xfId="14125" xr:uid="{C80B2C58-716C-497A-953D-1ED59F9B0664}"/>
    <cellStyle name="Normal 8 2 3 3 3 4" xfId="9907" xr:uid="{1E997A90-261D-4CF6-B505-EC0D06E8E31C}"/>
    <cellStyle name="Normal 8 2 3 3 4" xfId="1788" xr:uid="{00000000-0005-0000-0000-0000C51C0000}"/>
    <cellStyle name="Normal 8 2 3 3 4 2" xfId="4018" xr:uid="{00000000-0005-0000-0000-0000C61C0000}"/>
    <cellStyle name="Normal 8 2 3 3 4 2 2" xfId="8241" xr:uid="{00000000-0005-0000-0000-0000C71C0000}"/>
    <cellStyle name="Normal 8 2 3 3 4 2 2 2" xfId="16683" xr:uid="{D2D3A0D9-5B2F-4378-B3B6-36120598489F}"/>
    <cellStyle name="Normal 8 2 3 3 4 2 3" xfId="12465" xr:uid="{73E070F9-91E1-4F18-9F40-751241F8F8B6}"/>
    <cellStyle name="Normal 8 2 3 3 4 3" xfId="6096" xr:uid="{00000000-0005-0000-0000-0000C81C0000}"/>
    <cellStyle name="Normal 8 2 3 3 4 3 2" xfId="14538" xr:uid="{1C0722A3-869B-4BFC-AE60-B9D7E79AB860}"/>
    <cellStyle name="Normal 8 2 3 3 4 4" xfId="10320" xr:uid="{9C875B09-ED53-404E-9B8F-899726E2E347}"/>
    <cellStyle name="Normal 8 2 3 3 5" xfId="2202" xr:uid="{00000000-0005-0000-0000-0000C91C0000}"/>
    <cellStyle name="Normal 8 2 3 3 5 2" xfId="4431" xr:uid="{00000000-0005-0000-0000-0000CA1C0000}"/>
    <cellStyle name="Normal 8 2 3 3 5 2 2" xfId="8654" xr:uid="{00000000-0005-0000-0000-0000CB1C0000}"/>
    <cellStyle name="Normal 8 2 3 3 5 2 2 2" xfId="17096" xr:uid="{E1C08D11-E35C-4BB9-BF0D-592228E658E0}"/>
    <cellStyle name="Normal 8 2 3 3 5 2 3" xfId="12878" xr:uid="{A8CAF261-5CFA-47CC-BCF9-3555B34FCC15}"/>
    <cellStyle name="Normal 8 2 3 3 5 3" xfId="6509" xr:uid="{00000000-0005-0000-0000-0000CC1C0000}"/>
    <cellStyle name="Normal 8 2 3 3 5 3 2" xfId="14951" xr:uid="{8E326C57-4F9C-4B33-9388-2F80B795738A}"/>
    <cellStyle name="Normal 8 2 3 3 5 4" xfId="10733" xr:uid="{50B19C3A-9C9D-4B6A-BF68-886F7BE13332}"/>
    <cellStyle name="Normal 8 2 3 3 6" xfId="2638" xr:uid="{00000000-0005-0000-0000-0000CD1C0000}"/>
    <cellStyle name="Normal 8 2 3 3 6 2" xfId="6922" xr:uid="{00000000-0005-0000-0000-0000CE1C0000}"/>
    <cellStyle name="Normal 8 2 3 3 6 2 2" xfId="15364" xr:uid="{8637D8E1-6887-4232-9110-CB451069CABC}"/>
    <cellStyle name="Normal 8 2 3 3 6 3" xfId="11146" xr:uid="{4479F2A6-F5EB-4314-81C2-33E074F17E59}"/>
    <cellStyle name="Normal 8 2 3 3 7" xfId="4857" xr:uid="{00000000-0005-0000-0000-0000CF1C0000}"/>
    <cellStyle name="Normal 8 2 3 3 7 2" xfId="13299" xr:uid="{37EA06FB-3DA0-4D88-9A86-215165C6F773}"/>
    <cellStyle name="Normal 8 2 3 3 8" xfId="9081" xr:uid="{771611C1-9DCC-4389-B9A5-E2600D69A5EE}"/>
    <cellStyle name="Normal 8 2 3 4" xfId="955" xr:uid="{00000000-0005-0000-0000-0000D01C0000}"/>
    <cellStyle name="Normal 8 2 3 4 2" xfId="3189" xr:uid="{00000000-0005-0000-0000-0000D11C0000}"/>
    <cellStyle name="Normal 8 2 3 4 2 2" xfId="7412" xr:uid="{00000000-0005-0000-0000-0000D21C0000}"/>
    <cellStyle name="Normal 8 2 3 4 2 2 2" xfId="15854" xr:uid="{CC25C1B3-657C-44E2-BFC0-DB027797818E}"/>
    <cellStyle name="Normal 8 2 3 4 2 3" xfId="11636" xr:uid="{554B66C4-E4A6-4813-9D96-A81CEA230204}"/>
    <cellStyle name="Normal 8 2 3 4 3" xfId="5267" xr:uid="{00000000-0005-0000-0000-0000D31C0000}"/>
    <cellStyle name="Normal 8 2 3 4 3 2" xfId="13709" xr:uid="{C9AB875B-1F19-44A9-BA32-85E8EB42FF28}"/>
    <cellStyle name="Normal 8 2 3 4 4" xfId="9491" xr:uid="{389F8AC5-6165-4FDF-89C7-CBFB4B3896C2}"/>
    <cellStyle name="Normal 8 2 3 5" xfId="1372" xr:uid="{00000000-0005-0000-0000-0000D41C0000}"/>
    <cellStyle name="Normal 8 2 3 5 2" xfId="3602" xr:uid="{00000000-0005-0000-0000-0000D51C0000}"/>
    <cellStyle name="Normal 8 2 3 5 2 2" xfId="7825" xr:uid="{00000000-0005-0000-0000-0000D61C0000}"/>
    <cellStyle name="Normal 8 2 3 5 2 2 2" xfId="16267" xr:uid="{0F3C11B4-B776-4E59-86A3-5F5E294BC05C}"/>
    <cellStyle name="Normal 8 2 3 5 2 3" xfId="12049" xr:uid="{217DF0FC-DC50-4A4E-83E7-F76D47C2BF68}"/>
    <cellStyle name="Normal 8 2 3 5 3" xfId="5680" xr:uid="{00000000-0005-0000-0000-0000D71C0000}"/>
    <cellStyle name="Normal 8 2 3 5 3 2" xfId="14122" xr:uid="{53A43790-5912-4E3C-ADBE-69CF03C11A43}"/>
    <cellStyle name="Normal 8 2 3 5 4" xfId="9904" xr:uid="{47D506C0-3FEF-453F-8174-3699DFA64ECD}"/>
    <cellStyle name="Normal 8 2 3 6" xfId="1785" xr:uid="{00000000-0005-0000-0000-0000D81C0000}"/>
    <cellStyle name="Normal 8 2 3 6 2" xfId="4015" xr:uid="{00000000-0005-0000-0000-0000D91C0000}"/>
    <cellStyle name="Normal 8 2 3 6 2 2" xfId="8238" xr:uid="{00000000-0005-0000-0000-0000DA1C0000}"/>
    <cellStyle name="Normal 8 2 3 6 2 2 2" xfId="16680" xr:uid="{BF30E811-F2D6-4DD3-9401-ED089B4D0023}"/>
    <cellStyle name="Normal 8 2 3 6 2 3" xfId="12462" xr:uid="{3C5DC86D-C709-4DA4-AC8E-72ECE74BF2B2}"/>
    <cellStyle name="Normal 8 2 3 6 3" xfId="6093" xr:uid="{00000000-0005-0000-0000-0000DB1C0000}"/>
    <cellStyle name="Normal 8 2 3 6 3 2" xfId="14535" xr:uid="{5755EA3E-B95B-4954-894F-DD1D35DB9B7F}"/>
    <cellStyle name="Normal 8 2 3 6 4" xfId="10317" xr:uid="{1FBA4C59-A4FA-447F-BCC2-A283021AEB9D}"/>
    <cellStyle name="Normal 8 2 3 7" xfId="2199" xr:uid="{00000000-0005-0000-0000-0000DC1C0000}"/>
    <cellStyle name="Normal 8 2 3 7 2" xfId="4428" xr:uid="{00000000-0005-0000-0000-0000DD1C0000}"/>
    <cellStyle name="Normal 8 2 3 7 2 2" xfId="8651" xr:uid="{00000000-0005-0000-0000-0000DE1C0000}"/>
    <cellStyle name="Normal 8 2 3 7 2 2 2" xfId="17093" xr:uid="{3F7DE0CE-848C-44D1-8B35-B47A28495396}"/>
    <cellStyle name="Normal 8 2 3 7 2 3" xfId="12875" xr:uid="{18A2C610-3D00-4E4A-9256-D63BEC665A9B}"/>
    <cellStyle name="Normal 8 2 3 7 3" xfId="6506" xr:uid="{00000000-0005-0000-0000-0000DF1C0000}"/>
    <cellStyle name="Normal 8 2 3 7 3 2" xfId="14948" xr:uid="{09CBA41F-A18B-4295-880D-C2148E1EC95C}"/>
    <cellStyle name="Normal 8 2 3 7 4" xfId="10730" xr:uid="{5F2F5DB6-DCEE-4819-A352-A0003357172B}"/>
    <cellStyle name="Normal 8 2 3 8" xfId="2635" xr:uid="{00000000-0005-0000-0000-0000E01C0000}"/>
    <cellStyle name="Normal 8 2 3 8 2" xfId="6919" xr:uid="{00000000-0005-0000-0000-0000E11C0000}"/>
    <cellStyle name="Normal 8 2 3 8 2 2" xfId="15361" xr:uid="{8D610F30-29FA-4875-9E25-C66FF5C7E41C}"/>
    <cellStyle name="Normal 8 2 3 8 3" xfId="11143" xr:uid="{37E1DA08-72CB-4F7D-8E1A-882DCCDB07E9}"/>
    <cellStyle name="Normal 8 2 3 9" xfId="4854" xr:uid="{00000000-0005-0000-0000-0000E21C0000}"/>
    <cellStyle name="Normal 8 2 3 9 2" xfId="13296" xr:uid="{AB6D8089-377E-4E74-92B0-54DA54485E3E}"/>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2 2 2" xfId="15859" xr:uid="{233C707C-5CEC-4BBF-8138-C68854E16A5C}"/>
    <cellStyle name="Normal 8 2 4 2 2 2 3" xfId="11641" xr:uid="{8AE61EC8-CF05-4569-86AD-8C75309C8976}"/>
    <cellStyle name="Normal 8 2 4 2 2 3" xfId="5272" xr:uid="{00000000-0005-0000-0000-0000E81C0000}"/>
    <cellStyle name="Normal 8 2 4 2 2 3 2" xfId="13714" xr:uid="{E80A5C99-4463-4B82-B096-CE71314CC8E5}"/>
    <cellStyle name="Normal 8 2 4 2 2 4" xfId="9496" xr:uid="{313C143E-068B-4CD8-BA4D-EEC0CE62D6C6}"/>
    <cellStyle name="Normal 8 2 4 2 3" xfId="1377" xr:uid="{00000000-0005-0000-0000-0000E91C0000}"/>
    <cellStyle name="Normal 8 2 4 2 3 2" xfId="3607" xr:uid="{00000000-0005-0000-0000-0000EA1C0000}"/>
    <cellStyle name="Normal 8 2 4 2 3 2 2" xfId="7830" xr:uid="{00000000-0005-0000-0000-0000EB1C0000}"/>
    <cellStyle name="Normal 8 2 4 2 3 2 2 2" xfId="16272" xr:uid="{6841BED1-EFCE-48B8-A01B-430486B8242C}"/>
    <cellStyle name="Normal 8 2 4 2 3 2 3" xfId="12054" xr:uid="{CE1B5EA7-CFDB-4BC1-B4A3-96973B689412}"/>
    <cellStyle name="Normal 8 2 4 2 3 3" xfId="5685" xr:uid="{00000000-0005-0000-0000-0000EC1C0000}"/>
    <cellStyle name="Normal 8 2 4 2 3 3 2" xfId="14127" xr:uid="{AF644924-A185-40C5-AEA4-3C17CD64771E}"/>
    <cellStyle name="Normal 8 2 4 2 3 4" xfId="9909" xr:uid="{EEFBB0C0-85E8-4D62-90A9-56CFB8B8F066}"/>
    <cellStyle name="Normal 8 2 4 2 4" xfId="1790" xr:uid="{00000000-0005-0000-0000-0000ED1C0000}"/>
    <cellStyle name="Normal 8 2 4 2 4 2" xfId="4020" xr:uid="{00000000-0005-0000-0000-0000EE1C0000}"/>
    <cellStyle name="Normal 8 2 4 2 4 2 2" xfId="8243" xr:uid="{00000000-0005-0000-0000-0000EF1C0000}"/>
    <cellStyle name="Normal 8 2 4 2 4 2 2 2" xfId="16685" xr:uid="{3FCE4336-262F-4AAE-A1A6-509958E45EBB}"/>
    <cellStyle name="Normal 8 2 4 2 4 2 3" xfId="12467" xr:uid="{784D3FFD-CF34-4C89-9E61-45E5798F4C53}"/>
    <cellStyle name="Normal 8 2 4 2 4 3" xfId="6098" xr:uid="{00000000-0005-0000-0000-0000F01C0000}"/>
    <cellStyle name="Normal 8 2 4 2 4 3 2" xfId="14540" xr:uid="{7DED4B25-0700-4557-A6F3-7DB354859410}"/>
    <cellStyle name="Normal 8 2 4 2 4 4" xfId="10322" xr:uid="{6F1BB6A0-51B7-445D-8A45-C81622F2377E}"/>
    <cellStyle name="Normal 8 2 4 2 5" xfId="2204" xr:uid="{00000000-0005-0000-0000-0000F11C0000}"/>
    <cellStyle name="Normal 8 2 4 2 5 2" xfId="4433" xr:uid="{00000000-0005-0000-0000-0000F21C0000}"/>
    <cellStyle name="Normal 8 2 4 2 5 2 2" xfId="8656" xr:uid="{00000000-0005-0000-0000-0000F31C0000}"/>
    <cellStyle name="Normal 8 2 4 2 5 2 2 2" xfId="17098" xr:uid="{F2676080-40C4-45B0-9A0C-4BCE2526BF3E}"/>
    <cellStyle name="Normal 8 2 4 2 5 2 3" xfId="12880" xr:uid="{F9011A9A-FD6E-4BE8-A0C5-CD2A78E2FC8D}"/>
    <cellStyle name="Normal 8 2 4 2 5 3" xfId="6511" xr:uid="{00000000-0005-0000-0000-0000F41C0000}"/>
    <cellStyle name="Normal 8 2 4 2 5 3 2" xfId="14953" xr:uid="{4AFDA234-E07D-4497-8967-46223CB38FBA}"/>
    <cellStyle name="Normal 8 2 4 2 5 4" xfId="10735" xr:uid="{C405A1EF-BB36-4C6D-B1DB-BC52EFD4C4D2}"/>
    <cellStyle name="Normal 8 2 4 2 6" xfId="2640" xr:uid="{00000000-0005-0000-0000-0000F51C0000}"/>
    <cellStyle name="Normal 8 2 4 2 6 2" xfId="6924" xr:uid="{00000000-0005-0000-0000-0000F61C0000}"/>
    <cellStyle name="Normal 8 2 4 2 6 2 2" xfId="15366" xr:uid="{DDC700BB-237C-4E1E-A6C3-1A1EFBD2A2B1}"/>
    <cellStyle name="Normal 8 2 4 2 6 3" xfId="11148" xr:uid="{3C9D54D4-D922-43C0-BC25-34E877FDD7A1}"/>
    <cellStyle name="Normal 8 2 4 2 7" xfId="4859" xr:uid="{00000000-0005-0000-0000-0000F71C0000}"/>
    <cellStyle name="Normal 8 2 4 2 7 2" xfId="13301" xr:uid="{895F6E93-3966-4149-8463-B17C013FFC4E}"/>
    <cellStyle name="Normal 8 2 4 2 8" xfId="9083" xr:uid="{1FD0DBC6-5203-4920-B4D3-39100A491E2D}"/>
    <cellStyle name="Normal 8 2 4 3" xfId="959" xr:uid="{00000000-0005-0000-0000-0000F81C0000}"/>
    <cellStyle name="Normal 8 2 4 3 2" xfId="3193" xr:uid="{00000000-0005-0000-0000-0000F91C0000}"/>
    <cellStyle name="Normal 8 2 4 3 2 2" xfId="7416" xr:uid="{00000000-0005-0000-0000-0000FA1C0000}"/>
    <cellStyle name="Normal 8 2 4 3 2 2 2" xfId="15858" xr:uid="{F3AD942C-D54B-436A-A295-602A33F42663}"/>
    <cellStyle name="Normal 8 2 4 3 2 3" xfId="11640" xr:uid="{B55095C5-0CE6-4F57-924F-04323C1B2DBC}"/>
    <cellStyle name="Normal 8 2 4 3 3" xfId="5271" xr:uid="{00000000-0005-0000-0000-0000FB1C0000}"/>
    <cellStyle name="Normal 8 2 4 3 3 2" xfId="13713" xr:uid="{589E2434-3C39-4873-AE2B-A4F62BEE9E08}"/>
    <cellStyle name="Normal 8 2 4 3 4" xfId="9495" xr:uid="{3D95310E-63A4-4AFB-A4F4-14C9EB55B614}"/>
    <cellStyle name="Normal 8 2 4 4" xfId="1376" xr:uid="{00000000-0005-0000-0000-0000FC1C0000}"/>
    <cellStyle name="Normal 8 2 4 4 2" xfId="3606" xr:uid="{00000000-0005-0000-0000-0000FD1C0000}"/>
    <cellStyle name="Normal 8 2 4 4 2 2" xfId="7829" xr:uid="{00000000-0005-0000-0000-0000FE1C0000}"/>
    <cellStyle name="Normal 8 2 4 4 2 2 2" xfId="16271" xr:uid="{9D632E72-0BD5-4AC6-B27D-6D390B8500D7}"/>
    <cellStyle name="Normal 8 2 4 4 2 3" xfId="12053" xr:uid="{C2874D29-E3EC-4351-AB3A-5BC908764F6D}"/>
    <cellStyle name="Normal 8 2 4 4 3" xfId="5684" xr:uid="{00000000-0005-0000-0000-0000FF1C0000}"/>
    <cellStyle name="Normal 8 2 4 4 3 2" xfId="14126" xr:uid="{74CB9C21-11DB-47E2-91BB-0673C54C7987}"/>
    <cellStyle name="Normal 8 2 4 4 4" xfId="9908" xr:uid="{6FE6C61B-92B8-4C36-AF50-DB7FBD5D1091}"/>
    <cellStyle name="Normal 8 2 4 5" xfId="1789" xr:uid="{00000000-0005-0000-0000-0000001D0000}"/>
    <cellStyle name="Normal 8 2 4 5 2" xfId="4019" xr:uid="{00000000-0005-0000-0000-0000011D0000}"/>
    <cellStyle name="Normal 8 2 4 5 2 2" xfId="8242" xr:uid="{00000000-0005-0000-0000-0000021D0000}"/>
    <cellStyle name="Normal 8 2 4 5 2 2 2" xfId="16684" xr:uid="{6BC7DD90-5504-40D1-9526-13A3FC1DD660}"/>
    <cellStyle name="Normal 8 2 4 5 2 3" xfId="12466" xr:uid="{DA60546D-63CC-4ECC-953E-17D943B0E8D7}"/>
    <cellStyle name="Normal 8 2 4 5 3" xfId="6097" xr:uid="{00000000-0005-0000-0000-0000031D0000}"/>
    <cellStyle name="Normal 8 2 4 5 3 2" xfId="14539" xr:uid="{A1FC9315-D5D2-4207-B298-98B806B6528B}"/>
    <cellStyle name="Normal 8 2 4 5 4" xfId="10321" xr:uid="{51369B42-D3A3-4209-9782-B7A7EC98DE0D}"/>
    <cellStyle name="Normal 8 2 4 6" xfId="2203" xr:uid="{00000000-0005-0000-0000-0000041D0000}"/>
    <cellStyle name="Normal 8 2 4 6 2" xfId="4432" xr:uid="{00000000-0005-0000-0000-0000051D0000}"/>
    <cellStyle name="Normal 8 2 4 6 2 2" xfId="8655" xr:uid="{00000000-0005-0000-0000-0000061D0000}"/>
    <cellStyle name="Normal 8 2 4 6 2 2 2" xfId="17097" xr:uid="{2493AD86-AB03-4828-AC98-4DB36435990C}"/>
    <cellStyle name="Normal 8 2 4 6 2 3" xfId="12879" xr:uid="{9E04133C-447D-4866-BE5A-CF451352DF21}"/>
    <cellStyle name="Normal 8 2 4 6 3" xfId="6510" xr:uid="{00000000-0005-0000-0000-0000071D0000}"/>
    <cellStyle name="Normal 8 2 4 6 3 2" xfId="14952" xr:uid="{6873971F-C9F6-4E87-ACC3-C616B1F5BECD}"/>
    <cellStyle name="Normal 8 2 4 6 4" xfId="10734" xr:uid="{DC9650C1-AA9B-424A-B757-C9286CC8B676}"/>
    <cellStyle name="Normal 8 2 4 7" xfId="2639" xr:uid="{00000000-0005-0000-0000-0000081D0000}"/>
    <cellStyle name="Normal 8 2 4 7 2" xfId="6923" xr:uid="{00000000-0005-0000-0000-0000091D0000}"/>
    <cellStyle name="Normal 8 2 4 7 2 2" xfId="15365" xr:uid="{FDE4D57D-729D-4BB6-A5EB-B898CB33B0E2}"/>
    <cellStyle name="Normal 8 2 4 7 3" xfId="11147" xr:uid="{0AD412AC-02DF-4A35-A3C0-ECA49F6A2F8C}"/>
    <cellStyle name="Normal 8 2 4 8" xfId="4858" xr:uid="{00000000-0005-0000-0000-00000A1D0000}"/>
    <cellStyle name="Normal 8 2 4 8 2" xfId="13300" xr:uid="{43442D52-04A5-463A-9E62-657D6A2021EA}"/>
    <cellStyle name="Normal 8 2 4 9" xfId="9082" xr:uid="{7B97180E-DC93-492B-99A7-3C37CB992B9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2 2 2" xfId="15860" xr:uid="{8F45666B-2C0B-461B-92D5-20D8EA5434DF}"/>
    <cellStyle name="Normal 8 2 5 2 2 3" xfId="11642" xr:uid="{C4C7F0BC-D7BF-4EB1-A885-E804D7CA7161}"/>
    <cellStyle name="Normal 8 2 5 2 3" xfId="5273" xr:uid="{00000000-0005-0000-0000-00000F1D0000}"/>
    <cellStyle name="Normal 8 2 5 2 3 2" xfId="13715" xr:uid="{E3A39F79-DEEE-40C6-8BB5-C84C9281C366}"/>
    <cellStyle name="Normal 8 2 5 2 4" xfId="9497" xr:uid="{007295DF-E78E-4BA7-BC57-703626C00CFE}"/>
    <cellStyle name="Normal 8 2 5 3" xfId="1378" xr:uid="{00000000-0005-0000-0000-0000101D0000}"/>
    <cellStyle name="Normal 8 2 5 3 2" xfId="3608" xr:uid="{00000000-0005-0000-0000-0000111D0000}"/>
    <cellStyle name="Normal 8 2 5 3 2 2" xfId="7831" xr:uid="{00000000-0005-0000-0000-0000121D0000}"/>
    <cellStyle name="Normal 8 2 5 3 2 2 2" xfId="16273" xr:uid="{DAC856B5-2F49-4125-86C8-1BBB40820C8B}"/>
    <cellStyle name="Normal 8 2 5 3 2 3" xfId="12055" xr:uid="{C96ED5AC-8B68-49EC-B772-0FB9916068FE}"/>
    <cellStyle name="Normal 8 2 5 3 3" xfId="5686" xr:uid="{00000000-0005-0000-0000-0000131D0000}"/>
    <cellStyle name="Normal 8 2 5 3 3 2" xfId="14128" xr:uid="{BA0097DD-773F-429C-89F0-E1A830D2F736}"/>
    <cellStyle name="Normal 8 2 5 3 4" xfId="9910" xr:uid="{1EE26551-3F20-46B2-8419-AC49EAA113C1}"/>
    <cellStyle name="Normal 8 2 5 4" xfId="1791" xr:uid="{00000000-0005-0000-0000-0000141D0000}"/>
    <cellStyle name="Normal 8 2 5 4 2" xfId="4021" xr:uid="{00000000-0005-0000-0000-0000151D0000}"/>
    <cellStyle name="Normal 8 2 5 4 2 2" xfId="8244" xr:uid="{00000000-0005-0000-0000-0000161D0000}"/>
    <cellStyle name="Normal 8 2 5 4 2 2 2" xfId="16686" xr:uid="{C837B2F0-6D65-43C3-AA1F-F46995F265CE}"/>
    <cellStyle name="Normal 8 2 5 4 2 3" xfId="12468" xr:uid="{7DEEB5D1-52CB-4B9B-8C51-B450298C86DE}"/>
    <cellStyle name="Normal 8 2 5 4 3" xfId="6099" xr:uid="{00000000-0005-0000-0000-0000171D0000}"/>
    <cellStyle name="Normal 8 2 5 4 3 2" xfId="14541" xr:uid="{6291251D-546D-4707-965E-5D385C69E8CE}"/>
    <cellStyle name="Normal 8 2 5 4 4" xfId="10323" xr:uid="{744E4C6E-509E-4B82-B9FC-C88FCBE30C4A}"/>
    <cellStyle name="Normal 8 2 5 5" xfId="2205" xr:uid="{00000000-0005-0000-0000-0000181D0000}"/>
    <cellStyle name="Normal 8 2 5 5 2" xfId="4434" xr:uid="{00000000-0005-0000-0000-0000191D0000}"/>
    <cellStyle name="Normal 8 2 5 5 2 2" xfId="8657" xr:uid="{00000000-0005-0000-0000-00001A1D0000}"/>
    <cellStyle name="Normal 8 2 5 5 2 2 2" xfId="17099" xr:uid="{C58D8D27-6CB8-46DD-81B3-EC31F6FF5539}"/>
    <cellStyle name="Normal 8 2 5 5 2 3" xfId="12881" xr:uid="{98CA4970-C058-479F-A88B-C7BA702469DC}"/>
    <cellStyle name="Normal 8 2 5 5 3" xfId="6512" xr:uid="{00000000-0005-0000-0000-00001B1D0000}"/>
    <cellStyle name="Normal 8 2 5 5 3 2" xfId="14954" xr:uid="{978EE3DC-FAE2-4AE1-8B68-62D60CAB5791}"/>
    <cellStyle name="Normal 8 2 5 5 4" xfId="10736" xr:uid="{D70FC146-BBB0-4904-B456-5A4C78B8C752}"/>
    <cellStyle name="Normal 8 2 5 6" xfId="2641" xr:uid="{00000000-0005-0000-0000-00001C1D0000}"/>
    <cellStyle name="Normal 8 2 5 6 2" xfId="6925" xr:uid="{00000000-0005-0000-0000-00001D1D0000}"/>
    <cellStyle name="Normal 8 2 5 6 2 2" xfId="15367" xr:uid="{EB6606CD-F1B5-4556-ADC8-34F5B1B6480F}"/>
    <cellStyle name="Normal 8 2 5 6 3" xfId="11149" xr:uid="{B14EE857-0969-45C4-A966-90C3C6CF0782}"/>
    <cellStyle name="Normal 8 2 5 7" xfId="4860" xr:uid="{00000000-0005-0000-0000-00001E1D0000}"/>
    <cellStyle name="Normal 8 2 5 7 2" xfId="13302" xr:uid="{6B8A6264-D7B7-42C8-89FB-3EF2B8C09232}"/>
    <cellStyle name="Normal 8 2 5 8" xfId="9084" xr:uid="{F6DD6309-5370-4AB6-B559-1711328CD1B2}"/>
    <cellStyle name="Normal 8 2 6" xfId="946" xr:uid="{00000000-0005-0000-0000-00001F1D0000}"/>
    <cellStyle name="Normal 8 2 6 2" xfId="3180" xr:uid="{00000000-0005-0000-0000-0000201D0000}"/>
    <cellStyle name="Normal 8 2 6 2 2" xfId="7403" xr:uid="{00000000-0005-0000-0000-0000211D0000}"/>
    <cellStyle name="Normal 8 2 6 2 2 2" xfId="15845" xr:uid="{15074B0D-9DDB-4FE2-867B-7CBBDC96954B}"/>
    <cellStyle name="Normal 8 2 6 2 3" xfId="11627" xr:uid="{4DBAAFDD-CC47-4215-B4DA-3CBB5ADCC854}"/>
    <cellStyle name="Normal 8 2 6 3" xfId="5258" xr:uid="{00000000-0005-0000-0000-0000221D0000}"/>
    <cellStyle name="Normal 8 2 6 3 2" xfId="13700" xr:uid="{B4DC73F6-E292-4D8B-B0E8-87E73E9B9903}"/>
    <cellStyle name="Normal 8 2 6 4" xfId="9482" xr:uid="{771B442D-3AF9-4159-A859-B5086A309ECC}"/>
    <cellStyle name="Normal 8 2 7" xfId="1363" xr:uid="{00000000-0005-0000-0000-0000231D0000}"/>
    <cellStyle name="Normal 8 2 7 2" xfId="3593" xr:uid="{00000000-0005-0000-0000-0000241D0000}"/>
    <cellStyle name="Normal 8 2 7 2 2" xfId="7816" xr:uid="{00000000-0005-0000-0000-0000251D0000}"/>
    <cellStyle name="Normal 8 2 7 2 2 2" xfId="16258" xr:uid="{FC96B408-FDD1-4C7D-8116-986832EE9671}"/>
    <cellStyle name="Normal 8 2 7 2 3" xfId="12040" xr:uid="{A2E41F99-DD36-43AD-B077-E78CE7FFE557}"/>
    <cellStyle name="Normal 8 2 7 3" xfId="5671" xr:uid="{00000000-0005-0000-0000-0000261D0000}"/>
    <cellStyle name="Normal 8 2 7 3 2" xfId="14113" xr:uid="{244041E9-4B4C-43BD-8206-EA5625221B8C}"/>
    <cellStyle name="Normal 8 2 7 4" xfId="9895" xr:uid="{8CDFB3B7-4F1D-4A30-8B1E-313599CC01D6}"/>
    <cellStyle name="Normal 8 2 8" xfId="1776" xr:uid="{00000000-0005-0000-0000-0000271D0000}"/>
    <cellStyle name="Normal 8 2 8 2" xfId="4006" xr:uid="{00000000-0005-0000-0000-0000281D0000}"/>
    <cellStyle name="Normal 8 2 8 2 2" xfId="8229" xr:uid="{00000000-0005-0000-0000-0000291D0000}"/>
    <cellStyle name="Normal 8 2 8 2 2 2" xfId="16671" xr:uid="{F9B9565A-6B7B-4255-BA7E-CFE1A059C24F}"/>
    <cellStyle name="Normal 8 2 8 2 3" xfId="12453" xr:uid="{5CCE43A3-9BF0-4BC5-940D-F15473AAD39E}"/>
    <cellStyle name="Normal 8 2 8 3" xfId="6084" xr:uid="{00000000-0005-0000-0000-00002A1D0000}"/>
    <cellStyle name="Normal 8 2 8 3 2" xfId="14526" xr:uid="{6E6E530D-8004-401E-84BD-8156487FBB0E}"/>
    <cellStyle name="Normal 8 2 8 4" xfId="10308" xr:uid="{64A9B9B9-F7A3-41CF-9105-4047B9F7D493}"/>
    <cellStyle name="Normal 8 2 9" xfId="2190" xr:uid="{00000000-0005-0000-0000-00002B1D0000}"/>
    <cellStyle name="Normal 8 2 9 2" xfId="4419" xr:uid="{00000000-0005-0000-0000-00002C1D0000}"/>
    <cellStyle name="Normal 8 2 9 2 2" xfId="8642" xr:uid="{00000000-0005-0000-0000-00002D1D0000}"/>
    <cellStyle name="Normal 8 2 9 2 2 2" xfId="17084" xr:uid="{73E13A5E-3620-44CC-AC3F-5ADF3196DB94}"/>
    <cellStyle name="Normal 8 2 9 2 3" xfId="12866" xr:uid="{32EA0F12-7BF8-410F-AC41-F89E77B15045}"/>
    <cellStyle name="Normal 8 2 9 3" xfId="6497" xr:uid="{00000000-0005-0000-0000-00002E1D0000}"/>
    <cellStyle name="Normal 8 2 9 3 2" xfId="14939" xr:uid="{05C97F38-900A-4AC6-BABA-38D07AF2BD24}"/>
    <cellStyle name="Normal 8 2 9 4" xfId="10721" xr:uid="{C70A8CCC-10D7-44E6-A559-57F3FC1E965E}"/>
    <cellStyle name="Normal 8 3" xfId="495" xr:uid="{00000000-0005-0000-0000-00002F1D0000}"/>
    <cellStyle name="Normal 8 3 10" xfId="4861" xr:uid="{00000000-0005-0000-0000-0000301D0000}"/>
    <cellStyle name="Normal 8 3 10 2" xfId="13303" xr:uid="{6BEECB2A-D54B-4725-B3A5-1E8A1686281A}"/>
    <cellStyle name="Normal 8 3 11" xfId="9085" xr:uid="{514785FC-139C-43BD-BD1A-703DDA9C9BF8}"/>
    <cellStyle name="Normal 8 3 2" xfId="496" xr:uid="{00000000-0005-0000-0000-0000311D0000}"/>
    <cellStyle name="Normal 8 3 2 10" xfId="9086" xr:uid="{D9C5F3DE-F285-4C77-AEA2-03BAB8BF254D}"/>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2 2 2" xfId="15864" xr:uid="{4E46DA2A-2F18-42FB-B4DE-A340948E6EE7}"/>
    <cellStyle name="Normal 8 3 2 2 2 2 2 3" xfId="11646" xr:uid="{F71276CC-1A37-40C2-8A38-A386427790B2}"/>
    <cellStyle name="Normal 8 3 2 2 2 2 3" xfId="5277" xr:uid="{00000000-0005-0000-0000-0000371D0000}"/>
    <cellStyle name="Normal 8 3 2 2 2 2 3 2" xfId="13719" xr:uid="{F2693D01-3286-42CE-9D42-3C77FEF389AE}"/>
    <cellStyle name="Normal 8 3 2 2 2 2 4" xfId="9501" xr:uid="{F6B26D35-4F5B-456A-92E0-A20E5043D976}"/>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2 2 2" xfId="16277" xr:uid="{69752CFE-12FB-48A3-B37F-A0EF8C5C5CAC}"/>
    <cellStyle name="Normal 8 3 2 2 2 3 2 3" xfId="12059" xr:uid="{7573962F-F981-47FA-B07B-1325BB4FF42D}"/>
    <cellStyle name="Normal 8 3 2 2 2 3 3" xfId="5690" xr:uid="{00000000-0005-0000-0000-00003B1D0000}"/>
    <cellStyle name="Normal 8 3 2 2 2 3 3 2" xfId="14132" xr:uid="{E46EF1B5-1BD3-4BEC-9882-85EFAA6AEF4D}"/>
    <cellStyle name="Normal 8 3 2 2 2 3 4" xfId="9914" xr:uid="{3FE729DC-DF01-4EEE-B5B0-1769512444D4}"/>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2 2 2" xfId="16690" xr:uid="{3823CDB5-7768-4100-A6C7-822371D9C9AD}"/>
    <cellStyle name="Normal 8 3 2 2 2 4 2 3" xfId="12472" xr:uid="{ECDB1A69-C48B-46A0-BBB8-5AE731840DE0}"/>
    <cellStyle name="Normal 8 3 2 2 2 4 3" xfId="6103" xr:uid="{00000000-0005-0000-0000-00003F1D0000}"/>
    <cellStyle name="Normal 8 3 2 2 2 4 3 2" xfId="14545" xr:uid="{421BC611-22C1-4FC8-9568-666181B016D3}"/>
    <cellStyle name="Normal 8 3 2 2 2 4 4" xfId="10327" xr:uid="{E4BC66D2-601B-41CF-AF72-C3186CAFF662}"/>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2 2 2" xfId="17103" xr:uid="{712694E1-07C6-4EC6-BF75-E6A0984C0738}"/>
    <cellStyle name="Normal 8 3 2 2 2 5 2 3" xfId="12885" xr:uid="{E58561B1-917C-4F8A-8BEA-D64FDD2327B8}"/>
    <cellStyle name="Normal 8 3 2 2 2 5 3" xfId="6516" xr:uid="{00000000-0005-0000-0000-0000431D0000}"/>
    <cellStyle name="Normal 8 3 2 2 2 5 3 2" xfId="14958" xr:uid="{D0E36EEB-5F04-42C5-9FE0-8E1B18D80561}"/>
    <cellStyle name="Normal 8 3 2 2 2 5 4" xfId="10740" xr:uid="{C65D015D-5EB2-4933-86B3-F6F6AF05A757}"/>
    <cellStyle name="Normal 8 3 2 2 2 6" xfId="2645" xr:uid="{00000000-0005-0000-0000-0000441D0000}"/>
    <cellStyle name="Normal 8 3 2 2 2 6 2" xfId="6929" xr:uid="{00000000-0005-0000-0000-0000451D0000}"/>
    <cellStyle name="Normal 8 3 2 2 2 6 2 2" xfId="15371" xr:uid="{AE3FA703-0A1E-4110-BDA7-B154BA0EB4E2}"/>
    <cellStyle name="Normal 8 3 2 2 2 6 3" xfId="11153" xr:uid="{1E9748D7-E854-4C4C-8450-FCA645A5907B}"/>
    <cellStyle name="Normal 8 3 2 2 2 7" xfId="4864" xr:uid="{00000000-0005-0000-0000-0000461D0000}"/>
    <cellStyle name="Normal 8 3 2 2 2 7 2" xfId="13306" xr:uid="{42CEF9C2-CEFA-46C2-9C19-5106A8097588}"/>
    <cellStyle name="Normal 8 3 2 2 2 8" xfId="9088" xr:uid="{A1029E27-735C-4C7A-A222-11590F11B9B0}"/>
    <cellStyle name="Normal 8 3 2 2 3" xfId="964" xr:uid="{00000000-0005-0000-0000-0000471D0000}"/>
    <cellStyle name="Normal 8 3 2 2 3 2" xfId="3198" xr:uid="{00000000-0005-0000-0000-0000481D0000}"/>
    <cellStyle name="Normal 8 3 2 2 3 2 2" xfId="7421" xr:uid="{00000000-0005-0000-0000-0000491D0000}"/>
    <cellStyle name="Normal 8 3 2 2 3 2 2 2" xfId="15863" xr:uid="{C620B783-D230-4E8F-A5EF-F1F41CF2BDD1}"/>
    <cellStyle name="Normal 8 3 2 2 3 2 3" xfId="11645" xr:uid="{A7A86E81-339B-457D-9CEC-3333D1CEB00D}"/>
    <cellStyle name="Normal 8 3 2 2 3 3" xfId="5276" xr:uid="{00000000-0005-0000-0000-00004A1D0000}"/>
    <cellStyle name="Normal 8 3 2 2 3 3 2" xfId="13718" xr:uid="{EC1B8FBB-B3C1-4011-8556-45442F33BDEA}"/>
    <cellStyle name="Normal 8 3 2 2 3 4" xfId="9500" xr:uid="{6545FDEC-51F3-4807-955A-0A0DFCB43BA8}"/>
    <cellStyle name="Normal 8 3 2 2 4" xfId="1381" xr:uid="{00000000-0005-0000-0000-00004B1D0000}"/>
    <cellStyle name="Normal 8 3 2 2 4 2" xfId="3611" xr:uid="{00000000-0005-0000-0000-00004C1D0000}"/>
    <cellStyle name="Normal 8 3 2 2 4 2 2" xfId="7834" xr:uid="{00000000-0005-0000-0000-00004D1D0000}"/>
    <cellStyle name="Normal 8 3 2 2 4 2 2 2" xfId="16276" xr:uid="{B6DA5F2A-FA58-47C5-80E0-798CF5D532B9}"/>
    <cellStyle name="Normal 8 3 2 2 4 2 3" xfId="12058" xr:uid="{B161ABF2-1C2D-467B-A301-B87394967B2F}"/>
    <cellStyle name="Normal 8 3 2 2 4 3" xfId="5689" xr:uid="{00000000-0005-0000-0000-00004E1D0000}"/>
    <cellStyle name="Normal 8 3 2 2 4 3 2" xfId="14131" xr:uid="{E6D9EFE9-21CF-4AAD-A018-EF2C97CE7411}"/>
    <cellStyle name="Normal 8 3 2 2 4 4" xfId="9913" xr:uid="{1782B10F-F462-4D6F-8684-5E7096D225A2}"/>
    <cellStyle name="Normal 8 3 2 2 5" xfId="1794" xr:uid="{00000000-0005-0000-0000-00004F1D0000}"/>
    <cellStyle name="Normal 8 3 2 2 5 2" xfId="4024" xr:uid="{00000000-0005-0000-0000-0000501D0000}"/>
    <cellStyle name="Normal 8 3 2 2 5 2 2" xfId="8247" xr:uid="{00000000-0005-0000-0000-0000511D0000}"/>
    <cellStyle name="Normal 8 3 2 2 5 2 2 2" xfId="16689" xr:uid="{5D8C3926-6DFB-4B2E-AC75-42B70E52D4CA}"/>
    <cellStyle name="Normal 8 3 2 2 5 2 3" xfId="12471" xr:uid="{79C5F0D0-7BD9-4D9E-A46D-9D575431044C}"/>
    <cellStyle name="Normal 8 3 2 2 5 3" xfId="6102" xr:uid="{00000000-0005-0000-0000-0000521D0000}"/>
    <cellStyle name="Normal 8 3 2 2 5 3 2" xfId="14544" xr:uid="{EDE4BBDC-EB1D-4057-8F10-A43086A5E57E}"/>
    <cellStyle name="Normal 8 3 2 2 5 4" xfId="10326" xr:uid="{B43020DB-9782-41D0-8E6D-DB9C71971DF0}"/>
    <cellStyle name="Normal 8 3 2 2 6" xfId="2208" xr:uid="{00000000-0005-0000-0000-0000531D0000}"/>
    <cellStyle name="Normal 8 3 2 2 6 2" xfId="4437" xr:uid="{00000000-0005-0000-0000-0000541D0000}"/>
    <cellStyle name="Normal 8 3 2 2 6 2 2" xfId="8660" xr:uid="{00000000-0005-0000-0000-0000551D0000}"/>
    <cellStyle name="Normal 8 3 2 2 6 2 2 2" xfId="17102" xr:uid="{AED6DD52-8E57-41D2-9DEE-3C5ADE0A2150}"/>
    <cellStyle name="Normal 8 3 2 2 6 2 3" xfId="12884" xr:uid="{9FC50C11-A724-4090-BE5C-53696F2FB738}"/>
    <cellStyle name="Normal 8 3 2 2 6 3" xfId="6515" xr:uid="{00000000-0005-0000-0000-0000561D0000}"/>
    <cellStyle name="Normal 8 3 2 2 6 3 2" xfId="14957" xr:uid="{F5D80BC4-7B62-49E7-83DF-10CEB88A863A}"/>
    <cellStyle name="Normal 8 3 2 2 6 4" xfId="10739" xr:uid="{B2E6D980-F02C-4FFF-953A-CAF9ACD9660A}"/>
    <cellStyle name="Normal 8 3 2 2 7" xfId="2644" xr:uid="{00000000-0005-0000-0000-0000571D0000}"/>
    <cellStyle name="Normal 8 3 2 2 7 2" xfId="6928" xr:uid="{00000000-0005-0000-0000-0000581D0000}"/>
    <cellStyle name="Normal 8 3 2 2 7 2 2" xfId="15370" xr:uid="{9EAA0CA4-6EA0-482C-9DD0-107F4522C807}"/>
    <cellStyle name="Normal 8 3 2 2 7 3" xfId="11152" xr:uid="{7D778A77-4086-4178-B25B-A8A950B56962}"/>
    <cellStyle name="Normal 8 3 2 2 8" xfId="4863" xr:uid="{00000000-0005-0000-0000-0000591D0000}"/>
    <cellStyle name="Normal 8 3 2 2 8 2" xfId="13305" xr:uid="{4614B2D3-3963-41E7-8837-984629A9F49D}"/>
    <cellStyle name="Normal 8 3 2 2 9" xfId="9087" xr:uid="{900FB226-5692-4391-9653-CD2BC54B7CE3}"/>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2 2 2" xfId="15865" xr:uid="{9F19FC4C-4ADC-4406-9599-59755D5CE393}"/>
    <cellStyle name="Normal 8 3 2 3 2 2 3" xfId="11647" xr:uid="{A4215670-C77D-4788-A5F0-2AAF46822556}"/>
    <cellStyle name="Normal 8 3 2 3 2 3" xfId="5278" xr:uid="{00000000-0005-0000-0000-00005E1D0000}"/>
    <cellStyle name="Normal 8 3 2 3 2 3 2" xfId="13720" xr:uid="{12B7BBB3-5DE7-4F35-ABEF-B32F2C6E27C5}"/>
    <cellStyle name="Normal 8 3 2 3 2 4" xfId="9502" xr:uid="{1FB8B085-400F-4B94-95D6-0190A5C81966}"/>
    <cellStyle name="Normal 8 3 2 3 3" xfId="1383" xr:uid="{00000000-0005-0000-0000-00005F1D0000}"/>
    <cellStyle name="Normal 8 3 2 3 3 2" xfId="3613" xr:uid="{00000000-0005-0000-0000-0000601D0000}"/>
    <cellStyle name="Normal 8 3 2 3 3 2 2" xfId="7836" xr:uid="{00000000-0005-0000-0000-0000611D0000}"/>
    <cellStyle name="Normal 8 3 2 3 3 2 2 2" xfId="16278" xr:uid="{E1326D62-8A62-4F9D-89CA-B8A2D2E30EB0}"/>
    <cellStyle name="Normal 8 3 2 3 3 2 3" xfId="12060" xr:uid="{A581F311-54F5-4160-928B-CC57CF1A257D}"/>
    <cellStyle name="Normal 8 3 2 3 3 3" xfId="5691" xr:uid="{00000000-0005-0000-0000-0000621D0000}"/>
    <cellStyle name="Normal 8 3 2 3 3 3 2" xfId="14133" xr:uid="{BB9A853B-60C9-4E3E-9735-481E24FE3348}"/>
    <cellStyle name="Normal 8 3 2 3 3 4" xfId="9915" xr:uid="{AA400C95-A987-41DA-A28C-F94E2C18EFFB}"/>
    <cellStyle name="Normal 8 3 2 3 4" xfId="1796" xr:uid="{00000000-0005-0000-0000-0000631D0000}"/>
    <cellStyle name="Normal 8 3 2 3 4 2" xfId="4026" xr:uid="{00000000-0005-0000-0000-0000641D0000}"/>
    <cellStyle name="Normal 8 3 2 3 4 2 2" xfId="8249" xr:uid="{00000000-0005-0000-0000-0000651D0000}"/>
    <cellStyle name="Normal 8 3 2 3 4 2 2 2" xfId="16691" xr:uid="{A8034FA6-3029-49DF-9F04-805772C121DE}"/>
    <cellStyle name="Normal 8 3 2 3 4 2 3" xfId="12473" xr:uid="{B5A09E7C-7BF8-48D7-BDDD-26EB593A34CC}"/>
    <cellStyle name="Normal 8 3 2 3 4 3" xfId="6104" xr:uid="{00000000-0005-0000-0000-0000661D0000}"/>
    <cellStyle name="Normal 8 3 2 3 4 3 2" xfId="14546" xr:uid="{162ABD34-FE6B-42F2-8235-534F455CD71C}"/>
    <cellStyle name="Normal 8 3 2 3 4 4" xfId="10328" xr:uid="{E9DCF148-AF8E-484D-9E70-2D2C96C82AA0}"/>
    <cellStyle name="Normal 8 3 2 3 5" xfId="2210" xr:uid="{00000000-0005-0000-0000-0000671D0000}"/>
    <cellStyle name="Normal 8 3 2 3 5 2" xfId="4439" xr:uid="{00000000-0005-0000-0000-0000681D0000}"/>
    <cellStyle name="Normal 8 3 2 3 5 2 2" xfId="8662" xr:uid="{00000000-0005-0000-0000-0000691D0000}"/>
    <cellStyle name="Normal 8 3 2 3 5 2 2 2" xfId="17104" xr:uid="{753C96A6-9E4B-4531-BF98-FD610C38D068}"/>
    <cellStyle name="Normal 8 3 2 3 5 2 3" xfId="12886" xr:uid="{BBF5D120-9B68-4BA1-A0F6-550C3C5254F6}"/>
    <cellStyle name="Normal 8 3 2 3 5 3" xfId="6517" xr:uid="{00000000-0005-0000-0000-00006A1D0000}"/>
    <cellStyle name="Normal 8 3 2 3 5 3 2" xfId="14959" xr:uid="{F22A831B-E861-404D-B6C0-BC67831787B6}"/>
    <cellStyle name="Normal 8 3 2 3 5 4" xfId="10741" xr:uid="{9C7F1F73-E3CA-44BA-8990-C11DA5E49FEB}"/>
    <cellStyle name="Normal 8 3 2 3 6" xfId="2646" xr:uid="{00000000-0005-0000-0000-00006B1D0000}"/>
    <cellStyle name="Normal 8 3 2 3 6 2" xfId="6930" xr:uid="{00000000-0005-0000-0000-00006C1D0000}"/>
    <cellStyle name="Normal 8 3 2 3 6 2 2" xfId="15372" xr:uid="{BBFB4B60-CA8A-4B7B-9B53-FF0C382C75C9}"/>
    <cellStyle name="Normal 8 3 2 3 6 3" xfId="11154" xr:uid="{E3B5451E-04C2-462F-A712-86F80A985C88}"/>
    <cellStyle name="Normal 8 3 2 3 7" xfId="4865" xr:uid="{00000000-0005-0000-0000-00006D1D0000}"/>
    <cellStyle name="Normal 8 3 2 3 7 2" xfId="13307" xr:uid="{199C1D07-8D8A-46B6-AE8E-CB223E84E571}"/>
    <cellStyle name="Normal 8 3 2 3 8" xfId="9089" xr:uid="{1EAE6647-FED2-4488-8AE7-8F01E1B493A0}"/>
    <cellStyle name="Normal 8 3 2 4" xfId="963" xr:uid="{00000000-0005-0000-0000-00006E1D0000}"/>
    <cellStyle name="Normal 8 3 2 4 2" xfId="3197" xr:uid="{00000000-0005-0000-0000-00006F1D0000}"/>
    <cellStyle name="Normal 8 3 2 4 2 2" xfId="7420" xr:uid="{00000000-0005-0000-0000-0000701D0000}"/>
    <cellStyle name="Normal 8 3 2 4 2 2 2" xfId="15862" xr:uid="{1A2BC05C-5597-4E15-BFD6-37CC1D0175F8}"/>
    <cellStyle name="Normal 8 3 2 4 2 3" xfId="11644" xr:uid="{F6C71579-7F7A-4696-9F66-5C8B67DA7681}"/>
    <cellStyle name="Normal 8 3 2 4 3" xfId="5275" xr:uid="{00000000-0005-0000-0000-0000711D0000}"/>
    <cellStyle name="Normal 8 3 2 4 3 2" xfId="13717" xr:uid="{79AC8624-C450-476A-81EB-16DB832C9CD7}"/>
    <cellStyle name="Normal 8 3 2 4 4" xfId="9499" xr:uid="{FB561E6B-5AA2-466D-AD00-0D751AA697A5}"/>
    <cellStyle name="Normal 8 3 2 5" xfId="1380" xr:uid="{00000000-0005-0000-0000-0000721D0000}"/>
    <cellStyle name="Normal 8 3 2 5 2" xfId="3610" xr:uid="{00000000-0005-0000-0000-0000731D0000}"/>
    <cellStyle name="Normal 8 3 2 5 2 2" xfId="7833" xr:uid="{00000000-0005-0000-0000-0000741D0000}"/>
    <cellStyle name="Normal 8 3 2 5 2 2 2" xfId="16275" xr:uid="{69D96B0C-0F3D-46F0-9666-630E333516E3}"/>
    <cellStyle name="Normal 8 3 2 5 2 3" xfId="12057" xr:uid="{81333532-F4F0-49AD-B187-3700A4DE6C5B}"/>
    <cellStyle name="Normal 8 3 2 5 3" xfId="5688" xr:uid="{00000000-0005-0000-0000-0000751D0000}"/>
    <cellStyle name="Normal 8 3 2 5 3 2" xfId="14130" xr:uid="{345F4141-A512-4C57-9E79-67823007BB35}"/>
    <cellStyle name="Normal 8 3 2 5 4" xfId="9912" xr:uid="{48AD06CC-4CBE-41A9-B6FC-F355FB903D0A}"/>
    <cellStyle name="Normal 8 3 2 6" xfId="1793" xr:uid="{00000000-0005-0000-0000-0000761D0000}"/>
    <cellStyle name="Normal 8 3 2 6 2" xfId="4023" xr:uid="{00000000-0005-0000-0000-0000771D0000}"/>
    <cellStyle name="Normal 8 3 2 6 2 2" xfId="8246" xr:uid="{00000000-0005-0000-0000-0000781D0000}"/>
    <cellStyle name="Normal 8 3 2 6 2 2 2" xfId="16688" xr:uid="{A08A7971-2561-4D4C-B7FF-0C84127D6557}"/>
    <cellStyle name="Normal 8 3 2 6 2 3" xfId="12470" xr:uid="{AC571D2B-6E16-48C1-AE57-BF81DA762869}"/>
    <cellStyle name="Normal 8 3 2 6 3" xfId="6101" xr:uid="{00000000-0005-0000-0000-0000791D0000}"/>
    <cellStyle name="Normal 8 3 2 6 3 2" xfId="14543" xr:uid="{070EAE28-BFC2-4534-AA8C-E10237950AA2}"/>
    <cellStyle name="Normal 8 3 2 6 4" xfId="10325" xr:uid="{B1651B03-7212-4BA6-A66A-2B21E0EE166D}"/>
    <cellStyle name="Normal 8 3 2 7" xfId="2207" xr:uid="{00000000-0005-0000-0000-00007A1D0000}"/>
    <cellStyle name="Normal 8 3 2 7 2" xfId="4436" xr:uid="{00000000-0005-0000-0000-00007B1D0000}"/>
    <cellStyle name="Normal 8 3 2 7 2 2" xfId="8659" xr:uid="{00000000-0005-0000-0000-00007C1D0000}"/>
    <cellStyle name="Normal 8 3 2 7 2 2 2" xfId="17101" xr:uid="{D983F93C-CA97-429D-9D0A-DF76F2D37897}"/>
    <cellStyle name="Normal 8 3 2 7 2 3" xfId="12883" xr:uid="{B81170BF-33EA-4649-954B-ADD9364F2C26}"/>
    <cellStyle name="Normal 8 3 2 7 3" xfId="6514" xr:uid="{00000000-0005-0000-0000-00007D1D0000}"/>
    <cellStyle name="Normal 8 3 2 7 3 2" xfId="14956" xr:uid="{D015449E-98AD-43BA-AA81-42FC164F7DB8}"/>
    <cellStyle name="Normal 8 3 2 7 4" xfId="10738" xr:uid="{360FB3D9-DB60-4E67-BA50-F386B6850608}"/>
    <cellStyle name="Normal 8 3 2 8" xfId="2643" xr:uid="{00000000-0005-0000-0000-00007E1D0000}"/>
    <cellStyle name="Normal 8 3 2 8 2" xfId="6927" xr:uid="{00000000-0005-0000-0000-00007F1D0000}"/>
    <cellStyle name="Normal 8 3 2 8 2 2" xfId="15369" xr:uid="{C84A2302-F420-4B76-8949-FD561C2AEB1F}"/>
    <cellStyle name="Normal 8 3 2 8 3" xfId="11151" xr:uid="{D667A380-FB89-4A81-A298-1149A7BDBE96}"/>
    <cellStyle name="Normal 8 3 2 9" xfId="4862" xr:uid="{00000000-0005-0000-0000-0000801D0000}"/>
    <cellStyle name="Normal 8 3 2 9 2" xfId="13304" xr:uid="{40BC7DB8-DA92-4170-8F9D-6ECE09CEB991}"/>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2 2 2" xfId="15867" xr:uid="{AE2408C3-58E3-4861-AEBE-2E7879B61889}"/>
    <cellStyle name="Normal 8 3 3 2 2 2 3" xfId="11649" xr:uid="{6150F943-5D3E-4BAE-9AC3-1115E44ED88D}"/>
    <cellStyle name="Normal 8 3 3 2 2 3" xfId="5280" xr:uid="{00000000-0005-0000-0000-0000861D0000}"/>
    <cellStyle name="Normal 8 3 3 2 2 3 2" xfId="13722" xr:uid="{97D34198-58A8-470A-9C43-813236B8D46D}"/>
    <cellStyle name="Normal 8 3 3 2 2 4" xfId="9504" xr:uid="{F3F2F96B-E744-4199-A144-AAF15BC00BE6}"/>
    <cellStyle name="Normal 8 3 3 2 3" xfId="1385" xr:uid="{00000000-0005-0000-0000-0000871D0000}"/>
    <cellStyle name="Normal 8 3 3 2 3 2" xfId="3615" xr:uid="{00000000-0005-0000-0000-0000881D0000}"/>
    <cellStyle name="Normal 8 3 3 2 3 2 2" xfId="7838" xr:uid="{00000000-0005-0000-0000-0000891D0000}"/>
    <cellStyle name="Normal 8 3 3 2 3 2 2 2" xfId="16280" xr:uid="{67CBBB15-FA48-4764-971A-C1A9058723FB}"/>
    <cellStyle name="Normal 8 3 3 2 3 2 3" xfId="12062" xr:uid="{4DE8102F-436E-49FC-9CC2-24CB8284D0A4}"/>
    <cellStyle name="Normal 8 3 3 2 3 3" xfId="5693" xr:uid="{00000000-0005-0000-0000-00008A1D0000}"/>
    <cellStyle name="Normal 8 3 3 2 3 3 2" xfId="14135" xr:uid="{85E0CCA6-8F36-4ECF-A174-54E7D2E77A18}"/>
    <cellStyle name="Normal 8 3 3 2 3 4" xfId="9917" xr:uid="{BDDB9E12-2A19-485F-B698-E5DD5C3BD29C}"/>
    <cellStyle name="Normal 8 3 3 2 4" xfId="1798" xr:uid="{00000000-0005-0000-0000-00008B1D0000}"/>
    <cellStyle name="Normal 8 3 3 2 4 2" xfId="4028" xr:uid="{00000000-0005-0000-0000-00008C1D0000}"/>
    <cellStyle name="Normal 8 3 3 2 4 2 2" xfId="8251" xr:uid="{00000000-0005-0000-0000-00008D1D0000}"/>
    <cellStyle name="Normal 8 3 3 2 4 2 2 2" xfId="16693" xr:uid="{492D886D-4870-4025-8550-82E5A22C5409}"/>
    <cellStyle name="Normal 8 3 3 2 4 2 3" xfId="12475" xr:uid="{8CD1B2F4-D31B-4303-8CDE-D69BC7157BD2}"/>
    <cellStyle name="Normal 8 3 3 2 4 3" xfId="6106" xr:uid="{00000000-0005-0000-0000-00008E1D0000}"/>
    <cellStyle name="Normal 8 3 3 2 4 3 2" xfId="14548" xr:uid="{9E4BF17B-B8AD-44D4-A4BE-162931CAA704}"/>
    <cellStyle name="Normal 8 3 3 2 4 4" xfId="10330" xr:uid="{AD55A7BC-C1EA-4E02-AE95-1C3FEB9B57C5}"/>
    <cellStyle name="Normal 8 3 3 2 5" xfId="2212" xr:uid="{00000000-0005-0000-0000-00008F1D0000}"/>
    <cellStyle name="Normal 8 3 3 2 5 2" xfId="4441" xr:uid="{00000000-0005-0000-0000-0000901D0000}"/>
    <cellStyle name="Normal 8 3 3 2 5 2 2" xfId="8664" xr:uid="{00000000-0005-0000-0000-0000911D0000}"/>
    <cellStyle name="Normal 8 3 3 2 5 2 2 2" xfId="17106" xr:uid="{3731B34B-F297-4B51-99DE-1C1CAF5639EA}"/>
    <cellStyle name="Normal 8 3 3 2 5 2 3" xfId="12888" xr:uid="{8C1A957A-B4C0-4BCE-9E01-E2E0EFDFBF4E}"/>
    <cellStyle name="Normal 8 3 3 2 5 3" xfId="6519" xr:uid="{00000000-0005-0000-0000-0000921D0000}"/>
    <cellStyle name="Normal 8 3 3 2 5 3 2" xfId="14961" xr:uid="{5762F782-6FE2-4076-80B9-21328A5B674E}"/>
    <cellStyle name="Normal 8 3 3 2 5 4" xfId="10743" xr:uid="{96A999ED-C353-4AA6-874A-7B286D678666}"/>
    <cellStyle name="Normal 8 3 3 2 6" xfId="2648" xr:uid="{00000000-0005-0000-0000-0000931D0000}"/>
    <cellStyle name="Normal 8 3 3 2 6 2" xfId="6932" xr:uid="{00000000-0005-0000-0000-0000941D0000}"/>
    <cellStyle name="Normal 8 3 3 2 6 2 2" xfId="15374" xr:uid="{1C1CA594-F295-4AF1-ABA0-2D5BA1FD8326}"/>
    <cellStyle name="Normal 8 3 3 2 6 3" xfId="11156" xr:uid="{198EA2EC-F8BD-4F85-8F78-370ABA62FB21}"/>
    <cellStyle name="Normal 8 3 3 2 7" xfId="4867" xr:uid="{00000000-0005-0000-0000-0000951D0000}"/>
    <cellStyle name="Normal 8 3 3 2 7 2" xfId="13309" xr:uid="{341A17D6-2E30-42BF-888A-9EA8FB412D0E}"/>
    <cellStyle name="Normal 8 3 3 2 8" xfId="9091" xr:uid="{C6DEB418-399F-4083-A274-475358EE1789}"/>
    <cellStyle name="Normal 8 3 3 3" xfId="967" xr:uid="{00000000-0005-0000-0000-0000961D0000}"/>
    <cellStyle name="Normal 8 3 3 3 2" xfId="3201" xr:uid="{00000000-0005-0000-0000-0000971D0000}"/>
    <cellStyle name="Normal 8 3 3 3 2 2" xfId="7424" xr:uid="{00000000-0005-0000-0000-0000981D0000}"/>
    <cellStyle name="Normal 8 3 3 3 2 2 2" xfId="15866" xr:uid="{03B3EA09-FC13-487C-9A62-44D34FD9A2AF}"/>
    <cellStyle name="Normal 8 3 3 3 2 3" xfId="11648" xr:uid="{52F115B8-0E90-4A97-956C-230E22242209}"/>
    <cellStyle name="Normal 8 3 3 3 3" xfId="5279" xr:uid="{00000000-0005-0000-0000-0000991D0000}"/>
    <cellStyle name="Normal 8 3 3 3 3 2" xfId="13721" xr:uid="{5C625B47-F44D-443D-9E7D-C808AF915272}"/>
    <cellStyle name="Normal 8 3 3 3 4" xfId="9503" xr:uid="{0A70D26B-2F0A-4571-BC21-67C5BFAA174A}"/>
    <cellStyle name="Normal 8 3 3 4" xfId="1384" xr:uid="{00000000-0005-0000-0000-00009A1D0000}"/>
    <cellStyle name="Normal 8 3 3 4 2" xfId="3614" xr:uid="{00000000-0005-0000-0000-00009B1D0000}"/>
    <cellStyle name="Normal 8 3 3 4 2 2" xfId="7837" xr:uid="{00000000-0005-0000-0000-00009C1D0000}"/>
    <cellStyle name="Normal 8 3 3 4 2 2 2" xfId="16279" xr:uid="{7CEAF622-D30A-46B4-82CE-E27FDBD648A8}"/>
    <cellStyle name="Normal 8 3 3 4 2 3" xfId="12061" xr:uid="{59F2AE20-D23E-4ECD-8423-0472DF7EB2A9}"/>
    <cellStyle name="Normal 8 3 3 4 3" xfId="5692" xr:uid="{00000000-0005-0000-0000-00009D1D0000}"/>
    <cellStyle name="Normal 8 3 3 4 3 2" xfId="14134" xr:uid="{FCB86463-11C1-47F4-8118-866CF2C1B522}"/>
    <cellStyle name="Normal 8 3 3 4 4" xfId="9916" xr:uid="{92A0B6F9-9769-4ED7-8E4F-634765D7267D}"/>
    <cellStyle name="Normal 8 3 3 5" xfId="1797" xr:uid="{00000000-0005-0000-0000-00009E1D0000}"/>
    <cellStyle name="Normal 8 3 3 5 2" xfId="4027" xr:uid="{00000000-0005-0000-0000-00009F1D0000}"/>
    <cellStyle name="Normal 8 3 3 5 2 2" xfId="8250" xr:uid="{00000000-0005-0000-0000-0000A01D0000}"/>
    <cellStyle name="Normal 8 3 3 5 2 2 2" xfId="16692" xr:uid="{002DCFD9-5CE1-4E61-A6A0-3C8E398D5E04}"/>
    <cellStyle name="Normal 8 3 3 5 2 3" xfId="12474" xr:uid="{56C187C7-BA79-4B48-9AD3-1516CA8EEDEB}"/>
    <cellStyle name="Normal 8 3 3 5 3" xfId="6105" xr:uid="{00000000-0005-0000-0000-0000A11D0000}"/>
    <cellStyle name="Normal 8 3 3 5 3 2" xfId="14547" xr:uid="{58AC8171-D04D-45AC-812C-D73066882F70}"/>
    <cellStyle name="Normal 8 3 3 5 4" xfId="10329" xr:uid="{F1F9962C-09D2-4677-A2A4-4BCBA0C38F45}"/>
    <cellStyle name="Normal 8 3 3 6" xfId="2211" xr:uid="{00000000-0005-0000-0000-0000A21D0000}"/>
    <cellStyle name="Normal 8 3 3 6 2" xfId="4440" xr:uid="{00000000-0005-0000-0000-0000A31D0000}"/>
    <cellStyle name="Normal 8 3 3 6 2 2" xfId="8663" xr:uid="{00000000-0005-0000-0000-0000A41D0000}"/>
    <cellStyle name="Normal 8 3 3 6 2 2 2" xfId="17105" xr:uid="{B0D9CB0A-B717-4D85-B1F7-F8647EC25315}"/>
    <cellStyle name="Normal 8 3 3 6 2 3" xfId="12887" xr:uid="{3366AD40-2E19-4708-B7B7-FD867CFBA28E}"/>
    <cellStyle name="Normal 8 3 3 6 3" xfId="6518" xr:uid="{00000000-0005-0000-0000-0000A51D0000}"/>
    <cellStyle name="Normal 8 3 3 6 3 2" xfId="14960" xr:uid="{15B26DFA-F673-49A4-AD88-3C478FB12B82}"/>
    <cellStyle name="Normal 8 3 3 6 4" xfId="10742" xr:uid="{79DFDC27-0D29-4B3B-9343-DFFA9900D08B}"/>
    <cellStyle name="Normal 8 3 3 7" xfId="2647" xr:uid="{00000000-0005-0000-0000-0000A61D0000}"/>
    <cellStyle name="Normal 8 3 3 7 2" xfId="6931" xr:uid="{00000000-0005-0000-0000-0000A71D0000}"/>
    <cellStyle name="Normal 8 3 3 7 2 2" xfId="15373" xr:uid="{76911311-4193-46C6-BE0C-ED4511D290D4}"/>
    <cellStyle name="Normal 8 3 3 7 3" xfId="11155" xr:uid="{88DFC428-3758-4B38-B032-1E4E1BC797FC}"/>
    <cellStyle name="Normal 8 3 3 8" xfId="4866" xr:uid="{00000000-0005-0000-0000-0000A81D0000}"/>
    <cellStyle name="Normal 8 3 3 8 2" xfId="13308" xr:uid="{F2980267-E8BC-44F0-898A-DD11A4E54506}"/>
    <cellStyle name="Normal 8 3 3 9" xfId="9090" xr:uid="{077DAEB9-F235-47C8-986F-BCE8A49BB9FF}"/>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2 2 2" xfId="15868" xr:uid="{4F82187E-D085-403B-B561-1AD82911009D}"/>
    <cellStyle name="Normal 8 3 4 2 2 3" xfId="11650" xr:uid="{6AE0E84C-1DA2-4967-9FF4-6963EEBCE585}"/>
    <cellStyle name="Normal 8 3 4 2 3" xfId="5281" xr:uid="{00000000-0005-0000-0000-0000AD1D0000}"/>
    <cellStyle name="Normal 8 3 4 2 3 2" xfId="13723" xr:uid="{0894BB82-8F4C-4B3A-9A14-EFD83DD9F0C7}"/>
    <cellStyle name="Normal 8 3 4 2 4" xfId="9505" xr:uid="{9800A94D-2F90-4047-9E89-D9418077D7E5}"/>
    <cellStyle name="Normal 8 3 4 3" xfId="1386" xr:uid="{00000000-0005-0000-0000-0000AE1D0000}"/>
    <cellStyle name="Normal 8 3 4 3 2" xfId="3616" xr:uid="{00000000-0005-0000-0000-0000AF1D0000}"/>
    <cellStyle name="Normal 8 3 4 3 2 2" xfId="7839" xr:uid="{00000000-0005-0000-0000-0000B01D0000}"/>
    <cellStyle name="Normal 8 3 4 3 2 2 2" xfId="16281" xr:uid="{BA0BA9E0-EF32-4D06-AA60-20293936FDDE}"/>
    <cellStyle name="Normal 8 3 4 3 2 3" xfId="12063" xr:uid="{19502B3E-FF95-4119-9697-BCD5E0E64B52}"/>
    <cellStyle name="Normal 8 3 4 3 3" xfId="5694" xr:uid="{00000000-0005-0000-0000-0000B11D0000}"/>
    <cellStyle name="Normal 8 3 4 3 3 2" xfId="14136" xr:uid="{6837C755-26A1-4EE0-BBAA-8D3881456C91}"/>
    <cellStyle name="Normal 8 3 4 3 4" xfId="9918" xr:uid="{5D9B5485-D32C-492F-B05C-0CCB8839573F}"/>
    <cellStyle name="Normal 8 3 4 4" xfId="1799" xr:uid="{00000000-0005-0000-0000-0000B21D0000}"/>
    <cellStyle name="Normal 8 3 4 4 2" xfId="4029" xr:uid="{00000000-0005-0000-0000-0000B31D0000}"/>
    <cellStyle name="Normal 8 3 4 4 2 2" xfId="8252" xr:uid="{00000000-0005-0000-0000-0000B41D0000}"/>
    <cellStyle name="Normal 8 3 4 4 2 2 2" xfId="16694" xr:uid="{CEC7B298-80E6-49C1-812A-51713BF57C12}"/>
    <cellStyle name="Normal 8 3 4 4 2 3" xfId="12476" xr:uid="{F02C4269-242D-4117-83A4-7750F6BAF4F5}"/>
    <cellStyle name="Normal 8 3 4 4 3" xfId="6107" xr:uid="{00000000-0005-0000-0000-0000B51D0000}"/>
    <cellStyle name="Normal 8 3 4 4 3 2" xfId="14549" xr:uid="{593E0301-94EA-4B7D-A9CD-5B7743B381A4}"/>
    <cellStyle name="Normal 8 3 4 4 4" xfId="10331" xr:uid="{943BFC9D-D5F9-462A-8E61-BAD57423C912}"/>
    <cellStyle name="Normal 8 3 4 5" xfId="2213" xr:uid="{00000000-0005-0000-0000-0000B61D0000}"/>
    <cellStyle name="Normal 8 3 4 5 2" xfId="4442" xr:uid="{00000000-0005-0000-0000-0000B71D0000}"/>
    <cellStyle name="Normal 8 3 4 5 2 2" xfId="8665" xr:uid="{00000000-0005-0000-0000-0000B81D0000}"/>
    <cellStyle name="Normal 8 3 4 5 2 2 2" xfId="17107" xr:uid="{11C17D2E-2116-4445-8F56-C4E80A4425D5}"/>
    <cellStyle name="Normal 8 3 4 5 2 3" xfId="12889" xr:uid="{829669FD-A719-4EB5-97C3-91080035F869}"/>
    <cellStyle name="Normal 8 3 4 5 3" xfId="6520" xr:uid="{00000000-0005-0000-0000-0000B91D0000}"/>
    <cellStyle name="Normal 8 3 4 5 3 2" xfId="14962" xr:uid="{9DFE59BC-A209-4344-BBEB-F9858F313B8B}"/>
    <cellStyle name="Normal 8 3 4 5 4" xfId="10744" xr:uid="{00BB01FD-E808-4D38-86B2-14100A96C548}"/>
    <cellStyle name="Normal 8 3 4 6" xfId="2649" xr:uid="{00000000-0005-0000-0000-0000BA1D0000}"/>
    <cellStyle name="Normal 8 3 4 6 2" xfId="6933" xr:uid="{00000000-0005-0000-0000-0000BB1D0000}"/>
    <cellStyle name="Normal 8 3 4 6 2 2" xfId="15375" xr:uid="{CFF1A9F5-3F3C-4FE7-A620-02B4CD304AD8}"/>
    <cellStyle name="Normal 8 3 4 6 3" xfId="11157" xr:uid="{C4BF66BA-C43F-4B74-A751-6CCE1129B1D9}"/>
    <cellStyle name="Normal 8 3 4 7" xfId="4868" xr:uid="{00000000-0005-0000-0000-0000BC1D0000}"/>
    <cellStyle name="Normal 8 3 4 7 2" xfId="13310" xr:uid="{7EEAECE9-35C6-4D5D-9676-15AC825201D7}"/>
    <cellStyle name="Normal 8 3 4 8" xfId="9092" xr:uid="{3C307C17-3868-44B1-95BA-416250F5B756}"/>
    <cellStyle name="Normal 8 3 5" xfId="962" xr:uid="{00000000-0005-0000-0000-0000BD1D0000}"/>
    <cellStyle name="Normal 8 3 5 2" xfId="3196" xr:uid="{00000000-0005-0000-0000-0000BE1D0000}"/>
    <cellStyle name="Normal 8 3 5 2 2" xfId="7419" xr:uid="{00000000-0005-0000-0000-0000BF1D0000}"/>
    <cellStyle name="Normal 8 3 5 2 2 2" xfId="15861" xr:uid="{00363F57-4A70-449B-B365-D0903687C643}"/>
    <cellStyle name="Normal 8 3 5 2 3" xfId="11643" xr:uid="{21759352-1D8C-4A51-A067-A3A710BBE987}"/>
    <cellStyle name="Normal 8 3 5 3" xfId="5274" xr:uid="{00000000-0005-0000-0000-0000C01D0000}"/>
    <cellStyle name="Normal 8 3 5 3 2" xfId="13716" xr:uid="{29ABF467-3E35-4D92-A572-C53344102424}"/>
    <cellStyle name="Normal 8 3 5 4" xfId="9498" xr:uid="{662680EF-C242-4913-B641-01F5527034C5}"/>
    <cellStyle name="Normal 8 3 6" xfId="1379" xr:uid="{00000000-0005-0000-0000-0000C11D0000}"/>
    <cellStyle name="Normal 8 3 6 2" xfId="3609" xr:uid="{00000000-0005-0000-0000-0000C21D0000}"/>
    <cellStyle name="Normal 8 3 6 2 2" xfId="7832" xr:uid="{00000000-0005-0000-0000-0000C31D0000}"/>
    <cellStyle name="Normal 8 3 6 2 2 2" xfId="16274" xr:uid="{1F485502-CEC1-4F25-8480-B6159DBD7FF1}"/>
    <cellStyle name="Normal 8 3 6 2 3" xfId="12056" xr:uid="{892BE25C-C2F8-40F5-A1AB-3CCEE8B94A82}"/>
    <cellStyle name="Normal 8 3 6 3" xfId="5687" xr:uid="{00000000-0005-0000-0000-0000C41D0000}"/>
    <cellStyle name="Normal 8 3 6 3 2" xfId="14129" xr:uid="{4E43DB4B-50EB-4DF5-B1F2-9B7F287E85C4}"/>
    <cellStyle name="Normal 8 3 6 4" xfId="9911" xr:uid="{0AF28797-69DA-45AB-8CA9-73221AFDEC45}"/>
    <cellStyle name="Normal 8 3 7" xfId="1792" xr:uid="{00000000-0005-0000-0000-0000C51D0000}"/>
    <cellStyle name="Normal 8 3 7 2" xfId="4022" xr:uid="{00000000-0005-0000-0000-0000C61D0000}"/>
    <cellStyle name="Normal 8 3 7 2 2" xfId="8245" xr:uid="{00000000-0005-0000-0000-0000C71D0000}"/>
    <cellStyle name="Normal 8 3 7 2 2 2" xfId="16687" xr:uid="{83CDAE60-2F4D-4018-BE56-EFC6BD0027D0}"/>
    <cellStyle name="Normal 8 3 7 2 3" xfId="12469" xr:uid="{564FDF9F-A971-451D-98F8-66DD1B523356}"/>
    <cellStyle name="Normal 8 3 7 3" xfId="6100" xr:uid="{00000000-0005-0000-0000-0000C81D0000}"/>
    <cellStyle name="Normal 8 3 7 3 2" xfId="14542" xr:uid="{30DD1FA3-A105-46C4-83BC-9D135A9EB02D}"/>
    <cellStyle name="Normal 8 3 7 4" xfId="10324" xr:uid="{929D93FC-33C8-4507-B031-5979BE59B828}"/>
    <cellStyle name="Normal 8 3 8" xfId="2206" xr:uid="{00000000-0005-0000-0000-0000C91D0000}"/>
    <cellStyle name="Normal 8 3 8 2" xfId="4435" xr:uid="{00000000-0005-0000-0000-0000CA1D0000}"/>
    <cellStyle name="Normal 8 3 8 2 2" xfId="8658" xr:uid="{00000000-0005-0000-0000-0000CB1D0000}"/>
    <cellStyle name="Normal 8 3 8 2 2 2" xfId="17100" xr:uid="{B4281F92-362C-412F-A426-03D2FC51F321}"/>
    <cellStyle name="Normal 8 3 8 2 3" xfId="12882" xr:uid="{DC4C41B4-3F58-43C8-A33B-B537B226D000}"/>
    <cellStyle name="Normal 8 3 8 3" xfId="6513" xr:uid="{00000000-0005-0000-0000-0000CC1D0000}"/>
    <cellStyle name="Normal 8 3 8 3 2" xfId="14955" xr:uid="{6653C94F-9787-4551-99B6-86702F538609}"/>
    <cellStyle name="Normal 8 3 8 4" xfId="10737" xr:uid="{411F42A2-8040-4AD5-B1EA-9333D8F707DE}"/>
    <cellStyle name="Normal 8 3 9" xfId="2642" xr:uid="{00000000-0005-0000-0000-0000CD1D0000}"/>
    <cellStyle name="Normal 8 3 9 2" xfId="6926" xr:uid="{00000000-0005-0000-0000-0000CE1D0000}"/>
    <cellStyle name="Normal 8 3 9 2 2" xfId="15368" xr:uid="{B345C33A-580D-4964-8562-E98DB8C9342B}"/>
    <cellStyle name="Normal 8 3 9 3" xfId="11150" xr:uid="{B77BF990-ACB5-4009-9284-B04EB91E3979}"/>
    <cellStyle name="Normal 8 4" xfId="503" xr:uid="{00000000-0005-0000-0000-0000CF1D0000}"/>
    <cellStyle name="Normal 8 4 10" xfId="9093" xr:uid="{25BEB528-BE94-4D82-ABDF-E6D8904DB97C}"/>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2 2 2" xfId="15871" xr:uid="{D1C4649B-FC6C-434B-BF0C-C13339383EED}"/>
    <cellStyle name="Normal 8 4 2 2 2 2 3" xfId="11653" xr:uid="{7B0271D5-2801-4B33-A2D6-CB1016D6CE8C}"/>
    <cellStyle name="Normal 8 4 2 2 2 3" xfId="5284" xr:uid="{00000000-0005-0000-0000-0000D51D0000}"/>
    <cellStyle name="Normal 8 4 2 2 2 3 2" xfId="13726" xr:uid="{994BECA2-35DC-40F8-8123-541ABA7A3AA4}"/>
    <cellStyle name="Normal 8 4 2 2 2 4" xfId="9508" xr:uid="{092D246E-D27E-49F2-B785-466FDAC1C122}"/>
    <cellStyle name="Normal 8 4 2 2 3" xfId="1389" xr:uid="{00000000-0005-0000-0000-0000D61D0000}"/>
    <cellStyle name="Normal 8 4 2 2 3 2" xfId="3619" xr:uid="{00000000-0005-0000-0000-0000D71D0000}"/>
    <cellStyle name="Normal 8 4 2 2 3 2 2" xfId="7842" xr:uid="{00000000-0005-0000-0000-0000D81D0000}"/>
    <cellStyle name="Normal 8 4 2 2 3 2 2 2" xfId="16284" xr:uid="{95CED029-4DA6-4C69-AAEF-365A615CF03F}"/>
    <cellStyle name="Normal 8 4 2 2 3 2 3" xfId="12066" xr:uid="{9F5E0E60-B1C3-4DD5-A21D-D9A1E55B233C}"/>
    <cellStyle name="Normal 8 4 2 2 3 3" xfId="5697" xr:uid="{00000000-0005-0000-0000-0000D91D0000}"/>
    <cellStyle name="Normal 8 4 2 2 3 3 2" xfId="14139" xr:uid="{00376AD6-0EC3-4653-BB37-93F1CFADD913}"/>
    <cellStyle name="Normal 8 4 2 2 3 4" xfId="9921" xr:uid="{00359FF1-CAA6-407A-8C7D-6BEE06E60039}"/>
    <cellStyle name="Normal 8 4 2 2 4" xfId="1802" xr:uid="{00000000-0005-0000-0000-0000DA1D0000}"/>
    <cellStyle name="Normal 8 4 2 2 4 2" xfId="4032" xr:uid="{00000000-0005-0000-0000-0000DB1D0000}"/>
    <cellStyle name="Normal 8 4 2 2 4 2 2" xfId="8255" xr:uid="{00000000-0005-0000-0000-0000DC1D0000}"/>
    <cellStyle name="Normal 8 4 2 2 4 2 2 2" xfId="16697" xr:uid="{C60D1AE1-A1D4-498C-83BB-2EABE3B4710D}"/>
    <cellStyle name="Normal 8 4 2 2 4 2 3" xfId="12479" xr:uid="{A60A7D8F-168F-411F-A0C4-F9AA29E4ACC5}"/>
    <cellStyle name="Normal 8 4 2 2 4 3" xfId="6110" xr:uid="{00000000-0005-0000-0000-0000DD1D0000}"/>
    <cellStyle name="Normal 8 4 2 2 4 3 2" xfId="14552" xr:uid="{3A7B7C5B-2D3A-4DAD-B80C-81BD9F0BB719}"/>
    <cellStyle name="Normal 8 4 2 2 4 4" xfId="10334" xr:uid="{2426D8E1-6D06-41F0-84D1-C69717D7A326}"/>
    <cellStyle name="Normal 8 4 2 2 5" xfId="2216" xr:uid="{00000000-0005-0000-0000-0000DE1D0000}"/>
    <cellStyle name="Normal 8 4 2 2 5 2" xfId="4445" xr:uid="{00000000-0005-0000-0000-0000DF1D0000}"/>
    <cellStyle name="Normal 8 4 2 2 5 2 2" xfId="8668" xr:uid="{00000000-0005-0000-0000-0000E01D0000}"/>
    <cellStyle name="Normal 8 4 2 2 5 2 2 2" xfId="17110" xr:uid="{59742620-12F6-4743-ABDE-6F6FAE1590D3}"/>
    <cellStyle name="Normal 8 4 2 2 5 2 3" xfId="12892" xr:uid="{D8468FB0-E626-4B4C-9D51-FD4F148B63B4}"/>
    <cellStyle name="Normal 8 4 2 2 5 3" xfId="6523" xr:uid="{00000000-0005-0000-0000-0000E11D0000}"/>
    <cellStyle name="Normal 8 4 2 2 5 3 2" xfId="14965" xr:uid="{23C0C53F-5F3A-4729-A7AB-4BE8940465E9}"/>
    <cellStyle name="Normal 8 4 2 2 5 4" xfId="10747" xr:uid="{0E93C8C9-C1A5-4CB1-8394-EC4D12C14824}"/>
    <cellStyle name="Normal 8 4 2 2 6" xfId="2652" xr:uid="{00000000-0005-0000-0000-0000E21D0000}"/>
    <cellStyle name="Normal 8 4 2 2 6 2" xfId="6936" xr:uid="{00000000-0005-0000-0000-0000E31D0000}"/>
    <cellStyle name="Normal 8 4 2 2 6 2 2" xfId="15378" xr:uid="{CA61B983-7922-436E-9C0D-B4D6AE595D19}"/>
    <cellStyle name="Normal 8 4 2 2 6 3" xfId="11160" xr:uid="{91F9EF61-54DF-4081-AEBD-4DFEFDA9D1F9}"/>
    <cellStyle name="Normal 8 4 2 2 7" xfId="4871" xr:uid="{00000000-0005-0000-0000-0000E41D0000}"/>
    <cellStyle name="Normal 8 4 2 2 7 2" xfId="13313" xr:uid="{A3FFED16-E1F4-49C6-B0E1-8E43D9DBFBC2}"/>
    <cellStyle name="Normal 8 4 2 2 8" xfId="9095" xr:uid="{7C2155C2-28DA-4926-99D8-CCD0FB224A43}"/>
    <cellStyle name="Normal 8 4 2 3" xfId="971" xr:uid="{00000000-0005-0000-0000-0000E51D0000}"/>
    <cellStyle name="Normal 8 4 2 3 2" xfId="3205" xr:uid="{00000000-0005-0000-0000-0000E61D0000}"/>
    <cellStyle name="Normal 8 4 2 3 2 2" xfId="7428" xr:uid="{00000000-0005-0000-0000-0000E71D0000}"/>
    <cellStyle name="Normal 8 4 2 3 2 2 2" xfId="15870" xr:uid="{46EF4F56-8619-4CF1-9D2E-AA5EEEFEE5C2}"/>
    <cellStyle name="Normal 8 4 2 3 2 3" xfId="11652" xr:uid="{1C7DD230-B172-48F1-9B84-7F0299D20224}"/>
    <cellStyle name="Normal 8 4 2 3 3" xfId="5283" xr:uid="{00000000-0005-0000-0000-0000E81D0000}"/>
    <cellStyle name="Normal 8 4 2 3 3 2" xfId="13725" xr:uid="{7F316996-BC0F-47BE-9A70-07187B42F219}"/>
    <cellStyle name="Normal 8 4 2 3 4" xfId="9507" xr:uid="{BE5E303B-044B-442C-BD7F-AAB0F7C2A316}"/>
    <cellStyle name="Normal 8 4 2 4" xfId="1388" xr:uid="{00000000-0005-0000-0000-0000E91D0000}"/>
    <cellStyle name="Normal 8 4 2 4 2" xfId="3618" xr:uid="{00000000-0005-0000-0000-0000EA1D0000}"/>
    <cellStyle name="Normal 8 4 2 4 2 2" xfId="7841" xr:uid="{00000000-0005-0000-0000-0000EB1D0000}"/>
    <cellStyle name="Normal 8 4 2 4 2 2 2" xfId="16283" xr:uid="{E9DD9247-DC4B-4B14-A752-17C48ED9DA36}"/>
    <cellStyle name="Normal 8 4 2 4 2 3" xfId="12065" xr:uid="{BDB690D2-81DD-4FA0-8BC1-2CC8948415FD}"/>
    <cellStyle name="Normal 8 4 2 4 3" xfId="5696" xr:uid="{00000000-0005-0000-0000-0000EC1D0000}"/>
    <cellStyle name="Normal 8 4 2 4 3 2" xfId="14138" xr:uid="{CD6E93AC-5A63-45D4-A460-A6A453066E1D}"/>
    <cellStyle name="Normal 8 4 2 4 4" xfId="9920" xr:uid="{ED309D49-E8DC-4DEC-9AF4-298A668B68F3}"/>
    <cellStyle name="Normal 8 4 2 5" xfId="1801" xr:uid="{00000000-0005-0000-0000-0000ED1D0000}"/>
    <cellStyle name="Normal 8 4 2 5 2" xfId="4031" xr:uid="{00000000-0005-0000-0000-0000EE1D0000}"/>
    <cellStyle name="Normal 8 4 2 5 2 2" xfId="8254" xr:uid="{00000000-0005-0000-0000-0000EF1D0000}"/>
    <cellStyle name="Normal 8 4 2 5 2 2 2" xfId="16696" xr:uid="{15FBB327-7C9B-43FB-8A00-7861ED7ADD92}"/>
    <cellStyle name="Normal 8 4 2 5 2 3" xfId="12478" xr:uid="{C4DDDF2B-4BC5-44EA-AB62-F40E7B19C5DA}"/>
    <cellStyle name="Normal 8 4 2 5 3" xfId="6109" xr:uid="{00000000-0005-0000-0000-0000F01D0000}"/>
    <cellStyle name="Normal 8 4 2 5 3 2" xfId="14551" xr:uid="{1BC96B8A-5C1E-4D4B-8ADE-869432CD4566}"/>
    <cellStyle name="Normal 8 4 2 5 4" xfId="10333" xr:uid="{9322E4A1-FACC-4879-A978-8E1FECC40864}"/>
    <cellStyle name="Normal 8 4 2 6" xfId="2215" xr:uid="{00000000-0005-0000-0000-0000F11D0000}"/>
    <cellStyle name="Normal 8 4 2 6 2" xfId="4444" xr:uid="{00000000-0005-0000-0000-0000F21D0000}"/>
    <cellStyle name="Normal 8 4 2 6 2 2" xfId="8667" xr:uid="{00000000-0005-0000-0000-0000F31D0000}"/>
    <cellStyle name="Normal 8 4 2 6 2 2 2" xfId="17109" xr:uid="{7DAD54AF-C565-4760-8850-5221C1D62207}"/>
    <cellStyle name="Normal 8 4 2 6 2 3" xfId="12891" xr:uid="{2A8455F9-A145-4885-8376-31B9892A4595}"/>
    <cellStyle name="Normal 8 4 2 6 3" xfId="6522" xr:uid="{00000000-0005-0000-0000-0000F41D0000}"/>
    <cellStyle name="Normal 8 4 2 6 3 2" xfId="14964" xr:uid="{16079A83-42F8-42D0-A98B-0C58D40D3687}"/>
    <cellStyle name="Normal 8 4 2 6 4" xfId="10746" xr:uid="{46905AF8-15B6-4265-B6A4-8E3A32138DC3}"/>
    <cellStyle name="Normal 8 4 2 7" xfId="2651" xr:uid="{00000000-0005-0000-0000-0000F51D0000}"/>
    <cellStyle name="Normal 8 4 2 7 2" xfId="6935" xr:uid="{00000000-0005-0000-0000-0000F61D0000}"/>
    <cellStyle name="Normal 8 4 2 7 2 2" xfId="15377" xr:uid="{8D48ECA3-56D1-4538-A9E2-4A1238774D78}"/>
    <cellStyle name="Normal 8 4 2 7 3" xfId="11159" xr:uid="{9EF29625-1A45-4749-8F1A-F5AF3AFAF59F}"/>
    <cellStyle name="Normal 8 4 2 8" xfId="4870" xr:uid="{00000000-0005-0000-0000-0000F71D0000}"/>
    <cellStyle name="Normal 8 4 2 8 2" xfId="13312" xr:uid="{DA9BDF1F-C291-4A67-94A8-1A02A0D82FBE}"/>
    <cellStyle name="Normal 8 4 2 9" xfId="9094" xr:uid="{653157EB-C3A7-4043-9D0C-2C7A3F2E18A1}"/>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2 2 2" xfId="15872" xr:uid="{4DB05E50-C420-42B8-89C0-328D9B037866}"/>
    <cellStyle name="Normal 8 4 3 2 2 3" xfId="11654" xr:uid="{0847A6F7-A325-4AB9-8835-81F266381B05}"/>
    <cellStyle name="Normal 8 4 3 2 3" xfId="5285" xr:uid="{00000000-0005-0000-0000-0000FC1D0000}"/>
    <cellStyle name="Normal 8 4 3 2 3 2" xfId="13727" xr:uid="{2CB816A9-1611-44B7-A28F-69DF89C370DB}"/>
    <cellStyle name="Normal 8 4 3 2 4" xfId="9509" xr:uid="{25B67CF0-48B8-421F-9A45-D2FC63FDABF7}"/>
    <cellStyle name="Normal 8 4 3 3" xfId="1390" xr:uid="{00000000-0005-0000-0000-0000FD1D0000}"/>
    <cellStyle name="Normal 8 4 3 3 2" xfId="3620" xr:uid="{00000000-0005-0000-0000-0000FE1D0000}"/>
    <cellStyle name="Normal 8 4 3 3 2 2" xfId="7843" xr:uid="{00000000-0005-0000-0000-0000FF1D0000}"/>
    <cellStyle name="Normal 8 4 3 3 2 2 2" xfId="16285" xr:uid="{B91DB4D3-BAFA-4ED4-A2B8-C18A36E663C3}"/>
    <cellStyle name="Normal 8 4 3 3 2 3" xfId="12067" xr:uid="{E5C99840-4F8E-4259-9FB7-398D38A52DAA}"/>
    <cellStyle name="Normal 8 4 3 3 3" xfId="5698" xr:uid="{00000000-0005-0000-0000-0000001E0000}"/>
    <cellStyle name="Normal 8 4 3 3 3 2" xfId="14140" xr:uid="{2625AC7D-9B8C-455B-BB29-43498313387E}"/>
    <cellStyle name="Normal 8 4 3 3 4" xfId="9922" xr:uid="{AAFFCC2C-FBDC-4986-93C2-070DE0E98BF9}"/>
    <cellStyle name="Normal 8 4 3 4" xfId="1803" xr:uid="{00000000-0005-0000-0000-0000011E0000}"/>
    <cellStyle name="Normal 8 4 3 4 2" xfId="4033" xr:uid="{00000000-0005-0000-0000-0000021E0000}"/>
    <cellStyle name="Normal 8 4 3 4 2 2" xfId="8256" xr:uid="{00000000-0005-0000-0000-0000031E0000}"/>
    <cellStyle name="Normal 8 4 3 4 2 2 2" xfId="16698" xr:uid="{4CC031C8-1786-455F-BF1E-CD2414C2A76B}"/>
    <cellStyle name="Normal 8 4 3 4 2 3" xfId="12480" xr:uid="{23B2B981-89F6-4A33-AF3B-4C2D4CB00FF1}"/>
    <cellStyle name="Normal 8 4 3 4 3" xfId="6111" xr:uid="{00000000-0005-0000-0000-0000041E0000}"/>
    <cellStyle name="Normal 8 4 3 4 3 2" xfId="14553" xr:uid="{B8D0FFAA-5080-409A-A8DB-DCD992DCB3E6}"/>
    <cellStyle name="Normal 8 4 3 4 4" xfId="10335" xr:uid="{467FFB9E-4A56-452E-8F35-33C451332B53}"/>
    <cellStyle name="Normal 8 4 3 5" xfId="2217" xr:uid="{00000000-0005-0000-0000-0000051E0000}"/>
    <cellStyle name="Normal 8 4 3 5 2" xfId="4446" xr:uid="{00000000-0005-0000-0000-0000061E0000}"/>
    <cellStyle name="Normal 8 4 3 5 2 2" xfId="8669" xr:uid="{00000000-0005-0000-0000-0000071E0000}"/>
    <cellStyle name="Normal 8 4 3 5 2 2 2" xfId="17111" xr:uid="{B982FD25-0D84-406C-95DD-3EB4E25B6920}"/>
    <cellStyle name="Normal 8 4 3 5 2 3" xfId="12893" xr:uid="{837F517C-E773-4BB0-931E-FFE775D99EA8}"/>
    <cellStyle name="Normal 8 4 3 5 3" xfId="6524" xr:uid="{00000000-0005-0000-0000-0000081E0000}"/>
    <cellStyle name="Normal 8 4 3 5 3 2" xfId="14966" xr:uid="{E4D237D2-CA54-4926-8291-4D0C5C71842B}"/>
    <cellStyle name="Normal 8 4 3 5 4" xfId="10748" xr:uid="{F32092FE-6FA6-4E59-A7D1-85410113275C}"/>
    <cellStyle name="Normal 8 4 3 6" xfId="2653" xr:uid="{00000000-0005-0000-0000-0000091E0000}"/>
    <cellStyle name="Normal 8 4 3 6 2" xfId="6937" xr:uid="{00000000-0005-0000-0000-00000A1E0000}"/>
    <cellStyle name="Normal 8 4 3 6 2 2" xfId="15379" xr:uid="{8BA7585A-617C-429D-AE92-F1E0F6543359}"/>
    <cellStyle name="Normal 8 4 3 6 3" xfId="11161" xr:uid="{AAEA6386-7DAC-4190-88B9-763FEE484106}"/>
    <cellStyle name="Normal 8 4 3 7" xfId="4872" xr:uid="{00000000-0005-0000-0000-00000B1E0000}"/>
    <cellStyle name="Normal 8 4 3 7 2" xfId="13314" xr:uid="{5F7B40EF-A5C4-4DCE-BA9D-BE398D7BFE8A}"/>
    <cellStyle name="Normal 8 4 3 8" xfId="9096" xr:uid="{1524AC2D-182F-4ECB-93DE-E4D9DEDCB541}"/>
    <cellStyle name="Normal 8 4 4" xfId="970" xr:uid="{00000000-0005-0000-0000-00000C1E0000}"/>
    <cellStyle name="Normal 8 4 4 2" xfId="3204" xr:uid="{00000000-0005-0000-0000-00000D1E0000}"/>
    <cellStyle name="Normal 8 4 4 2 2" xfId="7427" xr:uid="{00000000-0005-0000-0000-00000E1E0000}"/>
    <cellStyle name="Normal 8 4 4 2 2 2" xfId="15869" xr:uid="{C7AA8FFA-300E-40AA-9808-C58724D4DA44}"/>
    <cellStyle name="Normal 8 4 4 2 3" xfId="11651" xr:uid="{FAE6C7A4-70F6-4902-839D-7AC22C82A325}"/>
    <cellStyle name="Normal 8 4 4 3" xfId="5282" xr:uid="{00000000-0005-0000-0000-00000F1E0000}"/>
    <cellStyle name="Normal 8 4 4 3 2" xfId="13724" xr:uid="{F5D4AE15-DFF0-4380-A094-9B7C0E9C8BC8}"/>
    <cellStyle name="Normal 8 4 4 4" xfId="9506" xr:uid="{B45BFB5C-8DA3-4906-B423-EA541F7E1040}"/>
    <cellStyle name="Normal 8 4 5" xfId="1387" xr:uid="{00000000-0005-0000-0000-0000101E0000}"/>
    <cellStyle name="Normal 8 4 5 2" xfId="3617" xr:uid="{00000000-0005-0000-0000-0000111E0000}"/>
    <cellStyle name="Normal 8 4 5 2 2" xfId="7840" xr:uid="{00000000-0005-0000-0000-0000121E0000}"/>
    <cellStyle name="Normal 8 4 5 2 2 2" xfId="16282" xr:uid="{B498E934-7FC3-4F85-B553-66323D2C883A}"/>
    <cellStyle name="Normal 8 4 5 2 3" xfId="12064" xr:uid="{195850D6-CAC9-4FFC-BA2C-B283402EC427}"/>
    <cellStyle name="Normal 8 4 5 3" xfId="5695" xr:uid="{00000000-0005-0000-0000-0000131E0000}"/>
    <cellStyle name="Normal 8 4 5 3 2" xfId="14137" xr:uid="{257D47FE-6FB5-442D-800C-4DD7190C9E96}"/>
    <cellStyle name="Normal 8 4 5 4" xfId="9919" xr:uid="{223DE7C2-DD5D-498E-8C58-1D72656790A3}"/>
    <cellStyle name="Normal 8 4 6" xfId="1800" xr:uid="{00000000-0005-0000-0000-0000141E0000}"/>
    <cellStyle name="Normal 8 4 6 2" xfId="4030" xr:uid="{00000000-0005-0000-0000-0000151E0000}"/>
    <cellStyle name="Normal 8 4 6 2 2" xfId="8253" xr:uid="{00000000-0005-0000-0000-0000161E0000}"/>
    <cellStyle name="Normal 8 4 6 2 2 2" xfId="16695" xr:uid="{E5A9F564-E628-44EB-B7BC-2958477E6111}"/>
    <cellStyle name="Normal 8 4 6 2 3" xfId="12477" xr:uid="{9B52BCA1-59CB-400C-A0E5-9B51DBBB8659}"/>
    <cellStyle name="Normal 8 4 6 3" xfId="6108" xr:uid="{00000000-0005-0000-0000-0000171E0000}"/>
    <cellStyle name="Normal 8 4 6 3 2" xfId="14550" xr:uid="{4EF8B2D6-905B-436E-A6FF-DE00F401FC79}"/>
    <cellStyle name="Normal 8 4 6 4" xfId="10332" xr:uid="{7F945151-B5A8-4751-AC89-96A741FEA158}"/>
    <cellStyle name="Normal 8 4 7" xfId="2214" xr:uid="{00000000-0005-0000-0000-0000181E0000}"/>
    <cellStyle name="Normal 8 4 7 2" xfId="4443" xr:uid="{00000000-0005-0000-0000-0000191E0000}"/>
    <cellStyle name="Normal 8 4 7 2 2" xfId="8666" xr:uid="{00000000-0005-0000-0000-00001A1E0000}"/>
    <cellStyle name="Normal 8 4 7 2 2 2" xfId="17108" xr:uid="{5FB5D1A4-AEB3-445D-B80B-FFABACCCFDA6}"/>
    <cellStyle name="Normal 8 4 7 2 3" xfId="12890" xr:uid="{E1A4516C-76DA-4939-9213-96A0CA1E986A}"/>
    <cellStyle name="Normal 8 4 7 3" xfId="6521" xr:uid="{00000000-0005-0000-0000-00001B1E0000}"/>
    <cellStyle name="Normal 8 4 7 3 2" xfId="14963" xr:uid="{23A8724A-9092-474A-B467-8CF2EDFCCCD0}"/>
    <cellStyle name="Normal 8 4 7 4" xfId="10745" xr:uid="{27368C44-DC2C-4239-B4DA-56C2C2F792E6}"/>
    <cellStyle name="Normal 8 4 8" xfId="2650" xr:uid="{00000000-0005-0000-0000-00001C1E0000}"/>
    <cellStyle name="Normal 8 4 8 2" xfId="6934" xr:uid="{00000000-0005-0000-0000-00001D1E0000}"/>
    <cellStyle name="Normal 8 4 8 2 2" xfId="15376" xr:uid="{BC17ADC0-7E1B-4880-B449-56086A4271A8}"/>
    <cellStyle name="Normal 8 4 8 3" xfId="11158" xr:uid="{F84559A7-831A-4458-A191-EEA1894627C4}"/>
    <cellStyle name="Normal 8 4 9" xfId="4869" xr:uid="{00000000-0005-0000-0000-00001E1E0000}"/>
    <cellStyle name="Normal 8 4 9 2" xfId="13311" xr:uid="{1C1624F4-F9F5-47E3-9669-9AC65F7AB6F4}"/>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2 2 2" xfId="15874" xr:uid="{EE496AA3-F538-4925-9EB8-77C6EDB9168F}"/>
    <cellStyle name="Normal 8 5 2 2 2 3" xfId="11656" xr:uid="{41A5C94C-BC4A-4527-A495-0EC5E0AEF74B}"/>
    <cellStyle name="Normal 8 5 2 2 3" xfId="5287" xr:uid="{00000000-0005-0000-0000-0000241E0000}"/>
    <cellStyle name="Normal 8 5 2 2 3 2" xfId="13729" xr:uid="{DC461D0F-498A-44BF-8D9F-B2E05EC3CB2C}"/>
    <cellStyle name="Normal 8 5 2 2 4" xfId="9511" xr:uid="{D3270BE8-2402-4E7B-9158-2FA45AE745BC}"/>
    <cellStyle name="Normal 8 5 2 3" xfId="1392" xr:uid="{00000000-0005-0000-0000-0000251E0000}"/>
    <cellStyle name="Normal 8 5 2 3 2" xfId="3622" xr:uid="{00000000-0005-0000-0000-0000261E0000}"/>
    <cellStyle name="Normal 8 5 2 3 2 2" xfId="7845" xr:uid="{00000000-0005-0000-0000-0000271E0000}"/>
    <cellStyle name="Normal 8 5 2 3 2 2 2" xfId="16287" xr:uid="{A9513594-298A-40BD-91A7-E1EAE97CBAF0}"/>
    <cellStyle name="Normal 8 5 2 3 2 3" xfId="12069" xr:uid="{2E8831BF-1587-4891-B6F7-837B3B27B66E}"/>
    <cellStyle name="Normal 8 5 2 3 3" xfId="5700" xr:uid="{00000000-0005-0000-0000-0000281E0000}"/>
    <cellStyle name="Normal 8 5 2 3 3 2" xfId="14142" xr:uid="{4B60A4C4-DE7A-46FA-9156-EC943C791B8A}"/>
    <cellStyle name="Normal 8 5 2 3 4" xfId="9924" xr:uid="{A80B1329-A448-4E2D-947F-5DED7DD8AE48}"/>
    <cellStyle name="Normal 8 5 2 4" xfId="1805" xr:uid="{00000000-0005-0000-0000-0000291E0000}"/>
    <cellStyle name="Normal 8 5 2 4 2" xfId="4035" xr:uid="{00000000-0005-0000-0000-00002A1E0000}"/>
    <cellStyle name="Normal 8 5 2 4 2 2" xfId="8258" xr:uid="{00000000-0005-0000-0000-00002B1E0000}"/>
    <cellStyle name="Normal 8 5 2 4 2 2 2" xfId="16700" xr:uid="{21F32672-C2F0-47A1-A906-FD11A4B9E921}"/>
    <cellStyle name="Normal 8 5 2 4 2 3" xfId="12482" xr:uid="{1C568912-54BD-4806-AF88-ABF0FD86A23B}"/>
    <cellStyle name="Normal 8 5 2 4 3" xfId="6113" xr:uid="{00000000-0005-0000-0000-00002C1E0000}"/>
    <cellStyle name="Normal 8 5 2 4 3 2" xfId="14555" xr:uid="{8762D88B-EAEB-4906-9E2D-23FB55F2A3DF}"/>
    <cellStyle name="Normal 8 5 2 4 4" xfId="10337" xr:uid="{B1B81C5F-7CD2-4835-859D-9D89DACB02DE}"/>
    <cellStyle name="Normal 8 5 2 5" xfId="2219" xr:uid="{00000000-0005-0000-0000-00002D1E0000}"/>
    <cellStyle name="Normal 8 5 2 5 2" xfId="4448" xr:uid="{00000000-0005-0000-0000-00002E1E0000}"/>
    <cellStyle name="Normal 8 5 2 5 2 2" xfId="8671" xr:uid="{00000000-0005-0000-0000-00002F1E0000}"/>
    <cellStyle name="Normal 8 5 2 5 2 2 2" xfId="17113" xr:uid="{73583D77-1F7A-4C6C-A65B-297231093143}"/>
    <cellStyle name="Normal 8 5 2 5 2 3" xfId="12895" xr:uid="{1668472B-505B-4C39-BBEF-638AD68F7C01}"/>
    <cellStyle name="Normal 8 5 2 5 3" xfId="6526" xr:uid="{00000000-0005-0000-0000-0000301E0000}"/>
    <cellStyle name="Normal 8 5 2 5 3 2" xfId="14968" xr:uid="{208A5080-4A43-4FD4-BF55-53C64228C8DA}"/>
    <cellStyle name="Normal 8 5 2 5 4" xfId="10750" xr:uid="{EE687902-BF03-4D2C-9586-371B8E3925A2}"/>
    <cellStyle name="Normal 8 5 2 6" xfId="2655" xr:uid="{00000000-0005-0000-0000-0000311E0000}"/>
    <cellStyle name="Normal 8 5 2 6 2" xfId="6939" xr:uid="{00000000-0005-0000-0000-0000321E0000}"/>
    <cellStyle name="Normal 8 5 2 6 2 2" xfId="15381" xr:uid="{8DC9B116-CAD8-44F7-8AB7-5968C2149709}"/>
    <cellStyle name="Normal 8 5 2 6 3" xfId="11163" xr:uid="{61F05AF5-4332-45A2-81B5-49F17EF6118C}"/>
    <cellStyle name="Normal 8 5 2 7" xfId="4874" xr:uid="{00000000-0005-0000-0000-0000331E0000}"/>
    <cellStyle name="Normal 8 5 2 7 2" xfId="13316" xr:uid="{63BEBB8F-64CB-4D7E-8817-8D94371CE7CB}"/>
    <cellStyle name="Normal 8 5 2 8" xfId="9098" xr:uid="{76264147-9143-4240-973D-27B9AB0E855A}"/>
    <cellStyle name="Normal 8 5 3" xfId="974" xr:uid="{00000000-0005-0000-0000-0000341E0000}"/>
    <cellStyle name="Normal 8 5 3 2" xfId="3208" xr:uid="{00000000-0005-0000-0000-0000351E0000}"/>
    <cellStyle name="Normal 8 5 3 2 2" xfId="7431" xr:uid="{00000000-0005-0000-0000-0000361E0000}"/>
    <cellStyle name="Normal 8 5 3 2 2 2" xfId="15873" xr:uid="{A8332699-2658-43E7-A51F-F42669C679D0}"/>
    <cellStyle name="Normal 8 5 3 2 3" xfId="11655" xr:uid="{B3EDA8A3-0843-47D8-9FAD-A57E34C5124B}"/>
    <cellStyle name="Normal 8 5 3 3" xfId="5286" xr:uid="{00000000-0005-0000-0000-0000371E0000}"/>
    <cellStyle name="Normal 8 5 3 3 2" xfId="13728" xr:uid="{37DD0D27-00FF-4A41-8DCE-4B26BEA3D2B1}"/>
    <cellStyle name="Normal 8 5 3 4" xfId="9510" xr:uid="{795AA52C-5680-4E7B-AA92-A5EE89CFC9BC}"/>
    <cellStyle name="Normal 8 5 4" xfId="1391" xr:uid="{00000000-0005-0000-0000-0000381E0000}"/>
    <cellStyle name="Normal 8 5 4 2" xfId="3621" xr:uid="{00000000-0005-0000-0000-0000391E0000}"/>
    <cellStyle name="Normal 8 5 4 2 2" xfId="7844" xr:uid="{00000000-0005-0000-0000-00003A1E0000}"/>
    <cellStyle name="Normal 8 5 4 2 2 2" xfId="16286" xr:uid="{691A2EEE-0AB0-4B93-91DE-78232E462118}"/>
    <cellStyle name="Normal 8 5 4 2 3" xfId="12068" xr:uid="{56ADE8F7-088C-4FE7-91FD-E2404BD9D41C}"/>
    <cellStyle name="Normal 8 5 4 3" xfId="5699" xr:uid="{00000000-0005-0000-0000-00003B1E0000}"/>
    <cellStyle name="Normal 8 5 4 3 2" xfId="14141" xr:uid="{D7740546-65E9-49E0-B8FF-0F4784DA671A}"/>
    <cellStyle name="Normal 8 5 4 4" xfId="9923" xr:uid="{6604FB04-2C03-4865-AFB1-27F2BE598664}"/>
    <cellStyle name="Normal 8 5 5" xfId="1804" xr:uid="{00000000-0005-0000-0000-00003C1E0000}"/>
    <cellStyle name="Normal 8 5 5 2" xfId="4034" xr:uid="{00000000-0005-0000-0000-00003D1E0000}"/>
    <cellStyle name="Normal 8 5 5 2 2" xfId="8257" xr:uid="{00000000-0005-0000-0000-00003E1E0000}"/>
    <cellStyle name="Normal 8 5 5 2 2 2" xfId="16699" xr:uid="{2B7975DE-CF24-40EA-8388-AA00331F6120}"/>
    <cellStyle name="Normal 8 5 5 2 3" xfId="12481" xr:uid="{5EE6E4CB-2391-406E-87DF-9B2B8C02EEFA}"/>
    <cellStyle name="Normal 8 5 5 3" xfId="6112" xr:uid="{00000000-0005-0000-0000-00003F1E0000}"/>
    <cellStyle name="Normal 8 5 5 3 2" xfId="14554" xr:uid="{374F3B88-9B89-4E60-8CEB-A9FD7A6800FA}"/>
    <cellStyle name="Normal 8 5 5 4" xfId="10336" xr:uid="{E6E4DC10-FFF7-4406-BB99-55B180F2FD08}"/>
    <cellStyle name="Normal 8 5 6" xfId="2218" xr:uid="{00000000-0005-0000-0000-0000401E0000}"/>
    <cellStyle name="Normal 8 5 6 2" xfId="4447" xr:uid="{00000000-0005-0000-0000-0000411E0000}"/>
    <cellStyle name="Normal 8 5 6 2 2" xfId="8670" xr:uid="{00000000-0005-0000-0000-0000421E0000}"/>
    <cellStyle name="Normal 8 5 6 2 2 2" xfId="17112" xr:uid="{8D4A4181-6962-4C32-93EB-F706ED63F009}"/>
    <cellStyle name="Normal 8 5 6 2 3" xfId="12894" xr:uid="{C02298FD-4800-48B6-9546-686B2DC6C902}"/>
    <cellStyle name="Normal 8 5 6 3" xfId="6525" xr:uid="{00000000-0005-0000-0000-0000431E0000}"/>
    <cellStyle name="Normal 8 5 6 3 2" xfId="14967" xr:uid="{6DA2FB4E-9188-40DA-9A8E-42437D7AD46C}"/>
    <cellStyle name="Normal 8 5 6 4" xfId="10749" xr:uid="{EECB03B1-21B5-4010-9266-D6D385EDE0C6}"/>
    <cellStyle name="Normal 8 5 7" xfId="2654" xr:uid="{00000000-0005-0000-0000-0000441E0000}"/>
    <cellStyle name="Normal 8 5 7 2" xfId="6938" xr:uid="{00000000-0005-0000-0000-0000451E0000}"/>
    <cellStyle name="Normal 8 5 7 2 2" xfId="15380" xr:uid="{DA7343DC-644A-4756-96DA-93F61B5112FB}"/>
    <cellStyle name="Normal 8 5 7 3" xfId="11162" xr:uid="{92A3E324-0BDB-45FA-9BF7-BF3963F99A14}"/>
    <cellStyle name="Normal 8 5 8" xfId="4873" xr:uid="{00000000-0005-0000-0000-0000461E0000}"/>
    <cellStyle name="Normal 8 5 8 2" xfId="13315" xr:uid="{0766AB44-E2FC-4C9E-950F-E74977362048}"/>
    <cellStyle name="Normal 8 5 9" xfId="9097" xr:uid="{09B4D288-8DD7-411A-80D4-4029E0E0B969}"/>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2 2 2" xfId="15875" xr:uid="{2DC83620-DE1A-4154-9E6A-6995B6CEFC5B}"/>
    <cellStyle name="Normal 8 6 2 2 3" xfId="11657" xr:uid="{60C210B9-BED5-4205-8C79-C9C2B351AA3A}"/>
    <cellStyle name="Normal 8 6 2 3" xfId="5288" xr:uid="{00000000-0005-0000-0000-00004B1E0000}"/>
    <cellStyle name="Normal 8 6 2 3 2" xfId="13730" xr:uid="{1F78729A-E81D-4462-A9B7-9879FD0C579C}"/>
    <cellStyle name="Normal 8 6 2 4" xfId="9512" xr:uid="{4DBAED68-A1D4-4364-BD59-FB3E6C6980A2}"/>
    <cellStyle name="Normal 8 6 3" xfId="1393" xr:uid="{00000000-0005-0000-0000-00004C1E0000}"/>
    <cellStyle name="Normal 8 6 3 2" xfId="3623" xr:uid="{00000000-0005-0000-0000-00004D1E0000}"/>
    <cellStyle name="Normal 8 6 3 2 2" xfId="7846" xr:uid="{00000000-0005-0000-0000-00004E1E0000}"/>
    <cellStyle name="Normal 8 6 3 2 2 2" xfId="16288" xr:uid="{4DED4DAD-DB0D-4024-B659-4271AB0F16DE}"/>
    <cellStyle name="Normal 8 6 3 2 3" xfId="12070" xr:uid="{9AA21EB1-CD84-4882-8E4B-3937A249FFAA}"/>
    <cellStyle name="Normal 8 6 3 3" xfId="5701" xr:uid="{00000000-0005-0000-0000-00004F1E0000}"/>
    <cellStyle name="Normal 8 6 3 3 2" xfId="14143" xr:uid="{DEF6005D-904A-4CC6-B82D-5F466DE35C59}"/>
    <cellStyle name="Normal 8 6 3 4" xfId="9925" xr:uid="{83D5FE9E-CBCD-4433-913A-1B5364EE360A}"/>
    <cellStyle name="Normal 8 6 4" xfId="1806" xr:uid="{00000000-0005-0000-0000-0000501E0000}"/>
    <cellStyle name="Normal 8 6 4 2" xfId="4036" xr:uid="{00000000-0005-0000-0000-0000511E0000}"/>
    <cellStyle name="Normal 8 6 4 2 2" xfId="8259" xr:uid="{00000000-0005-0000-0000-0000521E0000}"/>
    <cellStyle name="Normal 8 6 4 2 2 2" xfId="16701" xr:uid="{87A88EEE-AE2B-4B45-8A73-19741229F275}"/>
    <cellStyle name="Normal 8 6 4 2 3" xfId="12483" xr:uid="{B5241D50-C627-48DD-9970-5AEA27D8FD01}"/>
    <cellStyle name="Normal 8 6 4 3" xfId="6114" xr:uid="{00000000-0005-0000-0000-0000531E0000}"/>
    <cellStyle name="Normal 8 6 4 3 2" xfId="14556" xr:uid="{C24576DF-724C-4305-A462-98A6C71B44AD}"/>
    <cellStyle name="Normal 8 6 4 4" xfId="10338" xr:uid="{22664187-510C-4465-82BF-88D437A2A143}"/>
    <cellStyle name="Normal 8 6 5" xfId="2220" xr:uid="{00000000-0005-0000-0000-0000541E0000}"/>
    <cellStyle name="Normal 8 6 5 2" xfId="4449" xr:uid="{00000000-0005-0000-0000-0000551E0000}"/>
    <cellStyle name="Normal 8 6 5 2 2" xfId="8672" xr:uid="{00000000-0005-0000-0000-0000561E0000}"/>
    <cellStyle name="Normal 8 6 5 2 2 2" xfId="17114" xr:uid="{AA0903B9-C132-4A44-BC33-99E6D8B7506A}"/>
    <cellStyle name="Normal 8 6 5 2 3" xfId="12896" xr:uid="{CD377306-1BF9-4ABD-AA35-7B931C12D0C5}"/>
    <cellStyle name="Normal 8 6 5 3" xfId="6527" xr:uid="{00000000-0005-0000-0000-0000571E0000}"/>
    <cellStyle name="Normal 8 6 5 3 2" xfId="14969" xr:uid="{9789FD54-C3D8-4EA2-A856-98A5F8D6EBAE}"/>
    <cellStyle name="Normal 8 6 5 4" xfId="10751" xr:uid="{E5D6A589-07B5-4F94-B55C-7C907C0EED31}"/>
    <cellStyle name="Normal 8 6 6" xfId="2656" xr:uid="{00000000-0005-0000-0000-0000581E0000}"/>
    <cellStyle name="Normal 8 6 6 2" xfId="6940" xr:uid="{00000000-0005-0000-0000-0000591E0000}"/>
    <cellStyle name="Normal 8 6 6 2 2" xfId="15382" xr:uid="{8EFA7174-2A2B-4D63-B3B7-4A8C57DDBC2E}"/>
    <cellStyle name="Normal 8 6 6 3" xfId="11164" xr:uid="{72BA1EF7-8EA2-4140-B4C6-EB77A1B8B657}"/>
    <cellStyle name="Normal 8 6 7" xfId="4875" xr:uid="{00000000-0005-0000-0000-00005A1E0000}"/>
    <cellStyle name="Normal 8 6 7 2" xfId="13317" xr:uid="{D474F247-0574-4108-B55C-BED8E67DE8D0}"/>
    <cellStyle name="Normal 8 6 8" xfId="9099" xr:uid="{2D2BF8C8-F9C4-44D4-AFC9-4EDCCED1D53C}"/>
    <cellStyle name="Normal 8 7" xfId="945" xr:uid="{00000000-0005-0000-0000-00005B1E0000}"/>
    <cellStyle name="Normal 8 7 2" xfId="3179" xr:uid="{00000000-0005-0000-0000-00005C1E0000}"/>
    <cellStyle name="Normal 8 7 2 2" xfId="7402" xr:uid="{00000000-0005-0000-0000-00005D1E0000}"/>
    <cellStyle name="Normal 8 7 2 2 2" xfId="15844" xr:uid="{6D29DE68-7795-4208-BE6C-0E3BD08B7626}"/>
    <cellStyle name="Normal 8 7 2 3" xfId="11626" xr:uid="{64CB56BD-C91F-4AB1-88FD-9059D703F0E3}"/>
    <cellStyle name="Normal 8 7 3" xfId="5257" xr:uid="{00000000-0005-0000-0000-00005E1E0000}"/>
    <cellStyle name="Normal 8 7 3 2" xfId="13699" xr:uid="{6FF716C5-D3D8-4D8D-8D4B-05832F3C82F4}"/>
    <cellStyle name="Normal 8 7 4" xfId="9481" xr:uid="{30AEDC70-96E7-42DB-85C4-5E6464A41402}"/>
    <cellStyle name="Normal 8 8" xfId="1362" xr:uid="{00000000-0005-0000-0000-00005F1E0000}"/>
    <cellStyle name="Normal 8 8 2" xfId="3592" xr:uid="{00000000-0005-0000-0000-0000601E0000}"/>
    <cellStyle name="Normal 8 8 2 2" xfId="7815" xr:uid="{00000000-0005-0000-0000-0000611E0000}"/>
    <cellStyle name="Normal 8 8 2 2 2" xfId="16257" xr:uid="{E55A2552-7252-4FAC-970D-CB66A70FF118}"/>
    <cellStyle name="Normal 8 8 2 3" xfId="12039" xr:uid="{297CA0C5-D4C7-4AE6-8842-C399AB811D00}"/>
    <cellStyle name="Normal 8 8 3" xfId="5670" xr:uid="{00000000-0005-0000-0000-0000621E0000}"/>
    <cellStyle name="Normal 8 8 3 2" xfId="14112" xr:uid="{65EF21E4-EC99-42BB-AB1D-6BCE03003F99}"/>
    <cellStyle name="Normal 8 8 4" xfId="9894" xr:uid="{18054A51-1602-4648-B265-F7201DFB1DB4}"/>
    <cellStyle name="Normal 8 9" xfId="1775" xr:uid="{00000000-0005-0000-0000-0000631E0000}"/>
    <cellStyle name="Normal 8 9 2" xfId="4005" xr:uid="{00000000-0005-0000-0000-0000641E0000}"/>
    <cellStyle name="Normal 8 9 2 2" xfId="8228" xr:uid="{00000000-0005-0000-0000-0000651E0000}"/>
    <cellStyle name="Normal 8 9 2 2 2" xfId="16670" xr:uid="{3D8F4B83-1BAB-44D9-9352-E90094416691}"/>
    <cellStyle name="Normal 8 9 2 3" xfId="12452" xr:uid="{6A02E078-C904-471D-BC97-C22E21A48714}"/>
    <cellStyle name="Normal 8 9 3" xfId="6083" xr:uid="{00000000-0005-0000-0000-0000661E0000}"/>
    <cellStyle name="Normal 8 9 3 2" xfId="14525" xr:uid="{AF58D789-5AA9-49B0-9D7C-D722A0371AE0}"/>
    <cellStyle name="Normal 8 9 4" xfId="10307" xr:uid="{72B8F317-3FF1-43A1-B07D-1ECBDB712D11}"/>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0 2 2" xfId="15383" xr:uid="{2AF9B1A5-17AD-409C-84E2-932000BCFE1F}"/>
    <cellStyle name="Normal 9 2 10 3" xfId="11165" xr:uid="{A32DBB54-B0AF-4700-9FE4-86C92745F1F4}"/>
    <cellStyle name="Normal 9 2 11" xfId="4876" xr:uid="{00000000-0005-0000-0000-00006B1E0000}"/>
    <cellStyle name="Normal 9 2 11 2" xfId="13318" xr:uid="{C14C38D2-EA87-478B-8B8A-51A1C90F5BE9}"/>
    <cellStyle name="Normal 9 2 12" xfId="9100" xr:uid="{70EAEB3B-E43B-4C4B-A797-F274C6594318}"/>
    <cellStyle name="Normal 9 2 2" xfId="512" xr:uid="{00000000-0005-0000-0000-00006C1E0000}"/>
    <cellStyle name="Normal 9 2 2 10" xfId="4877" xr:uid="{00000000-0005-0000-0000-00006D1E0000}"/>
    <cellStyle name="Normal 9 2 2 10 2" xfId="13319" xr:uid="{D8452953-2C6B-4161-9D80-26880D9D3C20}"/>
    <cellStyle name="Normal 9 2 2 11" xfId="9101" xr:uid="{31D44484-1DD9-4B00-A86D-9C4E8DB1BFEF}"/>
    <cellStyle name="Normal 9 2 2 2" xfId="513" xr:uid="{00000000-0005-0000-0000-00006E1E0000}"/>
    <cellStyle name="Normal 9 2 2 2 10" xfId="9102" xr:uid="{F057D6BF-85BF-4320-B7CE-C9F006B87D2E}"/>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2 2 2" xfId="15880" xr:uid="{A67027FA-03A3-4F44-A72B-E4375E22D880}"/>
    <cellStyle name="Normal 9 2 2 2 2 2 2 2 3" xfId="11662" xr:uid="{3075046F-07F1-401B-9E65-98E6EE74B303}"/>
    <cellStyle name="Normal 9 2 2 2 2 2 2 3" xfId="5293" xr:uid="{00000000-0005-0000-0000-0000741E0000}"/>
    <cellStyle name="Normal 9 2 2 2 2 2 2 3 2" xfId="13735" xr:uid="{F9ECB1DF-F974-4D03-8F5F-672AD2A2195E}"/>
    <cellStyle name="Normal 9 2 2 2 2 2 2 4" xfId="9517" xr:uid="{C1CF8023-B5CB-47D5-915E-A736E599C056}"/>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2 2 2" xfId="16293" xr:uid="{B1863E66-56AA-4B56-8E38-B68CA3A347D9}"/>
    <cellStyle name="Normal 9 2 2 2 2 2 3 2 3" xfId="12075" xr:uid="{FE98E7E3-6A41-4AD0-BBA4-5412E0A8A570}"/>
    <cellStyle name="Normal 9 2 2 2 2 2 3 3" xfId="5706" xr:uid="{00000000-0005-0000-0000-0000781E0000}"/>
    <cellStyle name="Normal 9 2 2 2 2 2 3 3 2" xfId="14148" xr:uid="{1E77E157-D2FF-4308-8A2E-427AF045AB2B}"/>
    <cellStyle name="Normal 9 2 2 2 2 2 3 4" xfId="9930" xr:uid="{6E7787D1-1B8C-4DB6-B301-894F80019FCC}"/>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2 2 2" xfId="16706" xr:uid="{01AE8A73-5C18-416C-80B1-338127895173}"/>
    <cellStyle name="Normal 9 2 2 2 2 2 4 2 3" xfId="12488" xr:uid="{42F722D4-B866-49DA-9264-50C9C999CC3D}"/>
    <cellStyle name="Normal 9 2 2 2 2 2 4 3" xfId="6119" xr:uid="{00000000-0005-0000-0000-00007C1E0000}"/>
    <cellStyle name="Normal 9 2 2 2 2 2 4 3 2" xfId="14561" xr:uid="{C2EE9C0D-ABFA-4A4A-8E33-509FA66DBC11}"/>
    <cellStyle name="Normal 9 2 2 2 2 2 4 4" xfId="10343" xr:uid="{4B45A561-90EE-4C2F-A649-CD36A4615427}"/>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2 2 2" xfId="17119" xr:uid="{D8447304-DDDC-4979-BED4-EA00E7000505}"/>
    <cellStyle name="Normal 9 2 2 2 2 2 5 2 3" xfId="12901" xr:uid="{C8D350E9-63F3-4E88-9A44-C716DB845056}"/>
    <cellStyle name="Normal 9 2 2 2 2 2 5 3" xfId="6532" xr:uid="{00000000-0005-0000-0000-0000801E0000}"/>
    <cellStyle name="Normal 9 2 2 2 2 2 5 3 2" xfId="14974" xr:uid="{51A11270-D656-4841-981C-86F25C18821D}"/>
    <cellStyle name="Normal 9 2 2 2 2 2 5 4" xfId="10756" xr:uid="{15688646-D927-49A0-AE91-AFD9E7B5D43E}"/>
    <cellStyle name="Normal 9 2 2 2 2 2 6" xfId="2661" xr:uid="{00000000-0005-0000-0000-0000811E0000}"/>
    <cellStyle name="Normal 9 2 2 2 2 2 6 2" xfId="6945" xr:uid="{00000000-0005-0000-0000-0000821E0000}"/>
    <cellStyle name="Normal 9 2 2 2 2 2 6 2 2" xfId="15387" xr:uid="{F9D24780-AA37-4413-BB5C-1F4506878E2F}"/>
    <cellStyle name="Normal 9 2 2 2 2 2 6 3" xfId="11169" xr:uid="{28227885-CC30-436C-927B-0AA803AA2EF8}"/>
    <cellStyle name="Normal 9 2 2 2 2 2 7" xfId="4880" xr:uid="{00000000-0005-0000-0000-0000831E0000}"/>
    <cellStyle name="Normal 9 2 2 2 2 2 7 2" xfId="13322" xr:uid="{90166C13-9113-46FD-BB36-6F31DC474CAB}"/>
    <cellStyle name="Normal 9 2 2 2 2 2 8" xfId="9104" xr:uid="{046157F7-7DC4-42AD-AF3F-7E83FEFBD239}"/>
    <cellStyle name="Normal 9 2 2 2 2 3" xfId="981" xr:uid="{00000000-0005-0000-0000-0000841E0000}"/>
    <cellStyle name="Normal 9 2 2 2 2 3 2" xfId="3214" xr:uid="{00000000-0005-0000-0000-0000851E0000}"/>
    <cellStyle name="Normal 9 2 2 2 2 3 2 2" xfId="7437" xr:uid="{00000000-0005-0000-0000-0000861E0000}"/>
    <cellStyle name="Normal 9 2 2 2 2 3 2 2 2" xfId="15879" xr:uid="{CDFD4D3C-9981-4344-A6A3-90EBDA3CE2D7}"/>
    <cellStyle name="Normal 9 2 2 2 2 3 2 3" xfId="11661" xr:uid="{BCE7FD9C-69BA-43B7-876B-B9E9D591B598}"/>
    <cellStyle name="Normal 9 2 2 2 2 3 3" xfId="5292" xr:uid="{00000000-0005-0000-0000-0000871E0000}"/>
    <cellStyle name="Normal 9 2 2 2 2 3 3 2" xfId="13734" xr:uid="{831BC80F-685B-4E2A-859A-B1731367EEF7}"/>
    <cellStyle name="Normal 9 2 2 2 2 3 4" xfId="9516" xr:uid="{679D94BF-05AA-4607-B387-D74A65331004}"/>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2 2 2" xfId="16292" xr:uid="{A527B044-2335-40CD-B4A9-F240FB823D83}"/>
    <cellStyle name="Normal 9 2 2 2 2 4 2 3" xfId="12074" xr:uid="{F49EA5D9-1FB6-4936-B152-AB6F9E067306}"/>
    <cellStyle name="Normal 9 2 2 2 2 4 3" xfId="5705" xr:uid="{00000000-0005-0000-0000-00008B1E0000}"/>
    <cellStyle name="Normal 9 2 2 2 2 4 3 2" xfId="14147" xr:uid="{2EF4377D-257E-4121-A17F-94208A32F69F}"/>
    <cellStyle name="Normal 9 2 2 2 2 4 4" xfId="9929" xr:uid="{CB247E5E-B429-4FF3-8A52-C2D1BC4A593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2 2 2" xfId="16705" xr:uid="{77A4BBFA-E3AE-49B5-9C81-623BEC56E236}"/>
    <cellStyle name="Normal 9 2 2 2 2 5 2 3" xfId="12487" xr:uid="{67678B99-2045-4622-A9A9-02FB44D3980D}"/>
    <cellStyle name="Normal 9 2 2 2 2 5 3" xfId="6118" xr:uid="{00000000-0005-0000-0000-00008F1E0000}"/>
    <cellStyle name="Normal 9 2 2 2 2 5 3 2" xfId="14560" xr:uid="{2BE3D787-6EE2-46E8-8AFA-666083432FBC}"/>
    <cellStyle name="Normal 9 2 2 2 2 5 4" xfId="10342" xr:uid="{773EC974-6FE2-465A-9F41-14FC9D9ED19F}"/>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2 2 2" xfId="17118" xr:uid="{E4A89C99-435D-452D-A58A-414CC25DD9D0}"/>
    <cellStyle name="Normal 9 2 2 2 2 6 2 3" xfId="12900" xr:uid="{881AEC40-164D-49F0-97A4-A55CAF5E8BAC}"/>
    <cellStyle name="Normal 9 2 2 2 2 6 3" xfId="6531" xr:uid="{00000000-0005-0000-0000-0000931E0000}"/>
    <cellStyle name="Normal 9 2 2 2 2 6 3 2" xfId="14973" xr:uid="{299B6CD2-97E5-448E-908C-AF586F6FE41D}"/>
    <cellStyle name="Normal 9 2 2 2 2 6 4" xfId="10755" xr:uid="{0D61CB90-CACD-4C99-B171-840C48583916}"/>
    <cellStyle name="Normal 9 2 2 2 2 7" xfId="2660" xr:uid="{00000000-0005-0000-0000-0000941E0000}"/>
    <cellStyle name="Normal 9 2 2 2 2 7 2" xfId="6944" xr:uid="{00000000-0005-0000-0000-0000951E0000}"/>
    <cellStyle name="Normal 9 2 2 2 2 7 2 2" xfId="15386" xr:uid="{30A5B1D5-246E-43C7-A9CA-2E0337D43A08}"/>
    <cellStyle name="Normal 9 2 2 2 2 7 3" xfId="11168" xr:uid="{A134FB00-2975-4409-8128-AD9E87038AB2}"/>
    <cellStyle name="Normal 9 2 2 2 2 8" xfId="4879" xr:uid="{00000000-0005-0000-0000-0000961E0000}"/>
    <cellStyle name="Normal 9 2 2 2 2 8 2" xfId="13321" xr:uid="{88AF670C-C897-4C86-85ED-7581B755E623}"/>
    <cellStyle name="Normal 9 2 2 2 2 9" xfId="9103" xr:uid="{1DA71395-FFD1-4AC9-B1D3-3B58EF7ADC46}"/>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2 2 2" xfId="15881" xr:uid="{81F97543-5590-4E49-B69F-5DF03A1FA6DD}"/>
    <cellStyle name="Normal 9 2 2 2 3 2 2 3" xfId="11663" xr:uid="{514AF7FF-6AF1-4A71-A52D-639FE79FF35D}"/>
    <cellStyle name="Normal 9 2 2 2 3 2 3" xfId="5294" xr:uid="{00000000-0005-0000-0000-00009B1E0000}"/>
    <cellStyle name="Normal 9 2 2 2 3 2 3 2" xfId="13736" xr:uid="{1559FBC8-EC5B-4CFB-A257-A9EE2031EB70}"/>
    <cellStyle name="Normal 9 2 2 2 3 2 4" xfId="9518" xr:uid="{8B2B210A-5694-4349-BEC2-0BC6A8BAEEB9}"/>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2 2 2" xfId="16294" xr:uid="{D1833F4E-E6A9-431D-9E49-2F64B06E91BE}"/>
    <cellStyle name="Normal 9 2 2 2 3 3 2 3" xfId="12076" xr:uid="{68567C91-4256-4F36-8B50-9A236944D019}"/>
    <cellStyle name="Normal 9 2 2 2 3 3 3" xfId="5707" xr:uid="{00000000-0005-0000-0000-00009F1E0000}"/>
    <cellStyle name="Normal 9 2 2 2 3 3 3 2" xfId="14149" xr:uid="{CCAFA0D1-11C6-42FA-86F8-18C890D63F47}"/>
    <cellStyle name="Normal 9 2 2 2 3 3 4" xfId="9931" xr:uid="{FEA17E52-B393-49A3-81BB-C40C5A92C004}"/>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2 2 2" xfId="16707" xr:uid="{15F0AECE-12FA-4012-AFDC-4375F6D02243}"/>
    <cellStyle name="Normal 9 2 2 2 3 4 2 3" xfId="12489" xr:uid="{64139742-4531-4270-A529-9E184D1C5274}"/>
    <cellStyle name="Normal 9 2 2 2 3 4 3" xfId="6120" xr:uid="{00000000-0005-0000-0000-0000A31E0000}"/>
    <cellStyle name="Normal 9 2 2 2 3 4 3 2" xfId="14562" xr:uid="{A2041AFF-A4D4-47FE-82BF-7AA9C79463A8}"/>
    <cellStyle name="Normal 9 2 2 2 3 4 4" xfId="10344" xr:uid="{5DF291E1-6698-4EAC-808D-AABF99A49A2B}"/>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2 2 2" xfId="17120" xr:uid="{F35EC97F-7286-4A13-8868-53B7660C4E3B}"/>
    <cellStyle name="Normal 9 2 2 2 3 5 2 3" xfId="12902" xr:uid="{681074E0-32D3-43F8-83EC-8A6F2D321732}"/>
    <cellStyle name="Normal 9 2 2 2 3 5 3" xfId="6533" xr:uid="{00000000-0005-0000-0000-0000A71E0000}"/>
    <cellStyle name="Normal 9 2 2 2 3 5 3 2" xfId="14975" xr:uid="{37C2CD96-34A5-40BB-90F1-B561EFDEAE9E}"/>
    <cellStyle name="Normal 9 2 2 2 3 5 4" xfId="10757" xr:uid="{A0E77914-4810-40BC-A71E-87D8E15E3514}"/>
    <cellStyle name="Normal 9 2 2 2 3 6" xfId="2662" xr:uid="{00000000-0005-0000-0000-0000A81E0000}"/>
    <cellStyle name="Normal 9 2 2 2 3 6 2" xfId="6946" xr:uid="{00000000-0005-0000-0000-0000A91E0000}"/>
    <cellStyle name="Normal 9 2 2 2 3 6 2 2" xfId="15388" xr:uid="{BAA14B7E-38FC-4318-B7FF-7D2608034B24}"/>
    <cellStyle name="Normal 9 2 2 2 3 6 3" xfId="11170" xr:uid="{35B07D34-A896-4A84-AB6A-E17568FC4160}"/>
    <cellStyle name="Normal 9 2 2 2 3 7" xfId="4881" xr:uid="{00000000-0005-0000-0000-0000AA1E0000}"/>
    <cellStyle name="Normal 9 2 2 2 3 7 2" xfId="13323" xr:uid="{AD18070B-F7B8-4A5A-9688-8E518E43DBC0}"/>
    <cellStyle name="Normal 9 2 2 2 3 8" xfId="9105" xr:uid="{5AF123B5-746D-4E73-A2C7-BDC33B320D15}"/>
    <cellStyle name="Normal 9 2 2 2 4" xfId="980" xr:uid="{00000000-0005-0000-0000-0000AB1E0000}"/>
    <cellStyle name="Normal 9 2 2 2 4 2" xfId="3213" xr:uid="{00000000-0005-0000-0000-0000AC1E0000}"/>
    <cellStyle name="Normal 9 2 2 2 4 2 2" xfId="7436" xr:uid="{00000000-0005-0000-0000-0000AD1E0000}"/>
    <cellStyle name="Normal 9 2 2 2 4 2 2 2" xfId="15878" xr:uid="{FF65259F-499B-4753-9C88-C36C87D9F8B0}"/>
    <cellStyle name="Normal 9 2 2 2 4 2 3" xfId="11660" xr:uid="{D1DF476A-6E08-4CD9-8F5F-660FED20C9C1}"/>
    <cellStyle name="Normal 9 2 2 2 4 3" xfId="5291" xr:uid="{00000000-0005-0000-0000-0000AE1E0000}"/>
    <cellStyle name="Normal 9 2 2 2 4 3 2" xfId="13733" xr:uid="{7D0C9BF2-04F2-4085-8C9B-6802454F0951}"/>
    <cellStyle name="Normal 9 2 2 2 4 4" xfId="9515" xr:uid="{CD5F3C7F-DBE3-4756-ABB2-825464EFAF57}"/>
    <cellStyle name="Normal 9 2 2 2 5" xfId="1396" xr:uid="{00000000-0005-0000-0000-0000AF1E0000}"/>
    <cellStyle name="Normal 9 2 2 2 5 2" xfId="3626" xr:uid="{00000000-0005-0000-0000-0000B01E0000}"/>
    <cellStyle name="Normal 9 2 2 2 5 2 2" xfId="7849" xr:uid="{00000000-0005-0000-0000-0000B11E0000}"/>
    <cellStyle name="Normal 9 2 2 2 5 2 2 2" xfId="16291" xr:uid="{3D7DB2C1-1EFB-4855-A8AA-9555F5EB4173}"/>
    <cellStyle name="Normal 9 2 2 2 5 2 3" xfId="12073" xr:uid="{230942D3-AC09-4704-904C-9760A73D015C}"/>
    <cellStyle name="Normal 9 2 2 2 5 3" xfId="5704" xr:uid="{00000000-0005-0000-0000-0000B21E0000}"/>
    <cellStyle name="Normal 9 2 2 2 5 3 2" xfId="14146" xr:uid="{5BAAE9D0-E032-4568-A572-DB84A7701E5F}"/>
    <cellStyle name="Normal 9 2 2 2 5 4" xfId="9928" xr:uid="{E5A15E48-85E2-41F4-B5EB-5F4317A9BDE6}"/>
    <cellStyle name="Normal 9 2 2 2 6" xfId="1809" xr:uid="{00000000-0005-0000-0000-0000B31E0000}"/>
    <cellStyle name="Normal 9 2 2 2 6 2" xfId="4039" xr:uid="{00000000-0005-0000-0000-0000B41E0000}"/>
    <cellStyle name="Normal 9 2 2 2 6 2 2" xfId="8262" xr:uid="{00000000-0005-0000-0000-0000B51E0000}"/>
    <cellStyle name="Normal 9 2 2 2 6 2 2 2" xfId="16704" xr:uid="{9BE6FE0B-C87A-4774-806C-FC82C454D2C9}"/>
    <cellStyle name="Normal 9 2 2 2 6 2 3" xfId="12486" xr:uid="{338B30E0-4835-4A26-A140-2F9AB0406D1E}"/>
    <cellStyle name="Normal 9 2 2 2 6 3" xfId="6117" xr:uid="{00000000-0005-0000-0000-0000B61E0000}"/>
    <cellStyle name="Normal 9 2 2 2 6 3 2" xfId="14559" xr:uid="{9FC79D10-7C42-48B8-BC45-EC4C6D89702F}"/>
    <cellStyle name="Normal 9 2 2 2 6 4" xfId="10341" xr:uid="{BA222029-33FC-4959-B1A5-4BD0E7537457}"/>
    <cellStyle name="Normal 9 2 2 2 7" xfId="2223" xr:uid="{00000000-0005-0000-0000-0000B71E0000}"/>
    <cellStyle name="Normal 9 2 2 2 7 2" xfId="4452" xr:uid="{00000000-0005-0000-0000-0000B81E0000}"/>
    <cellStyle name="Normal 9 2 2 2 7 2 2" xfId="8675" xr:uid="{00000000-0005-0000-0000-0000B91E0000}"/>
    <cellStyle name="Normal 9 2 2 2 7 2 2 2" xfId="17117" xr:uid="{D2EA1218-D831-48A7-ABC3-F31CD7AE3E0F}"/>
    <cellStyle name="Normal 9 2 2 2 7 2 3" xfId="12899" xr:uid="{D66FD80A-E3CE-4C0E-83BC-57850BFBDEC8}"/>
    <cellStyle name="Normal 9 2 2 2 7 3" xfId="6530" xr:uid="{00000000-0005-0000-0000-0000BA1E0000}"/>
    <cellStyle name="Normal 9 2 2 2 7 3 2" xfId="14972" xr:uid="{66889950-6F99-4A05-BDF4-8C5CEAE87E4F}"/>
    <cellStyle name="Normal 9 2 2 2 7 4" xfId="10754" xr:uid="{6E26FB1A-F758-4ACD-AA31-D5333E556745}"/>
    <cellStyle name="Normal 9 2 2 2 8" xfId="2659" xr:uid="{00000000-0005-0000-0000-0000BB1E0000}"/>
    <cellStyle name="Normal 9 2 2 2 8 2" xfId="6943" xr:uid="{00000000-0005-0000-0000-0000BC1E0000}"/>
    <cellStyle name="Normal 9 2 2 2 8 2 2" xfId="15385" xr:uid="{25F510BD-F12D-46AC-BE02-9F2A3FAF930E}"/>
    <cellStyle name="Normal 9 2 2 2 8 3" xfId="11167" xr:uid="{4032BA56-58F1-40AF-B5D4-5FB4C6BC47C6}"/>
    <cellStyle name="Normal 9 2 2 2 9" xfId="4878" xr:uid="{00000000-0005-0000-0000-0000BD1E0000}"/>
    <cellStyle name="Normal 9 2 2 2 9 2" xfId="13320" xr:uid="{D8FB088E-6591-4C37-9FBF-4F9926347217}"/>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2 2 2" xfId="15883" xr:uid="{19F739CF-3E2D-4B04-B4CF-F80006875F38}"/>
    <cellStyle name="Normal 9 2 2 3 2 2 2 3" xfId="11665" xr:uid="{63B58CA4-62E9-46D0-921E-5B3968B0F193}"/>
    <cellStyle name="Normal 9 2 2 3 2 2 3" xfId="5296" xr:uid="{00000000-0005-0000-0000-0000C31E0000}"/>
    <cellStyle name="Normal 9 2 2 3 2 2 3 2" xfId="13738" xr:uid="{94EA65AC-4C7E-4942-B7F4-8AF4592E60B2}"/>
    <cellStyle name="Normal 9 2 2 3 2 2 4" xfId="9520" xr:uid="{CA170B28-E066-40B2-8780-248159688DBA}"/>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2 2 2" xfId="16296" xr:uid="{D95598AD-0604-4D2B-8C4A-A78268CAFBB9}"/>
    <cellStyle name="Normal 9 2 2 3 2 3 2 3" xfId="12078" xr:uid="{1B5F799F-8BC7-4A56-885E-6037C788C4D2}"/>
    <cellStyle name="Normal 9 2 2 3 2 3 3" xfId="5709" xr:uid="{00000000-0005-0000-0000-0000C71E0000}"/>
    <cellStyle name="Normal 9 2 2 3 2 3 3 2" xfId="14151" xr:uid="{4DFB7590-7997-4354-B2C3-12A7DE66A734}"/>
    <cellStyle name="Normal 9 2 2 3 2 3 4" xfId="9933" xr:uid="{0BA7E03D-F509-4D9D-8D7E-986F21473BED}"/>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2 2 2" xfId="16709" xr:uid="{C9F66482-D306-4CB9-9869-ABC59E6C24F0}"/>
    <cellStyle name="Normal 9 2 2 3 2 4 2 3" xfId="12491" xr:uid="{46ACCE3A-0DE8-47D0-970F-1AA254D35B17}"/>
    <cellStyle name="Normal 9 2 2 3 2 4 3" xfId="6122" xr:uid="{00000000-0005-0000-0000-0000CB1E0000}"/>
    <cellStyle name="Normal 9 2 2 3 2 4 3 2" xfId="14564" xr:uid="{CE9E37F4-2165-4E57-B2AD-46ED89D04BE5}"/>
    <cellStyle name="Normal 9 2 2 3 2 4 4" xfId="10346" xr:uid="{74084DC8-1737-4867-85D0-A4C9309F9BC5}"/>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2 2 2" xfId="17122" xr:uid="{8F58B231-0FBC-4374-B517-4074CEE860ED}"/>
    <cellStyle name="Normal 9 2 2 3 2 5 2 3" xfId="12904" xr:uid="{F9A9DD2C-1F8A-4B15-B40E-E063B626B7F4}"/>
    <cellStyle name="Normal 9 2 2 3 2 5 3" xfId="6535" xr:uid="{00000000-0005-0000-0000-0000CF1E0000}"/>
    <cellStyle name="Normal 9 2 2 3 2 5 3 2" xfId="14977" xr:uid="{456FC13D-3672-4960-9A6C-3C7E68F8523A}"/>
    <cellStyle name="Normal 9 2 2 3 2 5 4" xfId="10759" xr:uid="{90AFD7BB-2D61-4228-AD09-0C220D1061F4}"/>
    <cellStyle name="Normal 9 2 2 3 2 6" xfId="2664" xr:uid="{00000000-0005-0000-0000-0000D01E0000}"/>
    <cellStyle name="Normal 9 2 2 3 2 6 2" xfId="6948" xr:uid="{00000000-0005-0000-0000-0000D11E0000}"/>
    <cellStyle name="Normal 9 2 2 3 2 6 2 2" xfId="15390" xr:uid="{7D067DC3-7212-4206-8D1E-5FD1A168413E}"/>
    <cellStyle name="Normal 9 2 2 3 2 6 3" xfId="11172" xr:uid="{52A606EC-EF32-4B64-AC00-D7F674FE9DEB}"/>
    <cellStyle name="Normal 9 2 2 3 2 7" xfId="4883" xr:uid="{00000000-0005-0000-0000-0000D21E0000}"/>
    <cellStyle name="Normal 9 2 2 3 2 7 2" xfId="13325" xr:uid="{DFBBEDB7-E67F-41CA-A0A3-58AA428612CE}"/>
    <cellStyle name="Normal 9 2 2 3 2 8" xfId="9107" xr:uid="{29DB811B-7ABC-4FAE-92A0-8A1C1E2B527C}"/>
    <cellStyle name="Normal 9 2 2 3 3" xfId="984" xr:uid="{00000000-0005-0000-0000-0000D31E0000}"/>
    <cellStyle name="Normal 9 2 2 3 3 2" xfId="3217" xr:uid="{00000000-0005-0000-0000-0000D41E0000}"/>
    <cellStyle name="Normal 9 2 2 3 3 2 2" xfId="7440" xr:uid="{00000000-0005-0000-0000-0000D51E0000}"/>
    <cellStyle name="Normal 9 2 2 3 3 2 2 2" xfId="15882" xr:uid="{E8E2C596-73F8-47A6-A651-51C5C8ABBD92}"/>
    <cellStyle name="Normal 9 2 2 3 3 2 3" xfId="11664" xr:uid="{934EAAF1-6B70-4C14-9F7D-CC73018A5F06}"/>
    <cellStyle name="Normal 9 2 2 3 3 3" xfId="5295" xr:uid="{00000000-0005-0000-0000-0000D61E0000}"/>
    <cellStyle name="Normal 9 2 2 3 3 3 2" xfId="13737" xr:uid="{4B5A18A9-14A3-4B96-A95A-DEAE768C7AB7}"/>
    <cellStyle name="Normal 9 2 2 3 3 4" xfId="9519" xr:uid="{BC63D34D-0FC7-4330-BD1A-9CE44C332832}"/>
    <cellStyle name="Normal 9 2 2 3 4" xfId="1400" xr:uid="{00000000-0005-0000-0000-0000D71E0000}"/>
    <cellStyle name="Normal 9 2 2 3 4 2" xfId="3630" xr:uid="{00000000-0005-0000-0000-0000D81E0000}"/>
    <cellStyle name="Normal 9 2 2 3 4 2 2" xfId="7853" xr:uid="{00000000-0005-0000-0000-0000D91E0000}"/>
    <cellStyle name="Normal 9 2 2 3 4 2 2 2" xfId="16295" xr:uid="{98FC6DF1-DF79-4CE5-B9FC-3CF0B61C9F87}"/>
    <cellStyle name="Normal 9 2 2 3 4 2 3" xfId="12077" xr:uid="{0836CF12-96B0-4303-8F41-0754F8F6D995}"/>
    <cellStyle name="Normal 9 2 2 3 4 3" xfId="5708" xr:uid="{00000000-0005-0000-0000-0000DA1E0000}"/>
    <cellStyle name="Normal 9 2 2 3 4 3 2" xfId="14150" xr:uid="{1B1FA579-9291-4588-937F-9773BD86F8AE}"/>
    <cellStyle name="Normal 9 2 2 3 4 4" xfId="9932" xr:uid="{5A0E6391-D72D-4A0E-8971-AD1AA85A2F83}"/>
    <cellStyle name="Normal 9 2 2 3 5" xfId="1813" xr:uid="{00000000-0005-0000-0000-0000DB1E0000}"/>
    <cellStyle name="Normal 9 2 2 3 5 2" xfId="4043" xr:uid="{00000000-0005-0000-0000-0000DC1E0000}"/>
    <cellStyle name="Normal 9 2 2 3 5 2 2" xfId="8266" xr:uid="{00000000-0005-0000-0000-0000DD1E0000}"/>
    <cellStyle name="Normal 9 2 2 3 5 2 2 2" xfId="16708" xr:uid="{8563D24B-6256-4F7B-A514-5AAE48DBFCE1}"/>
    <cellStyle name="Normal 9 2 2 3 5 2 3" xfId="12490" xr:uid="{CF975468-4490-4853-9F79-1C324EC73B47}"/>
    <cellStyle name="Normal 9 2 2 3 5 3" xfId="6121" xr:uid="{00000000-0005-0000-0000-0000DE1E0000}"/>
    <cellStyle name="Normal 9 2 2 3 5 3 2" xfId="14563" xr:uid="{9B3C8B8D-E5D3-4A83-9445-39534CFC8F0C}"/>
    <cellStyle name="Normal 9 2 2 3 5 4" xfId="10345" xr:uid="{A352DDE6-6AB7-4DF7-BD44-B11B53C3C033}"/>
    <cellStyle name="Normal 9 2 2 3 6" xfId="2227" xr:uid="{00000000-0005-0000-0000-0000DF1E0000}"/>
    <cellStyle name="Normal 9 2 2 3 6 2" xfId="4456" xr:uid="{00000000-0005-0000-0000-0000E01E0000}"/>
    <cellStyle name="Normal 9 2 2 3 6 2 2" xfId="8679" xr:uid="{00000000-0005-0000-0000-0000E11E0000}"/>
    <cellStyle name="Normal 9 2 2 3 6 2 2 2" xfId="17121" xr:uid="{4ECD3FB6-2323-47E7-B1A1-C165B49A6265}"/>
    <cellStyle name="Normal 9 2 2 3 6 2 3" xfId="12903" xr:uid="{3815EC64-EF56-4ECA-9D25-2FAC2A55DDC3}"/>
    <cellStyle name="Normal 9 2 2 3 6 3" xfId="6534" xr:uid="{00000000-0005-0000-0000-0000E21E0000}"/>
    <cellStyle name="Normal 9 2 2 3 6 3 2" xfId="14976" xr:uid="{C1B6FA2E-C38A-461C-A530-58C137CD0272}"/>
    <cellStyle name="Normal 9 2 2 3 6 4" xfId="10758" xr:uid="{BB352563-A392-4CE7-8174-193259EF0420}"/>
    <cellStyle name="Normal 9 2 2 3 7" xfId="2663" xr:uid="{00000000-0005-0000-0000-0000E31E0000}"/>
    <cellStyle name="Normal 9 2 2 3 7 2" xfId="6947" xr:uid="{00000000-0005-0000-0000-0000E41E0000}"/>
    <cellStyle name="Normal 9 2 2 3 7 2 2" xfId="15389" xr:uid="{8CDA4659-2A8A-4F79-9E2B-A46E55325B7B}"/>
    <cellStyle name="Normal 9 2 2 3 7 3" xfId="11171" xr:uid="{36A83B6D-5033-4F25-B23F-8C6C741A1136}"/>
    <cellStyle name="Normal 9 2 2 3 8" xfId="4882" xr:uid="{00000000-0005-0000-0000-0000E51E0000}"/>
    <cellStyle name="Normal 9 2 2 3 8 2" xfId="13324" xr:uid="{DF21AEFF-3913-4E6C-915D-763D88A84FDB}"/>
    <cellStyle name="Normal 9 2 2 3 9" xfId="9106" xr:uid="{C9320D29-7EDB-4A3D-B3B6-10917F02292E}"/>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2 2 2" xfId="15884" xr:uid="{A93ECCC9-BA59-4D3C-8678-666B18F8AAC9}"/>
    <cellStyle name="Normal 9 2 2 4 2 2 3" xfId="11666" xr:uid="{B2B3CA41-2018-4678-9285-2BE99805BA57}"/>
    <cellStyle name="Normal 9 2 2 4 2 3" xfId="5297" xr:uid="{00000000-0005-0000-0000-0000EA1E0000}"/>
    <cellStyle name="Normal 9 2 2 4 2 3 2" xfId="13739" xr:uid="{F6CD7035-2B67-4292-8F67-73A1EF3D8337}"/>
    <cellStyle name="Normal 9 2 2 4 2 4" xfId="9521" xr:uid="{96060968-EE5A-40B7-A7EA-0CE3D128B20C}"/>
    <cellStyle name="Normal 9 2 2 4 3" xfId="1402" xr:uid="{00000000-0005-0000-0000-0000EB1E0000}"/>
    <cellStyle name="Normal 9 2 2 4 3 2" xfId="3632" xr:uid="{00000000-0005-0000-0000-0000EC1E0000}"/>
    <cellStyle name="Normal 9 2 2 4 3 2 2" xfId="7855" xr:uid="{00000000-0005-0000-0000-0000ED1E0000}"/>
    <cellStyle name="Normal 9 2 2 4 3 2 2 2" xfId="16297" xr:uid="{C94396C4-6B9E-41B1-BCF9-ACFBB80CA9DD}"/>
    <cellStyle name="Normal 9 2 2 4 3 2 3" xfId="12079" xr:uid="{2586BCCC-4E22-4171-B0C1-8F7CFFF60F8D}"/>
    <cellStyle name="Normal 9 2 2 4 3 3" xfId="5710" xr:uid="{00000000-0005-0000-0000-0000EE1E0000}"/>
    <cellStyle name="Normal 9 2 2 4 3 3 2" xfId="14152" xr:uid="{4FDAC9D5-4D57-49E2-8117-42A358B32A23}"/>
    <cellStyle name="Normal 9 2 2 4 3 4" xfId="9934" xr:uid="{D455186A-52EB-49E3-B255-72AAF16F5A02}"/>
    <cellStyle name="Normal 9 2 2 4 4" xfId="1815" xr:uid="{00000000-0005-0000-0000-0000EF1E0000}"/>
    <cellStyle name="Normal 9 2 2 4 4 2" xfId="4045" xr:uid="{00000000-0005-0000-0000-0000F01E0000}"/>
    <cellStyle name="Normal 9 2 2 4 4 2 2" xfId="8268" xr:uid="{00000000-0005-0000-0000-0000F11E0000}"/>
    <cellStyle name="Normal 9 2 2 4 4 2 2 2" xfId="16710" xr:uid="{0B919343-B91B-468F-84C5-675845CFBF45}"/>
    <cellStyle name="Normal 9 2 2 4 4 2 3" xfId="12492" xr:uid="{547AB690-30B1-4FD0-909D-566112F729D2}"/>
    <cellStyle name="Normal 9 2 2 4 4 3" xfId="6123" xr:uid="{00000000-0005-0000-0000-0000F21E0000}"/>
    <cellStyle name="Normal 9 2 2 4 4 3 2" xfId="14565" xr:uid="{C0C5B2A6-715C-4319-9D45-00A66084CCFF}"/>
    <cellStyle name="Normal 9 2 2 4 4 4" xfId="10347" xr:uid="{9EE4956B-7A61-4CB1-82EC-BA403E20F4BA}"/>
    <cellStyle name="Normal 9 2 2 4 5" xfId="2229" xr:uid="{00000000-0005-0000-0000-0000F31E0000}"/>
    <cellStyle name="Normal 9 2 2 4 5 2" xfId="4458" xr:uid="{00000000-0005-0000-0000-0000F41E0000}"/>
    <cellStyle name="Normal 9 2 2 4 5 2 2" xfId="8681" xr:uid="{00000000-0005-0000-0000-0000F51E0000}"/>
    <cellStyle name="Normal 9 2 2 4 5 2 2 2" xfId="17123" xr:uid="{2F1B35F7-94D7-4F59-AE07-6998F663ACDA}"/>
    <cellStyle name="Normal 9 2 2 4 5 2 3" xfId="12905" xr:uid="{BFA09E9E-8611-420F-8117-9031DFDE32D9}"/>
    <cellStyle name="Normal 9 2 2 4 5 3" xfId="6536" xr:uid="{00000000-0005-0000-0000-0000F61E0000}"/>
    <cellStyle name="Normal 9 2 2 4 5 3 2" xfId="14978" xr:uid="{A30FF36C-C12C-4987-AB35-5B3B75238E1E}"/>
    <cellStyle name="Normal 9 2 2 4 5 4" xfId="10760" xr:uid="{A23152F4-3535-4FC9-BF89-BCAA3908F76D}"/>
    <cellStyle name="Normal 9 2 2 4 6" xfId="2665" xr:uid="{00000000-0005-0000-0000-0000F71E0000}"/>
    <cellStyle name="Normal 9 2 2 4 6 2" xfId="6949" xr:uid="{00000000-0005-0000-0000-0000F81E0000}"/>
    <cellStyle name="Normal 9 2 2 4 6 2 2" xfId="15391" xr:uid="{01F05820-2B99-4BAA-AB39-DAFF7C5F8521}"/>
    <cellStyle name="Normal 9 2 2 4 6 3" xfId="11173" xr:uid="{052D6BC9-C140-48A8-836D-DDF9E0B66CEB}"/>
    <cellStyle name="Normal 9 2 2 4 7" xfId="4884" xr:uid="{00000000-0005-0000-0000-0000F91E0000}"/>
    <cellStyle name="Normal 9 2 2 4 7 2" xfId="13326" xr:uid="{149AC4C9-37E5-4C5E-B5E1-26DE3EB86A45}"/>
    <cellStyle name="Normal 9 2 2 4 8" xfId="9108" xr:uid="{EC494D42-E11A-4E39-B1A4-2E0B7BB99E96}"/>
    <cellStyle name="Normal 9 2 2 5" xfId="979" xr:uid="{00000000-0005-0000-0000-0000FA1E0000}"/>
    <cellStyle name="Normal 9 2 2 5 2" xfId="3212" xr:uid="{00000000-0005-0000-0000-0000FB1E0000}"/>
    <cellStyle name="Normal 9 2 2 5 2 2" xfId="7435" xr:uid="{00000000-0005-0000-0000-0000FC1E0000}"/>
    <cellStyle name="Normal 9 2 2 5 2 2 2" xfId="15877" xr:uid="{8380F9A4-3305-48BD-98A5-88A1D91B424F}"/>
    <cellStyle name="Normal 9 2 2 5 2 3" xfId="11659" xr:uid="{4B309E46-DBF0-406F-A8E5-A3DCB197431B}"/>
    <cellStyle name="Normal 9 2 2 5 3" xfId="5290" xr:uid="{00000000-0005-0000-0000-0000FD1E0000}"/>
    <cellStyle name="Normal 9 2 2 5 3 2" xfId="13732" xr:uid="{02C55445-27F2-40BA-B4F8-7CF6C42AC1EA}"/>
    <cellStyle name="Normal 9 2 2 5 4" xfId="9514" xr:uid="{A21511B9-C919-4821-B5B7-6A9BFB512F1F}"/>
    <cellStyle name="Normal 9 2 2 6" xfId="1395" xr:uid="{00000000-0005-0000-0000-0000FE1E0000}"/>
    <cellStyle name="Normal 9 2 2 6 2" xfId="3625" xr:uid="{00000000-0005-0000-0000-0000FF1E0000}"/>
    <cellStyle name="Normal 9 2 2 6 2 2" xfId="7848" xr:uid="{00000000-0005-0000-0000-0000001F0000}"/>
    <cellStyle name="Normal 9 2 2 6 2 2 2" xfId="16290" xr:uid="{60031704-7C74-4F69-BDAB-98EA0BD2B658}"/>
    <cellStyle name="Normal 9 2 2 6 2 3" xfId="12072" xr:uid="{47E4A0EA-37E7-4654-BF36-DFCB6B2D00F2}"/>
    <cellStyle name="Normal 9 2 2 6 3" xfId="5703" xr:uid="{00000000-0005-0000-0000-0000011F0000}"/>
    <cellStyle name="Normal 9 2 2 6 3 2" xfId="14145" xr:uid="{D7724C89-48D1-4766-B632-D8B0D666D383}"/>
    <cellStyle name="Normal 9 2 2 6 4" xfId="9927" xr:uid="{E1846DB8-E381-412E-B70E-1EBFB6BA8005}"/>
    <cellStyle name="Normal 9 2 2 7" xfId="1808" xr:uid="{00000000-0005-0000-0000-0000021F0000}"/>
    <cellStyle name="Normal 9 2 2 7 2" xfId="4038" xr:uid="{00000000-0005-0000-0000-0000031F0000}"/>
    <cellStyle name="Normal 9 2 2 7 2 2" xfId="8261" xr:uid="{00000000-0005-0000-0000-0000041F0000}"/>
    <cellStyle name="Normal 9 2 2 7 2 2 2" xfId="16703" xr:uid="{1D20E265-4FB4-45EE-B609-C9643F14814A}"/>
    <cellStyle name="Normal 9 2 2 7 2 3" xfId="12485" xr:uid="{CCAC1320-3504-4684-8F49-8D5736E79704}"/>
    <cellStyle name="Normal 9 2 2 7 3" xfId="6116" xr:uid="{00000000-0005-0000-0000-0000051F0000}"/>
    <cellStyle name="Normal 9 2 2 7 3 2" xfId="14558" xr:uid="{B1F9765F-4F4F-46F7-B332-5CBD8F392359}"/>
    <cellStyle name="Normal 9 2 2 7 4" xfId="10340" xr:uid="{EA17D962-7F0E-4C5F-AFFF-F973800C4C49}"/>
    <cellStyle name="Normal 9 2 2 8" xfId="2222" xr:uid="{00000000-0005-0000-0000-0000061F0000}"/>
    <cellStyle name="Normal 9 2 2 8 2" xfId="4451" xr:uid="{00000000-0005-0000-0000-0000071F0000}"/>
    <cellStyle name="Normal 9 2 2 8 2 2" xfId="8674" xr:uid="{00000000-0005-0000-0000-0000081F0000}"/>
    <cellStyle name="Normal 9 2 2 8 2 2 2" xfId="17116" xr:uid="{CAA745A8-C2B5-4BFD-A3CC-112CFBDCD84B}"/>
    <cellStyle name="Normal 9 2 2 8 2 3" xfId="12898" xr:uid="{4523E756-0A3F-4A80-92F3-BC4A38F748A4}"/>
    <cellStyle name="Normal 9 2 2 8 3" xfId="6529" xr:uid="{00000000-0005-0000-0000-0000091F0000}"/>
    <cellStyle name="Normal 9 2 2 8 3 2" xfId="14971" xr:uid="{4081857F-39C1-4B4C-8669-C832D362FA4C}"/>
    <cellStyle name="Normal 9 2 2 8 4" xfId="10753" xr:uid="{87BD3828-72BA-44F9-8DCE-25255EE0B2E1}"/>
    <cellStyle name="Normal 9 2 2 9" xfId="2658" xr:uid="{00000000-0005-0000-0000-00000A1F0000}"/>
    <cellStyle name="Normal 9 2 2 9 2" xfId="6942" xr:uid="{00000000-0005-0000-0000-00000B1F0000}"/>
    <cellStyle name="Normal 9 2 2 9 2 2" xfId="15384" xr:uid="{634128BE-3629-4AA1-B0EE-E102EDDEB9B2}"/>
    <cellStyle name="Normal 9 2 2 9 3" xfId="11166" xr:uid="{51BB16B4-A277-471E-AE60-DD7166FEE8BF}"/>
    <cellStyle name="Normal 9 2 3" xfId="520" xr:uid="{00000000-0005-0000-0000-00000C1F0000}"/>
    <cellStyle name="Normal 9 2 3 10" xfId="9109" xr:uid="{2F96E2C2-A36B-4EAF-9959-29BE2589A423}"/>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2 2 2" xfId="15887" xr:uid="{261FDBEF-33B8-4A2E-B90E-AB624C36D120}"/>
    <cellStyle name="Normal 9 2 3 2 2 2 2 3" xfId="11669" xr:uid="{459876EE-C15B-4199-93F3-67F8F58067CF}"/>
    <cellStyle name="Normal 9 2 3 2 2 2 3" xfId="5300" xr:uid="{00000000-0005-0000-0000-0000121F0000}"/>
    <cellStyle name="Normal 9 2 3 2 2 2 3 2" xfId="13742" xr:uid="{8A495E14-66D6-4686-B90A-6745295068C3}"/>
    <cellStyle name="Normal 9 2 3 2 2 2 4" xfId="9524" xr:uid="{C7E34CC6-7F9D-47AE-9D30-C8368A28EB05}"/>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2 2 2" xfId="16300" xr:uid="{FB11614A-F7BD-4733-8E26-B210CAED5C7B}"/>
    <cellStyle name="Normal 9 2 3 2 2 3 2 3" xfId="12082" xr:uid="{988C22DD-625E-417A-88D0-D3D72DD545D0}"/>
    <cellStyle name="Normal 9 2 3 2 2 3 3" xfId="5713" xr:uid="{00000000-0005-0000-0000-0000161F0000}"/>
    <cellStyle name="Normal 9 2 3 2 2 3 3 2" xfId="14155" xr:uid="{A5DB8B68-6C0D-4671-B60E-886917256576}"/>
    <cellStyle name="Normal 9 2 3 2 2 3 4" xfId="9937" xr:uid="{7C62AEA0-B46D-447C-85F3-4566C06808C1}"/>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2 2 2" xfId="16713" xr:uid="{9321A0E6-6310-4CCE-AB44-DA8C77DFDA27}"/>
    <cellStyle name="Normal 9 2 3 2 2 4 2 3" xfId="12495" xr:uid="{BA88E30F-42C3-43D3-9621-CBA97D6FE3BC}"/>
    <cellStyle name="Normal 9 2 3 2 2 4 3" xfId="6126" xr:uid="{00000000-0005-0000-0000-00001A1F0000}"/>
    <cellStyle name="Normal 9 2 3 2 2 4 3 2" xfId="14568" xr:uid="{1D7A13EE-540C-4C3F-8EA6-B59B5B200F3F}"/>
    <cellStyle name="Normal 9 2 3 2 2 4 4" xfId="10350" xr:uid="{70D79FAA-A038-444A-AC6C-A016048EA19E}"/>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2 2 2" xfId="17126" xr:uid="{03BD7EB7-A750-4D7D-95F7-364DDAC793BA}"/>
    <cellStyle name="Normal 9 2 3 2 2 5 2 3" xfId="12908" xr:uid="{0CE99F59-7C35-47AB-BCF3-4BA10887F977}"/>
    <cellStyle name="Normal 9 2 3 2 2 5 3" xfId="6539" xr:uid="{00000000-0005-0000-0000-00001E1F0000}"/>
    <cellStyle name="Normal 9 2 3 2 2 5 3 2" xfId="14981" xr:uid="{C82CCE49-CAEB-48F7-BA44-0A70C7DCC746}"/>
    <cellStyle name="Normal 9 2 3 2 2 5 4" xfId="10763" xr:uid="{E64F6010-9DAE-4E52-8EB0-EBE3C898A725}"/>
    <cellStyle name="Normal 9 2 3 2 2 6" xfId="2668" xr:uid="{00000000-0005-0000-0000-00001F1F0000}"/>
    <cellStyle name="Normal 9 2 3 2 2 6 2" xfId="6952" xr:uid="{00000000-0005-0000-0000-0000201F0000}"/>
    <cellStyle name="Normal 9 2 3 2 2 6 2 2" xfId="15394" xr:uid="{88008655-BC9D-4204-93D1-C924289D48E2}"/>
    <cellStyle name="Normal 9 2 3 2 2 6 3" xfId="11176" xr:uid="{19FCE2DE-C3A8-498B-8FDF-12827002D450}"/>
    <cellStyle name="Normal 9 2 3 2 2 7" xfId="4887" xr:uid="{00000000-0005-0000-0000-0000211F0000}"/>
    <cellStyle name="Normal 9 2 3 2 2 7 2" xfId="13329" xr:uid="{C7E81382-BEDE-4C52-A023-781D955533D2}"/>
    <cellStyle name="Normal 9 2 3 2 2 8" xfId="9111" xr:uid="{D7637383-540D-40D7-BD6D-FE6018610418}"/>
    <cellStyle name="Normal 9 2 3 2 3" xfId="988" xr:uid="{00000000-0005-0000-0000-0000221F0000}"/>
    <cellStyle name="Normal 9 2 3 2 3 2" xfId="3221" xr:uid="{00000000-0005-0000-0000-0000231F0000}"/>
    <cellStyle name="Normal 9 2 3 2 3 2 2" xfId="7444" xr:uid="{00000000-0005-0000-0000-0000241F0000}"/>
    <cellStyle name="Normal 9 2 3 2 3 2 2 2" xfId="15886" xr:uid="{A1506387-DF52-45D3-8536-4DF2A7BC98D8}"/>
    <cellStyle name="Normal 9 2 3 2 3 2 3" xfId="11668" xr:uid="{7FE2DD31-0AA0-464C-8272-AC5599CA0480}"/>
    <cellStyle name="Normal 9 2 3 2 3 3" xfId="5299" xr:uid="{00000000-0005-0000-0000-0000251F0000}"/>
    <cellStyle name="Normal 9 2 3 2 3 3 2" xfId="13741" xr:uid="{78975DC2-D3FF-4ABF-973F-5E28F4230347}"/>
    <cellStyle name="Normal 9 2 3 2 3 4" xfId="9523" xr:uid="{DB38D5B6-022C-4723-8D23-866E4B72840A}"/>
    <cellStyle name="Normal 9 2 3 2 4" xfId="1404" xr:uid="{00000000-0005-0000-0000-0000261F0000}"/>
    <cellStyle name="Normal 9 2 3 2 4 2" xfId="3634" xr:uid="{00000000-0005-0000-0000-0000271F0000}"/>
    <cellStyle name="Normal 9 2 3 2 4 2 2" xfId="7857" xr:uid="{00000000-0005-0000-0000-0000281F0000}"/>
    <cellStyle name="Normal 9 2 3 2 4 2 2 2" xfId="16299" xr:uid="{0560A131-50A7-4FD4-B312-0792AC6D3234}"/>
    <cellStyle name="Normal 9 2 3 2 4 2 3" xfId="12081" xr:uid="{DF09723B-C8A4-47C4-BAA0-20D3FE5057C0}"/>
    <cellStyle name="Normal 9 2 3 2 4 3" xfId="5712" xr:uid="{00000000-0005-0000-0000-0000291F0000}"/>
    <cellStyle name="Normal 9 2 3 2 4 3 2" xfId="14154" xr:uid="{C81D6A62-A53E-4B5B-B5FA-7CB0CD20301B}"/>
    <cellStyle name="Normal 9 2 3 2 4 4" xfId="9936" xr:uid="{4B5A48CA-CF26-4E0A-9201-C1FB796FB397}"/>
    <cellStyle name="Normal 9 2 3 2 5" xfId="1817" xr:uid="{00000000-0005-0000-0000-00002A1F0000}"/>
    <cellStyle name="Normal 9 2 3 2 5 2" xfId="4047" xr:uid="{00000000-0005-0000-0000-00002B1F0000}"/>
    <cellStyle name="Normal 9 2 3 2 5 2 2" xfId="8270" xr:uid="{00000000-0005-0000-0000-00002C1F0000}"/>
    <cellStyle name="Normal 9 2 3 2 5 2 2 2" xfId="16712" xr:uid="{8B015FF1-84FF-4455-A96E-1E3D9CF5D506}"/>
    <cellStyle name="Normal 9 2 3 2 5 2 3" xfId="12494" xr:uid="{380C68EC-6263-4719-A1B1-7B1525A10815}"/>
    <cellStyle name="Normal 9 2 3 2 5 3" xfId="6125" xr:uid="{00000000-0005-0000-0000-00002D1F0000}"/>
    <cellStyle name="Normal 9 2 3 2 5 3 2" xfId="14567" xr:uid="{97ACDFFF-B307-4615-B953-F1F8336C42C3}"/>
    <cellStyle name="Normal 9 2 3 2 5 4" xfId="10349" xr:uid="{F7AC7519-5F5A-45A4-8D9E-1EBF00E9110E}"/>
    <cellStyle name="Normal 9 2 3 2 6" xfId="2231" xr:uid="{00000000-0005-0000-0000-00002E1F0000}"/>
    <cellStyle name="Normal 9 2 3 2 6 2" xfId="4460" xr:uid="{00000000-0005-0000-0000-00002F1F0000}"/>
    <cellStyle name="Normal 9 2 3 2 6 2 2" xfId="8683" xr:uid="{00000000-0005-0000-0000-0000301F0000}"/>
    <cellStyle name="Normal 9 2 3 2 6 2 2 2" xfId="17125" xr:uid="{029748F5-8D78-4D85-AAEB-533412C0E4F3}"/>
    <cellStyle name="Normal 9 2 3 2 6 2 3" xfId="12907" xr:uid="{C099247C-C2EB-48A3-8343-A88D14CB7CF7}"/>
    <cellStyle name="Normal 9 2 3 2 6 3" xfId="6538" xr:uid="{00000000-0005-0000-0000-0000311F0000}"/>
    <cellStyle name="Normal 9 2 3 2 6 3 2" xfId="14980" xr:uid="{5650E4B2-FCB2-47D7-AB30-2BEB0F8B546F}"/>
    <cellStyle name="Normal 9 2 3 2 6 4" xfId="10762" xr:uid="{6360FD78-CB91-4581-B0E4-5940BEEB579B}"/>
    <cellStyle name="Normal 9 2 3 2 7" xfId="2667" xr:uid="{00000000-0005-0000-0000-0000321F0000}"/>
    <cellStyle name="Normal 9 2 3 2 7 2" xfId="6951" xr:uid="{00000000-0005-0000-0000-0000331F0000}"/>
    <cellStyle name="Normal 9 2 3 2 7 2 2" xfId="15393" xr:uid="{A53B9781-1E5E-41E5-83C3-E5EAFF11205E}"/>
    <cellStyle name="Normal 9 2 3 2 7 3" xfId="11175" xr:uid="{645382AA-6F49-4294-947F-587B8291BB0C}"/>
    <cellStyle name="Normal 9 2 3 2 8" xfId="4886" xr:uid="{00000000-0005-0000-0000-0000341F0000}"/>
    <cellStyle name="Normal 9 2 3 2 8 2" xfId="13328" xr:uid="{CCCC446B-E8EF-4B11-99BD-75EB6F66F33C}"/>
    <cellStyle name="Normal 9 2 3 2 9" xfId="9110" xr:uid="{E5D6DB36-E6A5-40AE-B58F-216C188FEDB5}"/>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2 2 2" xfId="15888" xr:uid="{8A968334-3621-41AA-BDA5-ED53E7FA8A37}"/>
    <cellStyle name="Normal 9 2 3 3 2 2 3" xfId="11670" xr:uid="{DBD05FD4-4DEA-4481-B5AC-2AA66AC6DB83}"/>
    <cellStyle name="Normal 9 2 3 3 2 3" xfId="5301" xr:uid="{00000000-0005-0000-0000-0000391F0000}"/>
    <cellStyle name="Normal 9 2 3 3 2 3 2" xfId="13743" xr:uid="{FE55A4B9-BE5C-4902-ADDE-2B621E0C599D}"/>
    <cellStyle name="Normal 9 2 3 3 2 4" xfId="9525" xr:uid="{1A85ACAC-32A2-4A35-832B-325E036FE7BE}"/>
    <cellStyle name="Normal 9 2 3 3 3" xfId="1406" xr:uid="{00000000-0005-0000-0000-00003A1F0000}"/>
    <cellStyle name="Normal 9 2 3 3 3 2" xfId="3636" xr:uid="{00000000-0005-0000-0000-00003B1F0000}"/>
    <cellStyle name="Normal 9 2 3 3 3 2 2" xfId="7859" xr:uid="{00000000-0005-0000-0000-00003C1F0000}"/>
    <cellStyle name="Normal 9 2 3 3 3 2 2 2" xfId="16301" xr:uid="{B625BDD0-6725-41C4-9CCE-3301BA8005B8}"/>
    <cellStyle name="Normal 9 2 3 3 3 2 3" xfId="12083" xr:uid="{EC08127D-173D-42D0-BA55-BF1CCFBA21C3}"/>
    <cellStyle name="Normal 9 2 3 3 3 3" xfId="5714" xr:uid="{00000000-0005-0000-0000-00003D1F0000}"/>
    <cellStyle name="Normal 9 2 3 3 3 3 2" xfId="14156" xr:uid="{4D27B0A9-AE05-40BA-BAEE-1CC5D9F047D6}"/>
    <cellStyle name="Normal 9 2 3 3 3 4" xfId="9938" xr:uid="{D3853183-2E76-4125-8315-D73B8AF7A1A8}"/>
    <cellStyle name="Normal 9 2 3 3 4" xfId="1819" xr:uid="{00000000-0005-0000-0000-00003E1F0000}"/>
    <cellStyle name="Normal 9 2 3 3 4 2" xfId="4049" xr:uid="{00000000-0005-0000-0000-00003F1F0000}"/>
    <cellStyle name="Normal 9 2 3 3 4 2 2" xfId="8272" xr:uid="{00000000-0005-0000-0000-0000401F0000}"/>
    <cellStyle name="Normal 9 2 3 3 4 2 2 2" xfId="16714" xr:uid="{35C673B0-57E5-462B-847E-FF92108632E2}"/>
    <cellStyle name="Normal 9 2 3 3 4 2 3" xfId="12496" xr:uid="{575943AD-DC2D-4E61-943F-C920847A7FDB}"/>
    <cellStyle name="Normal 9 2 3 3 4 3" xfId="6127" xr:uid="{00000000-0005-0000-0000-0000411F0000}"/>
    <cellStyle name="Normal 9 2 3 3 4 3 2" xfId="14569" xr:uid="{896009B1-C814-4F38-99E0-C7CB02C4AE60}"/>
    <cellStyle name="Normal 9 2 3 3 4 4" xfId="10351" xr:uid="{7C09665E-D187-433C-9E3E-12D1102B3061}"/>
    <cellStyle name="Normal 9 2 3 3 5" xfId="2233" xr:uid="{00000000-0005-0000-0000-0000421F0000}"/>
    <cellStyle name="Normal 9 2 3 3 5 2" xfId="4462" xr:uid="{00000000-0005-0000-0000-0000431F0000}"/>
    <cellStyle name="Normal 9 2 3 3 5 2 2" xfId="8685" xr:uid="{00000000-0005-0000-0000-0000441F0000}"/>
    <cellStyle name="Normal 9 2 3 3 5 2 2 2" xfId="17127" xr:uid="{BDE39111-FA43-42A8-A1E1-99806D14D378}"/>
    <cellStyle name="Normal 9 2 3 3 5 2 3" xfId="12909" xr:uid="{FBDEA4C0-21BC-4530-9421-620841B9CA22}"/>
    <cellStyle name="Normal 9 2 3 3 5 3" xfId="6540" xr:uid="{00000000-0005-0000-0000-0000451F0000}"/>
    <cellStyle name="Normal 9 2 3 3 5 3 2" xfId="14982" xr:uid="{ABB8F6BB-D1E1-4EE1-A9EE-9FBA49571B10}"/>
    <cellStyle name="Normal 9 2 3 3 5 4" xfId="10764" xr:uid="{E9CDF0BA-61B1-415C-B616-A5455592E7CF}"/>
    <cellStyle name="Normal 9 2 3 3 6" xfId="2669" xr:uid="{00000000-0005-0000-0000-0000461F0000}"/>
    <cellStyle name="Normal 9 2 3 3 6 2" xfId="6953" xr:uid="{00000000-0005-0000-0000-0000471F0000}"/>
    <cellStyle name="Normal 9 2 3 3 6 2 2" xfId="15395" xr:uid="{3495DC7C-E1B9-41B8-86CB-B3204F331E1C}"/>
    <cellStyle name="Normal 9 2 3 3 6 3" xfId="11177" xr:uid="{29BF62D4-4F95-4A2A-8168-B3B33C9FDBB5}"/>
    <cellStyle name="Normal 9 2 3 3 7" xfId="4888" xr:uid="{00000000-0005-0000-0000-0000481F0000}"/>
    <cellStyle name="Normal 9 2 3 3 7 2" xfId="13330" xr:uid="{C27A22FE-E59B-44F3-8414-7E5B5C337AB8}"/>
    <cellStyle name="Normal 9 2 3 3 8" xfId="9112" xr:uid="{53B4F87A-E891-4221-AA28-72C811A27D71}"/>
    <cellStyle name="Normal 9 2 3 4" xfId="987" xr:uid="{00000000-0005-0000-0000-0000491F0000}"/>
    <cellStyle name="Normal 9 2 3 4 2" xfId="3220" xr:uid="{00000000-0005-0000-0000-00004A1F0000}"/>
    <cellStyle name="Normal 9 2 3 4 2 2" xfId="7443" xr:uid="{00000000-0005-0000-0000-00004B1F0000}"/>
    <cellStyle name="Normal 9 2 3 4 2 2 2" xfId="15885" xr:uid="{3980528F-B684-431A-A4FD-A12647C92CE1}"/>
    <cellStyle name="Normal 9 2 3 4 2 3" xfId="11667" xr:uid="{B07B6AC6-7D44-4019-808F-4DF65011A5A1}"/>
    <cellStyle name="Normal 9 2 3 4 3" xfId="5298" xr:uid="{00000000-0005-0000-0000-00004C1F0000}"/>
    <cellStyle name="Normal 9 2 3 4 3 2" xfId="13740" xr:uid="{85BEC99C-7A5E-4031-9019-3E1EBAFFD9EC}"/>
    <cellStyle name="Normal 9 2 3 4 4" xfId="9522" xr:uid="{A30D96BD-FFBD-4CE9-929F-5405E0DF32E3}"/>
    <cellStyle name="Normal 9 2 3 5" xfId="1403" xr:uid="{00000000-0005-0000-0000-00004D1F0000}"/>
    <cellStyle name="Normal 9 2 3 5 2" xfId="3633" xr:uid="{00000000-0005-0000-0000-00004E1F0000}"/>
    <cellStyle name="Normal 9 2 3 5 2 2" xfId="7856" xr:uid="{00000000-0005-0000-0000-00004F1F0000}"/>
    <cellStyle name="Normal 9 2 3 5 2 2 2" xfId="16298" xr:uid="{688086D5-F1C0-42DC-B15E-C7825F2CB021}"/>
    <cellStyle name="Normal 9 2 3 5 2 3" xfId="12080" xr:uid="{C434024A-286B-462B-9565-8C62A5A47A9A}"/>
    <cellStyle name="Normal 9 2 3 5 3" xfId="5711" xr:uid="{00000000-0005-0000-0000-0000501F0000}"/>
    <cellStyle name="Normal 9 2 3 5 3 2" xfId="14153" xr:uid="{9B308D9B-5D38-4E16-BA1C-BCB38A5F2CEA}"/>
    <cellStyle name="Normal 9 2 3 5 4" xfId="9935" xr:uid="{89E2D562-DFD1-499E-8C1D-C0828D27AAA8}"/>
    <cellStyle name="Normal 9 2 3 6" xfId="1816" xr:uid="{00000000-0005-0000-0000-0000511F0000}"/>
    <cellStyle name="Normal 9 2 3 6 2" xfId="4046" xr:uid="{00000000-0005-0000-0000-0000521F0000}"/>
    <cellStyle name="Normal 9 2 3 6 2 2" xfId="8269" xr:uid="{00000000-0005-0000-0000-0000531F0000}"/>
    <cellStyle name="Normal 9 2 3 6 2 2 2" xfId="16711" xr:uid="{A3D36BC3-0E37-4998-A956-ED43A47E3238}"/>
    <cellStyle name="Normal 9 2 3 6 2 3" xfId="12493" xr:uid="{24BEBB26-0C91-4E17-9358-393FA04D16E3}"/>
    <cellStyle name="Normal 9 2 3 6 3" xfId="6124" xr:uid="{00000000-0005-0000-0000-0000541F0000}"/>
    <cellStyle name="Normal 9 2 3 6 3 2" xfId="14566" xr:uid="{F3431B34-1033-42E7-B750-9834472D9B07}"/>
    <cellStyle name="Normal 9 2 3 6 4" xfId="10348" xr:uid="{2D147BF0-7E48-4801-9599-5607620C1BE4}"/>
    <cellStyle name="Normal 9 2 3 7" xfId="2230" xr:uid="{00000000-0005-0000-0000-0000551F0000}"/>
    <cellStyle name="Normal 9 2 3 7 2" xfId="4459" xr:uid="{00000000-0005-0000-0000-0000561F0000}"/>
    <cellStyle name="Normal 9 2 3 7 2 2" xfId="8682" xr:uid="{00000000-0005-0000-0000-0000571F0000}"/>
    <cellStyle name="Normal 9 2 3 7 2 2 2" xfId="17124" xr:uid="{B521DA80-1927-4478-9C63-E6C8368A4BA8}"/>
    <cellStyle name="Normal 9 2 3 7 2 3" xfId="12906" xr:uid="{61502545-C83E-4666-B97B-DF6352E96C71}"/>
    <cellStyle name="Normal 9 2 3 7 3" xfId="6537" xr:uid="{00000000-0005-0000-0000-0000581F0000}"/>
    <cellStyle name="Normal 9 2 3 7 3 2" xfId="14979" xr:uid="{F0F31AD8-C3F6-4FCB-8E11-39A4CE9B1A53}"/>
    <cellStyle name="Normal 9 2 3 7 4" xfId="10761" xr:uid="{1C9DD990-261E-492E-BB32-ADEA0BC6D801}"/>
    <cellStyle name="Normal 9 2 3 8" xfId="2666" xr:uid="{00000000-0005-0000-0000-0000591F0000}"/>
    <cellStyle name="Normal 9 2 3 8 2" xfId="6950" xr:uid="{00000000-0005-0000-0000-00005A1F0000}"/>
    <cellStyle name="Normal 9 2 3 8 2 2" xfId="15392" xr:uid="{7A64514C-1182-4AE4-B73D-C30B6F2C27AE}"/>
    <cellStyle name="Normal 9 2 3 8 3" xfId="11174" xr:uid="{83C04DE3-2736-454B-8055-9FF10E00CF4B}"/>
    <cellStyle name="Normal 9 2 3 9" xfId="4885" xr:uid="{00000000-0005-0000-0000-00005B1F0000}"/>
    <cellStyle name="Normal 9 2 3 9 2" xfId="13327" xr:uid="{3E126978-493D-46D1-AD65-D17C6C5458E5}"/>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2 2 2" xfId="15890" xr:uid="{224D46D8-1E64-414B-AC7F-85A6C76356AE}"/>
    <cellStyle name="Normal 9 2 4 2 2 2 3" xfId="11672" xr:uid="{B4282F66-1A01-462F-AFC0-1E00930E251E}"/>
    <cellStyle name="Normal 9 2 4 2 2 3" xfId="5303" xr:uid="{00000000-0005-0000-0000-0000611F0000}"/>
    <cellStyle name="Normal 9 2 4 2 2 3 2" xfId="13745" xr:uid="{19A11297-F3B9-43A4-B4EB-04E2880F6F41}"/>
    <cellStyle name="Normal 9 2 4 2 2 4" xfId="9527" xr:uid="{5F7ED68C-3DF5-47A9-96FE-47A6288CB7B1}"/>
    <cellStyle name="Normal 9 2 4 2 3" xfId="1408" xr:uid="{00000000-0005-0000-0000-0000621F0000}"/>
    <cellStyle name="Normal 9 2 4 2 3 2" xfId="3638" xr:uid="{00000000-0005-0000-0000-0000631F0000}"/>
    <cellStyle name="Normal 9 2 4 2 3 2 2" xfId="7861" xr:uid="{00000000-0005-0000-0000-0000641F0000}"/>
    <cellStyle name="Normal 9 2 4 2 3 2 2 2" xfId="16303" xr:uid="{828D9898-55A6-46A3-891B-362FBA236943}"/>
    <cellStyle name="Normal 9 2 4 2 3 2 3" xfId="12085" xr:uid="{2CA35B04-8D63-4634-AF97-E9E58358025B}"/>
    <cellStyle name="Normal 9 2 4 2 3 3" xfId="5716" xr:uid="{00000000-0005-0000-0000-0000651F0000}"/>
    <cellStyle name="Normal 9 2 4 2 3 3 2" xfId="14158" xr:uid="{1561F946-5A5E-4D20-B2A8-04533E0647B9}"/>
    <cellStyle name="Normal 9 2 4 2 3 4" xfId="9940" xr:uid="{6BDCBB80-681A-48A2-B07B-BDF489DA36A3}"/>
    <cellStyle name="Normal 9 2 4 2 4" xfId="1821" xr:uid="{00000000-0005-0000-0000-0000661F0000}"/>
    <cellStyle name="Normal 9 2 4 2 4 2" xfId="4051" xr:uid="{00000000-0005-0000-0000-0000671F0000}"/>
    <cellStyle name="Normal 9 2 4 2 4 2 2" xfId="8274" xr:uid="{00000000-0005-0000-0000-0000681F0000}"/>
    <cellStyle name="Normal 9 2 4 2 4 2 2 2" xfId="16716" xr:uid="{1BBCE5CA-FAED-4A54-917E-53FD7D6928E6}"/>
    <cellStyle name="Normal 9 2 4 2 4 2 3" xfId="12498" xr:uid="{860E3B7F-2569-4B2E-B76E-35274905EFBC}"/>
    <cellStyle name="Normal 9 2 4 2 4 3" xfId="6129" xr:uid="{00000000-0005-0000-0000-0000691F0000}"/>
    <cellStyle name="Normal 9 2 4 2 4 3 2" xfId="14571" xr:uid="{C648565C-8409-40CE-A934-82824C3E418B}"/>
    <cellStyle name="Normal 9 2 4 2 4 4" xfId="10353" xr:uid="{461B8C86-4797-4307-B2D5-F1E64C3252E9}"/>
    <cellStyle name="Normal 9 2 4 2 5" xfId="2235" xr:uid="{00000000-0005-0000-0000-00006A1F0000}"/>
    <cellStyle name="Normal 9 2 4 2 5 2" xfId="4464" xr:uid="{00000000-0005-0000-0000-00006B1F0000}"/>
    <cellStyle name="Normal 9 2 4 2 5 2 2" xfId="8687" xr:uid="{00000000-0005-0000-0000-00006C1F0000}"/>
    <cellStyle name="Normal 9 2 4 2 5 2 2 2" xfId="17129" xr:uid="{EED713C0-BBC3-4FE6-81F1-B9B9BD4FEF1B}"/>
    <cellStyle name="Normal 9 2 4 2 5 2 3" xfId="12911" xr:uid="{F64F4BEE-6627-473C-92DF-0D49C57920EE}"/>
    <cellStyle name="Normal 9 2 4 2 5 3" xfId="6542" xr:uid="{00000000-0005-0000-0000-00006D1F0000}"/>
    <cellStyle name="Normal 9 2 4 2 5 3 2" xfId="14984" xr:uid="{27BB6A0A-63AD-42A2-9082-5A6C0B4C98A8}"/>
    <cellStyle name="Normal 9 2 4 2 5 4" xfId="10766" xr:uid="{2BC9289E-978B-4E53-BD1F-B2FF3BE8BBEB}"/>
    <cellStyle name="Normal 9 2 4 2 6" xfId="2671" xr:uid="{00000000-0005-0000-0000-00006E1F0000}"/>
    <cellStyle name="Normal 9 2 4 2 6 2" xfId="6955" xr:uid="{00000000-0005-0000-0000-00006F1F0000}"/>
    <cellStyle name="Normal 9 2 4 2 6 2 2" xfId="15397" xr:uid="{AF67D32E-1270-447C-B94A-9BB80397F101}"/>
    <cellStyle name="Normal 9 2 4 2 6 3" xfId="11179" xr:uid="{0681D584-978C-48B8-B8CD-CD8AD3939269}"/>
    <cellStyle name="Normal 9 2 4 2 7" xfId="4890" xr:uid="{00000000-0005-0000-0000-0000701F0000}"/>
    <cellStyle name="Normal 9 2 4 2 7 2" xfId="13332" xr:uid="{F49DC076-07D3-4046-847F-3E0CA03974ED}"/>
    <cellStyle name="Normal 9 2 4 2 8" xfId="9114" xr:uid="{B55F7C7D-9DB5-413F-B0FA-83C20E6CDF27}"/>
    <cellStyle name="Normal 9 2 4 3" xfId="991" xr:uid="{00000000-0005-0000-0000-0000711F0000}"/>
    <cellStyle name="Normal 9 2 4 3 2" xfId="3224" xr:uid="{00000000-0005-0000-0000-0000721F0000}"/>
    <cellStyle name="Normal 9 2 4 3 2 2" xfId="7447" xr:uid="{00000000-0005-0000-0000-0000731F0000}"/>
    <cellStyle name="Normal 9 2 4 3 2 2 2" xfId="15889" xr:uid="{7273E16E-B293-460F-AD22-362551FDD68E}"/>
    <cellStyle name="Normal 9 2 4 3 2 3" xfId="11671" xr:uid="{63FFF283-ED14-4D8E-8206-F7793A3E2C4C}"/>
    <cellStyle name="Normal 9 2 4 3 3" xfId="5302" xr:uid="{00000000-0005-0000-0000-0000741F0000}"/>
    <cellStyle name="Normal 9 2 4 3 3 2" xfId="13744" xr:uid="{C39307EE-30A1-40A2-8B28-92B2B0D5BC8E}"/>
    <cellStyle name="Normal 9 2 4 3 4" xfId="9526" xr:uid="{3DF17E89-5724-4BB5-A33D-3C77F2E0B501}"/>
    <cellStyle name="Normal 9 2 4 4" xfId="1407" xr:uid="{00000000-0005-0000-0000-0000751F0000}"/>
    <cellStyle name="Normal 9 2 4 4 2" xfId="3637" xr:uid="{00000000-0005-0000-0000-0000761F0000}"/>
    <cellStyle name="Normal 9 2 4 4 2 2" xfId="7860" xr:uid="{00000000-0005-0000-0000-0000771F0000}"/>
    <cellStyle name="Normal 9 2 4 4 2 2 2" xfId="16302" xr:uid="{A9753839-7476-4C6D-BB08-F07F0BF0968F}"/>
    <cellStyle name="Normal 9 2 4 4 2 3" xfId="12084" xr:uid="{03AEE837-3AF5-4BE0-ADBB-9D41AF5FDD82}"/>
    <cellStyle name="Normal 9 2 4 4 3" xfId="5715" xr:uid="{00000000-0005-0000-0000-0000781F0000}"/>
    <cellStyle name="Normal 9 2 4 4 3 2" xfId="14157" xr:uid="{A20BC79F-16C6-4467-8DC0-A28D0E08B1ED}"/>
    <cellStyle name="Normal 9 2 4 4 4" xfId="9939" xr:uid="{FC2C81A7-FB61-40E0-A4BB-BCCF7D688ED2}"/>
    <cellStyle name="Normal 9 2 4 5" xfId="1820" xr:uid="{00000000-0005-0000-0000-0000791F0000}"/>
    <cellStyle name="Normal 9 2 4 5 2" xfId="4050" xr:uid="{00000000-0005-0000-0000-00007A1F0000}"/>
    <cellStyle name="Normal 9 2 4 5 2 2" xfId="8273" xr:uid="{00000000-0005-0000-0000-00007B1F0000}"/>
    <cellStyle name="Normal 9 2 4 5 2 2 2" xfId="16715" xr:uid="{B74B0449-900E-452B-8381-F406C298F6BD}"/>
    <cellStyle name="Normal 9 2 4 5 2 3" xfId="12497" xr:uid="{4A37D4D2-F3D9-4156-8CE8-4DC50A9F9335}"/>
    <cellStyle name="Normal 9 2 4 5 3" xfId="6128" xr:uid="{00000000-0005-0000-0000-00007C1F0000}"/>
    <cellStyle name="Normal 9 2 4 5 3 2" xfId="14570" xr:uid="{182521A4-18C2-4524-8007-F230EFE16898}"/>
    <cellStyle name="Normal 9 2 4 5 4" xfId="10352" xr:uid="{FBC1C803-31DC-4B21-B3C2-93F70B823C03}"/>
    <cellStyle name="Normal 9 2 4 6" xfId="2234" xr:uid="{00000000-0005-0000-0000-00007D1F0000}"/>
    <cellStyle name="Normal 9 2 4 6 2" xfId="4463" xr:uid="{00000000-0005-0000-0000-00007E1F0000}"/>
    <cellStyle name="Normal 9 2 4 6 2 2" xfId="8686" xr:uid="{00000000-0005-0000-0000-00007F1F0000}"/>
    <cellStyle name="Normal 9 2 4 6 2 2 2" xfId="17128" xr:uid="{CEE6CD57-79E5-4CE3-A02B-D931FBED4A6B}"/>
    <cellStyle name="Normal 9 2 4 6 2 3" xfId="12910" xr:uid="{E2AEA12D-EFAB-4E8F-B30C-8DF10A3E3BB0}"/>
    <cellStyle name="Normal 9 2 4 6 3" xfId="6541" xr:uid="{00000000-0005-0000-0000-0000801F0000}"/>
    <cellStyle name="Normal 9 2 4 6 3 2" xfId="14983" xr:uid="{169A1305-C83F-408F-AC76-7B8C08A9FA35}"/>
    <cellStyle name="Normal 9 2 4 6 4" xfId="10765" xr:uid="{4C49AAC6-13A5-48C9-85F8-FA0C5901814B}"/>
    <cellStyle name="Normal 9 2 4 7" xfId="2670" xr:uid="{00000000-0005-0000-0000-0000811F0000}"/>
    <cellStyle name="Normal 9 2 4 7 2" xfId="6954" xr:uid="{00000000-0005-0000-0000-0000821F0000}"/>
    <cellStyle name="Normal 9 2 4 7 2 2" xfId="15396" xr:uid="{FDED28C8-E772-4126-AE3B-DBF444648B81}"/>
    <cellStyle name="Normal 9 2 4 7 3" xfId="11178" xr:uid="{565D8ACC-D4DE-4696-AFC9-E562A90EA488}"/>
    <cellStyle name="Normal 9 2 4 8" xfId="4889" xr:uid="{00000000-0005-0000-0000-0000831F0000}"/>
    <cellStyle name="Normal 9 2 4 8 2" xfId="13331" xr:uid="{F15541EF-16AB-49EE-BF93-257DB4CC32D2}"/>
    <cellStyle name="Normal 9 2 4 9" xfId="9113" xr:uid="{116335E0-B77E-4C1F-A528-9C19AD034366}"/>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2 2 2" xfId="15891" xr:uid="{5062B9FA-4B31-4C33-A33A-315ECE0D5604}"/>
    <cellStyle name="Normal 9 2 5 2 2 3" xfId="11673" xr:uid="{C50E6580-EBD2-4175-A5B6-6C0C14029255}"/>
    <cellStyle name="Normal 9 2 5 2 3" xfId="5304" xr:uid="{00000000-0005-0000-0000-0000881F0000}"/>
    <cellStyle name="Normal 9 2 5 2 3 2" xfId="13746" xr:uid="{47D8C8C9-C3EB-4D54-A952-793F315F7AA0}"/>
    <cellStyle name="Normal 9 2 5 2 4" xfId="9528" xr:uid="{A884470A-17B3-45BB-863A-052A83C5181B}"/>
    <cellStyle name="Normal 9 2 5 3" xfId="1409" xr:uid="{00000000-0005-0000-0000-0000891F0000}"/>
    <cellStyle name="Normal 9 2 5 3 2" xfId="3639" xr:uid="{00000000-0005-0000-0000-00008A1F0000}"/>
    <cellStyle name="Normal 9 2 5 3 2 2" xfId="7862" xr:uid="{00000000-0005-0000-0000-00008B1F0000}"/>
    <cellStyle name="Normal 9 2 5 3 2 2 2" xfId="16304" xr:uid="{F124995F-FB7D-4D42-84DC-361209DB8403}"/>
    <cellStyle name="Normal 9 2 5 3 2 3" xfId="12086" xr:uid="{D934D7CA-ACCA-4DCB-97DF-3F60EA106E68}"/>
    <cellStyle name="Normal 9 2 5 3 3" xfId="5717" xr:uid="{00000000-0005-0000-0000-00008C1F0000}"/>
    <cellStyle name="Normal 9 2 5 3 3 2" xfId="14159" xr:uid="{8C4143DD-81C4-4481-BD62-4CCF52DE58ED}"/>
    <cellStyle name="Normal 9 2 5 3 4" xfId="9941" xr:uid="{344D822E-78C1-4AC3-B3E8-F6C5BB869550}"/>
    <cellStyle name="Normal 9 2 5 4" xfId="1822" xr:uid="{00000000-0005-0000-0000-00008D1F0000}"/>
    <cellStyle name="Normal 9 2 5 4 2" xfId="4052" xr:uid="{00000000-0005-0000-0000-00008E1F0000}"/>
    <cellStyle name="Normal 9 2 5 4 2 2" xfId="8275" xr:uid="{00000000-0005-0000-0000-00008F1F0000}"/>
    <cellStyle name="Normal 9 2 5 4 2 2 2" xfId="16717" xr:uid="{59EE61BF-498B-4E76-A54A-0ECE57FCCC66}"/>
    <cellStyle name="Normal 9 2 5 4 2 3" xfId="12499" xr:uid="{1D90B3E3-D1AE-4E13-B65E-D47DDC3FBE25}"/>
    <cellStyle name="Normal 9 2 5 4 3" xfId="6130" xr:uid="{00000000-0005-0000-0000-0000901F0000}"/>
    <cellStyle name="Normal 9 2 5 4 3 2" xfId="14572" xr:uid="{1CFBF13E-FAA1-4E5A-8D58-E0682CA6838D}"/>
    <cellStyle name="Normal 9 2 5 4 4" xfId="10354" xr:uid="{F6AE73D6-8EF9-4C29-A22F-58B5D763EBF2}"/>
    <cellStyle name="Normal 9 2 5 5" xfId="2236" xr:uid="{00000000-0005-0000-0000-0000911F0000}"/>
    <cellStyle name="Normal 9 2 5 5 2" xfId="4465" xr:uid="{00000000-0005-0000-0000-0000921F0000}"/>
    <cellStyle name="Normal 9 2 5 5 2 2" xfId="8688" xr:uid="{00000000-0005-0000-0000-0000931F0000}"/>
    <cellStyle name="Normal 9 2 5 5 2 2 2" xfId="17130" xr:uid="{D5405D56-2F06-49F0-A34B-8D7AC8F4B1E0}"/>
    <cellStyle name="Normal 9 2 5 5 2 3" xfId="12912" xr:uid="{B431461E-2587-4A7F-9BFF-2A9F92350DF6}"/>
    <cellStyle name="Normal 9 2 5 5 3" xfId="6543" xr:uid="{00000000-0005-0000-0000-0000941F0000}"/>
    <cellStyle name="Normal 9 2 5 5 3 2" xfId="14985" xr:uid="{BB72A599-61F9-483A-84F9-0BFE2A62382C}"/>
    <cellStyle name="Normal 9 2 5 5 4" xfId="10767" xr:uid="{3476B639-67F8-4864-88A4-FC7CA99F39C1}"/>
    <cellStyle name="Normal 9 2 5 6" xfId="2672" xr:uid="{00000000-0005-0000-0000-0000951F0000}"/>
    <cellStyle name="Normal 9 2 5 6 2" xfId="6956" xr:uid="{00000000-0005-0000-0000-0000961F0000}"/>
    <cellStyle name="Normal 9 2 5 6 2 2" xfId="15398" xr:uid="{BA34E249-6FBA-4DD5-92E3-EED97D5E3AB1}"/>
    <cellStyle name="Normal 9 2 5 6 3" xfId="11180" xr:uid="{00A96AFE-D677-48EA-814D-9B4BCA7A90CB}"/>
    <cellStyle name="Normal 9 2 5 7" xfId="4891" xr:uid="{00000000-0005-0000-0000-0000971F0000}"/>
    <cellStyle name="Normal 9 2 5 7 2" xfId="13333" xr:uid="{A8DFEAEE-8134-4678-9272-C3586184C2F2}"/>
    <cellStyle name="Normal 9 2 5 8" xfId="9115" xr:uid="{A1350FEB-4E75-401C-90FF-4BACC2A25840}"/>
    <cellStyle name="Normal 9 2 6" xfId="978" xr:uid="{00000000-0005-0000-0000-0000981F0000}"/>
    <cellStyle name="Normal 9 2 6 2" xfId="3211" xr:uid="{00000000-0005-0000-0000-0000991F0000}"/>
    <cellStyle name="Normal 9 2 6 2 2" xfId="7434" xr:uid="{00000000-0005-0000-0000-00009A1F0000}"/>
    <cellStyle name="Normal 9 2 6 2 2 2" xfId="15876" xr:uid="{CE55B040-168C-464A-A158-1706EAD7DE69}"/>
    <cellStyle name="Normal 9 2 6 2 3" xfId="11658" xr:uid="{4FD1D5BA-173F-401C-BF8C-E1E5EE641575}"/>
    <cellStyle name="Normal 9 2 6 3" xfId="5289" xr:uid="{00000000-0005-0000-0000-00009B1F0000}"/>
    <cellStyle name="Normal 9 2 6 3 2" xfId="13731" xr:uid="{674DA1CA-842C-4984-8968-75C4350AFA81}"/>
    <cellStyle name="Normal 9 2 6 4" xfId="9513" xr:uid="{3161A984-0C7A-49C4-986F-7ED80EC3937E}"/>
    <cellStyle name="Normal 9 2 7" xfId="1394" xr:uid="{00000000-0005-0000-0000-00009C1F0000}"/>
    <cellStyle name="Normal 9 2 7 2" xfId="3624" xr:uid="{00000000-0005-0000-0000-00009D1F0000}"/>
    <cellStyle name="Normal 9 2 7 2 2" xfId="7847" xr:uid="{00000000-0005-0000-0000-00009E1F0000}"/>
    <cellStyle name="Normal 9 2 7 2 2 2" xfId="16289" xr:uid="{62429DF3-B524-44A4-98D4-0FE3C3FC2D21}"/>
    <cellStyle name="Normal 9 2 7 2 3" xfId="12071" xr:uid="{AEB03F09-BF8C-48B2-B1F3-E62B6A3D7EE1}"/>
    <cellStyle name="Normal 9 2 7 3" xfId="5702" xr:uid="{00000000-0005-0000-0000-00009F1F0000}"/>
    <cellStyle name="Normal 9 2 7 3 2" xfId="14144" xr:uid="{0AA3261B-8407-48AA-82A6-08D4C4C5B482}"/>
    <cellStyle name="Normal 9 2 7 4" xfId="9926" xr:uid="{E1C414BB-6CEB-4806-9B32-435B756B28E8}"/>
    <cellStyle name="Normal 9 2 8" xfId="1807" xr:uid="{00000000-0005-0000-0000-0000A01F0000}"/>
    <cellStyle name="Normal 9 2 8 2" xfId="4037" xr:uid="{00000000-0005-0000-0000-0000A11F0000}"/>
    <cellStyle name="Normal 9 2 8 2 2" xfId="8260" xr:uid="{00000000-0005-0000-0000-0000A21F0000}"/>
    <cellStyle name="Normal 9 2 8 2 2 2" xfId="16702" xr:uid="{DF68528C-11B2-4C93-BC61-664951AA2DD6}"/>
    <cellStyle name="Normal 9 2 8 2 3" xfId="12484" xr:uid="{91BA9C90-15BA-410F-B6A6-333E84B8D3DC}"/>
    <cellStyle name="Normal 9 2 8 3" xfId="6115" xr:uid="{00000000-0005-0000-0000-0000A31F0000}"/>
    <cellStyle name="Normal 9 2 8 3 2" xfId="14557" xr:uid="{38DAC5D2-5095-4559-A1FB-31CE7C69023A}"/>
    <cellStyle name="Normal 9 2 8 4" xfId="10339" xr:uid="{81EBAA09-7ABE-4D87-ACB7-AA6E12B4EB72}"/>
    <cellStyle name="Normal 9 2 9" xfId="2221" xr:uid="{00000000-0005-0000-0000-0000A41F0000}"/>
    <cellStyle name="Normal 9 2 9 2" xfId="4450" xr:uid="{00000000-0005-0000-0000-0000A51F0000}"/>
    <cellStyle name="Normal 9 2 9 2 2" xfId="8673" xr:uid="{00000000-0005-0000-0000-0000A61F0000}"/>
    <cellStyle name="Normal 9 2 9 2 2 2" xfId="17115" xr:uid="{BAA6ECAB-DF9B-445C-BFB3-04BA5DBAABCA}"/>
    <cellStyle name="Normal 9 2 9 2 3" xfId="12897" xr:uid="{21B681AE-BF01-40F1-92F8-A15456FBB22C}"/>
    <cellStyle name="Normal 9 2 9 3" xfId="6528" xr:uid="{00000000-0005-0000-0000-0000A71F0000}"/>
    <cellStyle name="Normal 9 2 9 3 2" xfId="14970" xr:uid="{5A53CB6E-57A9-4DE0-AFD7-8F68C427F71F}"/>
    <cellStyle name="Normal 9 2 9 4" xfId="10752" xr:uid="{D3348DB5-0172-45DC-A642-1A3D9B3FE8B0}"/>
    <cellStyle name="Normal 9 3" xfId="527" xr:uid="{00000000-0005-0000-0000-0000A81F0000}"/>
    <cellStyle name="Normal 9 3 10" xfId="4892" xr:uid="{00000000-0005-0000-0000-0000A91F0000}"/>
    <cellStyle name="Normal 9 3 10 2" xfId="13334" xr:uid="{E29FB79D-FB85-45E9-86F2-EB485F9B34CF}"/>
    <cellStyle name="Normal 9 3 11" xfId="9116" xr:uid="{789860FC-08F3-4344-BBBB-04C2DA4C4F36}"/>
    <cellStyle name="Normal 9 3 2" xfId="528" xr:uid="{00000000-0005-0000-0000-0000AA1F0000}"/>
    <cellStyle name="Normal 9 3 2 10" xfId="9117" xr:uid="{5AEE2FD0-8FEE-44E8-8D57-CB8AD4BFC6F8}"/>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2 2 2" xfId="15895" xr:uid="{3C533C61-3CFD-4272-8D98-A679358522F4}"/>
    <cellStyle name="Normal 9 3 2 2 2 2 2 3" xfId="11677" xr:uid="{3C56D681-F77D-4653-858B-5F9C7E01410F}"/>
    <cellStyle name="Normal 9 3 2 2 2 2 3" xfId="5308" xr:uid="{00000000-0005-0000-0000-0000B01F0000}"/>
    <cellStyle name="Normal 9 3 2 2 2 2 3 2" xfId="13750" xr:uid="{3DCA7D8B-D091-4F51-ACE5-08C8B718189D}"/>
    <cellStyle name="Normal 9 3 2 2 2 2 4" xfId="9532" xr:uid="{CD4FA15A-61D3-460E-957D-EC0E243100A1}"/>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2 2 2" xfId="16308" xr:uid="{A1B71C65-C039-4A8E-925F-AB0EF70976E4}"/>
    <cellStyle name="Normal 9 3 2 2 2 3 2 3" xfId="12090" xr:uid="{7A4D01AF-5132-437D-A687-A0BD692F381F}"/>
    <cellStyle name="Normal 9 3 2 2 2 3 3" xfId="5721" xr:uid="{00000000-0005-0000-0000-0000B41F0000}"/>
    <cellStyle name="Normal 9 3 2 2 2 3 3 2" xfId="14163" xr:uid="{2DBAE3C4-B9BA-42DF-9A4C-A3AB6FF62034}"/>
    <cellStyle name="Normal 9 3 2 2 2 3 4" xfId="9945" xr:uid="{A8AF8DE6-F8F3-491A-B982-050579473AF9}"/>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2 2 2" xfId="16721" xr:uid="{196E6283-ADBB-44F7-B36D-338FB950D8FE}"/>
    <cellStyle name="Normal 9 3 2 2 2 4 2 3" xfId="12503" xr:uid="{A5705A8C-0C68-479E-BD57-639AAB2AD196}"/>
    <cellStyle name="Normal 9 3 2 2 2 4 3" xfId="6134" xr:uid="{00000000-0005-0000-0000-0000B81F0000}"/>
    <cellStyle name="Normal 9 3 2 2 2 4 3 2" xfId="14576" xr:uid="{FE8E6CFF-A2BE-4BEF-9EF2-D0D48B504A86}"/>
    <cellStyle name="Normal 9 3 2 2 2 4 4" xfId="10358" xr:uid="{EAFD4E62-4771-405F-A5BE-A06D847E59E1}"/>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2 2 2" xfId="17134" xr:uid="{BD533A78-03B0-471A-A2B8-3CAED363940F}"/>
    <cellStyle name="Normal 9 3 2 2 2 5 2 3" xfId="12916" xr:uid="{281B9A79-4142-40DC-87EA-7BCA0A60BCC1}"/>
    <cellStyle name="Normal 9 3 2 2 2 5 3" xfId="6547" xr:uid="{00000000-0005-0000-0000-0000BC1F0000}"/>
    <cellStyle name="Normal 9 3 2 2 2 5 3 2" xfId="14989" xr:uid="{214E1520-B6E4-4FBB-90E3-9FB3F751C1FC}"/>
    <cellStyle name="Normal 9 3 2 2 2 5 4" xfId="10771" xr:uid="{FADE43F9-5B24-4856-9078-40C72429FED2}"/>
    <cellStyle name="Normal 9 3 2 2 2 6" xfId="2676" xr:uid="{00000000-0005-0000-0000-0000BD1F0000}"/>
    <cellStyle name="Normal 9 3 2 2 2 6 2" xfId="6960" xr:uid="{00000000-0005-0000-0000-0000BE1F0000}"/>
    <cellStyle name="Normal 9 3 2 2 2 6 2 2" xfId="15402" xr:uid="{9D115C48-7B17-4DF5-9714-DDB2803F9E7F}"/>
    <cellStyle name="Normal 9 3 2 2 2 6 3" xfId="11184" xr:uid="{5DEEE412-A791-4430-9C3E-262C87989BCF}"/>
    <cellStyle name="Normal 9 3 2 2 2 7" xfId="4895" xr:uid="{00000000-0005-0000-0000-0000BF1F0000}"/>
    <cellStyle name="Normal 9 3 2 2 2 7 2" xfId="13337" xr:uid="{53C48885-22D0-4BF5-946E-68B6F1B1A44B}"/>
    <cellStyle name="Normal 9 3 2 2 2 8" xfId="9119" xr:uid="{8377A31B-BDBC-4F22-8408-AAFE19F529A7}"/>
    <cellStyle name="Normal 9 3 2 2 3" xfId="996" xr:uid="{00000000-0005-0000-0000-0000C01F0000}"/>
    <cellStyle name="Normal 9 3 2 2 3 2" xfId="3229" xr:uid="{00000000-0005-0000-0000-0000C11F0000}"/>
    <cellStyle name="Normal 9 3 2 2 3 2 2" xfId="7452" xr:uid="{00000000-0005-0000-0000-0000C21F0000}"/>
    <cellStyle name="Normal 9 3 2 2 3 2 2 2" xfId="15894" xr:uid="{C0A1901A-2AF6-403B-A30F-B8F2C5275E97}"/>
    <cellStyle name="Normal 9 3 2 2 3 2 3" xfId="11676" xr:uid="{FFDF8292-F517-48B2-90A0-5DFCD15F7DDB}"/>
    <cellStyle name="Normal 9 3 2 2 3 3" xfId="5307" xr:uid="{00000000-0005-0000-0000-0000C31F0000}"/>
    <cellStyle name="Normal 9 3 2 2 3 3 2" xfId="13749" xr:uid="{D0B562B3-C388-4409-A3C8-67033BCE57E1}"/>
    <cellStyle name="Normal 9 3 2 2 3 4" xfId="9531" xr:uid="{F960C20F-21F4-408C-BB44-5E855D36BB95}"/>
    <cellStyle name="Normal 9 3 2 2 4" xfId="1412" xr:uid="{00000000-0005-0000-0000-0000C41F0000}"/>
    <cellStyle name="Normal 9 3 2 2 4 2" xfId="3642" xr:uid="{00000000-0005-0000-0000-0000C51F0000}"/>
    <cellStyle name="Normal 9 3 2 2 4 2 2" xfId="7865" xr:uid="{00000000-0005-0000-0000-0000C61F0000}"/>
    <cellStyle name="Normal 9 3 2 2 4 2 2 2" xfId="16307" xr:uid="{6FF3FEC6-A657-4E97-8941-79BBDA4A89A1}"/>
    <cellStyle name="Normal 9 3 2 2 4 2 3" xfId="12089" xr:uid="{617DFC72-CC8D-446F-918F-1818F639144D}"/>
    <cellStyle name="Normal 9 3 2 2 4 3" xfId="5720" xr:uid="{00000000-0005-0000-0000-0000C71F0000}"/>
    <cellStyle name="Normal 9 3 2 2 4 3 2" xfId="14162" xr:uid="{FB553FC1-453D-4651-9E41-052510DB67A0}"/>
    <cellStyle name="Normal 9 3 2 2 4 4" xfId="9944" xr:uid="{B81AB7D4-D569-4ED2-944C-2ADE3A8473C4}"/>
    <cellStyle name="Normal 9 3 2 2 5" xfId="1825" xr:uid="{00000000-0005-0000-0000-0000C81F0000}"/>
    <cellStyle name="Normal 9 3 2 2 5 2" xfId="4055" xr:uid="{00000000-0005-0000-0000-0000C91F0000}"/>
    <cellStyle name="Normal 9 3 2 2 5 2 2" xfId="8278" xr:uid="{00000000-0005-0000-0000-0000CA1F0000}"/>
    <cellStyle name="Normal 9 3 2 2 5 2 2 2" xfId="16720" xr:uid="{C5526BE2-3078-4C9B-8BBC-4AB55D062C32}"/>
    <cellStyle name="Normal 9 3 2 2 5 2 3" xfId="12502" xr:uid="{346BC92E-BFE9-44A4-B7E8-EC411A9521DF}"/>
    <cellStyle name="Normal 9 3 2 2 5 3" xfId="6133" xr:uid="{00000000-0005-0000-0000-0000CB1F0000}"/>
    <cellStyle name="Normal 9 3 2 2 5 3 2" xfId="14575" xr:uid="{61E58780-0C27-42D9-8A44-942DCCD18377}"/>
    <cellStyle name="Normal 9 3 2 2 5 4" xfId="10357" xr:uid="{D0A5B3B6-D87C-479A-B217-F6D9B82EF9B9}"/>
    <cellStyle name="Normal 9 3 2 2 6" xfId="2239" xr:uid="{00000000-0005-0000-0000-0000CC1F0000}"/>
    <cellStyle name="Normal 9 3 2 2 6 2" xfId="4468" xr:uid="{00000000-0005-0000-0000-0000CD1F0000}"/>
    <cellStyle name="Normal 9 3 2 2 6 2 2" xfId="8691" xr:uid="{00000000-0005-0000-0000-0000CE1F0000}"/>
    <cellStyle name="Normal 9 3 2 2 6 2 2 2" xfId="17133" xr:uid="{1994928B-A61D-46C3-A31A-8B9B365C0585}"/>
    <cellStyle name="Normal 9 3 2 2 6 2 3" xfId="12915" xr:uid="{8E401B36-C780-45A6-9C50-718675D8CDA5}"/>
    <cellStyle name="Normal 9 3 2 2 6 3" xfId="6546" xr:uid="{00000000-0005-0000-0000-0000CF1F0000}"/>
    <cellStyle name="Normal 9 3 2 2 6 3 2" xfId="14988" xr:uid="{6A84D937-E7CB-41A5-A5FA-F51953C3CFBB}"/>
    <cellStyle name="Normal 9 3 2 2 6 4" xfId="10770" xr:uid="{BCCE1A51-3748-4FF5-B0D0-77C4CB670D98}"/>
    <cellStyle name="Normal 9 3 2 2 7" xfId="2675" xr:uid="{00000000-0005-0000-0000-0000D01F0000}"/>
    <cellStyle name="Normal 9 3 2 2 7 2" xfId="6959" xr:uid="{00000000-0005-0000-0000-0000D11F0000}"/>
    <cellStyle name="Normal 9 3 2 2 7 2 2" xfId="15401" xr:uid="{4F2AB5BA-6FA1-4B96-8A23-489782189456}"/>
    <cellStyle name="Normal 9 3 2 2 7 3" xfId="11183" xr:uid="{7966F2DE-1786-46F4-A430-462101793446}"/>
    <cellStyle name="Normal 9 3 2 2 8" xfId="4894" xr:uid="{00000000-0005-0000-0000-0000D21F0000}"/>
    <cellStyle name="Normal 9 3 2 2 8 2" xfId="13336" xr:uid="{B362C97F-1586-4740-B5AB-8520CD23709D}"/>
    <cellStyle name="Normal 9 3 2 2 9" xfId="9118" xr:uid="{DE6AC0B9-3544-4B0E-B1AD-6A26BD2C00B5}"/>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2 2 2" xfId="15896" xr:uid="{7DEA7C47-327C-448F-BC43-712561282EE1}"/>
    <cellStyle name="Normal 9 3 2 3 2 2 3" xfId="11678" xr:uid="{4B01627F-FFC2-40E1-A83A-B967E06CC250}"/>
    <cellStyle name="Normal 9 3 2 3 2 3" xfId="5309" xr:uid="{00000000-0005-0000-0000-0000D71F0000}"/>
    <cellStyle name="Normal 9 3 2 3 2 3 2" xfId="13751" xr:uid="{7B6B8197-A9F8-476A-AFA7-432FCCE307BA}"/>
    <cellStyle name="Normal 9 3 2 3 2 4" xfId="9533" xr:uid="{06EA4195-74E9-4C64-B7E2-7EFA428ACA59}"/>
    <cellStyle name="Normal 9 3 2 3 3" xfId="1414" xr:uid="{00000000-0005-0000-0000-0000D81F0000}"/>
    <cellStyle name="Normal 9 3 2 3 3 2" xfId="3644" xr:uid="{00000000-0005-0000-0000-0000D91F0000}"/>
    <cellStyle name="Normal 9 3 2 3 3 2 2" xfId="7867" xr:uid="{00000000-0005-0000-0000-0000DA1F0000}"/>
    <cellStyle name="Normal 9 3 2 3 3 2 2 2" xfId="16309" xr:uid="{8DD01201-A719-4B56-BE9F-7137420F3C73}"/>
    <cellStyle name="Normal 9 3 2 3 3 2 3" xfId="12091" xr:uid="{65D82D35-10E6-422B-8CAA-1FDB7C25C5EA}"/>
    <cellStyle name="Normal 9 3 2 3 3 3" xfId="5722" xr:uid="{00000000-0005-0000-0000-0000DB1F0000}"/>
    <cellStyle name="Normal 9 3 2 3 3 3 2" xfId="14164" xr:uid="{B8DCADD0-7A09-4C0E-B4F1-8444008119BF}"/>
    <cellStyle name="Normal 9 3 2 3 3 4" xfId="9946" xr:uid="{BBBFC2AA-776B-498A-887F-AC23508DF052}"/>
    <cellStyle name="Normal 9 3 2 3 4" xfId="1827" xr:uid="{00000000-0005-0000-0000-0000DC1F0000}"/>
    <cellStyle name="Normal 9 3 2 3 4 2" xfId="4057" xr:uid="{00000000-0005-0000-0000-0000DD1F0000}"/>
    <cellStyle name="Normal 9 3 2 3 4 2 2" xfId="8280" xr:uid="{00000000-0005-0000-0000-0000DE1F0000}"/>
    <cellStyle name="Normal 9 3 2 3 4 2 2 2" xfId="16722" xr:uid="{0684742B-FE99-4EA6-B501-FBE372745DA5}"/>
    <cellStyle name="Normal 9 3 2 3 4 2 3" xfId="12504" xr:uid="{DC2707C2-7BF3-455C-832A-C50CEB385583}"/>
    <cellStyle name="Normal 9 3 2 3 4 3" xfId="6135" xr:uid="{00000000-0005-0000-0000-0000DF1F0000}"/>
    <cellStyle name="Normal 9 3 2 3 4 3 2" xfId="14577" xr:uid="{6C2E82E5-66D6-4C52-B09C-A5803F92977B}"/>
    <cellStyle name="Normal 9 3 2 3 4 4" xfId="10359" xr:uid="{F3D02E85-E7DD-47E8-9077-50290007E929}"/>
    <cellStyle name="Normal 9 3 2 3 5" xfId="2241" xr:uid="{00000000-0005-0000-0000-0000E01F0000}"/>
    <cellStyle name="Normal 9 3 2 3 5 2" xfId="4470" xr:uid="{00000000-0005-0000-0000-0000E11F0000}"/>
    <cellStyle name="Normal 9 3 2 3 5 2 2" xfId="8693" xr:uid="{00000000-0005-0000-0000-0000E21F0000}"/>
    <cellStyle name="Normal 9 3 2 3 5 2 2 2" xfId="17135" xr:uid="{632B3D78-F0E9-4476-BD43-2F73E169D89A}"/>
    <cellStyle name="Normal 9 3 2 3 5 2 3" xfId="12917" xr:uid="{92A3BB76-0088-4E5E-83BD-63FCD993F8D0}"/>
    <cellStyle name="Normal 9 3 2 3 5 3" xfId="6548" xr:uid="{00000000-0005-0000-0000-0000E31F0000}"/>
    <cellStyle name="Normal 9 3 2 3 5 3 2" xfId="14990" xr:uid="{D20F546B-3302-405F-AE3C-BDEC472613A3}"/>
    <cellStyle name="Normal 9 3 2 3 5 4" xfId="10772" xr:uid="{A0855461-8624-44B2-918B-0612F4FBC580}"/>
    <cellStyle name="Normal 9 3 2 3 6" xfId="2677" xr:uid="{00000000-0005-0000-0000-0000E41F0000}"/>
    <cellStyle name="Normal 9 3 2 3 6 2" xfId="6961" xr:uid="{00000000-0005-0000-0000-0000E51F0000}"/>
    <cellStyle name="Normal 9 3 2 3 6 2 2" xfId="15403" xr:uid="{B5583902-D9CF-436F-AD65-581AB48FF566}"/>
    <cellStyle name="Normal 9 3 2 3 6 3" xfId="11185" xr:uid="{FFE2BFFE-FD11-4C4C-8B63-6E3E4E0EC421}"/>
    <cellStyle name="Normal 9 3 2 3 7" xfId="4896" xr:uid="{00000000-0005-0000-0000-0000E61F0000}"/>
    <cellStyle name="Normal 9 3 2 3 7 2" xfId="13338" xr:uid="{A873A14E-81FF-4BED-947D-93604C877650}"/>
    <cellStyle name="Normal 9 3 2 3 8" xfId="9120" xr:uid="{8D4F5A87-8587-4841-886E-6FAE77043547}"/>
    <cellStyle name="Normal 9 3 2 4" xfId="995" xr:uid="{00000000-0005-0000-0000-0000E71F0000}"/>
    <cellStyle name="Normal 9 3 2 4 2" xfId="3228" xr:uid="{00000000-0005-0000-0000-0000E81F0000}"/>
    <cellStyle name="Normal 9 3 2 4 2 2" xfId="7451" xr:uid="{00000000-0005-0000-0000-0000E91F0000}"/>
    <cellStyle name="Normal 9 3 2 4 2 2 2" xfId="15893" xr:uid="{25EF5FFD-52CC-4395-B7AA-C20DD7F69F83}"/>
    <cellStyle name="Normal 9 3 2 4 2 3" xfId="11675" xr:uid="{54CA47D8-EB01-4309-8A31-3B24F8820A2F}"/>
    <cellStyle name="Normal 9 3 2 4 3" xfId="5306" xr:uid="{00000000-0005-0000-0000-0000EA1F0000}"/>
    <cellStyle name="Normal 9 3 2 4 3 2" xfId="13748" xr:uid="{508273F2-5BAA-4EA8-849E-890B7F3C5947}"/>
    <cellStyle name="Normal 9 3 2 4 4" xfId="9530" xr:uid="{BF55A1BC-89C5-45F2-B039-B7A602346DF5}"/>
    <cellStyle name="Normal 9 3 2 5" xfId="1411" xr:uid="{00000000-0005-0000-0000-0000EB1F0000}"/>
    <cellStyle name="Normal 9 3 2 5 2" xfId="3641" xr:uid="{00000000-0005-0000-0000-0000EC1F0000}"/>
    <cellStyle name="Normal 9 3 2 5 2 2" xfId="7864" xr:uid="{00000000-0005-0000-0000-0000ED1F0000}"/>
    <cellStyle name="Normal 9 3 2 5 2 2 2" xfId="16306" xr:uid="{B7B807BB-5D6F-4550-8F87-BAE56270FD8F}"/>
    <cellStyle name="Normal 9 3 2 5 2 3" xfId="12088" xr:uid="{EA5BD7EC-8C67-43FC-81B8-C5851A38AC57}"/>
    <cellStyle name="Normal 9 3 2 5 3" xfId="5719" xr:uid="{00000000-0005-0000-0000-0000EE1F0000}"/>
    <cellStyle name="Normal 9 3 2 5 3 2" xfId="14161" xr:uid="{D1C450CC-9D50-4BC1-BFA9-76D9ACA6AE31}"/>
    <cellStyle name="Normal 9 3 2 5 4" xfId="9943" xr:uid="{A0723A43-5408-4F3B-8464-CE94F811867F}"/>
    <cellStyle name="Normal 9 3 2 6" xfId="1824" xr:uid="{00000000-0005-0000-0000-0000EF1F0000}"/>
    <cellStyle name="Normal 9 3 2 6 2" xfId="4054" xr:uid="{00000000-0005-0000-0000-0000F01F0000}"/>
    <cellStyle name="Normal 9 3 2 6 2 2" xfId="8277" xr:uid="{00000000-0005-0000-0000-0000F11F0000}"/>
    <cellStyle name="Normal 9 3 2 6 2 2 2" xfId="16719" xr:uid="{FB9A8AF8-B9B9-4F44-8621-EDBAA79FF2A6}"/>
    <cellStyle name="Normal 9 3 2 6 2 3" xfId="12501" xr:uid="{9B137652-696D-49ED-B212-39129686F0D0}"/>
    <cellStyle name="Normal 9 3 2 6 3" xfId="6132" xr:uid="{00000000-0005-0000-0000-0000F21F0000}"/>
    <cellStyle name="Normal 9 3 2 6 3 2" xfId="14574" xr:uid="{9DD7F98A-3C74-45EB-BDF3-651D4CC52D2F}"/>
    <cellStyle name="Normal 9 3 2 6 4" xfId="10356" xr:uid="{E360F516-686B-403F-83FD-B0D08C3D3FC3}"/>
    <cellStyle name="Normal 9 3 2 7" xfId="2238" xr:uid="{00000000-0005-0000-0000-0000F31F0000}"/>
    <cellStyle name="Normal 9 3 2 7 2" xfId="4467" xr:uid="{00000000-0005-0000-0000-0000F41F0000}"/>
    <cellStyle name="Normal 9 3 2 7 2 2" xfId="8690" xr:uid="{00000000-0005-0000-0000-0000F51F0000}"/>
    <cellStyle name="Normal 9 3 2 7 2 2 2" xfId="17132" xr:uid="{D7AEA7BA-CC3B-43D1-836B-AA07715A7D21}"/>
    <cellStyle name="Normal 9 3 2 7 2 3" xfId="12914" xr:uid="{99843A7E-4528-4B98-B60B-49599E419619}"/>
    <cellStyle name="Normal 9 3 2 7 3" xfId="6545" xr:uid="{00000000-0005-0000-0000-0000F61F0000}"/>
    <cellStyle name="Normal 9 3 2 7 3 2" xfId="14987" xr:uid="{2C3FABEF-3A06-43DC-83C0-5CDA77D8C649}"/>
    <cellStyle name="Normal 9 3 2 7 4" xfId="10769" xr:uid="{6B2B26F1-B4D2-4F12-AF50-2A21A0A72327}"/>
    <cellStyle name="Normal 9 3 2 8" xfId="2674" xr:uid="{00000000-0005-0000-0000-0000F71F0000}"/>
    <cellStyle name="Normal 9 3 2 8 2" xfId="6958" xr:uid="{00000000-0005-0000-0000-0000F81F0000}"/>
    <cellStyle name="Normal 9 3 2 8 2 2" xfId="15400" xr:uid="{905C84BA-CA0E-4B63-B73C-5334B00A4C06}"/>
    <cellStyle name="Normal 9 3 2 8 3" xfId="11182" xr:uid="{B4E9D0F1-48D8-499B-9EA9-6FE66DCCC71B}"/>
    <cellStyle name="Normal 9 3 2 9" xfId="4893" xr:uid="{00000000-0005-0000-0000-0000F91F0000}"/>
    <cellStyle name="Normal 9 3 2 9 2" xfId="13335" xr:uid="{D0443192-25C8-4336-B82A-BE78D6047A73}"/>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2 2 2" xfId="15898" xr:uid="{1AAB8905-7A6E-4721-886D-A0B04FC186E1}"/>
    <cellStyle name="Normal 9 3 3 2 2 2 3" xfId="11680" xr:uid="{7E0D7CD2-988E-450F-9A04-7CB74F5DC47C}"/>
    <cellStyle name="Normal 9 3 3 2 2 3" xfId="5311" xr:uid="{00000000-0005-0000-0000-0000FF1F0000}"/>
    <cellStyle name="Normal 9 3 3 2 2 3 2" xfId="13753" xr:uid="{8CA3BFA5-DE95-4F7D-A438-A9B43186ECE8}"/>
    <cellStyle name="Normal 9 3 3 2 2 4" xfId="9535" xr:uid="{AA22EF9A-BE14-491E-9486-109FE8C14573}"/>
    <cellStyle name="Normal 9 3 3 2 3" xfId="1416" xr:uid="{00000000-0005-0000-0000-000000200000}"/>
    <cellStyle name="Normal 9 3 3 2 3 2" xfId="3646" xr:uid="{00000000-0005-0000-0000-000001200000}"/>
    <cellStyle name="Normal 9 3 3 2 3 2 2" xfId="7869" xr:uid="{00000000-0005-0000-0000-000002200000}"/>
    <cellStyle name="Normal 9 3 3 2 3 2 2 2" xfId="16311" xr:uid="{A2E6059B-43FA-48F8-8FD5-AB67CFBEE6E4}"/>
    <cellStyle name="Normal 9 3 3 2 3 2 3" xfId="12093" xr:uid="{FDBAF8C3-63CA-4F75-94F1-29434D0263DF}"/>
    <cellStyle name="Normal 9 3 3 2 3 3" xfId="5724" xr:uid="{00000000-0005-0000-0000-000003200000}"/>
    <cellStyle name="Normal 9 3 3 2 3 3 2" xfId="14166" xr:uid="{ACF2B36E-7C26-4C9D-B0A5-E1976FB41190}"/>
    <cellStyle name="Normal 9 3 3 2 3 4" xfId="9948" xr:uid="{F2CB5CCB-CEAF-400E-A057-5B1090864F4B}"/>
    <cellStyle name="Normal 9 3 3 2 4" xfId="1829" xr:uid="{00000000-0005-0000-0000-000004200000}"/>
    <cellStyle name="Normal 9 3 3 2 4 2" xfId="4059" xr:uid="{00000000-0005-0000-0000-000005200000}"/>
    <cellStyle name="Normal 9 3 3 2 4 2 2" xfId="8282" xr:uid="{00000000-0005-0000-0000-000006200000}"/>
    <cellStyle name="Normal 9 3 3 2 4 2 2 2" xfId="16724" xr:uid="{80821B61-5CE5-4DE9-977D-41DBD0C75146}"/>
    <cellStyle name="Normal 9 3 3 2 4 2 3" xfId="12506" xr:uid="{C7DFB76D-6950-492C-B534-9CDC9AC341E9}"/>
    <cellStyle name="Normal 9 3 3 2 4 3" xfId="6137" xr:uid="{00000000-0005-0000-0000-000007200000}"/>
    <cellStyle name="Normal 9 3 3 2 4 3 2" xfId="14579" xr:uid="{C95C583E-C6F5-4556-B4C0-42173EBF594A}"/>
    <cellStyle name="Normal 9 3 3 2 4 4" xfId="10361" xr:uid="{745A8FEA-F937-4B60-9108-0F2BF94FD02A}"/>
    <cellStyle name="Normal 9 3 3 2 5" xfId="2243" xr:uid="{00000000-0005-0000-0000-000008200000}"/>
    <cellStyle name="Normal 9 3 3 2 5 2" xfId="4472" xr:uid="{00000000-0005-0000-0000-000009200000}"/>
    <cellStyle name="Normal 9 3 3 2 5 2 2" xfId="8695" xr:uid="{00000000-0005-0000-0000-00000A200000}"/>
    <cellStyle name="Normal 9 3 3 2 5 2 2 2" xfId="17137" xr:uid="{CDDD0B43-55AE-4007-928C-A27A636B6395}"/>
    <cellStyle name="Normal 9 3 3 2 5 2 3" xfId="12919" xr:uid="{BFDFB8FF-2C87-4C49-BA8C-9C313FC51F66}"/>
    <cellStyle name="Normal 9 3 3 2 5 3" xfId="6550" xr:uid="{00000000-0005-0000-0000-00000B200000}"/>
    <cellStyle name="Normal 9 3 3 2 5 3 2" xfId="14992" xr:uid="{D73E446A-B228-4ADF-847B-1B206883F044}"/>
    <cellStyle name="Normal 9 3 3 2 5 4" xfId="10774" xr:uid="{02034309-AEF1-4083-B393-CD6D5C3415A9}"/>
    <cellStyle name="Normal 9 3 3 2 6" xfId="2679" xr:uid="{00000000-0005-0000-0000-00000C200000}"/>
    <cellStyle name="Normal 9 3 3 2 6 2" xfId="6963" xr:uid="{00000000-0005-0000-0000-00000D200000}"/>
    <cellStyle name="Normal 9 3 3 2 6 2 2" xfId="15405" xr:uid="{3C5C5D3C-5CC4-43D7-A2BC-81F9C6428E7A}"/>
    <cellStyle name="Normal 9 3 3 2 6 3" xfId="11187" xr:uid="{472EDE9F-FBBF-4A4C-A815-FFF2C271F41E}"/>
    <cellStyle name="Normal 9 3 3 2 7" xfId="4898" xr:uid="{00000000-0005-0000-0000-00000E200000}"/>
    <cellStyle name="Normal 9 3 3 2 7 2" xfId="13340" xr:uid="{FA414242-C5D9-49B5-8BDE-1D037CD21811}"/>
    <cellStyle name="Normal 9 3 3 2 8" xfId="9122" xr:uid="{ED7D7913-3E44-4BCD-A880-4C0FD5ABC07D}"/>
    <cellStyle name="Normal 9 3 3 3" xfId="999" xr:uid="{00000000-0005-0000-0000-00000F200000}"/>
    <cellStyle name="Normal 9 3 3 3 2" xfId="3232" xr:uid="{00000000-0005-0000-0000-000010200000}"/>
    <cellStyle name="Normal 9 3 3 3 2 2" xfId="7455" xr:uid="{00000000-0005-0000-0000-000011200000}"/>
    <cellStyle name="Normal 9 3 3 3 2 2 2" xfId="15897" xr:uid="{ADEF90CD-59D6-4378-9237-E0A8C591F1DB}"/>
    <cellStyle name="Normal 9 3 3 3 2 3" xfId="11679" xr:uid="{5F0C086F-D8FC-4663-841F-AC2929AD07F1}"/>
    <cellStyle name="Normal 9 3 3 3 3" xfId="5310" xr:uid="{00000000-0005-0000-0000-000012200000}"/>
    <cellStyle name="Normal 9 3 3 3 3 2" xfId="13752" xr:uid="{EF1D3CEE-6B95-4ABE-8F5D-3386AFB0BC66}"/>
    <cellStyle name="Normal 9 3 3 3 4" xfId="9534" xr:uid="{47AE61C6-8129-43F7-BC57-1FFBC471947F}"/>
    <cellStyle name="Normal 9 3 3 4" xfId="1415" xr:uid="{00000000-0005-0000-0000-000013200000}"/>
    <cellStyle name="Normal 9 3 3 4 2" xfId="3645" xr:uid="{00000000-0005-0000-0000-000014200000}"/>
    <cellStyle name="Normal 9 3 3 4 2 2" xfId="7868" xr:uid="{00000000-0005-0000-0000-000015200000}"/>
    <cellStyle name="Normal 9 3 3 4 2 2 2" xfId="16310" xr:uid="{198A5A76-240A-43F1-BE69-5FA51EAAA390}"/>
    <cellStyle name="Normal 9 3 3 4 2 3" xfId="12092" xr:uid="{A23C999A-A285-4B39-8A6B-D90DCA419720}"/>
    <cellStyle name="Normal 9 3 3 4 3" xfId="5723" xr:uid="{00000000-0005-0000-0000-000016200000}"/>
    <cellStyle name="Normal 9 3 3 4 3 2" xfId="14165" xr:uid="{A952BBE3-108B-4134-BC91-0B1DF7E782DC}"/>
    <cellStyle name="Normal 9 3 3 4 4" xfId="9947" xr:uid="{2DB087CB-D194-4A97-A9A3-739E58E0F1E6}"/>
    <cellStyle name="Normal 9 3 3 5" xfId="1828" xr:uid="{00000000-0005-0000-0000-000017200000}"/>
    <cellStyle name="Normal 9 3 3 5 2" xfId="4058" xr:uid="{00000000-0005-0000-0000-000018200000}"/>
    <cellStyle name="Normal 9 3 3 5 2 2" xfId="8281" xr:uid="{00000000-0005-0000-0000-000019200000}"/>
    <cellStyle name="Normal 9 3 3 5 2 2 2" xfId="16723" xr:uid="{0D6E2A08-6055-484D-863B-801FA000C5F9}"/>
    <cellStyle name="Normal 9 3 3 5 2 3" xfId="12505" xr:uid="{DB4FB401-5865-463E-A0B5-C2CCC510D35D}"/>
    <cellStyle name="Normal 9 3 3 5 3" xfId="6136" xr:uid="{00000000-0005-0000-0000-00001A200000}"/>
    <cellStyle name="Normal 9 3 3 5 3 2" xfId="14578" xr:uid="{19F48023-750A-4036-BA7F-017A43E61374}"/>
    <cellStyle name="Normal 9 3 3 5 4" xfId="10360" xr:uid="{AF50E79B-73D5-43BC-9140-F4ED6C3AC3BD}"/>
    <cellStyle name="Normal 9 3 3 6" xfId="2242" xr:uid="{00000000-0005-0000-0000-00001B200000}"/>
    <cellStyle name="Normal 9 3 3 6 2" xfId="4471" xr:uid="{00000000-0005-0000-0000-00001C200000}"/>
    <cellStyle name="Normal 9 3 3 6 2 2" xfId="8694" xr:uid="{00000000-0005-0000-0000-00001D200000}"/>
    <cellStyle name="Normal 9 3 3 6 2 2 2" xfId="17136" xr:uid="{E4D6CE4D-31B5-4C0A-9CE7-812688541877}"/>
    <cellStyle name="Normal 9 3 3 6 2 3" xfId="12918" xr:uid="{1594BE16-2876-4853-8A47-651786C64B16}"/>
    <cellStyle name="Normal 9 3 3 6 3" xfId="6549" xr:uid="{00000000-0005-0000-0000-00001E200000}"/>
    <cellStyle name="Normal 9 3 3 6 3 2" xfId="14991" xr:uid="{F056E7F3-6F0D-41BA-A9C4-5C8F74FCE33D}"/>
    <cellStyle name="Normal 9 3 3 6 4" xfId="10773" xr:uid="{23007289-F5CD-4793-8D48-4F7080EB73EE}"/>
    <cellStyle name="Normal 9 3 3 7" xfId="2678" xr:uid="{00000000-0005-0000-0000-00001F200000}"/>
    <cellStyle name="Normal 9 3 3 7 2" xfId="6962" xr:uid="{00000000-0005-0000-0000-000020200000}"/>
    <cellStyle name="Normal 9 3 3 7 2 2" xfId="15404" xr:uid="{09C98BF9-FCB9-4490-AB28-9E015AA054D0}"/>
    <cellStyle name="Normal 9 3 3 7 3" xfId="11186" xr:uid="{6C4487B9-7BB7-4CDC-873D-29CB2DF958BE}"/>
    <cellStyle name="Normal 9 3 3 8" xfId="4897" xr:uid="{00000000-0005-0000-0000-000021200000}"/>
    <cellStyle name="Normal 9 3 3 8 2" xfId="13339" xr:uid="{4D9D2FC6-14BF-4021-800A-A7A459CF2BAA}"/>
    <cellStyle name="Normal 9 3 3 9" xfId="9121" xr:uid="{324477E5-CECA-43F7-85A9-A7D2DA172F95}"/>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2 2 2" xfId="15899" xr:uid="{F356AEFD-C775-4E64-8491-D83006D53E50}"/>
    <cellStyle name="Normal 9 3 4 2 2 3" xfId="11681" xr:uid="{A27CF22D-EB89-40E8-AC16-C47D427546D5}"/>
    <cellStyle name="Normal 9 3 4 2 3" xfId="5312" xr:uid="{00000000-0005-0000-0000-000026200000}"/>
    <cellStyle name="Normal 9 3 4 2 3 2" xfId="13754" xr:uid="{DB50A217-090D-48E9-89E8-5356317BCC90}"/>
    <cellStyle name="Normal 9 3 4 2 4" xfId="9536" xr:uid="{8755B8BF-5B64-4301-A62E-15A3F09BC93F}"/>
    <cellStyle name="Normal 9 3 4 3" xfId="1417" xr:uid="{00000000-0005-0000-0000-000027200000}"/>
    <cellStyle name="Normal 9 3 4 3 2" xfId="3647" xr:uid="{00000000-0005-0000-0000-000028200000}"/>
    <cellStyle name="Normal 9 3 4 3 2 2" xfId="7870" xr:uid="{00000000-0005-0000-0000-000029200000}"/>
    <cellStyle name="Normal 9 3 4 3 2 2 2" xfId="16312" xr:uid="{086BDCD5-86A5-4571-B818-B4DB2CF6F6CF}"/>
    <cellStyle name="Normal 9 3 4 3 2 3" xfId="12094" xr:uid="{0F02CB8E-FADE-46CB-B8D7-75CD24C3414B}"/>
    <cellStyle name="Normal 9 3 4 3 3" xfId="5725" xr:uid="{00000000-0005-0000-0000-00002A200000}"/>
    <cellStyle name="Normal 9 3 4 3 3 2" xfId="14167" xr:uid="{69A81830-F859-4332-81DF-F62CE6EE4091}"/>
    <cellStyle name="Normal 9 3 4 3 4" xfId="9949" xr:uid="{7828A878-2798-4962-9F77-6F5C80212BFD}"/>
    <cellStyle name="Normal 9 3 4 4" xfId="1830" xr:uid="{00000000-0005-0000-0000-00002B200000}"/>
    <cellStyle name="Normal 9 3 4 4 2" xfId="4060" xr:uid="{00000000-0005-0000-0000-00002C200000}"/>
    <cellStyle name="Normal 9 3 4 4 2 2" xfId="8283" xr:uid="{00000000-0005-0000-0000-00002D200000}"/>
    <cellStyle name="Normal 9 3 4 4 2 2 2" xfId="16725" xr:uid="{7BE459A8-BE7B-459D-816E-1E3F0C85AFE3}"/>
    <cellStyle name="Normal 9 3 4 4 2 3" xfId="12507" xr:uid="{B174D37E-4053-4E25-962E-2025F1C5C14F}"/>
    <cellStyle name="Normal 9 3 4 4 3" xfId="6138" xr:uid="{00000000-0005-0000-0000-00002E200000}"/>
    <cellStyle name="Normal 9 3 4 4 3 2" xfId="14580" xr:uid="{BC6E69B9-35F0-47E7-9954-748AF6B7A680}"/>
    <cellStyle name="Normal 9 3 4 4 4" xfId="10362" xr:uid="{666A2593-3AA1-4FB0-AD27-1A41A9156203}"/>
    <cellStyle name="Normal 9 3 4 5" xfId="2244" xr:uid="{00000000-0005-0000-0000-00002F200000}"/>
    <cellStyle name="Normal 9 3 4 5 2" xfId="4473" xr:uid="{00000000-0005-0000-0000-000030200000}"/>
    <cellStyle name="Normal 9 3 4 5 2 2" xfId="8696" xr:uid="{00000000-0005-0000-0000-000031200000}"/>
    <cellStyle name="Normal 9 3 4 5 2 2 2" xfId="17138" xr:uid="{F0D5F797-4EA4-42F4-9057-68FC2D17AAA9}"/>
    <cellStyle name="Normal 9 3 4 5 2 3" xfId="12920" xr:uid="{D838A0A1-3EE6-49BF-AF58-E3EF2EF4FAF5}"/>
    <cellStyle name="Normal 9 3 4 5 3" xfId="6551" xr:uid="{00000000-0005-0000-0000-000032200000}"/>
    <cellStyle name="Normal 9 3 4 5 3 2" xfId="14993" xr:uid="{B731741E-5A0A-4B7E-A18B-F13112F017A4}"/>
    <cellStyle name="Normal 9 3 4 5 4" xfId="10775" xr:uid="{113520CC-C719-4BC9-A48D-97F8E38FD7D4}"/>
    <cellStyle name="Normal 9 3 4 6" xfId="2680" xr:uid="{00000000-0005-0000-0000-000033200000}"/>
    <cellStyle name="Normal 9 3 4 6 2" xfId="6964" xr:uid="{00000000-0005-0000-0000-000034200000}"/>
    <cellStyle name="Normal 9 3 4 6 2 2" xfId="15406" xr:uid="{1A4C21B2-D9F7-4ED4-A60D-99F2C476D9FE}"/>
    <cellStyle name="Normal 9 3 4 6 3" xfId="11188" xr:uid="{3FE41866-AA94-4125-82A2-56E4774A35E8}"/>
    <cellStyle name="Normal 9 3 4 7" xfId="4899" xr:uid="{00000000-0005-0000-0000-000035200000}"/>
    <cellStyle name="Normal 9 3 4 7 2" xfId="13341" xr:uid="{CCA181CB-ED8F-43AD-AE9B-665C129FC27A}"/>
    <cellStyle name="Normal 9 3 4 8" xfId="9123" xr:uid="{6FF7955C-B98B-4980-8D8E-F06C5999EA12}"/>
    <cellStyle name="Normal 9 3 5" xfId="994" xr:uid="{00000000-0005-0000-0000-000036200000}"/>
    <cellStyle name="Normal 9 3 5 2" xfId="3227" xr:uid="{00000000-0005-0000-0000-000037200000}"/>
    <cellStyle name="Normal 9 3 5 2 2" xfId="7450" xr:uid="{00000000-0005-0000-0000-000038200000}"/>
    <cellStyle name="Normal 9 3 5 2 2 2" xfId="15892" xr:uid="{4FD22452-2C7D-4A4F-9A24-8D28F3E953F3}"/>
    <cellStyle name="Normal 9 3 5 2 3" xfId="11674" xr:uid="{6F8B4240-2A09-4F59-88B9-F5E93DE692FA}"/>
    <cellStyle name="Normal 9 3 5 3" xfId="5305" xr:uid="{00000000-0005-0000-0000-000039200000}"/>
    <cellStyle name="Normal 9 3 5 3 2" xfId="13747" xr:uid="{833CEEE7-9B2B-4654-ACF9-02F62696C6D9}"/>
    <cellStyle name="Normal 9 3 5 4" xfId="9529" xr:uid="{D806F3DA-B834-4F3B-9B4C-61EA990D04DC}"/>
    <cellStyle name="Normal 9 3 6" xfId="1410" xr:uid="{00000000-0005-0000-0000-00003A200000}"/>
    <cellStyle name="Normal 9 3 6 2" xfId="3640" xr:uid="{00000000-0005-0000-0000-00003B200000}"/>
    <cellStyle name="Normal 9 3 6 2 2" xfId="7863" xr:uid="{00000000-0005-0000-0000-00003C200000}"/>
    <cellStyle name="Normal 9 3 6 2 2 2" xfId="16305" xr:uid="{C9B9610B-ED88-4780-BD17-5E7696B3BCDC}"/>
    <cellStyle name="Normal 9 3 6 2 3" xfId="12087" xr:uid="{AD4615BB-C3D3-4591-AE4A-44441EE1E58A}"/>
    <cellStyle name="Normal 9 3 6 3" xfId="5718" xr:uid="{00000000-0005-0000-0000-00003D200000}"/>
    <cellStyle name="Normal 9 3 6 3 2" xfId="14160" xr:uid="{53285300-D6F5-491D-AFBE-CA731CE44B89}"/>
    <cellStyle name="Normal 9 3 6 4" xfId="9942" xr:uid="{8936AB26-B09C-4B55-B0E6-B265223A7042}"/>
    <cellStyle name="Normal 9 3 7" xfId="1823" xr:uid="{00000000-0005-0000-0000-00003E200000}"/>
    <cellStyle name="Normal 9 3 7 2" xfId="4053" xr:uid="{00000000-0005-0000-0000-00003F200000}"/>
    <cellStyle name="Normal 9 3 7 2 2" xfId="8276" xr:uid="{00000000-0005-0000-0000-000040200000}"/>
    <cellStyle name="Normal 9 3 7 2 2 2" xfId="16718" xr:uid="{27DF456C-6F42-4263-A5DA-746ED2E03F88}"/>
    <cellStyle name="Normal 9 3 7 2 3" xfId="12500" xr:uid="{5E7F754D-6E53-42FC-B3A6-6F681A0C443D}"/>
    <cellStyle name="Normal 9 3 7 3" xfId="6131" xr:uid="{00000000-0005-0000-0000-000041200000}"/>
    <cellStyle name="Normal 9 3 7 3 2" xfId="14573" xr:uid="{F252CBF7-1FA9-42A4-9C22-171CEF354149}"/>
    <cellStyle name="Normal 9 3 7 4" xfId="10355" xr:uid="{DF7036E5-D6AA-447C-BD87-A74B48983B0F}"/>
    <cellStyle name="Normal 9 3 8" xfId="2237" xr:uid="{00000000-0005-0000-0000-000042200000}"/>
    <cellStyle name="Normal 9 3 8 2" xfId="4466" xr:uid="{00000000-0005-0000-0000-000043200000}"/>
    <cellStyle name="Normal 9 3 8 2 2" xfId="8689" xr:uid="{00000000-0005-0000-0000-000044200000}"/>
    <cellStyle name="Normal 9 3 8 2 2 2" xfId="17131" xr:uid="{2E634390-B84F-4FE4-98B7-77833585765A}"/>
    <cellStyle name="Normal 9 3 8 2 3" xfId="12913" xr:uid="{C553E301-B7D4-4870-B4EC-94DEAEC39E0D}"/>
    <cellStyle name="Normal 9 3 8 3" xfId="6544" xr:uid="{00000000-0005-0000-0000-000045200000}"/>
    <cellStyle name="Normal 9 3 8 3 2" xfId="14986" xr:uid="{F2AFE184-006F-442F-8CD1-BEDA8145C646}"/>
    <cellStyle name="Normal 9 3 8 4" xfId="10768" xr:uid="{F79F542D-80DA-4111-BDB6-E75816CC29C3}"/>
    <cellStyle name="Normal 9 3 9" xfId="2673" xr:uid="{00000000-0005-0000-0000-000046200000}"/>
    <cellStyle name="Normal 9 3 9 2" xfId="6957" xr:uid="{00000000-0005-0000-0000-000047200000}"/>
    <cellStyle name="Normal 9 3 9 2 2" xfId="15399" xr:uid="{00A2C402-8DB3-4563-A877-CE5FBACCBB93}"/>
    <cellStyle name="Normal 9 3 9 3" xfId="11181" xr:uid="{8FE8AE62-5638-48F5-9B58-7159A7C45AF8}"/>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2 2 2" xfId="15901" xr:uid="{5DBF2D4A-5FE1-41E2-B5C0-1A6E355FE4A3}"/>
    <cellStyle name="Normal 9 5 2 2 2 3" xfId="11683" xr:uid="{5D92B648-9349-4BFF-BF1B-07F652C14269}"/>
    <cellStyle name="Normal 9 5 2 2 3" xfId="5314" xr:uid="{00000000-0005-0000-0000-00004F200000}"/>
    <cellStyle name="Normal 9 5 2 2 3 2" xfId="13756" xr:uid="{1EEE04DB-342C-4DFE-A564-FDD52A05B786}"/>
    <cellStyle name="Normal 9 5 2 2 4" xfId="9538" xr:uid="{4E1A3FC9-0B70-4ADB-9291-2567A8B0C034}"/>
    <cellStyle name="Normal 9 5 2 3" xfId="1419" xr:uid="{00000000-0005-0000-0000-000050200000}"/>
    <cellStyle name="Normal 9 5 2 3 2" xfId="3649" xr:uid="{00000000-0005-0000-0000-000051200000}"/>
    <cellStyle name="Normal 9 5 2 3 2 2" xfId="7872" xr:uid="{00000000-0005-0000-0000-000052200000}"/>
    <cellStyle name="Normal 9 5 2 3 2 2 2" xfId="16314" xr:uid="{97B5CD26-2111-4035-B0FA-B20C3C5C9B7C}"/>
    <cellStyle name="Normal 9 5 2 3 2 3" xfId="12096" xr:uid="{46E042B6-74DF-47EC-9B7A-67E5439D46D4}"/>
    <cellStyle name="Normal 9 5 2 3 3" xfId="5727" xr:uid="{00000000-0005-0000-0000-000053200000}"/>
    <cellStyle name="Normal 9 5 2 3 3 2" xfId="14169" xr:uid="{46BB2BB9-E5E7-4F22-A2D6-3B9E9E59C35A}"/>
    <cellStyle name="Normal 9 5 2 3 4" xfId="9951" xr:uid="{5DFE4543-9A6F-44D8-97F2-BB315C9066D3}"/>
    <cellStyle name="Normal 9 5 2 4" xfId="1832" xr:uid="{00000000-0005-0000-0000-000054200000}"/>
    <cellStyle name="Normal 9 5 2 4 2" xfId="4062" xr:uid="{00000000-0005-0000-0000-000055200000}"/>
    <cellStyle name="Normal 9 5 2 4 2 2" xfId="8285" xr:uid="{00000000-0005-0000-0000-000056200000}"/>
    <cellStyle name="Normal 9 5 2 4 2 2 2" xfId="16727" xr:uid="{0D4D1F4C-8F2C-4C5F-9DEA-3343F3FA7223}"/>
    <cellStyle name="Normal 9 5 2 4 2 3" xfId="12509" xr:uid="{9A7CD0BD-9EF5-4F94-B55E-5CD431C8342E}"/>
    <cellStyle name="Normal 9 5 2 4 3" xfId="6140" xr:uid="{00000000-0005-0000-0000-000057200000}"/>
    <cellStyle name="Normal 9 5 2 4 3 2" xfId="14582" xr:uid="{4AE7C4FF-C511-41A7-AB56-ADE18738CB9A}"/>
    <cellStyle name="Normal 9 5 2 4 4" xfId="10364" xr:uid="{F83520B2-C4FF-4FC3-8CEF-446516E996E7}"/>
    <cellStyle name="Normal 9 5 2 5" xfId="2246" xr:uid="{00000000-0005-0000-0000-000058200000}"/>
    <cellStyle name="Normal 9 5 2 5 2" xfId="4475" xr:uid="{00000000-0005-0000-0000-000059200000}"/>
    <cellStyle name="Normal 9 5 2 5 2 2" xfId="8698" xr:uid="{00000000-0005-0000-0000-00005A200000}"/>
    <cellStyle name="Normal 9 5 2 5 2 2 2" xfId="17140" xr:uid="{F3B1AB87-30C2-48BD-8DB1-A8F7366CBB50}"/>
    <cellStyle name="Normal 9 5 2 5 2 3" xfId="12922" xr:uid="{4DC07526-74C0-47F2-A72A-331A01092B74}"/>
    <cellStyle name="Normal 9 5 2 5 3" xfId="6553" xr:uid="{00000000-0005-0000-0000-00005B200000}"/>
    <cellStyle name="Normal 9 5 2 5 3 2" xfId="14995" xr:uid="{BE61F4F8-B7CA-4D46-88A6-26B72015D11E}"/>
    <cellStyle name="Normal 9 5 2 5 4" xfId="10777" xr:uid="{DF93CAE4-6922-4AE1-B99A-9D3D26697335}"/>
    <cellStyle name="Normal 9 5 2 6" xfId="2682" xr:uid="{00000000-0005-0000-0000-00005C200000}"/>
    <cellStyle name="Normal 9 5 2 6 2" xfId="6966" xr:uid="{00000000-0005-0000-0000-00005D200000}"/>
    <cellStyle name="Normal 9 5 2 6 2 2" xfId="15408" xr:uid="{A91ADB96-9B13-4DB4-BEE2-8D42AFF13265}"/>
    <cellStyle name="Normal 9 5 2 6 3" xfId="11190" xr:uid="{9CD633E3-831E-4406-B335-A4132D68DC39}"/>
    <cellStyle name="Normal 9 5 2 7" xfId="4901" xr:uid="{00000000-0005-0000-0000-00005E200000}"/>
    <cellStyle name="Normal 9 5 2 7 2" xfId="13343" xr:uid="{54C83AB6-4B69-4EBB-A1E9-293738F6127B}"/>
    <cellStyle name="Normal 9 5 2 8" xfId="9125" xr:uid="{66FBDD53-78A7-4CA3-897A-E5AD2A9FD32C}"/>
    <cellStyle name="Normal 9 5 3" xfId="1003" xr:uid="{00000000-0005-0000-0000-00005F200000}"/>
    <cellStyle name="Normal 9 5 3 2" xfId="3235" xr:uid="{00000000-0005-0000-0000-000060200000}"/>
    <cellStyle name="Normal 9 5 3 2 2" xfId="7458" xr:uid="{00000000-0005-0000-0000-000061200000}"/>
    <cellStyle name="Normal 9 5 3 2 2 2" xfId="15900" xr:uid="{DA43B2EE-B7E2-4264-A650-D6B971184505}"/>
    <cellStyle name="Normal 9 5 3 2 3" xfId="11682" xr:uid="{63CA4F45-C63E-43BD-A2F3-9107AAAF7ABD}"/>
    <cellStyle name="Normal 9 5 3 3" xfId="5313" xr:uid="{00000000-0005-0000-0000-000062200000}"/>
    <cellStyle name="Normal 9 5 3 3 2" xfId="13755" xr:uid="{2CAE5BE1-378B-44B3-A082-5C349C981A8F}"/>
    <cellStyle name="Normal 9 5 3 4" xfId="9537" xr:uid="{3089D6E0-38AB-47F3-AFDD-2BECCACE6EE9}"/>
    <cellStyle name="Normal 9 5 4" xfId="1418" xr:uid="{00000000-0005-0000-0000-000063200000}"/>
    <cellStyle name="Normal 9 5 4 2" xfId="3648" xr:uid="{00000000-0005-0000-0000-000064200000}"/>
    <cellStyle name="Normal 9 5 4 2 2" xfId="7871" xr:uid="{00000000-0005-0000-0000-000065200000}"/>
    <cellStyle name="Normal 9 5 4 2 2 2" xfId="16313" xr:uid="{00DB39F3-E77F-4B96-9796-AF4A8593B98F}"/>
    <cellStyle name="Normal 9 5 4 2 3" xfId="12095" xr:uid="{C5C660FB-C5B0-4B5B-822E-870366C90B5E}"/>
    <cellStyle name="Normal 9 5 4 3" xfId="5726" xr:uid="{00000000-0005-0000-0000-000066200000}"/>
    <cellStyle name="Normal 9 5 4 3 2" xfId="14168" xr:uid="{A19C14C2-86F6-43DF-8A5D-DA6E4CD625C0}"/>
    <cellStyle name="Normal 9 5 4 4" xfId="9950" xr:uid="{FAE37240-D895-4D72-8296-B4E8B810C3A3}"/>
    <cellStyle name="Normal 9 5 5" xfId="1831" xr:uid="{00000000-0005-0000-0000-000067200000}"/>
    <cellStyle name="Normal 9 5 5 2" xfId="4061" xr:uid="{00000000-0005-0000-0000-000068200000}"/>
    <cellStyle name="Normal 9 5 5 2 2" xfId="8284" xr:uid="{00000000-0005-0000-0000-000069200000}"/>
    <cellStyle name="Normal 9 5 5 2 2 2" xfId="16726" xr:uid="{A5F27C7A-6BF1-4EFE-82B5-179DEF8FA323}"/>
    <cellStyle name="Normal 9 5 5 2 3" xfId="12508" xr:uid="{1391B3EB-097A-454D-9444-ABFD8386620C}"/>
    <cellStyle name="Normal 9 5 5 3" xfId="6139" xr:uid="{00000000-0005-0000-0000-00006A200000}"/>
    <cellStyle name="Normal 9 5 5 3 2" xfId="14581" xr:uid="{75878879-5E4D-4B79-9FA2-58CF337C7B84}"/>
    <cellStyle name="Normal 9 5 5 4" xfId="10363" xr:uid="{E6D18E3E-3449-43ED-B486-A4CC0F5CCF19}"/>
    <cellStyle name="Normal 9 5 6" xfId="2245" xr:uid="{00000000-0005-0000-0000-00006B200000}"/>
    <cellStyle name="Normal 9 5 6 2" xfId="4474" xr:uid="{00000000-0005-0000-0000-00006C200000}"/>
    <cellStyle name="Normal 9 5 6 2 2" xfId="8697" xr:uid="{00000000-0005-0000-0000-00006D200000}"/>
    <cellStyle name="Normal 9 5 6 2 2 2" xfId="17139" xr:uid="{32599E65-42FC-40D9-B03D-3C0EDCB6C601}"/>
    <cellStyle name="Normal 9 5 6 2 3" xfId="12921" xr:uid="{8A3754A7-40D2-4C4F-9934-BEB8A20DBF41}"/>
    <cellStyle name="Normal 9 5 6 3" xfId="6552" xr:uid="{00000000-0005-0000-0000-00006E200000}"/>
    <cellStyle name="Normal 9 5 6 3 2" xfId="14994" xr:uid="{29615943-7A36-451D-8AC1-84ADD050C717}"/>
    <cellStyle name="Normal 9 5 6 4" xfId="10776" xr:uid="{2EA51E94-F3DA-4E92-A345-6C3C6D94982E}"/>
    <cellStyle name="Normal 9 5 7" xfId="2681" xr:uid="{00000000-0005-0000-0000-00006F200000}"/>
    <cellStyle name="Normal 9 5 7 2" xfId="6965" xr:uid="{00000000-0005-0000-0000-000070200000}"/>
    <cellStyle name="Normal 9 5 7 2 2" xfId="15407" xr:uid="{D600F3C2-76C9-4F5D-9FA5-2EDFBFBC8B51}"/>
    <cellStyle name="Normal 9 5 7 3" xfId="11189" xr:uid="{7E3AB76E-97E4-4222-9265-7FD5100E34AB}"/>
    <cellStyle name="Normal 9 5 8" xfId="4900" xr:uid="{00000000-0005-0000-0000-000071200000}"/>
    <cellStyle name="Normal 9 5 8 2" xfId="13342" xr:uid="{3C30F382-14C5-4A02-A8A4-EA9C4D5AB330}"/>
    <cellStyle name="Normal 9 5 9" xfId="9124" xr:uid="{03063285-EEF0-4551-AE0F-2DB1D7F0386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2 2 2" xfId="15902" xr:uid="{C3D60CD3-B9A7-4A0E-9743-41CD7CBD05B0}"/>
    <cellStyle name="Normal 9 6 2 2 3" xfId="11684" xr:uid="{D7AD5D17-2E9D-4637-839A-56E3C8A54F42}"/>
    <cellStyle name="Normal 9 6 2 3" xfId="5315" xr:uid="{00000000-0005-0000-0000-000076200000}"/>
    <cellStyle name="Normal 9 6 2 3 2" xfId="13757" xr:uid="{8F0293B4-5E5B-42FD-9E8F-A2CE355AA666}"/>
    <cellStyle name="Normal 9 6 2 4" xfId="9539" xr:uid="{62B34AAA-ABEE-4B05-B619-9E2BF3FDC01F}"/>
    <cellStyle name="Normal 9 6 3" xfId="1420" xr:uid="{00000000-0005-0000-0000-000077200000}"/>
    <cellStyle name="Normal 9 6 3 2" xfId="3650" xr:uid="{00000000-0005-0000-0000-000078200000}"/>
    <cellStyle name="Normal 9 6 3 2 2" xfId="7873" xr:uid="{00000000-0005-0000-0000-000079200000}"/>
    <cellStyle name="Normal 9 6 3 2 2 2" xfId="16315" xr:uid="{137C8D2B-16C5-49F0-BCB6-F833E0347F54}"/>
    <cellStyle name="Normal 9 6 3 2 3" xfId="12097" xr:uid="{F7FAFDC9-F21C-45CF-9DBD-4946D6F965F2}"/>
    <cellStyle name="Normal 9 6 3 3" xfId="5728" xr:uid="{00000000-0005-0000-0000-00007A200000}"/>
    <cellStyle name="Normal 9 6 3 3 2" xfId="14170" xr:uid="{3A4D12AB-D455-4A24-B7E0-1B3BD5C517BF}"/>
    <cellStyle name="Normal 9 6 3 4" xfId="9952" xr:uid="{4FB7E922-8146-4FC0-B16A-18E51AEA8EFB}"/>
    <cellStyle name="Normal 9 6 4" xfId="1833" xr:uid="{00000000-0005-0000-0000-00007B200000}"/>
    <cellStyle name="Normal 9 6 4 2" xfId="4063" xr:uid="{00000000-0005-0000-0000-00007C200000}"/>
    <cellStyle name="Normal 9 6 4 2 2" xfId="8286" xr:uid="{00000000-0005-0000-0000-00007D200000}"/>
    <cellStyle name="Normal 9 6 4 2 2 2" xfId="16728" xr:uid="{DB905887-2D2C-469D-8920-E14D5B5ABF97}"/>
    <cellStyle name="Normal 9 6 4 2 3" xfId="12510" xr:uid="{71AD274E-BF07-4885-BA6A-752A29E3CC5B}"/>
    <cellStyle name="Normal 9 6 4 3" xfId="6141" xr:uid="{00000000-0005-0000-0000-00007E200000}"/>
    <cellStyle name="Normal 9 6 4 3 2" xfId="14583" xr:uid="{1C1EF1C5-B9C7-402F-8B30-674B2A30659C}"/>
    <cellStyle name="Normal 9 6 4 4" xfId="10365" xr:uid="{2F829B70-D86D-412F-BFC5-CCCECCF7DA47}"/>
    <cellStyle name="Normal 9 6 5" xfId="2247" xr:uid="{00000000-0005-0000-0000-00007F200000}"/>
    <cellStyle name="Normal 9 6 5 2" xfId="4476" xr:uid="{00000000-0005-0000-0000-000080200000}"/>
    <cellStyle name="Normal 9 6 5 2 2" xfId="8699" xr:uid="{00000000-0005-0000-0000-000081200000}"/>
    <cellStyle name="Normal 9 6 5 2 2 2" xfId="17141" xr:uid="{8B416DE3-C049-46AC-B642-60DCDE530C03}"/>
    <cellStyle name="Normal 9 6 5 2 3" xfId="12923" xr:uid="{C6A8A62B-CFD0-40C5-B087-5A0FA354E6A3}"/>
    <cellStyle name="Normal 9 6 5 3" xfId="6554" xr:uid="{00000000-0005-0000-0000-000082200000}"/>
    <cellStyle name="Normal 9 6 5 3 2" xfId="14996" xr:uid="{90619B58-CD0B-4F98-AAF8-A9C46620FB48}"/>
    <cellStyle name="Normal 9 6 5 4" xfId="10778" xr:uid="{F9226B67-CD68-4D2A-801B-824D851DDF08}"/>
    <cellStyle name="Normal 9 6 6" xfId="2683" xr:uid="{00000000-0005-0000-0000-000083200000}"/>
    <cellStyle name="Normal 9 6 6 2" xfId="6967" xr:uid="{00000000-0005-0000-0000-000084200000}"/>
    <cellStyle name="Normal 9 6 6 2 2" xfId="15409" xr:uid="{13F085DD-F31C-42DA-9748-1CA6FF5A8740}"/>
    <cellStyle name="Normal 9 6 6 3" xfId="11191" xr:uid="{92814BB9-5FB0-40A7-B93D-7B2A69E74E27}"/>
    <cellStyle name="Normal 9 6 7" xfId="4902" xr:uid="{00000000-0005-0000-0000-000085200000}"/>
    <cellStyle name="Normal 9 6 7 2" xfId="13344" xr:uid="{98543AAA-FA3E-479E-AA41-FFF6864D2D98}"/>
    <cellStyle name="Normal 9 6 8" xfId="9126" xr:uid="{F310B16A-1517-4BBF-A02E-D9EBD45394D8}"/>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0 2 2" xfId="15490" xr:uid="{9B61305F-1BC8-41DE-87C0-4426A51B756D}"/>
    <cellStyle name="Note 2 2 10 3" xfId="11272" xr:uid="{958C4104-97B0-4D1F-BC01-E6EAF1A8318D}"/>
    <cellStyle name="Note 2 2 11" xfId="4903" xr:uid="{00000000-0005-0000-0000-000094200000}"/>
    <cellStyle name="Note 2 2 11 2" xfId="13345" xr:uid="{A2569C0C-B389-4CA7-81F3-E7E4F76D1FD6}"/>
    <cellStyle name="Note 2 2 12" xfId="9127" xr:uid="{6726FCEC-0CAD-42A7-806B-04A688D006D9}"/>
    <cellStyle name="Note 2 2 2" xfId="546" xr:uid="{00000000-0005-0000-0000-000095200000}"/>
    <cellStyle name="Note 2 2 2 10" xfId="4904" xr:uid="{00000000-0005-0000-0000-000096200000}"/>
    <cellStyle name="Note 2 2 2 10 2" xfId="13346" xr:uid="{F29D0023-AFCC-4768-AA0D-330C391AB69C}"/>
    <cellStyle name="Note 2 2 2 11" xfId="9128" xr:uid="{D19AF801-CCDF-41A6-A283-A0D92D6CEFDC}"/>
    <cellStyle name="Note 2 2 2 2" xfId="547" xr:uid="{00000000-0005-0000-0000-000097200000}"/>
    <cellStyle name="Note 2 2 2 2 10" xfId="9129" xr:uid="{5C7A3E54-7299-423B-87E7-ED597EFD3046}"/>
    <cellStyle name="Note 2 2 2 2 2" xfId="1008" xr:uid="{00000000-0005-0000-0000-000098200000}"/>
    <cellStyle name="Note 2 2 2 2 2 2" xfId="3240" xr:uid="{00000000-0005-0000-0000-000099200000}"/>
    <cellStyle name="Note 2 2 2 2 2 2 2" xfId="7463" xr:uid="{00000000-0005-0000-0000-00009A200000}"/>
    <cellStyle name="Note 2 2 2 2 2 2 2 2" xfId="15905" xr:uid="{85311421-CAE4-49CC-8AB8-C031D51C7713}"/>
    <cellStyle name="Note 2 2 2 2 2 2 3" xfId="11687" xr:uid="{7C4F2AC5-E3C3-44C2-B5D1-C90794CB221B}"/>
    <cellStyle name="Note 2 2 2 2 2 3" xfId="5318" xr:uid="{00000000-0005-0000-0000-00009B200000}"/>
    <cellStyle name="Note 2 2 2 2 2 3 2" xfId="13760" xr:uid="{C3B67C1F-BC27-4797-AD57-4FEAA6CC2F1B}"/>
    <cellStyle name="Note 2 2 2 2 2 4" xfId="9542" xr:uid="{3C89F3B9-3A3D-4047-B550-6D0D153138C6}"/>
    <cellStyle name="Note 2 2 2 2 3" xfId="1423" xr:uid="{00000000-0005-0000-0000-00009C200000}"/>
    <cellStyle name="Note 2 2 2 2 3 2" xfId="3653" xr:uid="{00000000-0005-0000-0000-00009D200000}"/>
    <cellStyle name="Note 2 2 2 2 3 2 2" xfId="7876" xr:uid="{00000000-0005-0000-0000-00009E200000}"/>
    <cellStyle name="Note 2 2 2 2 3 2 2 2" xfId="16318" xr:uid="{A575DE63-63A5-4672-A040-CAB1CFF1B3B5}"/>
    <cellStyle name="Note 2 2 2 2 3 2 3" xfId="12100" xr:uid="{C16F77DF-2C43-49F6-8265-41883ACD37C2}"/>
    <cellStyle name="Note 2 2 2 2 3 3" xfId="5731" xr:uid="{00000000-0005-0000-0000-00009F200000}"/>
    <cellStyle name="Note 2 2 2 2 3 3 2" xfId="14173" xr:uid="{18B5C459-6C0F-472A-88F5-8BCF49BBFADB}"/>
    <cellStyle name="Note 2 2 2 2 3 4" xfId="9955" xr:uid="{86A5E6E3-8598-4E75-8D25-0740625846FF}"/>
    <cellStyle name="Note 2 2 2 2 4" xfId="1837" xr:uid="{00000000-0005-0000-0000-0000A0200000}"/>
    <cellStyle name="Note 2 2 2 2 4 2" xfId="4066" xr:uid="{00000000-0005-0000-0000-0000A1200000}"/>
    <cellStyle name="Note 2 2 2 2 4 2 2" xfId="8289" xr:uid="{00000000-0005-0000-0000-0000A2200000}"/>
    <cellStyle name="Note 2 2 2 2 4 2 2 2" xfId="16731" xr:uid="{943A432D-DB0A-45BF-BE10-A5C706478ED7}"/>
    <cellStyle name="Note 2 2 2 2 4 2 3" xfId="12513" xr:uid="{E96963E9-1E52-41A6-A0B0-D432DEDF1701}"/>
    <cellStyle name="Note 2 2 2 2 4 3" xfId="6144" xr:uid="{00000000-0005-0000-0000-0000A3200000}"/>
    <cellStyle name="Note 2 2 2 2 4 3 2" xfId="14586" xr:uid="{16F93E9A-7BB4-472E-BC46-0CB88A4310C3}"/>
    <cellStyle name="Note 2 2 2 2 4 4" xfId="10368" xr:uid="{924EE527-C4A5-4EC1-9A17-E69A40495095}"/>
    <cellStyle name="Note 2 2 2 2 5" xfId="2250" xr:uid="{00000000-0005-0000-0000-0000A4200000}"/>
    <cellStyle name="Note 2 2 2 2 5 2" xfId="4479" xr:uid="{00000000-0005-0000-0000-0000A5200000}"/>
    <cellStyle name="Note 2 2 2 2 5 2 2" xfId="8702" xr:uid="{00000000-0005-0000-0000-0000A6200000}"/>
    <cellStyle name="Note 2 2 2 2 5 2 2 2" xfId="17144" xr:uid="{1E4490A7-499E-4F95-B827-AE1F67FE8FD5}"/>
    <cellStyle name="Note 2 2 2 2 5 2 3" xfId="12926" xr:uid="{27F93934-448D-4323-957D-1FF4C87A565A}"/>
    <cellStyle name="Note 2 2 2 2 5 3" xfId="6557" xr:uid="{00000000-0005-0000-0000-0000A7200000}"/>
    <cellStyle name="Note 2 2 2 2 5 3 2" xfId="14999" xr:uid="{2391B262-22B0-45C2-A5B1-E373836C2AD3}"/>
    <cellStyle name="Note 2 2 2 2 5 4" xfId="10781" xr:uid="{4919EA73-18B0-4EFB-94D3-A49A17E3AA83}"/>
    <cellStyle name="Note 2 2 2 2 6" xfId="2686" xr:uid="{00000000-0005-0000-0000-0000A8200000}"/>
    <cellStyle name="Note 2 2 2 2 6 2" xfId="6970" xr:uid="{00000000-0005-0000-0000-0000A9200000}"/>
    <cellStyle name="Note 2 2 2 2 6 2 2" xfId="15412" xr:uid="{7F4013DC-C6DA-4C40-A973-0F40120601D7}"/>
    <cellStyle name="Note 2 2 2 2 6 3" xfId="11194" xr:uid="{0247FD00-2ACA-4148-8E3F-AF5184553784}"/>
    <cellStyle name="Note 2 2 2 2 7" xfId="2745" xr:uid="{00000000-0005-0000-0000-0000AA200000}"/>
    <cellStyle name="Note 2 2 2 2 8" xfId="2826" xr:uid="{00000000-0005-0000-0000-0000AB200000}"/>
    <cellStyle name="Note 2 2 2 2 8 2" xfId="7050" xr:uid="{00000000-0005-0000-0000-0000AC200000}"/>
    <cellStyle name="Note 2 2 2 2 8 2 2" xfId="15492" xr:uid="{26244F77-A802-4D70-B779-EF98280D5E74}"/>
    <cellStyle name="Note 2 2 2 2 8 3" xfId="11274" xr:uid="{9CE41777-BCEC-47C9-989C-BDF194F7D948}"/>
    <cellStyle name="Note 2 2 2 2 9" xfId="4905" xr:uid="{00000000-0005-0000-0000-0000AD200000}"/>
    <cellStyle name="Note 2 2 2 2 9 2" xfId="13347" xr:uid="{DFEA86A2-35EF-4908-8C35-EF70C8339998}"/>
    <cellStyle name="Note 2 2 2 3" xfId="1007" xr:uid="{00000000-0005-0000-0000-0000AE200000}"/>
    <cellStyle name="Note 2 2 2 3 2" xfId="3239" xr:uid="{00000000-0005-0000-0000-0000AF200000}"/>
    <cellStyle name="Note 2 2 2 3 2 2" xfId="7462" xr:uid="{00000000-0005-0000-0000-0000B0200000}"/>
    <cellStyle name="Note 2 2 2 3 2 2 2" xfId="15904" xr:uid="{F897FC5B-EA10-4A8A-BAC1-2664BFFAAD08}"/>
    <cellStyle name="Note 2 2 2 3 2 3" xfId="11686" xr:uid="{BFB516CF-B495-4864-9080-C3A067CD96F1}"/>
    <cellStyle name="Note 2 2 2 3 3" xfId="5317" xr:uid="{00000000-0005-0000-0000-0000B1200000}"/>
    <cellStyle name="Note 2 2 2 3 3 2" xfId="13759" xr:uid="{416F6C64-D431-4C0D-9571-C42083D2B0FC}"/>
    <cellStyle name="Note 2 2 2 3 4" xfId="9541" xr:uid="{C149C47B-7885-4199-8791-DA6CF6DD53C9}"/>
    <cellStyle name="Note 2 2 2 4" xfId="1422" xr:uid="{00000000-0005-0000-0000-0000B2200000}"/>
    <cellStyle name="Note 2 2 2 4 2" xfId="3652" xr:uid="{00000000-0005-0000-0000-0000B3200000}"/>
    <cellStyle name="Note 2 2 2 4 2 2" xfId="7875" xr:uid="{00000000-0005-0000-0000-0000B4200000}"/>
    <cellStyle name="Note 2 2 2 4 2 2 2" xfId="16317" xr:uid="{A2ECC0ED-72AE-4161-9B08-E9189947D6FC}"/>
    <cellStyle name="Note 2 2 2 4 2 3" xfId="12099" xr:uid="{BC6CD2C9-4DC2-43EA-8D2F-03156BAD00BC}"/>
    <cellStyle name="Note 2 2 2 4 3" xfId="5730" xr:uid="{00000000-0005-0000-0000-0000B5200000}"/>
    <cellStyle name="Note 2 2 2 4 3 2" xfId="14172" xr:uid="{97AFDDC4-16E6-403B-B299-635D5572B323}"/>
    <cellStyle name="Note 2 2 2 4 4" xfId="9954" xr:uid="{A006005C-8C6A-452E-954E-570208F61CFB}"/>
    <cellStyle name="Note 2 2 2 5" xfId="1836" xr:uid="{00000000-0005-0000-0000-0000B6200000}"/>
    <cellStyle name="Note 2 2 2 5 2" xfId="4065" xr:uid="{00000000-0005-0000-0000-0000B7200000}"/>
    <cellStyle name="Note 2 2 2 5 2 2" xfId="8288" xr:uid="{00000000-0005-0000-0000-0000B8200000}"/>
    <cellStyle name="Note 2 2 2 5 2 2 2" xfId="16730" xr:uid="{A3CF7585-138F-4190-A6F3-96127CB72379}"/>
    <cellStyle name="Note 2 2 2 5 2 3" xfId="12512" xr:uid="{9D90DD4B-778A-49D5-8E63-16C669A1211F}"/>
    <cellStyle name="Note 2 2 2 5 3" xfId="6143" xr:uid="{00000000-0005-0000-0000-0000B9200000}"/>
    <cellStyle name="Note 2 2 2 5 3 2" xfId="14585" xr:uid="{AA32C0BA-C6CE-45D5-9FAB-CC710B75FE0D}"/>
    <cellStyle name="Note 2 2 2 5 4" xfId="10367" xr:uid="{B0E7C1F5-029B-4A7A-9FFE-AFF646A3A170}"/>
    <cellStyle name="Note 2 2 2 6" xfId="2249" xr:uid="{00000000-0005-0000-0000-0000BA200000}"/>
    <cellStyle name="Note 2 2 2 6 2" xfId="4478" xr:uid="{00000000-0005-0000-0000-0000BB200000}"/>
    <cellStyle name="Note 2 2 2 6 2 2" xfId="8701" xr:uid="{00000000-0005-0000-0000-0000BC200000}"/>
    <cellStyle name="Note 2 2 2 6 2 2 2" xfId="17143" xr:uid="{C39E380A-888E-4CC1-BC4F-B17E181EA99C}"/>
    <cellStyle name="Note 2 2 2 6 2 3" xfId="12925" xr:uid="{BC8399C0-B510-4119-8A00-505A4F066EF5}"/>
    <cellStyle name="Note 2 2 2 6 3" xfId="6556" xr:uid="{00000000-0005-0000-0000-0000BD200000}"/>
    <cellStyle name="Note 2 2 2 6 3 2" xfId="14998" xr:uid="{436DFBC2-40D9-4FB3-8B9D-3537F4E0BC19}"/>
    <cellStyle name="Note 2 2 2 6 4" xfId="10780" xr:uid="{72320AE4-CCCB-4310-8136-8310C90FFEA7}"/>
    <cellStyle name="Note 2 2 2 7" xfId="2685" xr:uid="{00000000-0005-0000-0000-0000BE200000}"/>
    <cellStyle name="Note 2 2 2 7 2" xfId="6969" xr:uid="{00000000-0005-0000-0000-0000BF200000}"/>
    <cellStyle name="Note 2 2 2 7 2 2" xfId="15411" xr:uid="{A7F06C2C-23CE-4915-8730-2364B1B6EF40}"/>
    <cellStyle name="Note 2 2 2 7 3" xfId="11193" xr:uid="{A66C3F79-F601-442C-B41B-2C8DB2543041}"/>
    <cellStyle name="Note 2 2 2 8" xfId="2744" xr:uid="{00000000-0005-0000-0000-0000C0200000}"/>
    <cellStyle name="Note 2 2 2 9" xfId="2825" xr:uid="{00000000-0005-0000-0000-0000C1200000}"/>
    <cellStyle name="Note 2 2 2 9 2" xfId="7049" xr:uid="{00000000-0005-0000-0000-0000C2200000}"/>
    <cellStyle name="Note 2 2 2 9 2 2" xfId="15491" xr:uid="{27B2A584-9EF7-491B-95B4-0F15988D5424}"/>
    <cellStyle name="Note 2 2 2 9 3" xfId="11273" xr:uid="{EB2A10DB-3ACC-4362-AF8A-DE0CF8D9552D}"/>
    <cellStyle name="Note 2 2 3" xfId="548" xr:uid="{00000000-0005-0000-0000-0000C3200000}"/>
    <cellStyle name="Note 2 2 3 10" xfId="9130" xr:uid="{7649E684-1B4C-47E6-9623-51F0F220AE74}"/>
    <cellStyle name="Note 2 2 3 2" xfId="1009" xr:uid="{00000000-0005-0000-0000-0000C4200000}"/>
    <cellStyle name="Note 2 2 3 2 2" xfId="3241" xr:uid="{00000000-0005-0000-0000-0000C5200000}"/>
    <cellStyle name="Note 2 2 3 2 2 2" xfId="7464" xr:uid="{00000000-0005-0000-0000-0000C6200000}"/>
    <cellStyle name="Note 2 2 3 2 2 2 2" xfId="15906" xr:uid="{C4EF7459-D017-4911-8E46-2DF26B0172C1}"/>
    <cellStyle name="Note 2 2 3 2 2 3" xfId="11688" xr:uid="{97135646-5B3B-4219-A3CE-00E3D9E7038A}"/>
    <cellStyle name="Note 2 2 3 2 3" xfId="5319" xr:uid="{00000000-0005-0000-0000-0000C7200000}"/>
    <cellStyle name="Note 2 2 3 2 3 2" xfId="13761" xr:uid="{3FAD56F9-CB96-49B9-A054-A16714F2E959}"/>
    <cellStyle name="Note 2 2 3 2 4" xfId="9543" xr:uid="{D12773E8-0116-44A6-9574-E9922DA9D0B0}"/>
    <cellStyle name="Note 2 2 3 3" xfId="1424" xr:uid="{00000000-0005-0000-0000-0000C8200000}"/>
    <cellStyle name="Note 2 2 3 3 2" xfId="3654" xr:uid="{00000000-0005-0000-0000-0000C9200000}"/>
    <cellStyle name="Note 2 2 3 3 2 2" xfId="7877" xr:uid="{00000000-0005-0000-0000-0000CA200000}"/>
    <cellStyle name="Note 2 2 3 3 2 2 2" xfId="16319" xr:uid="{8D8491FE-E1F3-43BD-B6AB-3A03A480C892}"/>
    <cellStyle name="Note 2 2 3 3 2 3" xfId="12101" xr:uid="{5723F5B4-593D-4829-8593-BF613300A019}"/>
    <cellStyle name="Note 2 2 3 3 3" xfId="5732" xr:uid="{00000000-0005-0000-0000-0000CB200000}"/>
    <cellStyle name="Note 2 2 3 3 3 2" xfId="14174" xr:uid="{91FB8C70-1069-45AF-9A5C-D41E703636B3}"/>
    <cellStyle name="Note 2 2 3 3 4" xfId="9956" xr:uid="{D46C698F-2C9E-4AA6-9568-02FF09B02C44}"/>
    <cellStyle name="Note 2 2 3 4" xfId="1838" xr:uid="{00000000-0005-0000-0000-0000CC200000}"/>
    <cellStyle name="Note 2 2 3 4 2" xfId="4067" xr:uid="{00000000-0005-0000-0000-0000CD200000}"/>
    <cellStyle name="Note 2 2 3 4 2 2" xfId="8290" xr:uid="{00000000-0005-0000-0000-0000CE200000}"/>
    <cellStyle name="Note 2 2 3 4 2 2 2" xfId="16732" xr:uid="{3761C8B5-C5EC-4DA4-9395-8FFBA67BD2EA}"/>
    <cellStyle name="Note 2 2 3 4 2 3" xfId="12514" xr:uid="{52C42250-0081-4D86-BFB0-E245E456B8DD}"/>
    <cellStyle name="Note 2 2 3 4 3" xfId="6145" xr:uid="{00000000-0005-0000-0000-0000CF200000}"/>
    <cellStyle name="Note 2 2 3 4 3 2" xfId="14587" xr:uid="{D14FFC4F-8C3F-45A7-8979-BB4EEA182353}"/>
    <cellStyle name="Note 2 2 3 4 4" xfId="10369" xr:uid="{F456BB3D-AFD7-4A71-9816-525DFF29563C}"/>
    <cellStyle name="Note 2 2 3 5" xfId="2251" xr:uid="{00000000-0005-0000-0000-0000D0200000}"/>
    <cellStyle name="Note 2 2 3 5 2" xfId="4480" xr:uid="{00000000-0005-0000-0000-0000D1200000}"/>
    <cellStyle name="Note 2 2 3 5 2 2" xfId="8703" xr:uid="{00000000-0005-0000-0000-0000D2200000}"/>
    <cellStyle name="Note 2 2 3 5 2 2 2" xfId="17145" xr:uid="{D24E743D-80E3-4B29-92C9-758D32757AD8}"/>
    <cellStyle name="Note 2 2 3 5 2 3" xfId="12927" xr:uid="{A6DA7228-6B72-437A-ADD4-8988C118EA89}"/>
    <cellStyle name="Note 2 2 3 5 3" xfId="6558" xr:uid="{00000000-0005-0000-0000-0000D3200000}"/>
    <cellStyle name="Note 2 2 3 5 3 2" xfId="15000" xr:uid="{05832869-8D68-42C8-A09A-BA7114B054C9}"/>
    <cellStyle name="Note 2 2 3 5 4" xfId="10782" xr:uid="{45BCA8FA-FE22-4BB7-A9EB-7B94006454E6}"/>
    <cellStyle name="Note 2 2 3 6" xfId="2687" xr:uid="{00000000-0005-0000-0000-0000D4200000}"/>
    <cellStyle name="Note 2 2 3 6 2" xfId="6971" xr:uid="{00000000-0005-0000-0000-0000D5200000}"/>
    <cellStyle name="Note 2 2 3 6 2 2" xfId="15413" xr:uid="{073B2FCD-B459-4CE6-ACB7-9D78088B81E5}"/>
    <cellStyle name="Note 2 2 3 6 3" xfId="11195" xr:uid="{E33CD29A-41F5-44C2-9DFB-4732623ADB01}"/>
    <cellStyle name="Note 2 2 3 7" xfId="2746" xr:uid="{00000000-0005-0000-0000-0000D6200000}"/>
    <cellStyle name="Note 2 2 3 8" xfId="2827" xr:uid="{00000000-0005-0000-0000-0000D7200000}"/>
    <cellStyle name="Note 2 2 3 8 2" xfId="7051" xr:uid="{00000000-0005-0000-0000-0000D8200000}"/>
    <cellStyle name="Note 2 2 3 8 2 2" xfId="15493" xr:uid="{88809D34-706D-463C-8BC8-32ADEBCD13BA}"/>
    <cellStyle name="Note 2 2 3 8 3" xfId="11275" xr:uid="{31AA9990-B4AE-42D4-8A72-07943B88F224}"/>
    <cellStyle name="Note 2 2 3 9" xfId="4906" xr:uid="{00000000-0005-0000-0000-0000D9200000}"/>
    <cellStyle name="Note 2 2 3 9 2" xfId="13348" xr:uid="{5AF66D6D-A0EE-46E7-BBD4-FDB30583D7C8}"/>
    <cellStyle name="Note 2 2 4" xfId="1006" xr:uid="{00000000-0005-0000-0000-0000DA200000}"/>
    <cellStyle name="Note 2 2 4 2" xfId="3238" xr:uid="{00000000-0005-0000-0000-0000DB200000}"/>
    <cellStyle name="Note 2 2 4 2 2" xfId="7461" xr:uid="{00000000-0005-0000-0000-0000DC200000}"/>
    <cellStyle name="Note 2 2 4 2 2 2" xfId="15903" xr:uid="{EFCBDE3D-4A97-41FC-877E-F7817BDCBC00}"/>
    <cellStyle name="Note 2 2 4 2 3" xfId="11685" xr:uid="{5CD09370-4316-4D10-BD3D-6B8C11FA2660}"/>
    <cellStyle name="Note 2 2 4 3" xfId="5316" xr:uid="{00000000-0005-0000-0000-0000DD200000}"/>
    <cellStyle name="Note 2 2 4 3 2" xfId="13758" xr:uid="{2029292A-9CC2-4B24-84B9-5CC5D7A575BF}"/>
    <cellStyle name="Note 2 2 4 4" xfId="9540" xr:uid="{64CE0C3F-11D0-4CDB-84EE-EBBF417A2B8C}"/>
    <cellStyle name="Note 2 2 5" xfId="1421" xr:uid="{00000000-0005-0000-0000-0000DE200000}"/>
    <cellStyle name="Note 2 2 5 2" xfId="3651" xr:uid="{00000000-0005-0000-0000-0000DF200000}"/>
    <cellStyle name="Note 2 2 5 2 2" xfId="7874" xr:uid="{00000000-0005-0000-0000-0000E0200000}"/>
    <cellStyle name="Note 2 2 5 2 2 2" xfId="16316" xr:uid="{0757DE6C-6B67-47C7-804C-555AD34F0878}"/>
    <cellStyle name="Note 2 2 5 2 3" xfId="12098" xr:uid="{F7FF1DAF-F17D-4484-9DA9-D1414EDEEE58}"/>
    <cellStyle name="Note 2 2 5 3" xfId="5729" xr:uid="{00000000-0005-0000-0000-0000E1200000}"/>
    <cellStyle name="Note 2 2 5 3 2" xfId="14171" xr:uid="{418AA99A-971A-4F07-AD3B-3424EAD58A85}"/>
    <cellStyle name="Note 2 2 5 4" xfId="9953" xr:uid="{70160C6C-40E0-4FBB-8DD3-DC70159F21BA}"/>
    <cellStyle name="Note 2 2 6" xfId="1835" xr:uid="{00000000-0005-0000-0000-0000E2200000}"/>
    <cellStyle name="Note 2 2 6 2" xfId="4064" xr:uid="{00000000-0005-0000-0000-0000E3200000}"/>
    <cellStyle name="Note 2 2 6 2 2" xfId="8287" xr:uid="{00000000-0005-0000-0000-0000E4200000}"/>
    <cellStyle name="Note 2 2 6 2 2 2" xfId="16729" xr:uid="{A51CD394-88C8-4EBC-974F-38EF26BCD192}"/>
    <cellStyle name="Note 2 2 6 2 3" xfId="12511" xr:uid="{E7B6A5D2-C866-4784-9BFC-8882E4AD14EA}"/>
    <cellStyle name="Note 2 2 6 3" xfId="6142" xr:uid="{00000000-0005-0000-0000-0000E5200000}"/>
    <cellStyle name="Note 2 2 6 3 2" xfId="14584" xr:uid="{01369296-A21D-4318-8BD6-5F16BAAA113A}"/>
    <cellStyle name="Note 2 2 6 4" xfId="10366" xr:uid="{9ADAE7DC-842F-4B54-BB51-C7F95D2CF97E}"/>
    <cellStyle name="Note 2 2 7" xfId="2248" xr:uid="{00000000-0005-0000-0000-0000E6200000}"/>
    <cellStyle name="Note 2 2 7 2" xfId="4477" xr:uid="{00000000-0005-0000-0000-0000E7200000}"/>
    <cellStyle name="Note 2 2 7 2 2" xfId="8700" xr:uid="{00000000-0005-0000-0000-0000E8200000}"/>
    <cellStyle name="Note 2 2 7 2 2 2" xfId="17142" xr:uid="{807AB031-E66C-4DFD-9B42-59B38A07E077}"/>
    <cellStyle name="Note 2 2 7 2 3" xfId="12924" xr:uid="{CDFF79FF-378D-48DD-984D-9FDE86E6DBED}"/>
    <cellStyle name="Note 2 2 7 3" xfId="6555" xr:uid="{00000000-0005-0000-0000-0000E9200000}"/>
    <cellStyle name="Note 2 2 7 3 2" xfId="14997" xr:uid="{ABD72871-9D63-4EB8-97ED-39BB9F6EB2B4}"/>
    <cellStyle name="Note 2 2 7 4" xfId="10779" xr:uid="{1232F4FC-9F8B-4771-BF8A-47ACD232B2E4}"/>
    <cellStyle name="Note 2 2 8" xfId="2684" xr:uid="{00000000-0005-0000-0000-0000EA200000}"/>
    <cellStyle name="Note 2 2 8 2" xfId="6968" xr:uid="{00000000-0005-0000-0000-0000EB200000}"/>
    <cellStyle name="Note 2 2 8 2 2" xfId="15410" xr:uid="{BB64EB76-70DE-45D0-B743-ADF154736AC1}"/>
    <cellStyle name="Note 2 2 8 3" xfId="11192" xr:uid="{AA73EEBF-8FB9-4CCF-8F00-3117B68DF3C5}"/>
    <cellStyle name="Note 2 2 9" xfId="2743" xr:uid="{00000000-0005-0000-0000-0000EC200000}"/>
    <cellStyle name="Note 2 3" xfId="549" xr:uid="{00000000-0005-0000-0000-0000ED200000}"/>
    <cellStyle name="Note 2 3 10" xfId="4907" xr:uid="{00000000-0005-0000-0000-0000EE200000}"/>
    <cellStyle name="Note 2 3 10 2" xfId="13349" xr:uid="{0D19777B-D6D3-4766-88D6-E2AD03AC2CA1}"/>
    <cellStyle name="Note 2 3 11" xfId="9131" xr:uid="{122BB26F-8DE3-48CC-AAC6-056E8E69153E}"/>
    <cellStyle name="Note 2 3 2" xfId="550" xr:uid="{00000000-0005-0000-0000-0000EF200000}"/>
    <cellStyle name="Note 2 3 2 10" xfId="9132" xr:uid="{17E10EE8-4446-420F-82CD-4C6346A22F51}"/>
    <cellStyle name="Note 2 3 2 2" xfId="1011" xr:uid="{00000000-0005-0000-0000-0000F0200000}"/>
    <cellStyle name="Note 2 3 2 2 2" xfId="3243" xr:uid="{00000000-0005-0000-0000-0000F1200000}"/>
    <cellStyle name="Note 2 3 2 2 2 2" xfId="7466" xr:uid="{00000000-0005-0000-0000-0000F2200000}"/>
    <cellStyle name="Note 2 3 2 2 2 2 2" xfId="15908" xr:uid="{963EF250-7433-49B7-9543-F64A11E4F497}"/>
    <cellStyle name="Note 2 3 2 2 2 3" xfId="11690" xr:uid="{AC570ECC-1FE3-450B-A17E-FB8821F60EA5}"/>
    <cellStyle name="Note 2 3 2 2 3" xfId="5321" xr:uid="{00000000-0005-0000-0000-0000F3200000}"/>
    <cellStyle name="Note 2 3 2 2 3 2" xfId="13763" xr:uid="{F3AA9BCD-72BF-4B64-B46C-20BE575E294E}"/>
    <cellStyle name="Note 2 3 2 2 4" xfId="9545" xr:uid="{0D6099A6-E4CF-487C-B11E-C1A7ED0306E3}"/>
    <cellStyle name="Note 2 3 2 3" xfId="1426" xr:uid="{00000000-0005-0000-0000-0000F4200000}"/>
    <cellStyle name="Note 2 3 2 3 2" xfId="3656" xr:uid="{00000000-0005-0000-0000-0000F5200000}"/>
    <cellStyle name="Note 2 3 2 3 2 2" xfId="7879" xr:uid="{00000000-0005-0000-0000-0000F6200000}"/>
    <cellStyle name="Note 2 3 2 3 2 2 2" xfId="16321" xr:uid="{938E612A-8254-4405-8576-573DB61EB9A0}"/>
    <cellStyle name="Note 2 3 2 3 2 3" xfId="12103" xr:uid="{4BD9850B-29D6-4088-BEA2-AE830383304A}"/>
    <cellStyle name="Note 2 3 2 3 3" xfId="5734" xr:uid="{00000000-0005-0000-0000-0000F7200000}"/>
    <cellStyle name="Note 2 3 2 3 3 2" xfId="14176" xr:uid="{AADCD043-8B99-479A-AEA8-E4E27E471492}"/>
    <cellStyle name="Note 2 3 2 3 4" xfId="9958" xr:uid="{92DF1E0A-7008-4777-8B42-F3FB197176FA}"/>
    <cellStyle name="Note 2 3 2 4" xfId="1840" xr:uid="{00000000-0005-0000-0000-0000F8200000}"/>
    <cellStyle name="Note 2 3 2 4 2" xfId="4069" xr:uid="{00000000-0005-0000-0000-0000F9200000}"/>
    <cellStyle name="Note 2 3 2 4 2 2" xfId="8292" xr:uid="{00000000-0005-0000-0000-0000FA200000}"/>
    <cellStyle name="Note 2 3 2 4 2 2 2" xfId="16734" xr:uid="{CB833E33-124A-4726-877B-CF909363C92C}"/>
    <cellStyle name="Note 2 3 2 4 2 3" xfId="12516" xr:uid="{F5C859AD-6904-49EE-8E7E-A27D3E44C013}"/>
    <cellStyle name="Note 2 3 2 4 3" xfId="6147" xr:uid="{00000000-0005-0000-0000-0000FB200000}"/>
    <cellStyle name="Note 2 3 2 4 3 2" xfId="14589" xr:uid="{6E72E31A-431E-456A-A159-B7713270CED6}"/>
    <cellStyle name="Note 2 3 2 4 4" xfId="10371" xr:uid="{FFA5D186-6F16-4F25-B122-A6EA7047E10B}"/>
    <cellStyle name="Note 2 3 2 5" xfId="2253" xr:uid="{00000000-0005-0000-0000-0000FC200000}"/>
    <cellStyle name="Note 2 3 2 5 2" xfId="4482" xr:uid="{00000000-0005-0000-0000-0000FD200000}"/>
    <cellStyle name="Note 2 3 2 5 2 2" xfId="8705" xr:uid="{00000000-0005-0000-0000-0000FE200000}"/>
    <cellStyle name="Note 2 3 2 5 2 2 2" xfId="17147" xr:uid="{93B8144E-ADCC-406D-A6CD-28069013B19D}"/>
    <cellStyle name="Note 2 3 2 5 2 3" xfId="12929" xr:uid="{B0B3DE30-6244-4A0B-8FCB-0FC2D6CF3940}"/>
    <cellStyle name="Note 2 3 2 5 3" xfId="6560" xr:uid="{00000000-0005-0000-0000-0000FF200000}"/>
    <cellStyle name="Note 2 3 2 5 3 2" xfId="15002" xr:uid="{795B7C67-72C4-40B8-9BEA-EF5CF21409B3}"/>
    <cellStyle name="Note 2 3 2 5 4" xfId="10784" xr:uid="{B38D462F-F2B3-49D6-BED5-CA862AF30120}"/>
    <cellStyle name="Note 2 3 2 6" xfId="2689" xr:uid="{00000000-0005-0000-0000-000000210000}"/>
    <cellStyle name="Note 2 3 2 6 2" xfId="6973" xr:uid="{00000000-0005-0000-0000-000001210000}"/>
    <cellStyle name="Note 2 3 2 6 2 2" xfId="15415" xr:uid="{246F78AC-EAB6-4E4E-9C32-A899E2C8ADB1}"/>
    <cellStyle name="Note 2 3 2 6 3" xfId="11197" xr:uid="{E3F7E63B-8A1D-4385-8663-B55714C5F8BE}"/>
    <cellStyle name="Note 2 3 2 7" xfId="2748" xr:uid="{00000000-0005-0000-0000-000002210000}"/>
    <cellStyle name="Note 2 3 2 8" xfId="2829" xr:uid="{00000000-0005-0000-0000-000003210000}"/>
    <cellStyle name="Note 2 3 2 8 2" xfId="7053" xr:uid="{00000000-0005-0000-0000-000004210000}"/>
    <cellStyle name="Note 2 3 2 8 2 2" xfId="15495" xr:uid="{4390C8D5-B751-41D2-95BF-188A3891EAC8}"/>
    <cellStyle name="Note 2 3 2 8 3" xfId="11277" xr:uid="{6AD91BE6-BC4B-4C2A-AF60-921F6B5AB42C}"/>
    <cellStyle name="Note 2 3 2 9" xfId="4908" xr:uid="{00000000-0005-0000-0000-000005210000}"/>
    <cellStyle name="Note 2 3 2 9 2" xfId="13350" xr:uid="{C4A2BA2F-5BE9-482F-84F7-4CAF4F20420B}"/>
    <cellStyle name="Note 2 3 3" xfId="1010" xr:uid="{00000000-0005-0000-0000-000006210000}"/>
    <cellStyle name="Note 2 3 3 2" xfId="3242" xr:uid="{00000000-0005-0000-0000-000007210000}"/>
    <cellStyle name="Note 2 3 3 2 2" xfId="7465" xr:uid="{00000000-0005-0000-0000-000008210000}"/>
    <cellStyle name="Note 2 3 3 2 2 2" xfId="15907" xr:uid="{55101546-448E-43FD-9070-D8E9C5BE8B36}"/>
    <cellStyle name="Note 2 3 3 2 3" xfId="11689" xr:uid="{E8736D86-CC6F-4837-BB78-5ACCF424EB37}"/>
    <cellStyle name="Note 2 3 3 3" xfId="5320" xr:uid="{00000000-0005-0000-0000-000009210000}"/>
    <cellStyle name="Note 2 3 3 3 2" xfId="13762" xr:uid="{B55271F4-3DD5-4F51-A33D-110EF5F61B35}"/>
    <cellStyle name="Note 2 3 3 4" xfId="9544" xr:uid="{517CD75C-8CC9-4C79-9FE2-002896A686DB}"/>
    <cellStyle name="Note 2 3 4" xfId="1425" xr:uid="{00000000-0005-0000-0000-00000A210000}"/>
    <cellStyle name="Note 2 3 4 2" xfId="3655" xr:uid="{00000000-0005-0000-0000-00000B210000}"/>
    <cellStyle name="Note 2 3 4 2 2" xfId="7878" xr:uid="{00000000-0005-0000-0000-00000C210000}"/>
    <cellStyle name="Note 2 3 4 2 2 2" xfId="16320" xr:uid="{C510F3F6-67CA-4945-B6C7-E9E4E786A706}"/>
    <cellStyle name="Note 2 3 4 2 3" xfId="12102" xr:uid="{C8BFF5E1-D88F-4B29-8F07-B394981088C8}"/>
    <cellStyle name="Note 2 3 4 3" xfId="5733" xr:uid="{00000000-0005-0000-0000-00000D210000}"/>
    <cellStyle name="Note 2 3 4 3 2" xfId="14175" xr:uid="{DB246EE8-C3D1-4205-8B08-EFDF4998FC28}"/>
    <cellStyle name="Note 2 3 4 4" xfId="9957" xr:uid="{2868247F-785F-4A11-99AA-384FC9877274}"/>
    <cellStyle name="Note 2 3 5" xfId="1839" xr:uid="{00000000-0005-0000-0000-00000E210000}"/>
    <cellStyle name="Note 2 3 5 2" xfId="4068" xr:uid="{00000000-0005-0000-0000-00000F210000}"/>
    <cellStyle name="Note 2 3 5 2 2" xfId="8291" xr:uid="{00000000-0005-0000-0000-000010210000}"/>
    <cellStyle name="Note 2 3 5 2 2 2" xfId="16733" xr:uid="{FF57E739-953F-466D-BB90-D19D19674990}"/>
    <cellStyle name="Note 2 3 5 2 3" xfId="12515" xr:uid="{3349A6B3-9508-4AFA-A18D-2FE9F7F182CA}"/>
    <cellStyle name="Note 2 3 5 3" xfId="6146" xr:uid="{00000000-0005-0000-0000-000011210000}"/>
    <cellStyle name="Note 2 3 5 3 2" xfId="14588" xr:uid="{4374F73E-AFA5-423B-BC6B-4CBCA793DF1B}"/>
    <cellStyle name="Note 2 3 5 4" xfId="10370" xr:uid="{9AD73F9B-4137-4522-AAB4-914079FF13D2}"/>
    <cellStyle name="Note 2 3 6" xfId="2252" xr:uid="{00000000-0005-0000-0000-000012210000}"/>
    <cellStyle name="Note 2 3 6 2" xfId="4481" xr:uid="{00000000-0005-0000-0000-000013210000}"/>
    <cellStyle name="Note 2 3 6 2 2" xfId="8704" xr:uid="{00000000-0005-0000-0000-000014210000}"/>
    <cellStyle name="Note 2 3 6 2 2 2" xfId="17146" xr:uid="{B4E07247-AD16-43EC-8011-B378DDE65FEA}"/>
    <cellStyle name="Note 2 3 6 2 3" xfId="12928" xr:uid="{89620A97-EA25-4411-BA24-F551A52E8E53}"/>
    <cellStyle name="Note 2 3 6 3" xfId="6559" xr:uid="{00000000-0005-0000-0000-000015210000}"/>
    <cellStyle name="Note 2 3 6 3 2" xfId="15001" xr:uid="{E2DCE384-B3CF-4479-902D-8D9973B69A72}"/>
    <cellStyle name="Note 2 3 6 4" xfId="10783" xr:uid="{FB125090-4CAD-4C97-A329-F9CB4277F69F}"/>
    <cellStyle name="Note 2 3 7" xfId="2688" xr:uid="{00000000-0005-0000-0000-000016210000}"/>
    <cellStyle name="Note 2 3 7 2" xfId="6972" xr:uid="{00000000-0005-0000-0000-000017210000}"/>
    <cellStyle name="Note 2 3 7 2 2" xfId="15414" xr:uid="{9F715182-2496-4A2E-8E4F-93C4AC2360C6}"/>
    <cellStyle name="Note 2 3 7 3" xfId="11196" xr:uid="{248288B7-5240-43F8-8B3F-2CAD44233ABE}"/>
    <cellStyle name="Note 2 3 8" xfId="2747" xr:uid="{00000000-0005-0000-0000-000018210000}"/>
    <cellStyle name="Note 2 3 9" xfId="2828" xr:uid="{00000000-0005-0000-0000-000019210000}"/>
    <cellStyle name="Note 2 3 9 2" xfId="7052" xr:uid="{00000000-0005-0000-0000-00001A210000}"/>
    <cellStyle name="Note 2 3 9 2 2" xfId="15494" xr:uid="{AFA5BEAB-0864-4530-9350-28D7DD1EA43B}"/>
    <cellStyle name="Note 2 3 9 3" xfId="11276" xr:uid="{6B98C7E0-6C6A-4D86-9B5B-B40A7DFDAD7C}"/>
    <cellStyle name="Note 2 4" xfId="551" xr:uid="{00000000-0005-0000-0000-00001B210000}"/>
    <cellStyle name="Note 2 4 10" xfId="9133" xr:uid="{27C8E0B3-3352-4DC6-B528-73A6A4A45842}"/>
    <cellStyle name="Note 2 4 2" xfId="1012" xr:uid="{00000000-0005-0000-0000-00001C210000}"/>
    <cellStyle name="Note 2 4 2 2" xfId="3244" xr:uid="{00000000-0005-0000-0000-00001D210000}"/>
    <cellStyle name="Note 2 4 2 2 2" xfId="7467" xr:uid="{00000000-0005-0000-0000-00001E210000}"/>
    <cellStyle name="Note 2 4 2 2 2 2" xfId="15909" xr:uid="{A5AECDD2-90AC-4776-A2C9-6BC03923953D}"/>
    <cellStyle name="Note 2 4 2 2 3" xfId="11691" xr:uid="{510D4FA9-452F-40D9-9FB9-83FB0EDE5E24}"/>
    <cellStyle name="Note 2 4 2 3" xfId="5322" xr:uid="{00000000-0005-0000-0000-00001F210000}"/>
    <cellStyle name="Note 2 4 2 3 2" xfId="13764" xr:uid="{8850F151-E8CB-4400-9D8E-27908E8B8207}"/>
    <cellStyle name="Note 2 4 2 4" xfId="9546" xr:uid="{6F002767-17BE-47F4-8376-AF847DEB2871}"/>
    <cellStyle name="Note 2 4 3" xfId="1427" xr:uid="{00000000-0005-0000-0000-000020210000}"/>
    <cellStyle name="Note 2 4 3 2" xfId="3657" xr:uid="{00000000-0005-0000-0000-000021210000}"/>
    <cellStyle name="Note 2 4 3 2 2" xfId="7880" xr:uid="{00000000-0005-0000-0000-000022210000}"/>
    <cellStyle name="Note 2 4 3 2 2 2" xfId="16322" xr:uid="{022CF89A-C1D6-4500-85FE-AF3F2ECBB9A9}"/>
    <cellStyle name="Note 2 4 3 2 3" xfId="12104" xr:uid="{A3565323-B373-43F2-BD29-00A0369F8667}"/>
    <cellStyle name="Note 2 4 3 3" xfId="5735" xr:uid="{00000000-0005-0000-0000-000023210000}"/>
    <cellStyle name="Note 2 4 3 3 2" xfId="14177" xr:uid="{1351B0A3-946E-439E-947C-725F0026ED67}"/>
    <cellStyle name="Note 2 4 3 4" xfId="9959" xr:uid="{F0C0D881-A683-48FE-9E30-651D5855B0B6}"/>
    <cellStyle name="Note 2 4 4" xfId="1841" xr:uid="{00000000-0005-0000-0000-000024210000}"/>
    <cellStyle name="Note 2 4 4 2" xfId="4070" xr:uid="{00000000-0005-0000-0000-000025210000}"/>
    <cellStyle name="Note 2 4 4 2 2" xfId="8293" xr:uid="{00000000-0005-0000-0000-000026210000}"/>
    <cellStyle name="Note 2 4 4 2 2 2" xfId="16735" xr:uid="{D45E5D2D-9BBA-46D3-8FFE-94BDDA8B5DC7}"/>
    <cellStyle name="Note 2 4 4 2 3" xfId="12517" xr:uid="{0E9A14B9-FBF7-4095-B4DE-FB89891CA0DD}"/>
    <cellStyle name="Note 2 4 4 3" xfId="6148" xr:uid="{00000000-0005-0000-0000-000027210000}"/>
    <cellStyle name="Note 2 4 4 3 2" xfId="14590" xr:uid="{9E71B098-D55F-4B0D-B40F-C0DB5EC7BE5A}"/>
    <cellStyle name="Note 2 4 4 4" xfId="10372" xr:uid="{976DE442-8580-46A2-BD48-21E725BF3DA5}"/>
    <cellStyle name="Note 2 4 5" xfId="2254" xr:uid="{00000000-0005-0000-0000-000028210000}"/>
    <cellStyle name="Note 2 4 5 2" xfId="4483" xr:uid="{00000000-0005-0000-0000-000029210000}"/>
    <cellStyle name="Note 2 4 5 2 2" xfId="8706" xr:uid="{00000000-0005-0000-0000-00002A210000}"/>
    <cellStyle name="Note 2 4 5 2 2 2" xfId="17148" xr:uid="{FC651934-843B-4AE3-99FA-5AE109E75B95}"/>
    <cellStyle name="Note 2 4 5 2 3" xfId="12930" xr:uid="{D875E685-1FF7-46DE-B960-4CE5EC5239E5}"/>
    <cellStyle name="Note 2 4 5 3" xfId="6561" xr:uid="{00000000-0005-0000-0000-00002B210000}"/>
    <cellStyle name="Note 2 4 5 3 2" xfId="15003" xr:uid="{831E814B-301D-4167-B09D-7122E5EF0391}"/>
    <cellStyle name="Note 2 4 5 4" xfId="10785" xr:uid="{E8F1175B-AA69-4471-93E7-9EA2BCA5530D}"/>
    <cellStyle name="Note 2 4 6" xfId="2690" xr:uid="{00000000-0005-0000-0000-00002C210000}"/>
    <cellStyle name="Note 2 4 6 2" xfId="6974" xr:uid="{00000000-0005-0000-0000-00002D210000}"/>
    <cellStyle name="Note 2 4 6 2 2" xfId="15416" xr:uid="{088D8599-BD2E-432A-8000-A0C13BBF8E61}"/>
    <cellStyle name="Note 2 4 6 3" xfId="11198" xr:uid="{73688011-8EED-4354-B36C-33E6EC8EB3C9}"/>
    <cellStyle name="Note 2 4 7" xfId="2749" xr:uid="{00000000-0005-0000-0000-00002E210000}"/>
    <cellStyle name="Note 2 4 8" xfId="2830" xr:uid="{00000000-0005-0000-0000-00002F210000}"/>
    <cellStyle name="Note 2 4 8 2" xfId="7054" xr:uid="{00000000-0005-0000-0000-000030210000}"/>
    <cellStyle name="Note 2 4 8 2 2" xfId="15496" xr:uid="{8C6413A6-4230-409E-91B8-8C2109E96A6D}"/>
    <cellStyle name="Note 2 4 8 3" xfId="11278" xr:uid="{8410CAF2-AEB5-4E37-A138-11C418508131}"/>
    <cellStyle name="Note 2 4 9" xfId="4909" xr:uid="{00000000-0005-0000-0000-000031210000}"/>
    <cellStyle name="Note 2 4 9 2" xfId="13351" xr:uid="{1B69AEA9-ED44-4AE3-9131-5531BFCBB890}"/>
    <cellStyle name="Note 2 5" xfId="552" xr:uid="{00000000-0005-0000-0000-000032210000}"/>
    <cellStyle name="Note 2 5 10" xfId="9134" xr:uid="{0D05D007-BFF2-4F52-977C-2DC24189832B}"/>
    <cellStyle name="Note 2 5 2" xfId="1013" xr:uid="{00000000-0005-0000-0000-000033210000}"/>
    <cellStyle name="Note 2 5 2 2" xfId="3245" xr:uid="{00000000-0005-0000-0000-000034210000}"/>
    <cellStyle name="Note 2 5 2 2 2" xfId="7468" xr:uid="{00000000-0005-0000-0000-000035210000}"/>
    <cellStyle name="Note 2 5 2 2 2 2" xfId="15910" xr:uid="{A7D2CE3D-95F9-41DC-A01B-1E44F434077B}"/>
    <cellStyle name="Note 2 5 2 2 3" xfId="11692" xr:uid="{DD4E12CC-15C9-4EFA-BCF3-5DD1FF3B8FDD}"/>
    <cellStyle name="Note 2 5 2 3" xfId="5323" xr:uid="{00000000-0005-0000-0000-000036210000}"/>
    <cellStyle name="Note 2 5 2 3 2" xfId="13765" xr:uid="{100C9B84-C925-4EC7-9CE6-0B3503F5A0B8}"/>
    <cellStyle name="Note 2 5 2 4" xfId="9547" xr:uid="{C4A3BF22-46F5-4CAE-83DE-EC724C4D53A6}"/>
    <cellStyle name="Note 2 5 3" xfId="1428" xr:uid="{00000000-0005-0000-0000-000037210000}"/>
    <cellStyle name="Note 2 5 3 2" xfId="3658" xr:uid="{00000000-0005-0000-0000-000038210000}"/>
    <cellStyle name="Note 2 5 3 2 2" xfId="7881" xr:uid="{00000000-0005-0000-0000-000039210000}"/>
    <cellStyle name="Note 2 5 3 2 2 2" xfId="16323" xr:uid="{1042D403-CB4C-4A30-B064-0494CA6A621C}"/>
    <cellStyle name="Note 2 5 3 2 3" xfId="12105" xr:uid="{A675E28A-A93B-4052-A9C1-E55911D2B643}"/>
    <cellStyle name="Note 2 5 3 3" xfId="5736" xr:uid="{00000000-0005-0000-0000-00003A210000}"/>
    <cellStyle name="Note 2 5 3 3 2" xfId="14178" xr:uid="{71024B1E-8343-4336-BFBC-B09FAC362BD8}"/>
    <cellStyle name="Note 2 5 3 4" xfId="9960" xr:uid="{CCFCBB2F-CC17-4C99-8A95-E366677E25BF}"/>
    <cellStyle name="Note 2 5 4" xfId="1842" xr:uid="{00000000-0005-0000-0000-00003B210000}"/>
    <cellStyle name="Note 2 5 4 2" xfId="4071" xr:uid="{00000000-0005-0000-0000-00003C210000}"/>
    <cellStyle name="Note 2 5 4 2 2" xfId="8294" xr:uid="{00000000-0005-0000-0000-00003D210000}"/>
    <cellStyle name="Note 2 5 4 2 2 2" xfId="16736" xr:uid="{681DD374-CD6F-4431-980D-DDD1B70FDE77}"/>
    <cellStyle name="Note 2 5 4 2 3" xfId="12518" xr:uid="{9A79C615-4F5F-455F-941A-32030A154E32}"/>
    <cellStyle name="Note 2 5 4 3" xfId="6149" xr:uid="{00000000-0005-0000-0000-00003E210000}"/>
    <cellStyle name="Note 2 5 4 3 2" xfId="14591" xr:uid="{7E582614-16C6-4DE0-942D-FE3100DDD576}"/>
    <cellStyle name="Note 2 5 4 4" xfId="10373" xr:uid="{656C8EC6-2788-4FDD-BBC6-6AE0AAF870F2}"/>
    <cellStyle name="Note 2 5 5" xfId="2255" xr:uid="{00000000-0005-0000-0000-00003F210000}"/>
    <cellStyle name="Note 2 5 5 2" xfId="4484" xr:uid="{00000000-0005-0000-0000-000040210000}"/>
    <cellStyle name="Note 2 5 5 2 2" xfId="8707" xr:uid="{00000000-0005-0000-0000-000041210000}"/>
    <cellStyle name="Note 2 5 5 2 2 2" xfId="17149" xr:uid="{DD6311BC-9FD0-4B58-B16B-7DBC527C3381}"/>
    <cellStyle name="Note 2 5 5 2 3" xfId="12931" xr:uid="{9541E75A-F266-4359-ACC1-82973E0526E6}"/>
    <cellStyle name="Note 2 5 5 3" xfId="6562" xr:uid="{00000000-0005-0000-0000-000042210000}"/>
    <cellStyle name="Note 2 5 5 3 2" xfId="15004" xr:uid="{B434ABB3-93BB-4F5E-B470-AEC12DF9B8E4}"/>
    <cellStyle name="Note 2 5 5 4" xfId="10786" xr:uid="{5131373A-422B-4609-8BB1-9974D9C1811A}"/>
    <cellStyle name="Note 2 5 6" xfId="2691" xr:uid="{00000000-0005-0000-0000-000043210000}"/>
    <cellStyle name="Note 2 5 6 2" xfId="6975" xr:uid="{00000000-0005-0000-0000-000044210000}"/>
    <cellStyle name="Note 2 5 6 2 2" xfId="15417" xr:uid="{136CFE60-912F-433A-9546-D048E63F833B}"/>
    <cellStyle name="Note 2 5 6 3" xfId="11199" xr:uid="{D17F65F6-89CC-4363-B84D-129B97B71CD0}"/>
    <cellStyle name="Note 2 5 7" xfId="2750" xr:uid="{00000000-0005-0000-0000-000045210000}"/>
    <cellStyle name="Note 2 5 8" xfId="2831" xr:uid="{00000000-0005-0000-0000-000046210000}"/>
    <cellStyle name="Note 2 5 8 2" xfId="7055" xr:uid="{00000000-0005-0000-0000-000047210000}"/>
    <cellStyle name="Note 2 5 8 2 2" xfId="15497" xr:uid="{D8AD25FF-DE94-4FCE-BECD-695BA193E49E}"/>
    <cellStyle name="Note 2 5 8 3" xfId="11279" xr:uid="{EF263ABD-725B-4D90-9285-145A0132DB4D}"/>
    <cellStyle name="Note 2 5 9" xfId="4910" xr:uid="{00000000-0005-0000-0000-000048210000}"/>
    <cellStyle name="Note 2 5 9 2" xfId="13352" xr:uid="{54D822A5-22D6-4128-809F-5B9A349CA49F}"/>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0 2 2" xfId="15498" xr:uid="{BF8D8683-F93C-47AF-A064-4432C28E3EE5}"/>
    <cellStyle name="Note 3 2 10 3" xfId="11280" xr:uid="{82FB92DD-2E5F-4DF0-81D2-8349359CFD1D}"/>
    <cellStyle name="Note 3 2 11" xfId="4911" xr:uid="{00000000-0005-0000-0000-00004D210000}"/>
    <cellStyle name="Note 3 2 11 2" xfId="13353" xr:uid="{68EF6B27-221E-4622-9604-72AACA4FB3CC}"/>
    <cellStyle name="Note 3 2 12" xfId="9135" xr:uid="{C5DF614A-D2AB-4F32-ACF0-73CC6FF91F9E}"/>
    <cellStyle name="Note 3 2 2" xfId="555" xr:uid="{00000000-0005-0000-0000-00004E210000}"/>
    <cellStyle name="Note 3 2 2 10" xfId="4912" xr:uid="{00000000-0005-0000-0000-00004F210000}"/>
    <cellStyle name="Note 3 2 2 10 2" xfId="13354" xr:uid="{E7A5A7AB-E2D2-4691-8443-424DF4B0D391}"/>
    <cellStyle name="Note 3 2 2 11" xfId="9136" xr:uid="{15B2A1E3-EAA5-4DE7-A4C5-804F75F8BEED}"/>
    <cellStyle name="Note 3 2 2 2" xfId="556" xr:uid="{00000000-0005-0000-0000-000050210000}"/>
    <cellStyle name="Note 3 2 2 2 10" xfId="9137" xr:uid="{BF9AD6B1-4C7B-4634-9569-8E0CDCBA3A0E}"/>
    <cellStyle name="Note 3 2 2 2 2" xfId="1016" xr:uid="{00000000-0005-0000-0000-000051210000}"/>
    <cellStyle name="Note 3 2 2 2 2 2" xfId="3248" xr:uid="{00000000-0005-0000-0000-000052210000}"/>
    <cellStyle name="Note 3 2 2 2 2 2 2" xfId="7471" xr:uid="{00000000-0005-0000-0000-000053210000}"/>
    <cellStyle name="Note 3 2 2 2 2 2 2 2" xfId="15913" xr:uid="{FC11B9BB-C0E4-4382-B98F-612216440D80}"/>
    <cellStyle name="Note 3 2 2 2 2 2 3" xfId="11695" xr:uid="{9EDC4BA5-3271-480C-9AEB-D712ECAB9FE4}"/>
    <cellStyle name="Note 3 2 2 2 2 3" xfId="5326" xr:uid="{00000000-0005-0000-0000-000054210000}"/>
    <cellStyle name="Note 3 2 2 2 2 3 2" xfId="13768" xr:uid="{E856D1CA-F4A7-4ADE-9200-0EE6C2758D5B}"/>
    <cellStyle name="Note 3 2 2 2 2 4" xfId="9550" xr:uid="{EA390D88-9C2D-4507-85ED-9916AD3E1E4E}"/>
    <cellStyle name="Note 3 2 2 2 3" xfId="1431" xr:uid="{00000000-0005-0000-0000-000055210000}"/>
    <cellStyle name="Note 3 2 2 2 3 2" xfId="3661" xr:uid="{00000000-0005-0000-0000-000056210000}"/>
    <cellStyle name="Note 3 2 2 2 3 2 2" xfId="7884" xr:uid="{00000000-0005-0000-0000-000057210000}"/>
    <cellStyle name="Note 3 2 2 2 3 2 2 2" xfId="16326" xr:uid="{15C90B48-FC7A-4A7F-B150-9139DF9F0BB7}"/>
    <cellStyle name="Note 3 2 2 2 3 2 3" xfId="12108" xr:uid="{7AC57EED-B9B4-4C28-95CE-62BD73251488}"/>
    <cellStyle name="Note 3 2 2 2 3 3" xfId="5739" xr:uid="{00000000-0005-0000-0000-000058210000}"/>
    <cellStyle name="Note 3 2 2 2 3 3 2" xfId="14181" xr:uid="{39782776-8FA1-49CE-9869-33AD586809F5}"/>
    <cellStyle name="Note 3 2 2 2 3 4" xfId="9963" xr:uid="{00198409-322B-40EC-B623-F506B7974867}"/>
    <cellStyle name="Note 3 2 2 2 4" xfId="1845" xr:uid="{00000000-0005-0000-0000-000059210000}"/>
    <cellStyle name="Note 3 2 2 2 4 2" xfId="4074" xr:uid="{00000000-0005-0000-0000-00005A210000}"/>
    <cellStyle name="Note 3 2 2 2 4 2 2" xfId="8297" xr:uid="{00000000-0005-0000-0000-00005B210000}"/>
    <cellStyle name="Note 3 2 2 2 4 2 2 2" xfId="16739" xr:uid="{34C48E0C-7BAF-40BA-902B-E7650212F3AE}"/>
    <cellStyle name="Note 3 2 2 2 4 2 3" xfId="12521" xr:uid="{F734892A-F6E0-4326-AFE5-F9F4D93F3DDE}"/>
    <cellStyle name="Note 3 2 2 2 4 3" xfId="6152" xr:uid="{00000000-0005-0000-0000-00005C210000}"/>
    <cellStyle name="Note 3 2 2 2 4 3 2" xfId="14594" xr:uid="{41B3F76C-8D12-432F-810F-88342EA6FA4A}"/>
    <cellStyle name="Note 3 2 2 2 4 4" xfId="10376" xr:uid="{4E2BA5FC-5376-42B8-ADF0-F705D307AB1F}"/>
    <cellStyle name="Note 3 2 2 2 5" xfId="2258" xr:uid="{00000000-0005-0000-0000-00005D210000}"/>
    <cellStyle name="Note 3 2 2 2 5 2" xfId="4487" xr:uid="{00000000-0005-0000-0000-00005E210000}"/>
    <cellStyle name="Note 3 2 2 2 5 2 2" xfId="8710" xr:uid="{00000000-0005-0000-0000-00005F210000}"/>
    <cellStyle name="Note 3 2 2 2 5 2 2 2" xfId="17152" xr:uid="{DBB8F06F-6089-49F0-8F34-9B8D41F61D24}"/>
    <cellStyle name="Note 3 2 2 2 5 2 3" xfId="12934" xr:uid="{C84B6EA3-E7AB-4671-B522-D6B05C502DA2}"/>
    <cellStyle name="Note 3 2 2 2 5 3" xfId="6565" xr:uid="{00000000-0005-0000-0000-000060210000}"/>
    <cellStyle name="Note 3 2 2 2 5 3 2" xfId="15007" xr:uid="{1E47CE70-3F73-4E43-BAA4-19152BA0D2A6}"/>
    <cellStyle name="Note 3 2 2 2 5 4" xfId="10789" xr:uid="{02284C22-E93C-4D43-87B6-8B785DFE1831}"/>
    <cellStyle name="Note 3 2 2 2 6" xfId="2694" xr:uid="{00000000-0005-0000-0000-000061210000}"/>
    <cellStyle name="Note 3 2 2 2 6 2" xfId="6978" xr:uid="{00000000-0005-0000-0000-000062210000}"/>
    <cellStyle name="Note 3 2 2 2 6 2 2" xfId="15420" xr:uid="{028CD564-8E36-4F37-A4D2-288C46D2E7CA}"/>
    <cellStyle name="Note 3 2 2 2 6 3" xfId="11202" xr:uid="{EED6968F-C260-4429-BA1B-957D395146D1}"/>
    <cellStyle name="Note 3 2 2 2 7" xfId="2753" xr:uid="{00000000-0005-0000-0000-000063210000}"/>
    <cellStyle name="Note 3 2 2 2 8" xfId="2834" xr:uid="{00000000-0005-0000-0000-000064210000}"/>
    <cellStyle name="Note 3 2 2 2 8 2" xfId="7058" xr:uid="{00000000-0005-0000-0000-000065210000}"/>
    <cellStyle name="Note 3 2 2 2 8 2 2" xfId="15500" xr:uid="{D7203E83-BE08-4B8C-8605-D414B4CB6602}"/>
    <cellStyle name="Note 3 2 2 2 8 3" xfId="11282" xr:uid="{917E1097-2779-4C03-A1F2-AA677E30EDFC}"/>
    <cellStyle name="Note 3 2 2 2 9" xfId="4913" xr:uid="{00000000-0005-0000-0000-000066210000}"/>
    <cellStyle name="Note 3 2 2 2 9 2" xfId="13355" xr:uid="{1EE7A6F7-CA2E-4595-9337-76B679414591}"/>
    <cellStyle name="Note 3 2 2 3" xfId="1015" xr:uid="{00000000-0005-0000-0000-000067210000}"/>
    <cellStyle name="Note 3 2 2 3 2" xfId="3247" xr:uid="{00000000-0005-0000-0000-000068210000}"/>
    <cellStyle name="Note 3 2 2 3 2 2" xfId="7470" xr:uid="{00000000-0005-0000-0000-000069210000}"/>
    <cellStyle name="Note 3 2 2 3 2 2 2" xfId="15912" xr:uid="{5A754C59-66B6-4DF8-8E07-0DA7B2380EE4}"/>
    <cellStyle name="Note 3 2 2 3 2 3" xfId="11694" xr:uid="{697B4CC6-2ECB-4523-85D9-0EFA253A9AB6}"/>
    <cellStyle name="Note 3 2 2 3 3" xfId="5325" xr:uid="{00000000-0005-0000-0000-00006A210000}"/>
    <cellStyle name="Note 3 2 2 3 3 2" xfId="13767" xr:uid="{7DB091A1-7CE5-45D9-BE10-B2F87E18A1DC}"/>
    <cellStyle name="Note 3 2 2 3 4" xfId="9549" xr:uid="{6F85355A-B5A9-4E72-BC16-1186A4B524C7}"/>
    <cellStyle name="Note 3 2 2 4" xfId="1430" xr:uid="{00000000-0005-0000-0000-00006B210000}"/>
    <cellStyle name="Note 3 2 2 4 2" xfId="3660" xr:uid="{00000000-0005-0000-0000-00006C210000}"/>
    <cellStyle name="Note 3 2 2 4 2 2" xfId="7883" xr:uid="{00000000-0005-0000-0000-00006D210000}"/>
    <cellStyle name="Note 3 2 2 4 2 2 2" xfId="16325" xr:uid="{F2A57CE4-A48B-4CBC-9748-3926CF17A696}"/>
    <cellStyle name="Note 3 2 2 4 2 3" xfId="12107" xr:uid="{1D77138F-C427-4670-885C-E9022A7B47C0}"/>
    <cellStyle name="Note 3 2 2 4 3" xfId="5738" xr:uid="{00000000-0005-0000-0000-00006E210000}"/>
    <cellStyle name="Note 3 2 2 4 3 2" xfId="14180" xr:uid="{070BEA00-7485-44A4-8F38-A780358B476E}"/>
    <cellStyle name="Note 3 2 2 4 4" xfId="9962" xr:uid="{6C13DD82-A09C-4730-AD85-B2DA2B37DC5D}"/>
    <cellStyle name="Note 3 2 2 5" xfId="1844" xr:uid="{00000000-0005-0000-0000-00006F210000}"/>
    <cellStyle name="Note 3 2 2 5 2" xfId="4073" xr:uid="{00000000-0005-0000-0000-000070210000}"/>
    <cellStyle name="Note 3 2 2 5 2 2" xfId="8296" xr:uid="{00000000-0005-0000-0000-000071210000}"/>
    <cellStyle name="Note 3 2 2 5 2 2 2" xfId="16738" xr:uid="{F1D0A35E-C56D-452A-A7C5-F18F0B26F084}"/>
    <cellStyle name="Note 3 2 2 5 2 3" xfId="12520" xr:uid="{58C67328-23AF-44CF-804C-F2519A1DE40A}"/>
    <cellStyle name="Note 3 2 2 5 3" xfId="6151" xr:uid="{00000000-0005-0000-0000-000072210000}"/>
    <cellStyle name="Note 3 2 2 5 3 2" xfId="14593" xr:uid="{F3F689BE-782A-4674-8BFA-8FBFD94C0FB4}"/>
    <cellStyle name="Note 3 2 2 5 4" xfId="10375" xr:uid="{74FA9E40-2E65-403F-89F8-2E3BAC45111D}"/>
    <cellStyle name="Note 3 2 2 6" xfId="2257" xr:uid="{00000000-0005-0000-0000-000073210000}"/>
    <cellStyle name="Note 3 2 2 6 2" xfId="4486" xr:uid="{00000000-0005-0000-0000-000074210000}"/>
    <cellStyle name="Note 3 2 2 6 2 2" xfId="8709" xr:uid="{00000000-0005-0000-0000-000075210000}"/>
    <cellStyle name="Note 3 2 2 6 2 2 2" xfId="17151" xr:uid="{C21FC082-A3F4-4A2F-92FD-058121B9D9DF}"/>
    <cellStyle name="Note 3 2 2 6 2 3" xfId="12933" xr:uid="{D803B130-10EF-4D4A-8596-CCC468653312}"/>
    <cellStyle name="Note 3 2 2 6 3" xfId="6564" xr:uid="{00000000-0005-0000-0000-000076210000}"/>
    <cellStyle name="Note 3 2 2 6 3 2" xfId="15006" xr:uid="{B1596509-A932-4C38-AA37-677F384CB1C4}"/>
    <cellStyle name="Note 3 2 2 6 4" xfId="10788" xr:uid="{45BB590F-1CA6-40B4-BA5E-242BDF9C5269}"/>
    <cellStyle name="Note 3 2 2 7" xfId="2693" xr:uid="{00000000-0005-0000-0000-000077210000}"/>
    <cellStyle name="Note 3 2 2 7 2" xfId="6977" xr:uid="{00000000-0005-0000-0000-000078210000}"/>
    <cellStyle name="Note 3 2 2 7 2 2" xfId="15419" xr:uid="{924F8633-BE9E-4AC6-95D0-8E9B0A28B88E}"/>
    <cellStyle name="Note 3 2 2 7 3" xfId="11201" xr:uid="{2375BE46-B070-489F-A2A2-AEEF3EA9FE77}"/>
    <cellStyle name="Note 3 2 2 8" xfId="2752" xr:uid="{00000000-0005-0000-0000-000079210000}"/>
    <cellStyle name="Note 3 2 2 9" xfId="2833" xr:uid="{00000000-0005-0000-0000-00007A210000}"/>
    <cellStyle name="Note 3 2 2 9 2" xfId="7057" xr:uid="{00000000-0005-0000-0000-00007B210000}"/>
    <cellStyle name="Note 3 2 2 9 2 2" xfId="15499" xr:uid="{17E4392B-32A7-4AC6-97E7-C39269C333B9}"/>
    <cellStyle name="Note 3 2 2 9 3" xfId="11281" xr:uid="{06E5D4E9-DAF8-4926-939C-79A517A839AF}"/>
    <cellStyle name="Note 3 2 3" xfId="557" xr:uid="{00000000-0005-0000-0000-00007C210000}"/>
    <cellStyle name="Note 3 2 3 10" xfId="9138" xr:uid="{93F2C21C-89C8-4013-80BD-D77346DC0479}"/>
    <cellStyle name="Note 3 2 3 2" xfId="1017" xr:uid="{00000000-0005-0000-0000-00007D210000}"/>
    <cellStyle name="Note 3 2 3 2 2" xfId="3249" xr:uid="{00000000-0005-0000-0000-00007E210000}"/>
    <cellStyle name="Note 3 2 3 2 2 2" xfId="7472" xr:uid="{00000000-0005-0000-0000-00007F210000}"/>
    <cellStyle name="Note 3 2 3 2 2 2 2" xfId="15914" xr:uid="{78168700-DFF9-4AA1-AA12-664620E7059D}"/>
    <cellStyle name="Note 3 2 3 2 2 3" xfId="11696" xr:uid="{00592EF4-1F29-4B01-8C73-3AB1FAB8E594}"/>
    <cellStyle name="Note 3 2 3 2 3" xfId="5327" xr:uid="{00000000-0005-0000-0000-000080210000}"/>
    <cellStyle name="Note 3 2 3 2 3 2" xfId="13769" xr:uid="{449789EF-0F6D-42A2-853D-A807B2D0D96E}"/>
    <cellStyle name="Note 3 2 3 2 4" xfId="9551" xr:uid="{98542723-37ED-446F-A8E9-21B9406B104B}"/>
    <cellStyle name="Note 3 2 3 3" xfId="1432" xr:uid="{00000000-0005-0000-0000-000081210000}"/>
    <cellStyle name="Note 3 2 3 3 2" xfId="3662" xr:uid="{00000000-0005-0000-0000-000082210000}"/>
    <cellStyle name="Note 3 2 3 3 2 2" xfId="7885" xr:uid="{00000000-0005-0000-0000-000083210000}"/>
    <cellStyle name="Note 3 2 3 3 2 2 2" xfId="16327" xr:uid="{58C26E40-3764-4B85-A52D-F87DE387BA21}"/>
    <cellStyle name="Note 3 2 3 3 2 3" xfId="12109" xr:uid="{867FCF37-36CA-422F-8169-A222620345E9}"/>
    <cellStyle name="Note 3 2 3 3 3" xfId="5740" xr:uid="{00000000-0005-0000-0000-000084210000}"/>
    <cellStyle name="Note 3 2 3 3 3 2" xfId="14182" xr:uid="{3A83B990-7651-45FB-B7A4-938B95C4BE88}"/>
    <cellStyle name="Note 3 2 3 3 4" xfId="9964" xr:uid="{931C5260-004F-4188-9353-1FD5D8AA0F05}"/>
    <cellStyle name="Note 3 2 3 4" xfId="1846" xr:uid="{00000000-0005-0000-0000-000085210000}"/>
    <cellStyle name="Note 3 2 3 4 2" xfId="4075" xr:uid="{00000000-0005-0000-0000-000086210000}"/>
    <cellStyle name="Note 3 2 3 4 2 2" xfId="8298" xr:uid="{00000000-0005-0000-0000-000087210000}"/>
    <cellStyle name="Note 3 2 3 4 2 2 2" xfId="16740" xr:uid="{4F79767B-C31F-4535-A7A1-759C783731FF}"/>
    <cellStyle name="Note 3 2 3 4 2 3" xfId="12522" xr:uid="{5779F0D5-0F07-4B50-B269-CE1E1C7A7912}"/>
    <cellStyle name="Note 3 2 3 4 3" xfId="6153" xr:uid="{00000000-0005-0000-0000-000088210000}"/>
    <cellStyle name="Note 3 2 3 4 3 2" xfId="14595" xr:uid="{5C873B6F-48BE-4F45-8161-46BEEB2F0DD9}"/>
    <cellStyle name="Note 3 2 3 4 4" xfId="10377" xr:uid="{84260F17-D67E-42D7-9BF6-EBF9440C30DB}"/>
    <cellStyle name="Note 3 2 3 5" xfId="2259" xr:uid="{00000000-0005-0000-0000-000089210000}"/>
    <cellStyle name="Note 3 2 3 5 2" xfId="4488" xr:uid="{00000000-0005-0000-0000-00008A210000}"/>
    <cellStyle name="Note 3 2 3 5 2 2" xfId="8711" xr:uid="{00000000-0005-0000-0000-00008B210000}"/>
    <cellStyle name="Note 3 2 3 5 2 2 2" xfId="17153" xr:uid="{6C5632D9-71DB-4AD9-A905-8B1976684137}"/>
    <cellStyle name="Note 3 2 3 5 2 3" xfId="12935" xr:uid="{F957AAEA-20DE-4B6C-809C-3297EDD7453F}"/>
    <cellStyle name="Note 3 2 3 5 3" xfId="6566" xr:uid="{00000000-0005-0000-0000-00008C210000}"/>
    <cellStyle name="Note 3 2 3 5 3 2" xfId="15008" xr:uid="{4EFC122B-F68C-4BE7-8A8E-30C5C98D46B3}"/>
    <cellStyle name="Note 3 2 3 5 4" xfId="10790" xr:uid="{97EA9304-C6C1-4060-9023-50600C7A8C62}"/>
    <cellStyle name="Note 3 2 3 6" xfId="2695" xr:uid="{00000000-0005-0000-0000-00008D210000}"/>
    <cellStyle name="Note 3 2 3 6 2" xfId="6979" xr:uid="{00000000-0005-0000-0000-00008E210000}"/>
    <cellStyle name="Note 3 2 3 6 2 2" xfId="15421" xr:uid="{809C0270-B643-432D-AE87-8F05283F8F17}"/>
    <cellStyle name="Note 3 2 3 6 3" xfId="11203" xr:uid="{C0A16513-6545-4A4F-B580-A5FB08B4939C}"/>
    <cellStyle name="Note 3 2 3 7" xfId="2754" xr:uid="{00000000-0005-0000-0000-00008F210000}"/>
    <cellStyle name="Note 3 2 3 8" xfId="2835" xr:uid="{00000000-0005-0000-0000-000090210000}"/>
    <cellStyle name="Note 3 2 3 8 2" xfId="7059" xr:uid="{00000000-0005-0000-0000-000091210000}"/>
    <cellStyle name="Note 3 2 3 8 2 2" xfId="15501" xr:uid="{2DCBD764-B589-49E1-824D-4999AAAF7763}"/>
    <cellStyle name="Note 3 2 3 8 3" xfId="11283" xr:uid="{829E171C-1F36-4491-9277-1581499BE91D}"/>
    <cellStyle name="Note 3 2 3 9" xfId="4914" xr:uid="{00000000-0005-0000-0000-000092210000}"/>
    <cellStyle name="Note 3 2 3 9 2" xfId="13356" xr:uid="{A8952D6D-2553-40DD-B742-C7BEB5472EEF}"/>
    <cellStyle name="Note 3 2 4" xfId="1014" xr:uid="{00000000-0005-0000-0000-000093210000}"/>
    <cellStyle name="Note 3 2 4 2" xfId="3246" xr:uid="{00000000-0005-0000-0000-000094210000}"/>
    <cellStyle name="Note 3 2 4 2 2" xfId="7469" xr:uid="{00000000-0005-0000-0000-000095210000}"/>
    <cellStyle name="Note 3 2 4 2 2 2" xfId="15911" xr:uid="{BDB08BD4-D611-43BE-B856-C34DD35DDA34}"/>
    <cellStyle name="Note 3 2 4 2 3" xfId="11693" xr:uid="{0E5DB7DB-B25F-4661-82FA-77C825BEB69F}"/>
    <cellStyle name="Note 3 2 4 3" xfId="5324" xr:uid="{00000000-0005-0000-0000-000096210000}"/>
    <cellStyle name="Note 3 2 4 3 2" xfId="13766" xr:uid="{D7CE0109-AB1B-4F54-9FB0-D516FE8DB532}"/>
    <cellStyle name="Note 3 2 4 4" xfId="9548" xr:uid="{6F14F172-B725-4B50-AB23-0C0EF6FF4962}"/>
    <cellStyle name="Note 3 2 5" xfId="1429" xr:uid="{00000000-0005-0000-0000-000097210000}"/>
    <cellStyle name="Note 3 2 5 2" xfId="3659" xr:uid="{00000000-0005-0000-0000-000098210000}"/>
    <cellStyle name="Note 3 2 5 2 2" xfId="7882" xr:uid="{00000000-0005-0000-0000-000099210000}"/>
    <cellStyle name="Note 3 2 5 2 2 2" xfId="16324" xr:uid="{14BFB401-124E-4E00-8BE0-35DC8C2E63FB}"/>
    <cellStyle name="Note 3 2 5 2 3" xfId="12106" xr:uid="{E9D4F8EA-930C-49E3-A3E0-8FD8BBF95ED2}"/>
    <cellStyle name="Note 3 2 5 3" xfId="5737" xr:uid="{00000000-0005-0000-0000-00009A210000}"/>
    <cellStyle name="Note 3 2 5 3 2" xfId="14179" xr:uid="{11F4EBB2-2ED3-43CE-98A9-02D489E9433D}"/>
    <cellStyle name="Note 3 2 5 4" xfId="9961" xr:uid="{D058ECDD-9880-42E7-BDBC-443172436728}"/>
    <cellStyle name="Note 3 2 6" xfId="1843" xr:uid="{00000000-0005-0000-0000-00009B210000}"/>
    <cellStyle name="Note 3 2 6 2" xfId="4072" xr:uid="{00000000-0005-0000-0000-00009C210000}"/>
    <cellStyle name="Note 3 2 6 2 2" xfId="8295" xr:uid="{00000000-0005-0000-0000-00009D210000}"/>
    <cellStyle name="Note 3 2 6 2 2 2" xfId="16737" xr:uid="{9A8BA521-E208-4146-A9C3-F708A9CAE4AA}"/>
    <cellStyle name="Note 3 2 6 2 3" xfId="12519" xr:uid="{C52477EB-475D-4DBF-AB2B-14E981377B93}"/>
    <cellStyle name="Note 3 2 6 3" xfId="6150" xr:uid="{00000000-0005-0000-0000-00009E210000}"/>
    <cellStyle name="Note 3 2 6 3 2" xfId="14592" xr:uid="{9FAE36D4-F16A-467C-81B3-D086E1D4FE06}"/>
    <cellStyle name="Note 3 2 6 4" xfId="10374" xr:uid="{22582A41-E86C-47A0-A677-199A9AD08B40}"/>
    <cellStyle name="Note 3 2 7" xfId="2256" xr:uid="{00000000-0005-0000-0000-00009F210000}"/>
    <cellStyle name="Note 3 2 7 2" xfId="4485" xr:uid="{00000000-0005-0000-0000-0000A0210000}"/>
    <cellStyle name="Note 3 2 7 2 2" xfId="8708" xr:uid="{00000000-0005-0000-0000-0000A1210000}"/>
    <cellStyle name="Note 3 2 7 2 2 2" xfId="17150" xr:uid="{47454F2E-C62A-448F-8DF2-EC1D7DC36885}"/>
    <cellStyle name="Note 3 2 7 2 3" xfId="12932" xr:uid="{5DE21E43-962E-447B-B247-B0F31675B2C7}"/>
    <cellStyle name="Note 3 2 7 3" xfId="6563" xr:uid="{00000000-0005-0000-0000-0000A2210000}"/>
    <cellStyle name="Note 3 2 7 3 2" xfId="15005" xr:uid="{D77FE57D-212E-4394-AC50-467508EF589F}"/>
    <cellStyle name="Note 3 2 7 4" xfId="10787" xr:uid="{A6BD0532-72E3-4395-AD30-0DD6C962D25F}"/>
    <cellStyle name="Note 3 2 8" xfId="2692" xr:uid="{00000000-0005-0000-0000-0000A3210000}"/>
    <cellStyle name="Note 3 2 8 2" xfId="6976" xr:uid="{00000000-0005-0000-0000-0000A4210000}"/>
    <cellStyle name="Note 3 2 8 2 2" xfId="15418" xr:uid="{FCD2BEDD-8730-4B57-BA0E-977AFDF7B423}"/>
    <cellStyle name="Note 3 2 8 3" xfId="11200" xr:uid="{3E5FA0D8-1BB5-4EDE-9D49-471F326BBDC1}"/>
    <cellStyle name="Note 3 2 9" xfId="2751" xr:uid="{00000000-0005-0000-0000-0000A5210000}"/>
    <cellStyle name="Note 3 3" xfId="558" xr:uid="{00000000-0005-0000-0000-0000A6210000}"/>
    <cellStyle name="Note 3 3 10" xfId="4915" xr:uid="{00000000-0005-0000-0000-0000A7210000}"/>
    <cellStyle name="Note 3 3 10 2" xfId="13357" xr:uid="{EE997ED1-7AB7-4586-857D-291A87714A22}"/>
    <cellStyle name="Note 3 3 11" xfId="9139" xr:uid="{D97B497A-7F65-495E-8554-868D1077215D}"/>
    <cellStyle name="Note 3 3 2" xfId="559" xr:uid="{00000000-0005-0000-0000-0000A8210000}"/>
    <cellStyle name="Note 3 3 2 10" xfId="9140" xr:uid="{1F31A897-7961-470C-B51D-F2861693939C}"/>
    <cellStyle name="Note 3 3 2 2" xfId="1019" xr:uid="{00000000-0005-0000-0000-0000A9210000}"/>
    <cellStyle name="Note 3 3 2 2 2" xfId="3251" xr:uid="{00000000-0005-0000-0000-0000AA210000}"/>
    <cellStyle name="Note 3 3 2 2 2 2" xfId="7474" xr:uid="{00000000-0005-0000-0000-0000AB210000}"/>
    <cellStyle name="Note 3 3 2 2 2 2 2" xfId="15916" xr:uid="{0F7BE3B3-429D-4A66-A55F-237DD9C87BBC}"/>
    <cellStyle name="Note 3 3 2 2 2 3" xfId="11698" xr:uid="{AA09CA81-9091-4C87-B7FE-B255DDB69233}"/>
    <cellStyle name="Note 3 3 2 2 3" xfId="5329" xr:uid="{00000000-0005-0000-0000-0000AC210000}"/>
    <cellStyle name="Note 3 3 2 2 3 2" xfId="13771" xr:uid="{5AC3B365-E8DA-45A6-B5F5-743C06217335}"/>
    <cellStyle name="Note 3 3 2 2 4" xfId="9553" xr:uid="{36617860-9BB2-4C8B-AB3E-60F15A6FD791}"/>
    <cellStyle name="Note 3 3 2 3" xfId="1434" xr:uid="{00000000-0005-0000-0000-0000AD210000}"/>
    <cellStyle name="Note 3 3 2 3 2" xfId="3664" xr:uid="{00000000-0005-0000-0000-0000AE210000}"/>
    <cellStyle name="Note 3 3 2 3 2 2" xfId="7887" xr:uid="{00000000-0005-0000-0000-0000AF210000}"/>
    <cellStyle name="Note 3 3 2 3 2 2 2" xfId="16329" xr:uid="{EA90A5D3-458A-449C-AC8D-8327E4E0D0D5}"/>
    <cellStyle name="Note 3 3 2 3 2 3" xfId="12111" xr:uid="{9B881E04-0B70-4947-A599-14AE746DDE04}"/>
    <cellStyle name="Note 3 3 2 3 3" xfId="5742" xr:uid="{00000000-0005-0000-0000-0000B0210000}"/>
    <cellStyle name="Note 3 3 2 3 3 2" xfId="14184" xr:uid="{18B1DC37-DD70-4631-AD44-F052A272AC06}"/>
    <cellStyle name="Note 3 3 2 3 4" xfId="9966" xr:uid="{707D7137-BD28-4F40-A075-739BCA0329DD}"/>
    <cellStyle name="Note 3 3 2 4" xfId="1848" xr:uid="{00000000-0005-0000-0000-0000B1210000}"/>
    <cellStyle name="Note 3 3 2 4 2" xfId="4077" xr:uid="{00000000-0005-0000-0000-0000B2210000}"/>
    <cellStyle name="Note 3 3 2 4 2 2" xfId="8300" xr:uid="{00000000-0005-0000-0000-0000B3210000}"/>
    <cellStyle name="Note 3 3 2 4 2 2 2" xfId="16742" xr:uid="{625272D6-F00D-43BB-905B-E536EE85E089}"/>
    <cellStyle name="Note 3 3 2 4 2 3" xfId="12524" xr:uid="{1BC3B316-EE76-4401-8983-A86A426F9BB1}"/>
    <cellStyle name="Note 3 3 2 4 3" xfId="6155" xr:uid="{00000000-0005-0000-0000-0000B4210000}"/>
    <cellStyle name="Note 3 3 2 4 3 2" xfId="14597" xr:uid="{79AF3C9B-7237-4B05-BD55-DB4B44688B98}"/>
    <cellStyle name="Note 3 3 2 4 4" xfId="10379" xr:uid="{E36A7723-60FD-4B89-92B8-C9AAA919892E}"/>
    <cellStyle name="Note 3 3 2 5" xfId="2261" xr:uid="{00000000-0005-0000-0000-0000B5210000}"/>
    <cellStyle name="Note 3 3 2 5 2" xfId="4490" xr:uid="{00000000-0005-0000-0000-0000B6210000}"/>
    <cellStyle name="Note 3 3 2 5 2 2" xfId="8713" xr:uid="{00000000-0005-0000-0000-0000B7210000}"/>
    <cellStyle name="Note 3 3 2 5 2 2 2" xfId="17155" xr:uid="{E027228A-A4DF-4799-8537-15E49BD691FF}"/>
    <cellStyle name="Note 3 3 2 5 2 3" xfId="12937" xr:uid="{9A017AFA-3854-445A-A9BC-C548BA7129D8}"/>
    <cellStyle name="Note 3 3 2 5 3" xfId="6568" xr:uid="{00000000-0005-0000-0000-0000B8210000}"/>
    <cellStyle name="Note 3 3 2 5 3 2" xfId="15010" xr:uid="{80B1A89F-ED09-448F-A108-766E37ADAB96}"/>
    <cellStyle name="Note 3 3 2 5 4" xfId="10792" xr:uid="{9190B449-54BE-4DE1-A508-9D7F88FC6E5D}"/>
    <cellStyle name="Note 3 3 2 6" xfId="2697" xr:uid="{00000000-0005-0000-0000-0000B9210000}"/>
    <cellStyle name="Note 3 3 2 6 2" xfId="6981" xr:uid="{00000000-0005-0000-0000-0000BA210000}"/>
    <cellStyle name="Note 3 3 2 6 2 2" xfId="15423" xr:uid="{02BA02F6-B171-4152-AFCE-5C679FA2D03E}"/>
    <cellStyle name="Note 3 3 2 6 3" xfId="11205" xr:uid="{03A49176-E178-4348-91D8-85DFC9AC9664}"/>
    <cellStyle name="Note 3 3 2 7" xfId="2756" xr:uid="{00000000-0005-0000-0000-0000BB210000}"/>
    <cellStyle name="Note 3 3 2 8" xfId="2837" xr:uid="{00000000-0005-0000-0000-0000BC210000}"/>
    <cellStyle name="Note 3 3 2 8 2" xfId="7061" xr:uid="{00000000-0005-0000-0000-0000BD210000}"/>
    <cellStyle name="Note 3 3 2 8 2 2" xfId="15503" xr:uid="{C4E51466-5887-4136-80F5-71225D791CDF}"/>
    <cellStyle name="Note 3 3 2 8 3" xfId="11285" xr:uid="{BBCABA76-7160-4CA6-8463-B36E26574A78}"/>
    <cellStyle name="Note 3 3 2 9" xfId="4916" xr:uid="{00000000-0005-0000-0000-0000BE210000}"/>
    <cellStyle name="Note 3 3 2 9 2" xfId="13358" xr:uid="{A4E58BE1-8653-4DC5-874D-DB3AE46D47BB}"/>
    <cellStyle name="Note 3 3 3" xfId="1018" xr:uid="{00000000-0005-0000-0000-0000BF210000}"/>
    <cellStyle name="Note 3 3 3 2" xfId="3250" xr:uid="{00000000-0005-0000-0000-0000C0210000}"/>
    <cellStyle name="Note 3 3 3 2 2" xfId="7473" xr:uid="{00000000-0005-0000-0000-0000C1210000}"/>
    <cellStyle name="Note 3 3 3 2 2 2" xfId="15915" xr:uid="{F2787F95-7639-4B47-87DC-0DE630D70FDE}"/>
    <cellStyle name="Note 3 3 3 2 3" xfId="11697" xr:uid="{3882FA7A-CDE6-4F5B-BB8C-2412352449EF}"/>
    <cellStyle name="Note 3 3 3 3" xfId="5328" xr:uid="{00000000-0005-0000-0000-0000C2210000}"/>
    <cellStyle name="Note 3 3 3 3 2" xfId="13770" xr:uid="{1239A8D0-35F6-4A16-ADE2-6DF0CC97B4F1}"/>
    <cellStyle name="Note 3 3 3 4" xfId="9552" xr:uid="{CE443CB0-9C9F-4E19-AF64-7CE4E64452D8}"/>
    <cellStyle name="Note 3 3 4" xfId="1433" xr:uid="{00000000-0005-0000-0000-0000C3210000}"/>
    <cellStyle name="Note 3 3 4 2" xfId="3663" xr:uid="{00000000-0005-0000-0000-0000C4210000}"/>
    <cellStyle name="Note 3 3 4 2 2" xfId="7886" xr:uid="{00000000-0005-0000-0000-0000C5210000}"/>
    <cellStyle name="Note 3 3 4 2 2 2" xfId="16328" xr:uid="{17D767D1-FEBF-47A2-880E-3E380BF3AD2E}"/>
    <cellStyle name="Note 3 3 4 2 3" xfId="12110" xr:uid="{287F1696-159F-4F02-80E4-02E35B58152D}"/>
    <cellStyle name="Note 3 3 4 3" xfId="5741" xr:uid="{00000000-0005-0000-0000-0000C6210000}"/>
    <cellStyle name="Note 3 3 4 3 2" xfId="14183" xr:uid="{836E3B7C-7B95-4942-AD91-40FCAC15DA52}"/>
    <cellStyle name="Note 3 3 4 4" xfId="9965" xr:uid="{876B080C-0A13-450F-96D9-6F179968DB37}"/>
    <cellStyle name="Note 3 3 5" xfId="1847" xr:uid="{00000000-0005-0000-0000-0000C7210000}"/>
    <cellStyle name="Note 3 3 5 2" xfId="4076" xr:uid="{00000000-0005-0000-0000-0000C8210000}"/>
    <cellStyle name="Note 3 3 5 2 2" xfId="8299" xr:uid="{00000000-0005-0000-0000-0000C9210000}"/>
    <cellStyle name="Note 3 3 5 2 2 2" xfId="16741" xr:uid="{8E72DF33-DA3C-4AAD-B89B-1D31BCDF9159}"/>
    <cellStyle name="Note 3 3 5 2 3" xfId="12523" xr:uid="{F13CCA75-5B3E-4D93-828D-4462E9D903EA}"/>
    <cellStyle name="Note 3 3 5 3" xfId="6154" xr:uid="{00000000-0005-0000-0000-0000CA210000}"/>
    <cellStyle name="Note 3 3 5 3 2" xfId="14596" xr:uid="{056A2009-8072-4A68-B37E-50F314FCDB2B}"/>
    <cellStyle name="Note 3 3 5 4" xfId="10378" xr:uid="{F189E028-B6CE-4BDC-A364-046B5EF749E5}"/>
    <cellStyle name="Note 3 3 6" xfId="2260" xr:uid="{00000000-0005-0000-0000-0000CB210000}"/>
    <cellStyle name="Note 3 3 6 2" xfId="4489" xr:uid="{00000000-0005-0000-0000-0000CC210000}"/>
    <cellStyle name="Note 3 3 6 2 2" xfId="8712" xr:uid="{00000000-0005-0000-0000-0000CD210000}"/>
    <cellStyle name="Note 3 3 6 2 2 2" xfId="17154" xr:uid="{7173213A-1E4D-46A7-90FB-0AE7478DAC5A}"/>
    <cellStyle name="Note 3 3 6 2 3" xfId="12936" xr:uid="{C090252F-F1FE-4CCB-ACB0-ABF6D54DAD4B}"/>
    <cellStyle name="Note 3 3 6 3" xfId="6567" xr:uid="{00000000-0005-0000-0000-0000CE210000}"/>
    <cellStyle name="Note 3 3 6 3 2" xfId="15009" xr:uid="{817F129C-5841-4C26-936A-9354A7ADBB5D}"/>
    <cellStyle name="Note 3 3 6 4" xfId="10791" xr:uid="{38ABF14E-2139-4949-852F-B1835640CE54}"/>
    <cellStyle name="Note 3 3 7" xfId="2696" xr:uid="{00000000-0005-0000-0000-0000CF210000}"/>
    <cellStyle name="Note 3 3 7 2" xfId="6980" xr:uid="{00000000-0005-0000-0000-0000D0210000}"/>
    <cellStyle name="Note 3 3 7 2 2" xfId="15422" xr:uid="{0FA85262-F470-47C7-A4C3-5E79AF21B1F6}"/>
    <cellStyle name="Note 3 3 7 3" xfId="11204" xr:uid="{2A0319DD-2DB6-4103-B5B6-C7B1E392BD0B}"/>
    <cellStyle name="Note 3 3 8" xfId="2755" xr:uid="{00000000-0005-0000-0000-0000D1210000}"/>
    <cellStyle name="Note 3 3 9" xfId="2836" xr:uid="{00000000-0005-0000-0000-0000D2210000}"/>
    <cellStyle name="Note 3 3 9 2" xfId="7060" xr:uid="{00000000-0005-0000-0000-0000D3210000}"/>
    <cellStyle name="Note 3 3 9 2 2" xfId="15502" xr:uid="{E198C604-BC5A-495C-9201-5EFDD9401C56}"/>
    <cellStyle name="Note 3 3 9 3" xfId="11284" xr:uid="{455A874C-1E4C-4F21-B7F1-7A41945D1027}"/>
    <cellStyle name="Note 3 4" xfId="560" xr:uid="{00000000-0005-0000-0000-0000D4210000}"/>
    <cellStyle name="Note 3 4 10" xfId="9141" xr:uid="{5390084F-F630-412E-BA10-A64BCC7CDFA8}"/>
    <cellStyle name="Note 3 4 2" xfId="1020" xr:uid="{00000000-0005-0000-0000-0000D5210000}"/>
    <cellStyle name="Note 3 4 2 2" xfId="3252" xr:uid="{00000000-0005-0000-0000-0000D6210000}"/>
    <cellStyle name="Note 3 4 2 2 2" xfId="7475" xr:uid="{00000000-0005-0000-0000-0000D7210000}"/>
    <cellStyle name="Note 3 4 2 2 2 2" xfId="15917" xr:uid="{ACF65237-F695-45D9-B816-84C250F816C2}"/>
    <cellStyle name="Note 3 4 2 2 3" xfId="11699" xr:uid="{00AD113C-0516-47E0-8696-786CDE8F1493}"/>
    <cellStyle name="Note 3 4 2 3" xfId="5330" xr:uid="{00000000-0005-0000-0000-0000D8210000}"/>
    <cellStyle name="Note 3 4 2 3 2" xfId="13772" xr:uid="{FA2AA899-5E9E-40C7-9C93-D7C579F9326E}"/>
    <cellStyle name="Note 3 4 2 4" xfId="9554" xr:uid="{3DD84FB0-B86D-41BF-A041-BFF4EFC98862}"/>
    <cellStyle name="Note 3 4 3" xfId="1435" xr:uid="{00000000-0005-0000-0000-0000D9210000}"/>
    <cellStyle name="Note 3 4 3 2" xfId="3665" xr:uid="{00000000-0005-0000-0000-0000DA210000}"/>
    <cellStyle name="Note 3 4 3 2 2" xfId="7888" xr:uid="{00000000-0005-0000-0000-0000DB210000}"/>
    <cellStyle name="Note 3 4 3 2 2 2" xfId="16330" xr:uid="{E9477508-1CBF-40F0-B316-B4241F3E77AF}"/>
    <cellStyle name="Note 3 4 3 2 3" xfId="12112" xr:uid="{8EFDB4C6-CB57-4068-879F-33C1E4C9765C}"/>
    <cellStyle name="Note 3 4 3 3" xfId="5743" xr:uid="{00000000-0005-0000-0000-0000DC210000}"/>
    <cellStyle name="Note 3 4 3 3 2" xfId="14185" xr:uid="{8A083192-55D3-48A0-A0BE-9750F7460D7D}"/>
    <cellStyle name="Note 3 4 3 4" xfId="9967" xr:uid="{42BEA653-6751-40EC-8068-C6BBC04433FD}"/>
    <cellStyle name="Note 3 4 4" xfId="1849" xr:uid="{00000000-0005-0000-0000-0000DD210000}"/>
    <cellStyle name="Note 3 4 4 2" xfId="4078" xr:uid="{00000000-0005-0000-0000-0000DE210000}"/>
    <cellStyle name="Note 3 4 4 2 2" xfId="8301" xr:uid="{00000000-0005-0000-0000-0000DF210000}"/>
    <cellStyle name="Note 3 4 4 2 2 2" xfId="16743" xr:uid="{5B0F753D-4448-45EC-84BF-C9F1AEE5D1BC}"/>
    <cellStyle name="Note 3 4 4 2 3" xfId="12525" xr:uid="{474A16B9-0644-4956-831D-676B9E506BFE}"/>
    <cellStyle name="Note 3 4 4 3" xfId="6156" xr:uid="{00000000-0005-0000-0000-0000E0210000}"/>
    <cellStyle name="Note 3 4 4 3 2" xfId="14598" xr:uid="{A85778B4-34C3-4364-AC3F-7496847A3E74}"/>
    <cellStyle name="Note 3 4 4 4" xfId="10380" xr:uid="{CC669B8B-EB14-4E6F-AB76-19030FE58D2D}"/>
    <cellStyle name="Note 3 4 5" xfId="2262" xr:uid="{00000000-0005-0000-0000-0000E1210000}"/>
    <cellStyle name="Note 3 4 5 2" xfId="4491" xr:uid="{00000000-0005-0000-0000-0000E2210000}"/>
    <cellStyle name="Note 3 4 5 2 2" xfId="8714" xr:uid="{00000000-0005-0000-0000-0000E3210000}"/>
    <cellStyle name="Note 3 4 5 2 2 2" xfId="17156" xr:uid="{2B136939-F063-42B3-9469-87024D60F69F}"/>
    <cellStyle name="Note 3 4 5 2 3" xfId="12938" xr:uid="{87AF48BA-5828-4AD0-9BBD-BE04C023B1B9}"/>
    <cellStyle name="Note 3 4 5 3" xfId="6569" xr:uid="{00000000-0005-0000-0000-0000E4210000}"/>
    <cellStyle name="Note 3 4 5 3 2" xfId="15011" xr:uid="{9E7B0B0B-1EF2-4201-A7AC-842DA0236495}"/>
    <cellStyle name="Note 3 4 5 4" xfId="10793" xr:uid="{435B8952-BE95-4B57-AC96-83408038D1ED}"/>
    <cellStyle name="Note 3 4 6" xfId="2698" xr:uid="{00000000-0005-0000-0000-0000E5210000}"/>
    <cellStyle name="Note 3 4 6 2" xfId="6982" xr:uid="{00000000-0005-0000-0000-0000E6210000}"/>
    <cellStyle name="Note 3 4 6 2 2" xfId="15424" xr:uid="{AFF66939-E0CA-43A3-B735-689EF1707F71}"/>
    <cellStyle name="Note 3 4 6 3" xfId="11206" xr:uid="{96BF9BB9-6E56-42E9-B3A1-69FF2FBC186B}"/>
    <cellStyle name="Note 3 4 7" xfId="2757" xr:uid="{00000000-0005-0000-0000-0000E7210000}"/>
    <cellStyle name="Note 3 4 8" xfId="2838" xr:uid="{00000000-0005-0000-0000-0000E8210000}"/>
    <cellStyle name="Note 3 4 8 2" xfId="7062" xr:uid="{00000000-0005-0000-0000-0000E9210000}"/>
    <cellStyle name="Note 3 4 8 2 2" xfId="15504" xr:uid="{F50D6405-FAD1-4928-8A5D-4B8A2C836064}"/>
    <cellStyle name="Note 3 4 8 3" xfId="11286" xr:uid="{B6C8C87A-2FD5-41DF-9494-FD3512E2DFF9}"/>
    <cellStyle name="Note 3 4 9" xfId="4917" xr:uid="{00000000-0005-0000-0000-0000EA210000}"/>
    <cellStyle name="Note 3 4 9 2" xfId="13359" xr:uid="{6B895903-81CD-4102-A763-80103C9405C9}"/>
    <cellStyle name="Note 3 5" xfId="561" xr:uid="{00000000-0005-0000-0000-0000EB210000}"/>
    <cellStyle name="Note 3 5 10" xfId="9142" xr:uid="{2D5E6BF0-2EE8-4E05-A6D4-A16ED95A52B7}"/>
    <cellStyle name="Note 3 5 2" xfId="1021" xr:uid="{00000000-0005-0000-0000-0000EC210000}"/>
    <cellStyle name="Note 3 5 2 2" xfId="3253" xr:uid="{00000000-0005-0000-0000-0000ED210000}"/>
    <cellStyle name="Note 3 5 2 2 2" xfId="7476" xr:uid="{00000000-0005-0000-0000-0000EE210000}"/>
    <cellStyle name="Note 3 5 2 2 2 2" xfId="15918" xr:uid="{9137D5BB-7B30-4A0F-B607-72B419292DD6}"/>
    <cellStyle name="Note 3 5 2 2 3" xfId="11700" xr:uid="{EFBFF13B-6DF7-4A60-8F90-64C163B0EA4F}"/>
    <cellStyle name="Note 3 5 2 3" xfId="5331" xr:uid="{00000000-0005-0000-0000-0000EF210000}"/>
    <cellStyle name="Note 3 5 2 3 2" xfId="13773" xr:uid="{88E2F0BA-A91F-4850-8E95-DF838AE5B614}"/>
    <cellStyle name="Note 3 5 2 4" xfId="9555" xr:uid="{C949D3F1-5F8D-46EC-A04E-828DCD78FD6A}"/>
    <cellStyle name="Note 3 5 3" xfId="1436" xr:uid="{00000000-0005-0000-0000-0000F0210000}"/>
    <cellStyle name="Note 3 5 3 2" xfId="3666" xr:uid="{00000000-0005-0000-0000-0000F1210000}"/>
    <cellStyle name="Note 3 5 3 2 2" xfId="7889" xr:uid="{00000000-0005-0000-0000-0000F2210000}"/>
    <cellStyle name="Note 3 5 3 2 2 2" xfId="16331" xr:uid="{D59FFB1A-D8B8-46F7-A45D-0DA1D294AA8A}"/>
    <cellStyle name="Note 3 5 3 2 3" xfId="12113" xr:uid="{AC5B39DF-EDD2-4369-98FA-5ECF351D600F}"/>
    <cellStyle name="Note 3 5 3 3" xfId="5744" xr:uid="{00000000-0005-0000-0000-0000F3210000}"/>
    <cellStyle name="Note 3 5 3 3 2" xfId="14186" xr:uid="{D1C608EF-24E2-46D2-AC6F-4A4AC9C6B904}"/>
    <cellStyle name="Note 3 5 3 4" xfId="9968" xr:uid="{5C555364-CB9D-40F5-BC17-01CE796C7282}"/>
    <cellStyle name="Note 3 5 4" xfId="1850" xr:uid="{00000000-0005-0000-0000-0000F4210000}"/>
    <cellStyle name="Note 3 5 4 2" xfId="4079" xr:uid="{00000000-0005-0000-0000-0000F5210000}"/>
    <cellStyle name="Note 3 5 4 2 2" xfId="8302" xr:uid="{00000000-0005-0000-0000-0000F6210000}"/>
    <cellStyle name="Note 3 5 4 2 2 2" xfId="16744" xr:uid="{BCC1DA8C-CADE-498A-B7EB-0D67985010DB}"/>
    <cellStyle name="Note 3 5 4 2 3" xfId="12526" xr:uid="{FFDA9961-E0EE-49BB-BF6E-AD255755CDDC}"/>
    <cellStyle name="Note 3 5 4 3" xfId="6157" xr:uid="{00000000-0005-0000-0000-0000F7210000}"/>
    <cellStyle name="Note 3 5 4 3 2" xfId="14599" xr:uid="{6D04F1BC-0941-4950-9076-71687B4FE1BA}"/>
    <cellStyle name="Note 3 5 4 4" xfId="10381" xr:uid="{8A3CEFB5-B27D-4BDF-8A0D-27D12F324D34}"/>
    <cellStyle name="Note 3 5 5" xfId="2263" xr:uid="{00000000-0005-0000-0000-0000F8210000}"/>
    <cellStyle name="Note 3 5 5 2" xfId="4492" xr:uid="{00000000-0005-0000-0000-0000F9210000}"/>
    <cellStyle name="Note 3 5 5 2 2" xfId="8715" xr:uid="{00000000-0005-0000-0000-0000FA210000}"/>
    <cellStyle name="Note 3 5 5 2 2 2" xfId="17157" xr:uid="{46DAA1EC-0A3F-4021-A89E-5E1B3D30742A}"/>
    <cellStyle name="Note 3 5 5 2 3" xfId="12939" xr:uid="{F47F0E76-5D28-41CB-8E47-F852058CDE6A}"/>
    <cellStyle name="Note 3 5 5 3" xfId="6570" xr:uid="{00000000-0005-0000-0000-0000FB210000}"/>
    <cellStyle name="Note 3 5 5 3 2" xfId="15012" xr:uid="{B376BC61-9E93-4C32-BD76-314A98BFFC70}"/>
    <cellStyle name="Note 3 5 5 4" xfId="10794" xr:uid="{9F71F560-D5D2-4DA7-801E-CCEAD905EEDE}"/>
    <cellStyle name="Note 3 5 6" xfId="2699" xr:uid="{00000000-0005-0000-0000-0000FC210000}"/>
    <cellStyle name="Note 3 5 6 2" xfId="6983" xr:uid="{00000000-0005-0000-0000-0000FD210000}"/>
    <cellStyle name="Note 3 5 6 2 2" xfId="15425" xr:uid="{4CD67FEE-D7C4-4E0B-B0A9-88F277BCBBA9}"/>
    <cellStyle name="Note 3 5 6 3" xfId="11207" xr:uid="{2E8E1EAE-54C9-47A1-9B34-3CC9AAB827DF}"/>
    <cellStyle name="Note 3 5 7" xfId="2758" xr:uid="{00000000-0005-0000-0000-0000FE210000}"/>
    <cellStyle name="Note 3 5 8" xfId="2839" xr:uid="{00000000-0005-0000-0000-0000FF210000}"/>
    <cellStyle name="Note 3 5 8 2" xfId="7063" xr:uid="{00000000-0005-0000-0000-000000220000}"/>
    <cellStyle name="Note 3 5 8 2 2" xfId="15505" xr:uid="{7E93DA55-84E2-4C67-A5E8-34900B3E9799}"/>
    <cellStyle name="Note 3 5 8 3" xfId="11287" xr:uid="{1C3732FB-E8DB-491E-94EA-B5FA81B7CE4A}"/>
    <cellStyle name="Note 3 5 9" xfId="4918" xr:uid="{00000000-0005-0000-0000-000001220000}"/>
    <cellStyle name="Note 3 5 9 2" xfId="13360" xr:uid="{EE76428B-D8F4-448E-B686-63D5DDC43DCA}"/>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3 2" xfId="12943" xr:uid="{E44F08E8-EDCD-4A48-BD6E-473C0685280A}"/>
    <cellStyle name="Percent 4" xfId="4502" xr:uid="{00000000-0005-0000-0000-000007220000}"/>
    <cellStyle name="Percent 4 2" xfId="8718" xr:uid="{00000000-0005-0000-0000-000008220000}"/>
    <cellStyle name="Percent 4 2 2" xfId="17160" xr:uid="{252C3989-9462-4249-BD52-F9EEA37659F6}"/>
    <cellStyle name="Percent 4 3" xfId="8721" xr:uid="{D09CD3FC-D632-4B66-A68A-5CC92F993799}"/>
    <cellStyle name="Percent 4 3 2" xfId="8725" xr:uid="{D57AE941-8E59-43F0-AB73-09B3BCCFA234}"/>
    <cellStyle name="Percent 4 3 2 2" xfId="8728" xr:uid="{D24D76A7-D076-4554-9944-551B122393DE}"/>
    <cellStyle name="Percent 4 3 2 2 2" xfId="17169" xr:uid="{AEA138CE-AB14-40A0-BE67-F2754AB45811}"/>
    <cellStyle name="Percent 4 3 2 3" xfId="17166" xr:uid="{160A8C4F-8D9F-4353-B099-0D6A28D21A74}"/>
    <cellStyle name="Percent 4 3 3" xfId="17163" xr:uid="{A65166E5-5119-4513-8E88-FEC1F06A7155}"/>
    <cellStyle name="Percent 4 4" xfId="12946" xr:uid="{112E9655-EC95-43BE-9C25-4205100176F9}"/>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101600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6" dataDxfId="15"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4" dataCellStyle="Normal 15">
      <calculatedColumnFormula>IFERROR(MIN(4,MATCH(Application!B718,UnitSizes,0)-1),"")</calculatedColumnFormula>
    </tableColumn>
    <tableColumn id="3" xr3:uid="{3C170205-C158-4CBB-8CF5-9AF725351349}" name="Quantity" dataDxfId="13" dataCellStyle="Normal 15">
      <calculatedColumnFormula>Application!G718</calculatedColumnFormula>
    </tableColumn>
    <tableColumn id="6" xr3:uid="{7C05B4DE-3AC1-47F3-9C25-D16553367CFA}" name="iAMI" dataDxfId="12" dataCellStyle="Percent">
      <calculatedColumnFormula>Application!AC718</calculatedColumnFormula>
    </tableColumn>
    <tableColumn id="7" xr3:uid="{2B6706B4-1A54-4104-A649-2FE0A4FF8E92}" name="AMI" dataDxfId="11" dataCellStyle="Percent">
      <calculatedColumnFormula>IF(Cdlac[[#This Row],[Quantity]]&gt;0,IF(Cdlac[[#This Row],[Federal]],30%,IF($G$36,40%,Cdlac[[#This Row],[iAMI]])),"")</calculatedColumnFormula>
    </tableColumn>
    <tableColumn id="8" xr3:uid="{A8EB42BE-4789-45EE-A11C-67C20CB0D91B}" name="Restricted Rent" dataDxfId="10" dataCellStyle="Normal 15">
      <calculatedColumnFormula array="1">IF(Cdlac[[#This Row],[Quantity]]&gt;0,INDEX(TcacRents,$P$18,Cdlac[[#This Row],[Bedrooms]]+1)*Cdlac[[#This Row],[AMI]],"")</calculatedColumnFormula>
    </tableColumn>
    <tableColumn id="9" xr3:uid="{E7AC364D-B07B-4A38-B74E-DAE64921E290}" name="Fair Market Rent" dataDxfId="9" dataCellStyle="Normal 15">
      <calculatedColumnFormula array="1">IF(Cdlac[[#This Row],[Quantity]]&gt;0,INDEX(HudFmrs,$P$18,Cdlac[[#This Row],[Bedrooms]]+1),"")</calculatedColumnFormula>
    </tableColumn>
    <tableColumn id="10" xr3:uid="{630C504C-0251-4207-88FB-451973BE380A}" name="Delta" dataDxfId="8" dataCellStyle="Normal 15">
      <calculatedColumnFormula>IF(Cdlac[[#This Row],[Quantity]]&gt;0,MAX(0,Cdlac[[#This Row],[Fair Market Rent]]-Cdlac[[#This Row],[Restricted Rent]]),"")</calculatedColumnFormula>
    </tableColumn>
    <tableColumn id="11" xr3:uid="{9C619E83-105C-4EED-A831-1DAB5BB5AC88}" name="Population" dataDxfId="7" dataCellStyle="Normal 15">
      <calculatedColumnFormula>IF(Cdlac[[#This Row],[Quantity]]&gt;0,AND(Application!AK718&lt;&gt;"N/A",Application!AK718&lt;&gt;"")*Cdlac[[#This Row],[Quantity]],"")</calculatedColumnFormula>
    </tableColumn>
    <tableColumn id="4" xr3:uid="{5D52F6BE-992B-4621-8785-ED1E8B62A78F}" name="Federal" dataDxfId="6"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5" dataDxfId="4" headerRowCellStyle="Normal 16 3" dataCellStyle="Normal 16 3">
  <autoFilter ref="BM8:BM13" xr:uid="{EC5E3245-E94C-4732-9264-A1FF7840F5A2}"/>
  <tableColumns count="1">
    <tableColumn id="1" xr3:uid="{65240E69-32D4-48CF-98F7-C12A61079F3B}" name="Construction Type" dataDxfId="3"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95" zeroHeight="1"/>
  <cols>
    <col min="1" max="5" width="2.7109375" customWidth="1"/>
    <col min="6" max="6" width="3" customWidth="1"/>
    <col min="7" max="38" width="2.7109375" customWidth="1"/>
    <col min="39" max="16384" width="2.7109375" hidden="1"/>
  </cols>
  <sheetData>
    <row r="1" spans="1:38">
      <c r="A1" s="1157" t="s">
        <v>0</v>
      </c>
      <c r="B1" s="1157"/>
      <c r="C1" s="1157"/>
      <c r="D1" s="1157"/>
      <c r="E1" s="1157"/>
      <c r="F1" s="1157"/>
      <c r="G1" s="1157"/>
      <c r="H1" s="1157"/>
      <c r="I1" s="1157"/>
      <c r="J1" s="1157"/>
      <c r="K1" s="1157"/>
      <c r="L1" s="1157"/>
      <c r="M1" s="1157"/>
      <c r="N1" s="1157"/>
      <c r="O1" s="1157"/>
      <c r="P1" s="1157"/>
      <c r="Q1" s="1157"/>
      <c r="R1" s="1157"/>
      <c r="S1" s="1157"/>
      <c r="T1" s="1157"/>
      <c r="U1" s="1157"/>
      <c r="V1" s="1157"/>
      <c r="W1" s="1157"/>
      <c r="X1" s="1157"/>
      <c r="Y1" s="1157"/>
      <c r="Z1" s="1157"/>
      <c r="AA1" s="1157"/>
      <c r="AB1" s="1157"/>
      <c r="AC1" s="1157"/>
      <c r="AD1" s="1157"/>
      <c r="AE1" s="1157"/>
      <c r="AF1" s="1157"/>
      <c r="AG1" s="1157"/>
      <c r="AH1" s="1157"/>
      <c r="AI1" s="1157"/>
      <c r="AJ1" s="1157"/>
      <c r="AK1" s="1157"/>
      <c r="AL1" s="1157"/>
    </row>
    <row r="2" spans="1:38" ht="14.1" thickBot="1">
      <c r="A2" s="1158"/>
      <c r="B2" s="1158"/>
      <c r="C2" s="1158"/>
      <c r="D2" s="1158"/>
      <c r="E2" s="1158"/>
      <c r="F2" s="1158"/>
      <c r="G2" s="1158"/>
      <c r="H2" s="1158"/>
      <c r="I2" s="1158"/>
      <c r="J2" s="1158"/>
      <c r="K2" s="1158"/>
      <c r="L2" s="1158"/>
      <c r="M2" s="1158"/>
      <c r="N2" s="1158"/>
      <c r="O2" s="1158"/>
      <c r="P2" s="1158"/>
      <c r="Q2" s="1158"/>
      <c r="R2" s="1158"/>
      <c r="S2" s="1158"/>
      <c r="T2" s="1158"/>
      <c r="U2" s="1158"/>
      <c r="V2" s="1158"/>
      <c r="W2" s="1158"/>
      <c r="X2" s="1158"/>
      <c r="Y2" s="1158"/>
      <c r="Z2" s="1158"/>
      <c r="AA2" s="1158"/>
      <c r="AB2" s="1158"/>
      <c r="AC2" s="1158"/>
      <c r="AD2" s="1158"/>
      <c r="AE2" s="1158"/>
      <c r="AF2" s="1158"/>
      <c r="AG2" s="1158"/>
      <c r="AH2" s="1158"/>
      <c r="AI2" s="1158"/>
      <c r="AJ2" s="1158"/>
      <c r="AK2" s="1158"/>
      <c r="AL2" s="1158"/>
    </row>
    <row r="3" spans="1:38" ht="14.1" thickTop="1"/>
    <row r="4" spans="1:38" s="5" customFormat="1">
      <c r="B4" s="11" t="s">
        <v>1</v>
      </c>
      <c r="C4" s="11" t="s">
        <v>2</v>
      </c>
      <c r="D4" s="1147"/>
      <c r="E4" s="1147"/>
      <c r="F4" s="1147"/>
      <c r="G4" s="1147"/>
      <c r="H4" s="1147"/>
      <c r="I4" s="1147"/>
      <c r="J4" s="1147"/>
      <c r="K4" s="1147"/>
      <c r="L4" s="1147"/>
      <c r="M4" s="1147"/>
      <c r="N4" s="1147"/>
      <c r="O4" s="1147"/>
      <c r="P4" s="1147"/>
      <c r="Q4" s="1147"/>
      <c r="R4" s="1147"/>
      <c r="S4" s="1147"/>
      <c r="T4" s="1147"/>
      <c r="U4" s="1147"/>
      <c r="V4" s="1147"/>
      <c r="W4" s="1147"/>
      <c r="X4" s="1147"/>
      <c r="Y4" s="1147"/>
      <c r="Z4" s="1147"/>
      <c r="AA4" s="1147"/>
      <c r="AB4" s="1147"/>
    </row>
    <row r="5" spans="1:38">
      <c r="B5" s="2"/>
      <c r="C5" s="2"/>
      <c r="D5" s="3"/>
      <c r="E5" s="3"/>
      <c r="F5" s="3"/>
      <c r="G5" s="3"/>
      <c r="H5" s="3"/>
      <c r="I5" s="3"/>
      <c r="J5" s="3"/>
      <c r="K5" s="3"/>
      <c r="L5" s="3"/>
      <c r="M5" s="3"/>
      <c r="N5" s="3"/>
      <c r="O5" s="3"/>
      <c r="P5" s="3"/>
      <c r="Q5" s="3"/>
      <c r="R5" s="3"/>
      <c r="S5" s="3"/>
      <c r="T5" s="3"/>
      <c r="U5" s="3"/>
      <c r="V5" s="3"/>
      <c r="W5" s="3"/>
      <c r="X5" s="3"/>
      <c r="Y5" s="3"/>
      <c r="Z5" s="3"/>
      <c r="AA5" s="3"/>
      <c r="AB5" s="3"/>
    </row>
    <row r="6" spans="1:38">
      <c r="A6" s="3"/>
      <c r="C6" s="2" t="s">
        <v>3</v>
      </c>
      <c r="D6" s="2" t="s">
        <v>4</v>
      </c>
      <c r="F6" s="3"/>
      <c r="G6" s="3"/>
      <c r="H6" s="3"/>
      <c r="I6" s="3"/>
      <c r="J6" s="3"/>
      <c r="K6" s="3"/>
      <c r="L6" s="3"/>
      <c r="M6" s="3"/>
      <c r="N6" s="3"/>
      <c r="O6" s="3"/>
      <c r="P6" s="3"/>
      <c r="Q6" s="3"/>
      <c r="R6" s="3"/>
      <c r="S6" s="3"/>
      <c r="T6" s="3"/>
      <c r="U6" s="3"/>
      <c r="V6" s="3"/>
      <c r="W6" s="3"/>
      <c r="X6" s="3"/>
      <c r="Y6" s="3"/>
      <c r="Z6" s="3"/>
      <c r="AA6" s="3"/>
      <c r="AB6" s="3"/>
    </row>
    <row r="7" spans="1:38" ht="13.35" customHeight="1">
      <c r="A7" s="143"/>
      <c r="B7" s="143"/>
      <c r="C7" s="144"/>
      <c r="D7" s="1149" t="s">
        <v>5</v>
      </c>
      <c r="E7" s="1149"/>
      <c r="F7" s="1149"/>
      <c r="G7" s="1149"/>
      <c r="H7" s="1149"/>
      <c r="I7" s="1149"/>
      <c r="J7" s="1149"/>
      <c r="K7" s="1149"/>
      <c r="L7" s="1149"/>
      <c r="M7" s="1149"/>
      <c r="N7" s="1149"/>
      <c r="O7" s="1149"/>
      <c r="P7" s="1149"/>
      <c r="Q7" s="1149"/>
      <c r="R7" s="1149"/>
      <c r="S7" s="1149"/>
      <c r="T7" s="1149"/>
      <c r="U7" s="1149"/>
      <c r="V7" s="1149"/>
      <c r="W7" s="1149"/>
      <c r="X7" s="1149"/>
      <c r="Y7" s="1149"/>
      <c r="Z7" s="1149"/>
      <c r="AA7" s="1149"/>
      <c r="AB7" s="1149"/>
      <c r="AC7" s="1149"/>
      <c r="AD7" s="1149"/>
      <c r="AE7" s="1149"/>
      <c r="AF7" s="1149"/>
      <c r="AG7" s="1149"/>
      <c r="AH7" s="1149"/>
      <c r="AI7" s="1149"/>
      <c r="AJ7" s="1149"/>
      <c r="AK7" s="1149"/>
      <c r="AL7" s="382"/>
    </row>
    <row r="8" spans="1:38">
      <c r="A8" s="143"/>
      <c r="B8" s="143"/>
      <c r="C8" s="144"/>
      <c r="D8" s="1149"/>
      <c r="E8" s="1149"/>
      <c r="F8" s="1149"/>
      <c r="G8" s="1149"/>
      <c r="H8" s="1149"/>
      <c r="I8" s="1149"/>
      <c r="J8" s="1149"/>
      <c r="K8" s="1149"/>
      <c r="L8" s="1149"/>
      <c r="M8" s="1149"/>
      <c r="N8" s="1149"/>
      <c r="O8" s="1149"/>
      <c r="P8" s="1149"/>
      <c r="Q8" s="1149"/>
      <c r="R8" s="1149"/>
      <c r="S8" s="1149"/>
      <c r="T8" s="1149"/>
      <c r="U8" s="1149"/>
      <c r="V8" s="1149"/>
      <c r="W8" s="1149"/>
      <c r="X8" s="1149"/>
      <c r="Y8" s="1149"/>
      <c r="Z8" s="1149"/>
      <c r="AA8" s="1149"/>
      <c r="AB8" s="1149"/>
      <c r="AC8" s="1149"/>
      <c r="AD8" s="1149"/>
      <c r="AE8" s="1149"/>
      <c r="AF8" s="1149"/>
      <c r="AG8" s="1149"/>
      <c r="AH8" s="1149"/>
      <c r="AI8" s="1149"/>
      <c r="AJ8" s="1149"/>
      <c r="AK8" s="1149"/>
      <c r="AL8" s="382"/>
    </row>
    <row r="9" spans="1:38">
      <c r="A9" s="143"/>
      <c r="B9" s="143"/>
      <c r="C9" s="144"/>
      <c r="D9" s="1149"/>
      <c r="E9" s="1149"/>
      <c r="F9" s="1149"/>
      <c r="G9" s="1149"/>
      <c r="H9" s="1149"/>
      <c r="I9" s="1149"/>
      <c r="J9" s="1149"/>
      <c r="K9" s="1149"/>
      <c r="L9" s="1149"/>
      <c r="M9" s="1149"/>
      <c r="N9" s="1149"/>
      <c r="O9" s="1149"/>
      <c r="P9" s="1149"/>
      <c r="Q9" s="1149"/>
      <c r="R9" s="1149"/>
      <c r="S9" s="1149"/>
      <c r="T9" s="1149"/>
      <c r="U9" s="1149"/>
      <c r="V9" s="1149"/>
      <c r="W9" s="1149"/>
      <c r="X9" s="1149"/>
      <c r="Y9" s="1149"/>
      <c r="Z9" s="1149"/>
      <c r="AA9" s="1149"/>
      <c r="AB9" s="1149"/>
      <c r="AC9" s="1149"/>
      <c r="AD9" s="1149"/>
      <c r="AE9" s="1149"/>
      <c r="AF9" s="1149"/>
      <c r="AG9" s="1149"/>
      <c r="AH9" s="1149"/>
      <c r="AI9" s="1149"/>
      <c r="AJ9" s="1149"/>
      <c r="AK9" s="1149"/>
      <c r="AL9" s="382"/>
    </row>
    <row r="10" spans="1:38">
      <c r="A10" s="143"/>
      <c r="B10" s="143"/>
      <c r="C10" s="144"/>
      <c r="D10" s="382"/>
      <c r="E10" s="382"/>
      <c r="F10" s="382"/>
      <c r="G10" s="382"/>
      <c r="H10" s="382"/>
      <c r="I10" s="382"/>
      <c r="J10" s="382"/>
      <c r="K10" s="382"/>
      <c r="L10" s="382"/>
      <c r="M10" s="382"/>
      <c r="N10" s="382"/>
      <c r="O10" s="382"/>
      <c r="P10" s="382"/>
      <c r="Q10" s="382"/>
      <c r="R10" s="382"/>
      <c r="S10" s="382"/>
      <c r="T10" s="382"/>
      <c r="U10" s="382"/>
      <c r="V10" s="382"/>
      <c r="W10" s="382"/>
      <c r="X10" s="382"/>
      <c r="Y10" s="382"/>
      <c r="Z10" s="382"/>
      <c r="AA10" s="382"/>
      <c r="AB10" s="382"/>
      <c r="AC10" s="382"/>
      <c r="AD10" s="382"/>
      <c r="AE10" s="382"/>
      <c r="AF10" s="382"/>
      <c r="AG10" s="382"/>
      <c r="AH10" s="382"/>
      <c r="AI10" s="382"/>
      <c r="AJ10" s="382"/>
      <c r="AK10" s="382"/>
      <c r="AL10" s="382"/>
    </row>
    <row r="11" spans="1:38" ht="12.95" customHeight="1">
      <c r="A11" s="143"/>
      <c r="B11" s="143"/>
      <c r="C11" s="144"/>
      <c r="D11" s="1149" t="s">
        <v>6</v>
      </c>
      <c r="E11" s="1149"/>
      <c r="F11" s="1149"/>
      <c r="G11" s="1149"/>
      <c r="H11" s="1149"/>
      <c r="I11" s="1149"/>
      <c r="J11" s="1149"/>
      <c r="K11" s="1149"/>
      <c r="L11" s="1149"/>
      <c r="M11" s="1149"/>
      <c r="N11" s="1149"/>
      <c r="O11" s="1149"/>
      <c r="P11" s="1149"/>
      <c r="Q11" s="1149"/>
      <c r="R11" s="1149"/>
      <c r="S11" s="1149"/>
      <c r="T11" s="1149"/>
      <c r="U11" s="1149"/>
      <c r="V11" s="1149"/>
      <c r="W11" s="1149"/>
      <c r="X11" s="1149"/>
      <c r="Y11" s="1149"/>
      <c r="Z11" s="1149"/>
      <c r="AA11" s="1149"/>
      <c r="AB11" s="1149"/>
      <c r="AC11" s="1149"/>
      <c r="AD11" s="1149"/>
      <c r="AE11" s="1149"/>
      <c r="AF11" s="1149"/>
      <c r="AG11" s="1149"/>
      <c r="AH11" s="1149"/>
      <c r="AI11" s="1149"/>
      <c r="AJ11" s="1149"/>
      <c r="AK11" s="1149"/>
      <c r="AL11" s="382"/>
    </row>
    <row r="12" spans="1:38">
      <c r="A12" s="143"/>
      <c r="B12" s="143"/>
      <c r="C12" s="144"/>
      <c r="D12" s="1149"/>
      <c r="E12" s="1149"/>
      <c r="F12" s="1149"/>
      <c r="G12" s="1149"/>
      <c r="H12" s="1149"/>
      <c r="I12" s="1149"/>
      <c r="J12" s="1149"/>
      <c r="K12" s="1149"/>
      <c r="L12" s="1149"/>
      <c r="M12" s="1149"/>
      <c r="N12" s="1149"/>
      <c r="O12" s="1149"/>
      <c r="P12" s="1149"/>
      <c r="Q12" s="1149"/>
      <c r="R12" s="1149"/>
      <c r="S12" s="1149"/>
      <c r="T12" s="1149"/>
      <c r="U12" s="1149"/>
      <c r="V12" s="1149"/>
      <c r="W12" s="1149"/>
      <c r="X12" s="1149"/>
      <c r="Y12" s="1149"/>
      <c r="Z12" s="1149"/>
      <c r="AA12" s="1149"/>
      <c r="AB12" s="1149"/>
      <c r="AC12" s="1149"/>
      <c r="AD12" s="1149"/>
      <c r="AE12" s="1149"/>
      <c r="AF12" s="1149"/>
      <c r="AG12" s="1149"/>
      <c r="AH12" s="1149"/>
      <c r="AI12" s="1149"/>
      <c r="AJ12" s="1149"/>
      <c r="AK12" s="1149"/>
      <c r="AL12" s="382"/>
    </row>
    <row r="13" spans="1:38">
      <c r="A13" s="143"/>
      <c r="B13" s="143"/>
      <c r="C13" s="144"/>
      <c r="D13" s="1149"/>
      <c r="E13" s="1149"/>
      <c r="F13" s="1149"/>
      <c r="G13" s="1149"/>
      <c r="H13" s="1149"/>
      <c r="I13" s="1149"/>
      <c r="J13" s="1149"/>
      <c r="K13" s="1149"/>
      <c r="L13" s="1149"/>
      <c r="M13" s="1149"/>
      <c r="N13" s="1149"/>
      <c r="O13" s="1149"/>
      <c r="P13" s="1149"/>
      <c r="Q13" s="1149"/>
      <c r="R13" s="1149"/>
      <c r="S13" s="1149"/>
      <c r="T13" s="1149"/>
      <c r="U13" s="1149"/>
      <c r="V13" s="1149"/>
      <c r="W13" s="1149"/>
      <c r="X13" s="1149"/>
      <c r="Y13" s="1149"/>
      <c r="Z13" s="1149"/>
      <c r="AA13" s="1149"/>
      <c r="AB13" s="1149"/>
      <c r="AC13" s="1149"/>
      <c r="AD13" s="1149"/>
      <c r="AE13" s="1149"/>
      <c r="AF13" s="1149"/>
      <c r="AG13" s="1149"/>
      <c r="AH13" s="1149"/>
      <c r="AI13" s="1149"/>
      <c r="AJ13" s="1149"/>
      <c r="AK13" s="1149"/>
      <c r="AL13" s="382"/>
    </row>
    <row r="14" spans="1:38" ht="13.35" customHeight="1">
      <c r="A14" s="143"/>
      <c r="B14" s="143"/>
      <c r="C14" s="144"/>
      <c r="E14" s="1149" t="s">
        <v>7</v>
      </c>
      <c r="F14" s="1149"/>
      <c r="G14" s="1149"/>
      <c r="H14" s="1149"/>
      <c r="I14" s="1149"/>
      <c r="J14" s="1149"/>
      <c r="K14" s="1149"/>
      <c r="L14" s="1149"/>
      <c r="M14" s="1149"/>
      <c r="N14" s="1149"/>
      <c r="O14" s="1149"/>
      <c r="P14" s="1149"/>
      <c r="Q14" s="1149"/>
      <c r="R14" s="1149"/>
      <c r="S14" s="1149"/>
      <c r="T14" s="1149"/>
      <c r="U14" s="1149"/>
      <c r="V14" s="1149"/>
      <c r="W14" s="1149"/>
      <c r="X14" s="1149"/>
      <c r="Y14" s="1149"/>
      <c r="Z14" s="1149"/>
      <c r="AA14" s="1149"/>
      <c r="AB14" s="1149"/>
      <c r="AC14" s="1149"/>
      <c r="AD14" s="1149"/>
      <c r="AE14" s="1149"/>
      <c r="AF14" s="1149"/>
      <c r="AG14" s="1149"/>
      <c r="AH14" s="1149"/>
      <c r="AI14" s="1149"/>
      <c r="AJ14" s="1149"/>
      <c r="AK14" s="1149"/>
      <c r="AL14" s="382"/>
    </row>
    <row r="15" spans="1:38" ht="13.35" customHeight="1">
      <c r="A15" s="143"/>
      <c r="B15" s="143"/>
      <c r="C15" s="144"/>
      <c r="E15" s="1149"/>
      <c r="F15" s="1149"/>
      <c r="G15" s="1149"/>
      <c r="H15" s="1149"/>
      <c r="I15" s="1149"/>
      <c r="J15" s="1149"/>
      <c r="K15" s="1149"/>
      <c r="L15" s="1149"/>
      <c r="M15" s="1149"/>
      <c r="N15" s="1149"/>
      <c r="O15" s="1149"/>
      <c r="P15" s="1149"/>
      <c r="Q15" s="1149"/>
      <c r="R15" s="1149"/>
      <c r="S15" s="1149"/>
      <c r="T15" s="1149"/>
      <c r="U15" s="1149"/>
      <c r="V15" s="1149"/>
      <c r="W15" s="1149"/>
      <c r="X15" s="1149"/>
      <c r="Y15" s="1149"/>
      <c r="Z15" s="1149"/>
      <c r="AA15" s="1149"/>
      <c r="AB15" s="1149"/>
      <c r="AC15" s="1149"/>
      <c r="AD15" s="1149"/>
      <c r="AE15" s="1149"/>
      <c r="AF15" s="1149"/>
      <c r="AG15" s="1149"/>
      <c r="AH15" s="1149"/>
      <c r="AI15" s="1149"/>
      <c r="AJ15" s="1149"/>
      <c r="AK15" s="1149"/>
      <c r="AL15" s="382"/>
    </row>
    <row r="16" spans="1:38">
      <c r="A16" s="143"/>
      <c r="B16" s="143"/>
      <c r="C16" s="144"/>
      <c r="D16" s="382"/>
      <c r="E16" s="1149"/>
      <c r="F16" s="1149"/>
      <c r="G16" s="1149"/>
      <c r="H16" s="1149"/>
      <c r="I16" s="1149"/>
      <c r="J16" s="1149"/>
      <c r="K16" s="1149"/>
      <c r="L16" s="1149"/>
      <c r="M16" s="1149"/>
      <c r="N16" s="1149"/>
      <c r="O16" s="1149"/>
      <c r="P16" s="1149"/>
      <c r="Q16" s="1149"/>
      <c r="R16" s="1149"/>
      <c r="S16" s="1149"/>
      <c r="T16" s="1149"/>
      <c r="U16" s="1149"/>
      <c r="V16" s="1149"/>
      <c r="W16" s="1149"/>
      <c r="X16" s="1149"/>
      <c r="Y16" s="1149"/>
      <c r="Z16" s="1149"/>
      <c r="AA16" s="1149"/>
      <c r="AB16" s="1149"/>
      <c r="AC16" s="1149"/>
      <c r="AD16" s="1149"/>
      <c r="AE16" s="1149"/>
      <c r="AF16" s="1149"/>
      <c r="AG16" s="1149"/>
      <c r="AH16" s="1149"/>
      <c r="AI16" s="1149"/>
      <c r="AJ16" s="1149"/>
      <c r="AK16" s="1149"/>
      <c r="AL16" s="382"/>
    </row>
    <row r="17" spans="1:38">
      <c r="A17" s="143"/>
      <c r="B17" s="143"/>
      <c r="C17" s="144"/>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82"/>
    </row>
    <row r="18" spans="1:38" ht="13.35" customHeight="1">
      <c r="A18" s="143"/>
      <c r="B18" s="143"/>
      <c r="C18" s="144"/>
      <c r="D18" s="1149" t="s">
        <v>8</v>
      </c>
      <c r="E18" s="1149"/>
      <c r="F18" s="1149"/>
      <c r="G18" s="1149"/>
      <c r="H18" s="1149"/>
      <c r="I18" s="1149"/>
      <c r="J18" s="1149"/>
      <c r="K18" s="1149"/>
      <c r="L18" s="1149"/>
      <c r="M18" s="1149"/>
      <c r="N18" s="1149"/>
      <c r="O18" s="1149"/>
      <c r="P18" s="1149"/>
      <c r="Q18" s="1149"/>
      <c r="R18" s="1149"/>
      <c r="S18" s="1149"/>
      <c r="T18" s="1149"/>
      <c r="U18" s="1149"/>
      <c r="V18" s="1149"/>
      <c r="W18" s="1149"/>
      <c r="X18" s="1149"/>
      <c r="Y18" s="1149"/>
      <c r="Z18" s="1149"/>
      <c r="AA18" s="1149"/>
      <c r="AB18" s="1149"/>
      <c r="AC18" s="1149"/>
      <c r="AD18" s="1149"/>
      <c r="AE18" s="1149"/>
      <c r="AF18" s="1149"/>
      <c r="AG18" s="1149"/>
      <c r="AH18" s="1149"/>
      <c r="AI18" s="1149"/>
      <c r="AJ18" s="1149"/>
      <c r="AK18" s="1149"/>
      <c r="AL18" s="143"/>
    </row>
    <row r="19" spans="1:38">
      <c r="A19" s="143"/>
      <c r="B19" s="143"/>
      <c r="C19" s="144"/>
      <c r="D19" s="1149"/>
      <c r="E19" s="1149"/>
      <c r="F19" s="1149"/>
      <c r="G19" s="1149"/>
      <c r="H19" s="1149"/>
      <c r="I19" s="1149"/>
      <c r="J19" s="1149"/>
      <c r="K19" s="1149"/>
      <c r="L19" s="1149"/>
      <c r="M19" s="1149"/>
      <c r="N19" s="1149"/>
      <c r="O19" s="1149"/>
      <c r="P19" s="1149"/>
      <c r="Q19" s="1149"/>
      <c r="R19" s="1149"/>
      <c r="S19" s="1149"/>
      <c r="T19" s="1149"/>
      <c r="U19" s="1149"/>
      <c r="V19" s="1149"/>
      <c r="W19" s="1149"/>
      <c r="X19" s="1149"/>
      <c r="Y19" s="1149"/>
      <c r="Z19" s="1149"/>
      <c r="AA19" s="1149"/>
      <c r="AB19" s="1149"/>
      <c r="AC19" s="1149"/>
      <c r="AD19" s="1149"/>
      <c r="AE19" s="1149"/>
      <c r="AF19" s="1149"/>
      <c r="AG19" s="1149"/>
      <c r="AH19" s="1149"/>
      <c r="AI19" s="1149"/>
      <c r="AJ19" s="1149"/>
      <c r="AK19" s="1149"/>
      <c r="AL19" s="143"/>
    </row>
    <row r="20" spans="1:38">
      <c r="A20" s="143"/>
      <c r="B20" s="143"/>
      <c r="C20" s="144"/>
      <c r="D20" s="1149"/>
      <c r="E20" s="1149"/>
      <c r="F20" s="1149"/>
      <c r="G20" s="1149"/>
      <c r="H20" s="1149"/>
      <c r="I20" s="1149"/>
      <c r="J20" s="1149"/>
      <c r="K20" s="1149"/>
      <c r="L20" s="1149"/>
      <c r="M20" s="1149"/>
      <c r="N20" s="1149"/>
      <c r="O20" s="1149"/>
      <c r="P20" s="1149"/>
      <c r="Q20" s="1149"/>
      <c r="R20" s="1149"/>
      <c r="S20" s="1149"/>
      <c r="T20" s="1149"/>
      <c r="U20" s="1149"/>
      <c r="V20" s="1149"/>
      <c r="W20" s="1149"/>
      <c r="X20" s="1149"/>
      <c r="Y20" s="1149"/>
      <c r="Z20" s="1149"/>
      <c r="AA20" s="1149"/>
      <c r="AB20" s="1149"/>
      <c r="AC20" s="1149"/>
      <c r="AD20" s="1149"/>
      <c r="AE20" s="1149"/>
      <c r="AF20" s="1149"/>
      <c r="AG20" s="1149"/>
      <c r="AH20" s="1149"/>
      <c r="AI20" s="1149"/>
      <c r="AJ20" s="1149"/>
      <c r="AK20" s="1149"/>
      <c r="AL20" s="143"/>
    </row>
    <row r="21" spans="1:38" ht="13.35" customHeight="1">
      <c r="A21" s="143"/>
      <c r="B21" s="143"/>
      <c r="C21" s="144"/>
      <c r="D21" s="1149"/>
      <c r="E21" s="1149"/>
      <c r="F21" s="1149"/>
      <c r="G21" s="1149"/>
      <c r="H21" s="1149"/>
      <c r="I21" s="1149"/>
      <c r="J21" s="1149"/>
      <c r="K21" s="1149"/>
      <c r="L21" s="1149"/>
      <c r="M21" s="1149"/>
      <c r="N21" s="1149"/>
      <c r="O21" s="1149"/>
      <c r="P21" s="1149"/>
      <c r="Q21" s="1149"/>
      <c r="R21" s="1149"/>
      <c r="S21" s="1149"/>
      <c r="T21" s="1149"/>
      <c r="U21" s="1149"/>
      <c r="V21" s="1149"/>
      <c r="W21" s="1149"/>
      <c r="X21" s="1149"/>
      <c r="Y21" s="1149"/>
      <c r="Z21" s="1149"/>
      <c r="AA21" s="1149"/>
      <c r="AB21" s="1149"/>
      <c r="AC21" s="1149"/>
      <c r="AD21" s="1149"/>
      <c r="AE21" s="1149"/>
      <c r="AF21" s="1149"/>
      <c r="AG21" s="1149"/>
      <c r="AH21" s="1149"/>
      <c r="AI21" s="1149"/>
      <c r="AJ21" s="1149"/>
      <c r="AK21" s="1149"/>
      <c r="AL21" s="143"/>
    </row>
    <row r="22" spans="1:38">
      <c r="A22" s="143"/>
      <c r="B22" s="143"/>
      <c r="C22" s="144"/>
      <c r="D22" s="1149"/>
      <c r="E22" s="1149"/>
      <c r="F22" s="1149"/>
      <c r="G22" s="1149"/>
      <c r="H22" s="1149"/>
      <c r="I22" s="1149"/>
      <c r="J22" s="1149"/>
      <c r="K22" s="1149"/>
      <c r="L22" s="1149"/>
      <c r="M22" s="1149"/>
      <c r="N22" s="1149"/>
      <c r="O22" s="1149"/>
      <c r="P22" s="1149"/>
      <c r="Q22" s="1149"/>
      <c r="R22" s="1149"/>
      <c r="S22" s="1149"/>
      <c r="T22" s="1149"/>
      <c r="U22" s="1149"/>
      <c r="V22" s="1149"/>
      <c r="W22" s="1149"/>
      <c r="X22" s="1149"/>
      <c r="Y22" s="1149"/>
      <c r="Z22" s="1149"/>
      <c r="AA22" s="1149"/>
      <c r="AB22" s="1149"/>
      <c r="AC22" s="1149"/>
      <c r="AD22" s="1149"/>
      <c r="AE22" s="1149"/>
      <c r="AF22" s="1149"/>
      <c r="AG22" s="1149"/>
      <c r="AH22" s="1149"/>
      <c r="AI22" s="1149"/>
      <c r="AJ22" s="1149"/>
      <c r="AK22" s="1149"/>
      <c r="AL22" s="143"/>
    </row>
    <row r="23" spans="1:38">
      <c r="A23" s="143"/>
      <c r="B23" s="143"/>
      <c r="C23" s="144"/>
      <c r="D23" s="1149"/>
      <c r="E23" s="1149"/>
      <c r="F23" s="1149"/>
      <c r="G23" s="1149"/>
      <c r="H23" s="1149"/>
      <c r="I23" s="1149"/>
      <c r="J23" s="1149"/>
      <c r="K23" s="1149"/>
      <c r="L23" s="1149"/>
      <c r="M23" s="1149"/>
      <c r="N23" s="1149"/>
      <c r="O23" s="1149"/>
      <c r="P23" s="1149"/>
      <c r="Q23" s="1149"/>
      <c r="R23" s="1149"/>
      <c r="S23" s="1149"/>
      <c r="T23" s="1149"/>
      <c r="U23" s="1149"/>
      <c r="V23" s="1149"/>
      <c r="W23" s="1149"/>
      <c r="X23" s="1149"/>
      <c r="Y23" s="1149"/>
      <c r="Z23" s="1149"/>
      <c r="AA23" s="1149"/>
      <c r="AB23" s="1149"/>
      <c r="AC23" s="1149"/>
      <c r="AD23" s="1149"/>
      <c r="AE23" s="1149"/>
      <c r="AF23" s="1149"/>
      <c r="AG23" s="1149"/>
      <c r="AH23" s="1149"/>
      <c r="AI23" s="1149"/>
      <c r="AJ23" s="1149"/>
      <c r="AK23" s="1149"/>
      <c r="AL23" s="143"/>
    </row>
    <row r="24" spans="1:38">
      <c r="A24" s="143"/>
      <c r="B24" s="143"/>
      <c r="C24" s="144"/>
      <c r="D24" s="1149"/>
      <c r="E24" s="1149"/>
      <c r="F24" s="1149"/>
      <c r="G24" s="1149"/>
      <c r="H24" s="1149"/>
      <c r="I24" s="1149"/>
      <c r="J24" s="1149"/>
      <c r="K24" s="1149"/>
      <c r="L24" s="1149"/>
      <c r="M24" s="1149"/>
      <c r="N24" s="1149"/>
      <c r="O24" s="1149"/>
      <c r="P24" s="1149"/>
      <c r="Q24" s="1149"/>
      <c r="R24" s="1149"/>
      <c r="S24" s="1149"/>
      <c r="T24" s="1149"/>
      <c r="U24" s="1149"/>
      <c r="V24" s="1149"/>
      <c r="W24" s="1149"/>
      <c r="X24" s="1149"/>
      <c r="Y24" s="1149"/>
      <c r="Z24" s="1149"/>
      <c r="AA24" s="1149"/>
      <c r="AB24" s="1149"/>
      <c r="AC24" s="1149"/>
      <c r="AD24" s="1149"/>
      <c r="AE24" s="1149"/>
      <c r="AF24" s="1149"/>
      <c r="AG24" s="1149"/>
      <c r="AH24" s="1149"/>
      <c r="AI24" s="1149"/>
      <c r="AJ24" s="1149"/>
      <c r="AK24" s="1149"/>
      <c r="AL24" s="143"/>
    </row>
    <row r="25" spans="1:38">
      <c r="A25" s="143"/>
      <c r="B25" s="143"/>
      <c r="C25" s="144"/>
      <c r="D25" s="1149"/>
      <c r="E25" s="1149"/>
      <c r="F25" s="1149"/>
      <c r="G25" s="1149"/>
      <c r="H25" s="1149"/>
      <c r="I25" s="1149"/>
      <c r="J25" s="1149"/>
      <c r="K25" s="1149"/>
      <c r="L25" s="1149"/>
      <c r="M25" s="1149"/>
      <c r="N25" s="1149"/>
      <c r="O25" s="1149"/>
      <c r="P25" s="1149"/>
      <c r="Q25" s="1149"/>
      <c r="R25" s="1149"/>
      <c r="S25" s="1149"/>
      <c r="T25" s="1149"/>
      <c r="U25" s="1149"/>
      <c r="V25" s="1149"/>
      <c r="W25" s="1149"/>
      <c r="X25" s="1149"/>
      <c r="Y25" s="1149"/>
      <c r="Z25" s="1149"/>
      <c r="AA25" s="1149"/>
      <c r="AB25" s="1149"/>
      <c r="AC25" s="1149"/>
      <c r="AD25" s="1149"/>
      <c r="AE25" s="1149"/>
      <c r="AF25" s="1149"/>
      <c r="AG25" s="1149"/>
      <c r="AH25" s="1149"/>
      <c r="AI25" s="1149"/>
      <c r="AJ25" s="1149"/>
      <c r="AK25" s="1149"/>
      <c r="AL25" s="143"/>
    </row>
    <row r="26" spans="1:38">
      <c r="A26" s="143"/>
      <c r="B26" s="143"/>
      <c r="C26" s="144"/>
      <c r="D26" s="1149"/>
      <c r="E26" s="1149"/>
      <c r="F26" s="1149"/>
      <c r="G26" s="1149"/>
      <c r="H26" s="1149"/>
      <c r="I26" s="1149"/>
      <c r="J26" s="1149"/>
      <c r="K26" s="1149"/>
      <c r="L26" s="1149"/>
      <c r="M26" s="1149"/>
      <c r="N26" s="1149"/>
      <c r="O26" s="1149"/>
      <c r="P26" s="1149"/>
      <c r="Q26" s="1149"/>
      <c r="R26" s="1149"/>
      <c r="S26" s="1149"/>
      <c r="T26" s="1149"/>
      <c r="U26" s="1149"/>
      <c r="V26" s="1149"/>
      <c r="W26" s="1149"/>
      <c r="X26" s="1149"/>
      <c r="Y26" s="1149"/>
      <c r="Z26" s="1149"/>
      <c r="AA26" s="1149"/>
      <c r="AB26" s="1149"/>
      <c r="AC26" s="1149"/>
      <c r="AD26" s="1149"/>
      <c r="AE26" s="1149"/>
      <c r="AF26" s="1149"/>
      <c r="AG26" s="1149"/>
      <c r="AH26" s="1149"/>
      <c r="AI26" s="1149"/>
      <c r="AJ26" s="1149"/>
      <c r="AK26" s="1149"/>
      <c r="AL26" s="143"/>
    </row>
    <row r="27" spans="1:38" ht="12" customHeight="1">
      <c r="A27" s="143"/>
      <c r="B27" s="143"/>
      <c r="C27" s="144"/>
      <c r="D27" s="1149"/>
      <c r="E27" s="1149"/>
      <c r="F27" s="1149"/>
      <c r="G27" s="1149"/>
      <c r="H27" s="1149"/>
      <c r="I27" s="1149"/>
      <c r="J27" s="1149"/>
      <c r="K27" s="1149"/>
      <c r="L27" s="1149"/>
      <c r="M27" s="1149"/>
      <c r="N27" s="1149"/>
      <c r="O27" s="1149"/>
      <c r="P27" s="1149"/>
      <c r="Q27" s="1149"/>
      <c r="R27" s="1149"/>
      <c r="S27" s="1149"/>
      <c r="T27" s="1149"/>
      <c r="U27" s="1149"/>
      <c r="V27" s="1149"/>
      <c r="W27" s="1149"/>
      <c r="X27" s="1149"/>
      <c r="Y27" s="1149"/>
      <c r="Z27" s="1149"/>
      <c r="AA27" s="1149"/>
      <c r="AB27" s="1149"/>
      <c r="AC27" s="1149"/>
      <c r="AD27" s="1149"/>
      <c r="AE27" s="1149"/>
      <c r="AF27" s="1149"/>
      <c r="AG27" s="1149"/>
      <c r="AH27" s="1149"/>
      <c r="AI27" s="1149"/>
      <c r="AJ27" s="1149"/>
      <c r="AK27" s="1149"/>
      <c r="AL27" s="143"/>
    </row>
    <row r="28" spans="1:38" ht="13.35" hidden="1" customHeight="1">
      <c r="A28" s="143"/>
      <c r="B28" s="143"/>
      <c r="C28" s="144"/>
      <c r="E28" s="1149" t="s">
        <v>9</v>
      </c>
      <c r="F28" s="1149"/>
      <c r="G28" s="1149"/>
      <c r="H28" s="1149"/>
      <c r="I28" s="1149"/>
      <c r="J28" s="1149"/>
      <c r="K28" s="1149"/>
      <c r="L28" s="1149"/>
      <c r="M28" s="1149"/>
      <c r="N28" s="1149"/>
      <c r="O28" s="1149"/>
      <c r="P28" s="1149"/>
      <c r="Q28" s="1149"/>
      <c r="R28" s="1149"/>
      <c r="S28" s="1149"/>
      <c r="T28" s="1149"/>
      <c r="U28" s="1149"/>
      <c r="V28" s="1149"/>
      <c r="W28" s="1149"/>
      <c r="X28" s="1149"/>
      <c r="Y28" s="1149"/>
      <c r="Z28" s="1149"/>
      <c r="AA28" s="1149"/>
      <c r="AB28" s="1149"/>
      <c r="AC28" s="1149"/>
      <c r="AD28" s="1149"/>
      <c r="AE28" s="1149"/>
      <c r="AF28" s="1149"/>
      <c r="AG28" s="1149"/>
      <c r="AH28" s="1149"/>
      <c r="AI28" s="1149"/>
      <c r="AJ28" s="1149"/>
      <c r="AK28" s="1149"/>
      <c r="AL28" s="143"/>
    </row>
    <row r="29" spans="1:38" ht="13.35" hidden="1" customHeight="1">
      <c r="A29" s="143"/>
      <c r="B29" s="143"/>
      <c r="C29" s="144"/>
      <c r="E29" s="1149"/>
      <c r="F29" s="1149"/>
      <c r="G29" s="1149"/>
      <c r="H29" s="1149"/>
      <c r="I29" s="1149"/>
      <c r="J29" s="1149"/>
      <c r="K29" s="1149"/>
      <c r="L29" s="1149"/>
      <c r="M29" s="1149"/>
      <c r="N29" s="1149"/>
      <c r="O29" s="1149"/>
      <c r="P29" s="1149"/>
      <c r="Q29" s="1149"/>
      <c r="R29" s="1149"/>
      <c r="S29" s="1149"/>
      <c r="T29" s="1149"/>
      <c r="U29" s="1149"/>
      <c r="V29" s="1149"/>
      <c r="W29" s="1149"/>
      <c r="X29" s="1149"/>
      <c r="Y29" s="1149"/>
      <c r="Z29" s="1149"/>
      <c r="AA29" s="1149"/>
      <c r="AB29" s="1149"/>
      <c r="AC29" s="1149"/>
      <c r="AD29" s="1149"/>
      <c r="AE29" s="1149"/>
      <c r="AF29" s="1149"/>
      <c r="AG29" s="1149"/>
      <c r="AH29" s="1149"/>
      <c r="AI29" s="1149"/>
      <c r="AJ29" s="1149"/>
      <c r="AK29" s="1149"/>
      <c r="AL29" s="143"/>
    </row>
    <row r="30" spans="1:38" hidden="1">
      <c r="A30" s="143"/>
      <c r="B30" s="143"/>
      <c r="C30" s="144"/>
      <c r="D30" s="382"/>
      <c r="E30" s="1149"/>
      <c r="F30" s="1149"/>
      <c r="G30" s="1149"/>
      <c r="H30" s="1149"/>
      <c r="I30" s="1149"/>
      <c r="J30" s="1149"/>
      <c r="K30" s="1149"/>
      <c r="L30" s="1149"/>
      <c r="M30" s="1149"/>
      <c r="N30" s="1149"/>
      <c r="O30" s="1149"/>
      <c r="P30" s="1149"/>
      <c r="Q30" s="1149"/>
      <c r="R30" s="1149"/>
      <c r="S30" s="1149"/>
      <c r="T30" s="1149"/>
      <c r="U30" s="1149"/>
      <c r="V30" s="1149"/>
      <c r="W30" s="1149"/>
      <c r="X30" s="1149"/>
      <c r="Y30" s="1149"/>
      <c r="Z30" s="1149"/>
      <c r="AA30" s="1149"/>
      <c r="AB30" s="1149"/>
      <c r="AC30" s="1149"/>
      <c r="AD30" s="1149"/>
      <c r="AE30" s="1149"/>
      <c r="AF30" s="1149"/>
      <c r="AG30" s="1149"/>
      <c r="AH30" s="1149"/>
      <c r="AI30" s="1149"/>
      <c r="AJ30" s="1149"/>
      <c r="AK30" s="1149"/>
      <c r="AL30" s="143"/>
    </row>
    <row r="31" spans="1:38">
      <c r="A31" s="143"/>
      <c r="B31" s="143"/>
      <c r="C31" s="144"/>
      <c r="D31" s="382"/>
      <c r="E31" s="382"/>
      <c r="F31" s="382"/>
      <c r="G31" s="382"/>
      <c r="H31" s="382"/>
      <c r="I31" s="382"/>
      <c r="J31" s="382"/>
      <c r="K31" s="382"/>
      <c r="L31" s="382"/>
      <c r="M31" s="382"/>
      <c r="N31" s="382"/>
      <c r="O31" s="382"/>
      <c r="P31" s="382"/>
      <c r="Q31" s="382"/>
      <c r="R31" s="382"/>
      <c r="S31" s="382"/>
      <c r="T31" s="382"/>
      <c r="U31" s="382"/>
      <c r="V31" s="382"/>
      <c r="W31" s="382"/>
      <c r="X31" s="382"/>
      <c r="Y31" s="382"/>
      <c r="Z31" s="382"/>
      <c r="AA31" s="382"/>
      <c r="AB31" s="382"/>
      <c r="AC31" s="382"/>
      <c r="AD31" s="382"/>
      <c r="AE31" s="382"/>
      <c r="AF31" s="382"/>
      <c r="AG31" s="382"/>
      <c r="AH31" s="382"/>
      <c r="AI31" s="382"/>
      <c r="AJ31" s="382"/>
      <c r="AK31" s="382"/>
      <c r="AL31" s="143"/>
    </row>
    <row r="32" spans="1:38" ht="13.35" customHeight="1">
      <c r="A32" s="143"/>
      <c r="B32" s="143"/>
      <c r="C32" s="144"/>
      <c r="D32" s="1149" t="s">
        <v>10</v>
      </c>
      <c r="E32" s="1149"/>
      <c r="F32" s="1149"/>
      <c r="G32" s="1149"/>
      <c r="H32" s="1149"/>
      <c r="I32" s="1149"/>
      <c r="J32" s="1149"/>
      <c r="K32" s="1149"/>
      <c r="L32" s="1149"/>
      <c r="M32" s="1149"/>
      <c r="N32" s="1149"/>
      <c r="O32" s="1149"/>
      <c r="P32" s="1149"/>
      <c r="Q32" s="1149"/>
      <c r="R32" s="1149"/>
      <c r="S32" s="1149"/>
      <c r="T32" s="1149"/>
      <c r="U32" s="1149"/>
      <c r="V32" s="1149"/>
      <c r="W32" s="1149"/>
      <c r="X32" s="1149"/>
      <c r="Y32" s="1149"/>
      <c r="Z32" s="1149"/>
      <c r="AA32" s="1149"/>
      <c r="AB32" s="1149"/>
      <c r="AC32" s="1149"/>
      <c r="AD32" s="1149"/>
      <c r="AE32" s="1149"/>
      <c r="AF32" s="1149"/>
      <c r="AG32" s="1149"/>
      <c r="AH32" s="1149"/>
      <c r="AI32" s="1149"/>
      <c r="AJ32" s="1149"/>
      <c r="AK32" s="1149"/>
      <c r="AL32" s="143"/>
    </row>
    <row r="33" spans="1:38">
      <c r="A33" s="143"/>
      <c r="B33" s="143"/>
      <c r="C33" s="144"/>
      <c r="D33" s="382"/>
      <c r="E33" s="2400" t="s">
        <v>11</v>
      </c>
      <c r="F33" s="2401"/>
      <c r="G33" s="2401"/>
      <c r="H33" s="2401"/>
      <c r="I33" s="2401"/>
      <c r="J33" s="2401"/>
      <c r="K33" s="2401"/>
      <c r="L33" s="2401"/>
      <c r="M33" s="2401"/>
      <c r="N33" s="2401"/>
      <c r="O33" s="2401"/>
      <c r="P33" s="2401"/>
      <c r="Q33" s="2401"/>
      <c r="R33" s="2401"/>
      <c r="S33" s="2401"/>
      <c r="T33" s="2401"/>
      <c r="U33" s="2401"/>
      <c r="V33" s="2401"/>
      <c r="W33" s="2401"/>
      <c r="X33" s="2401"/>
      <c r="Y33" s="2401"/>
      <c r="Z33" s="2401"/>
      <c r="AA33" s="2401"/>
      <c r="AB33" s="2401"/>
      <c r="AC33" s="2401"/>
      <c r="AD33" s="2401"/>
      <c r="AE33" s="2401"/>
      <c r="AF33" s="2401"/>
      <c r="AG33" s="2401"/>
      <c r="AH33" s="2401"/>
      <c r="AI33" s="2401"/>
      <c r="AJ33" s="2401"/>
      <c r="AK33" s="2401"/>
      <c r="AL33" s="143"/>
    </row>
    <row r="34" spans="1:38">
      <c r="A34" s="3"/>
      <c r="C34" s="2"/>
    </row>
    <row r="35" spans="1:38">
      <c r="A35" s="3"/>
      <c r="D35" s="1159" t="s">
        <v>12</v>
      </c>
      <c r="E35" s="1159"/>
      <c r="F35" s="1159"/>
      <c r="G35" s="1159"/>
      <c r="H35" s="1159"/>
      <c r="I35" s="1159"/>
      <c r="J35" s="1159"/>
      <c r="K35" s="1159"/>
      <c r="L35" s="1159"/>
      <c r="M35" s="1159"/>
      <c r="N35" s="1159"/>
      <c r="O35" s="1159"/>
      <c r="P35" s="1159"/>
      <c r="Q35" s="1159"/>
      <c r="R35" s="1159"/>
      <c r="S35" s="1159"/>
      <c r="T35" s="1159"/>
      <c r="U35" s="1159"/>
      <c r="V35" s="1159"/>
      <c r="W35" s="1159"/>
      <c r="X35" s="1159"/>
      <c r="Y35" s="1159"/>
      <c r="Z35" s="1159"/>
      <c r="AA35" s="1159"/>
      <c r="AB35" s="1159"/>
      <c r="AC35" s="1159"/>
      <c r="AD35" s="1159"/>
      <c r="AE35" s="1159"/>
      <c r="AF35" s="1159"/>
      <c r="AG35" s="1159"/>
      <c r="AH35" s="1159"/>
      <c r="AI35" s="1159"/>
      <c r="AJ35" s="1159"/>
      <c r="AK35" s="1159"/>
    </row>
    <row r="36" spans="1:38">
      <c r="A36" s="3"/>
      <c r="D36" s="1159"/>
      <c r="E36" s="1159"/>
      <c r="F36" s="1159"/>
      <c r="G36" s="1159"/>
      <c r="H36" s="1159"/>
      <c r="I36" s="1159"/>
      <c r="J36" s="1159"/>
      <c r="K36" s="1159"/>
      <c r="L36" s="1159"/>
      <c r="M36" s="1159"/>
      <c r="N36" s="1159"/>
      <c r="O36" s="1159"/>
      <c r="P36" s="1159"/>
      <c r="Q36" s="1159"/>
      <c r="R36" s="1159"/>
      <c r="S36" s="1159"/>
      <c r="T36" s="1159"/>
      <c r="U36" s="1159"/>
      <c r="V36" s="1159"/>
      <c r="W36" s="1159"/>
      <c r="X36" s="1159"/>
      <c r="Y36" s="1159"/>
      <c r="Z36" s="1159"/>
      <c r="AA36" s="1159"/>
      <c r="AB36" s="1159"/>
      <c r="AC36" s="1159"/>
      <c r="AD36" s="1159"/>
      <c r="AE36" s="1159"/>
      <c r="AF36" s="1159"/>
      <c r="AG36" s="1159"/>
      <c r="AH36" s="1159"/>
      <c r="AI36" s="1159"/>
      <c r="AJ36" s="1159"/>
      <c r="AK36" s="1159"/>
    </row>
    <row r="37" spans="1:38">
      <c r="A37" s="3"/>
      <c r="D37" s="87"/>
      <c r="E37" s="1154" t="s">
        <v>13</v>
      </c>
      <c r="F37" s="1154"/>
      <c r="G37" s="1154"/>
      <c r="H37" s="1154"/>
      <c r="I37" s="1154"/>
      <c r="J37" s="1154"/>
      <c r="K37" s="1154"/>
      <c r="L37" s="1154"/>
      <c r="M37" s="1154"/>
      <c r="N37" s="1154"/>
      <c r="O37" s="1154"/>
      <c r="P37" s="1154"/>
      <c r="Q37" s="1154"/>
      <c r="R37" s="1154"/>
      <c r="S37" s="1154"/>
      <c r="T37" s="1154"/>
      <c r="U37" s="1154"/>
      <c r="V37" s="1154"/>
      <c r="W37" s="1154"/>
      <c r="X37" s="1154"/>
      <c r="Y37" s="1154"/>
      <c r="Z37" s="1154"/>
      <c r="AA37" s="1154"/>
      <c r="AB37" s="1154"/>
      <c r="AC37" s="1154"/>
      <c r="AD37" s="1154"/>
      <c r="AE37" s="1154"/>
      <c r="AF37" s="1154"/>
      <c r="AG37" s="1154"/>
      <c r="AH37" s="1154"/>
      <c r="AI37" s="1154"/>
      <c r="AJ37" s="1154"/>
      <c r="AK37" s="1154"/>
    </row>
    <row r="38" spans="1:38">
      <c r="A38" s="3"/>
      <c r="D38" s="87"/>
      <c r="E38" s="1154" t="s">
        <v>14</v>
      </c>
      <c r="F38" s="1154"/>
      <c r="G38" s="1154"/>
      <c r="H38" s="1154"/>
      <c r="I38" s="1154"/>
      <c r="J38" s="1154"/>
      <c r="K38" s="1154"/>
      <c r="L38" s="1154"/>
      <c r="M38" s="1154"/>
      <c r="N38" s="1154"/>
      <c r="O38" s="1154"/>
      <c r="P38" s="1154"/>
      <c r="Q38" s="1154"/>
      <c r="R38" s="1154"/>
      <c r="S38" s="1154"/>
      <c r="T38" s="1154"/>
      <c r="U38" s="1154"/>
      <c r="V38" s="1154"/>
      <c r="W38" s="1154"/>
      <c r="X38" s="1154"/>
      <c r="Y38" s="1154"/>
      <c r="Z38" s="1154"/>
      <c r="AA38" s="1154"/>
      <c r="AB38" s="1154"/>
      <c r="AC38" s="1154"/>
      <c r="AD38" s="1154"/>
      <c r="AE38" s="1154"/>
      <c r="AF38" s="1154"/>
      <c r="AG38" s="1154"/>
      <c r="AH38" s="1154"/>
      <c r="AI38" s="1154"/>
      <c r="AJ38" s="1154"/>
      <c r="AK38" s="1154"/>
    </row>
    <row r="39" spans="1:38">
      <c r="A39" s="3"/>
      <c r="C39" s="2"/>
      <c r="D39" s="2"/>
      <c r="E39" s="3"/>
      <c r="F39" s="3"/>
      <c r="G39" s="3"/>
      <c r="H39" s="3"/>
      <c r="I39" s="3"/>
      <c r="J39" s="3"/>
      <c r="K39" s="3"/>
      <c r="L39" s="3"/>
      <c r="M39" s="3"/>
      <c r="N39" s="3"/>
      <c r="O39" s="3"/>
      <c r="P39" s="3"/>
      <c r="Q39" s="3"/>
      <c r="R39" s="3"/>
      <c r="S39" s="3"/>
      <c r="T39" s="3"/>
      <c r="U39" s="3"/>
      <c r="V39" s="3"/>
      <c r="W39" s="3"/>
      <c r="X39" s="3"/>
      <c r="Y39" s="3"/>
      <c r="Z39" s="3"/>
      <c r="AA39" s="3"/>
      <c r="AB39" s="3"/>
    </row>
    <row r="40" spans="1:38">
      <c r="A40" s="3"/>
      <c r="C40" s="2" t="s">
        <v>15</v>
      </c>
      <c r="D40" s="2" t="s">
        <v>16</v>
      </c>
      <c r="F40" s="3"/>
      <c r="G40" s="3"/>
      <c r="H40" s="3"/>
      <c r="I40" s="3"/>
      <c r="J40" s="3"/>
      <c r="K40" s="3"/>
      <c r="L40" s="3"/>
      <c r="M40" s="3"/>
      <c r="N40" s="3"/>
      <c r="O40" s="3"/>
      <c r="P40" s="3"/>
      <c r="Q40" s="3"/>
      <c r="R40" s="3"/>
      <c r="S40" s="3"/>
      <c r="T40" s="3"/>
      <c r="U40" s="3"/>
      <c r="V40" s="3"/>
      <c r="W40" s="3"/>
      <c r="X40" s="3"/>
      <c r="Y40" s="3"/>
      <c r="Z40" s="3"/>
      <c r="AA40" s="3"/>
      <c r="AB40" s="3"/>
    </row>
    <row r="41" spans="1:38">
      <c r="A41" s="3"/>
      <c r="B41" s="3"/>
      <c r="C41" s="3"/>
      <c r="D41" s="279" t="s">
        <v>17</v>
      </c>
      <c r="E41" s="3" t="s">
        <v>18</v>
      </c>
      <c r="F41" s="3"/>
      <c r="G41" s="3"/>
      <c r="H41" s="3"/>
      <c r="I41" s="3"/>
      <c r="J41" s="3"/>
      <c r="K41" s="3"/>
      <c r="L41" s="3"/>
      <c r="M41" s="3"/>
      <c r="N41" s="3"/>
      <c r="O41" s="3"/>
      <c r="P41" s="3"/>
      <c r="Q41" s="3"/>
      <c r="R41" s="3"/>
      <c r="S41" s="3"/>
      <c r="T41" s="3"/>
      <c r="U41" s="3"/>
      <c r="V41" s="3"/>
      <c r="W41" s="3"/>
      <c r="X41" s="3"/>
      <c r="Y41" s="3"/>
      <c r="Z41" s="3"/>
      <c r="AA41" s="3"/>
      <c r="AB41" s="3"/>
    </row>
    <row r="42" spans="1:38" s="1149" customFormat="1" ht="13.35" customHeight="1">
      <c r="A42" s="3"/>
      <c r="B42"/>
      <c r="C42" s="2"/>
      <c r="D42" s="3"/>
      <c r="E42" s="3" t="s">
        <v>19</v>
      </c>
      <c r="F42" s="1149" t="s">
        <v>20</v>
      </c>
    </row>
    <row r="43" spans="1:38" s="1149" customFormat="1" ht="13.35" customHeight="1">
      <c r="A43" s="3"/>
      <c r="B43"/>
      <c r="C43" s="2"/>
      <c r="D43" s="3"/>
      <c r="E43" s="3"/>
    </row>
    <row r="44" spans="1:38">
      <c r="A44" s="3"/>
      <c r="C44" s="2"/>
      <c r="D44" s="3"/>
      <c r="E44" s="3"/>
      <c r="F44" s="85" t="s">
        <v>21</v>
      </c>
      <c r="G44" s="3" t="s">
        <v>22</v>
      </c>
      <c r="H44" s="382"/>
      <c r="I44" s="382"/>
      <c r="J44" s="382"/>
      <c r="K44" s="382"/>
      <c r="L44" s="382"/>
      <c r="M44" s="382"/>
      <c r="N44" s="382"/>
      <c r="O44" s="382"/>
      <c r="P44" s="382"/>
      <c r="Q44" s="382"/>
      <c r="R44" s="382"/>
      <c r="S44" s="382"/>
      <c r="T44" s="382"/>
      <c r="U44" s="382"/>
      <c r="V44" s="382"/>
      <c r="W44" s="382"/>
      <c r="X44" s="382"/>
      <c r="Y44" s="382"/>
      <c r="Z44" s="382"/>
      <c r="AA44" s="382"/>
      <c r="AB44" s="382"/>
      <c r="AC44" s="382"/>
      <c r="AD44" s="382"/>
      <c r="AE44" s="382"/>
      <c r="AF44" s="382"/>
      <c r="AG44" s="382"/>
      <c r="AH44" s="382"/>
      <c r="AI44" s="382"/>
      <c r="AJ44" s="382"/>
      <c r="AK44" s="382"/>
    </row>
    <row r="45" spans="1:38" s="85" customFormat="1" ht="13.35" customHeight="1">
      <c r="A45" s="3"/>
      <c r="B45"/>
      <c r="C45" s="2"/>
      <c r="D45" s="3"/>
      <c r="E45" s="3" t="s">
        <v>23</v>
      </c>
      <c r="F45" s="1153" t="s">
        <v>24</v>
      </c>
      <c r="G45" s="1153"/>
      <c r="H45" s="1153"/>
      <c r="I45" s="1153"/>
      <c r="J45" s="1153"/>
      <c r="K45" s="1153"/>
      <c r="L45" s="1153"/>
      <c r="M45" s="1153"/>
      <c r="N45" s="1153"/>
      <c r="O45" s="1153"/>
      <c r="P45" s="1153"/>
      <c r="Q45" s="1153"/>
      <c r="R45" s="1153"/>
      <c r="S45" s="1153"/>
      <c r="T45" s="1153"/>
      <c r="U45" s="1153"/>
      <c r="V45" s="1153"/>
      <c r="W45" s="1153"/>
      <c r="X45" s="1153"/>
      <c r="Y45" s="1153"/>
      <c r="Z45" s="1153"/>
      <c r="AA45" s="1153"/>
      <c r="AB45" s="1153"/>
      <c r="AC45" s="1153"/>
      <c r="AD45" s="1153"/>
      <c r="AE45" s="1153"/>
      <c r="AF45" s="1153"/>
      <c r="AG45" s="1153"/>
      <c r="AH45" s="1153"/>
      <c r="AI45" s="1153"/>
      <c r="AJ45" s="1153"/>
      <c r="AK45" s="1153"/>
      <c r="AL45" s="1153"/>
    </row>
    <row r="46" spans="1:38" s="85" customFormat="1">
      <c r="A46" s="3"/>
      <c r="B46"/>
      <c r="C46" s="2"/>
      <c r="D46" s="3"/>
      <c r="E46" s="3"/>
      <c r="F46" s="1153"/>
      <c r="G46" s="1153"/>
      <c r="H46" s="1153"/>
      <c r="I46" s="1153"/>
      <c r="J46" s="1153"/>
      <c r="K46" s="1153"/>
      <c r="L46" s="1153"/>
      <c r="M46" s="1153"/>
      <c r="N46" s="1153"/>
      <c r="O46" s="1153"/>
      <c r="P46" s="1153"/>
      <c r="Q46" s="1153"/>
      <c r="R46" s="1153"/>
      <c r="S46" s="1153"/>
      <c r="T46" s="1153"/>
      <c r="U46" s="1153"/>
      <c r="V46" s="1153"/>
      <c r="W46" s="1153"/>
      <c r="X46" s="1153"/>
      <c r="Y46" s="1153"/>
      <c r="Z46" s="1153"/>
      <c r="AA46" s="1153"/>
      <c r="AB46" s="1153"/>
      <c r="AC46" s="1153"/>
      <c r="AD46" s="1153"/>
      <c r="AE46" s="1153"/>
      <c r="AF46" s="1153"/>
      <c r="AG46" s="1153"/>
      <c r="AH46" s="1153"/>
      <c r="AI46" s="1153"/>
      <c r="AJ46" s="1153"/>
      <c r="AK46" s="1153"/>
      <c r="AL46" s="1153"/>
    </row>
    <row r="47" spans="1:38" s="85" customFormat="1" ht="13.35" customHeight="1">
      <c r="A47" s="3"/>
      <c r="B47"/>
      <c r="C47" s="2"/>
      <c r="D47" s="3"/>
      <c r="E47" s="3"/>
      <c r="F47" s="1153"/>
      <c r="G47" s="1153"/>
      <c r="H47" s="1153"/>
      <c r="I47" s="1153"/>
      <c r="J47" s="1153"/>
      <c r="K47" s="1153"/>
      <c r="L47" s="1153"/>
      <c r="M47" s="1153"/>
      <c r="N47" s="1153"/>
      <c r="O47" s="1153"/>
      <c r="P47" s="1153"/>
      <c r="Q47" s="1153"/>
      <c r="R47" s="1153"/>
      <c r="S47" s="1153"/>
      <c r="T47" s="1153"/>
      <c r="U47" s="1153"/>
      <c r="V47" s="1153"/>
      <c r="W47" s="1153"/>
      <c r="X47" s="1153"/>
      <c r="Y47" s="1153"/>
      <c r="Z47" s="1153"/>
      <c r="AA47" s="1153"/>
      <c r="AB47" s="1153"/>
      <c r="AC47" s="1153"/>
      <c r="AD47" s="1153"/>
      <c r="AE47" s="1153"/>
      <c r="AF47" s="1153"/>
      <c r="AG47" s="1153"/>
      <c r="AH47" s="1153"/>
      <c r="AI47" s="1153"/>
      <c r="AJ47" s="1153"/>
      <c r="AK47" s="1153"/>
      <c r="AL47" s="1153"/>
    </row>
    <row r="48" spans="1:38">
      <c r="A48" s="3"/>
      <c r="C48" s="2"/>
      <c r="D48" s="3"/>
      <c r="E48" s="3"/>
      <c r="F48" s="85" t="s">
        <v>21</v>
      </c>
      <c r="G48" s="3" t="s">
        <v>25</v>
      </c>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row>
    <row r="49" spans="1:38">
      <c r="A49" s="3"/>
      <c r="C49" s="2"/>
      <c r="D49" s="3"/>
      <c r="E49" s="3"/>
      <c r="F49" s="85" t="s">
        <v>26</v>
      </c>
      <c r="G49" s="3" t="s">
        <v>27</v>
      </c>
      <c r="I49" s="3"/>
      <c r="J49" s="3"/>
      <c r="K49" s="3"/>
      <c r="L49" s="3"/>
      <c r="O49" s="3"/>
      <c r="P49" s="3"/>
      <c r="Q49" s="3"/>
      <c r="R49" s="3"/>
      <c r="S49" s="3"/>
      <c r="T49" s="3"/>
      <c r="U49" s="3"/>
      <c r="V49" s="3"/>
      <c r="W49" s="3"/>
      <c r="X49" s="3"/>
      <c r="Y49" s="3"/>
      <c r="Z49" s="3"/>
      <c r="AA49" s="3"/>
      <c r="AB49" s="3"/>
    </row>
    <row r="50" spans="1:38">
      <c r="A50" s="3"/>
      <c r="C50" s="2"/>
      <c r="D50" s="3"/>
      <c r="E50" s="3" t="s">
        <v>28</v>
      </c>
      <c r="F50" s="1149" t="s">
        <v>29</v>
      </c>
      <c r="G50" s="1149"/>
      <c r="H50" s="1149"/>
      <c r="I50" s="1149"/>
      <c r="J50" s="1149"/>
      <c r="K50" s="1149"/>
      <c r="L50" s="1149"/>
      <c r="M50" s="1149"/>
      <c r="N50" s="1149"/>
      <c r="O50" s="1149"/>
      <c r="P50" s="1149"/>
      <c r="Q50" s="1149"/>
      <c r="R50" s="1149"/>
      <c r="S50" s="1149"/>
      <c r="T50" s="1149"/>
      <c r="U50" s="1149"/>
      <c r="V50" s="1149"/>
      <c r="W50" s="1149"/>
      <c r="X50" s="1149"/>
      <c r="Y50" s="1149"/>
      <c r="Z50" s="1149"/>
      <c r="AA50" s="1149"/>
      <c r="AB50" s="1149"/>
      <c r="AC50" s="1149"/>
      <c r="AD50" s="1149"/>
      <c r="AE50" s="1149"/>
      <c r="AF50" s="1149"/>
      <c r="AG50" s="1149"/>
      <c r="AH50" s="1149"/>
      <c r="AI50" s="1149"/>
      <c r="AJ50" s="1149"/>
      <c r="AK50" s="1149"/>
    </row>
    <row r="51" spans="1:38">
      <c r="A51" s="3"/>
      <c r="C51" s="2"/>
      <c r="D51" s="3"/>
      <c r="E51" s="3"/>
      <c r="F51" s="1149"/>
      <c r="G51" s="1149"/>
      <c r="H51" s="1149"/>
      <c r="I51" s="1149"/>
      <c r="J51" s="1149"/>
      <c r="K51" s="1149"/>
      <c r="L51" s="1149"/>
      <c r="M51" s="1149"/>
      <c r="N51" s="1149"/>
      <c r="O51" s="1149"/>
      <c r="P51" s="1149"/>
      <c r="Q51" s="1149"/>
      <c r="R51" s="1149"/>
      <c r="S51" s="1149"/>
      <c r="T51" s="1149"/>
      <c r="U51" s="1149"/>
      <c r="V51" s="1149"/>
      <c r="W51" s="1149"/>
      <c r="X51" s="1149"/>
      <c r="Y51" s="1149"/>
      <c r="Z51" s="1149"/>
      <c r="AA51" s="1149"/>
      <c r="AB51" s="1149"/>
      <c r="AC51" s="1149"/>
      <c r="AD51" s="1149"/>
      <c r="AE51" s="1149"/>
      <c r="AF51" s="1149"/>
      <c r="AG51" s="1149"/>
      <c r="AH51" s="1149"/>
      <c r="AI51" s="1149"/>
      <c r="AJ51" s="1149"/>
      <c r="AK51" s="1149"/>
    </row>
    <row r="52" spans="1:38">
      <c r="A52" s="3"/>
      <c r="C52" s="2"/>
      <c r="D52" s="3"/>
      <c r="F52" s="1149"/>
      <c r="G52" s="1149"/>
      <c r="H52" s="1149"/>
      <c r="I52" s="1149"/>
      <c r="J52" s="1149"/>
      <c r="K52" s="1149"/>
      <c r="L52" s="1149"/>
      <c r="M52" s="1149"/>
      <c r="N52" s="1149"/>
      <c r="O52" s="1149"/>
      <c r="P52" s="1149"/>
      <c r="Q52" s="1149"/>
      <c r="R52" s="1149"/>
      <c r="S52" s="1149"/>
      <c r="T52" s="1149"/>
      <c r="U52" s="1149"/>
      <c r="V52" s="1149"/>
      <c r="W52" s="1149"/>
      <c r="X52" s="1149"/>
      <c r="Y52" s="1149"/>
      <c r="Z52" s="1149"/>
      <c r="AA52" s="1149"/>
      <c r="AB52" s="1149"/>
      <c r="AC52" s="1149"/>
      <c r="AD52" s="1149"/>
      <c r="AE52" s="1149"/>
      <c r="AF52" s="1149"/>
      <c r="AG52" s="1149"/>
      <c r="AH52" s="1149"/>
      <c r="AI52" s="1149"/>
      <c r="AJ52" s="1149"/>
      <c r="AK52" s="1149"/>
    </row>
    <row r="53" spans="1:38">
      <c r="A53" s="3"/>
      <c r="C53" s="2"/>
      <c r="D53" s="3"/>
      <c r="E53" s="3"/>
      <c r="F53" s="3"/>
      <c r="G53" s="3"/>
      <c r="H53" s="3"/>
      <c r="I53" s="3"/>
      <c r="J53" s="3"/>
      <c r="K53" s="3"/>
      <c r="L53" s="3"/>
      <c r="M53" s="3"/>
      <c r="N53" s="3"/>
      <c r="O53" s="3"/>
      <c r="P53" s="3"/>
      <c r="Q53" s="3"/>
      <c r="R53" s="3"/>
      <c r="S53" s="3"/>
      <c r="T53" s="3"/>
      <c r="U53" s="3"/>
      <c r="V53" s="3"/>
      <c r="W53" s="3"/>
      <c r="X53" s="3"/>
      <c r="Y53" s="3"/>
      <c r="Z53" s="3"/>
      <c r="AA53" s="3"/>
      <c r="AB53" s="3"/>
    </row>
    <row r="54" spans="1:38">
      <c r="A54" s="3"/>
      <c r="C54" s="2"/>
      <c r="D54" s="3" t="s">
        <v>30</v>
      </c>
      <c r="E54" s="3" t="s">
        <v>31</v>
      </c>
      <c r="F54" s="3"/>
      <c r="G54" s="3"/>
      <c r="H54" s="3"/>
      <c r="I54" s="3"/>
      <c r="J54" s="2402"/>
      <c r="K54" s="2402"/>
      <c r="L54" s="2402"/>
      <c r="M54" s="2402"/>
      <c r="N54" s="2402"/>
      <c r="O54" s="87"/>
      <c r="P54" s="87"/>
      <c r="Q54" s="87"/>
      <c r="R54" s="87"/>
      <c r="S54" s="87"/>
      <c r="T54" s="87"/>
      <c r="U54" s="3"/>
      <c r="V54" s="3"/>
      <c r="W54" s="3"/>
      <c r="X54" s="3"/>
      <c r="Y54" s="3"/>
      <c r="Z54" s="3"/>
      <c r="AA54" s="3"/>
      <c r="AB54" s="3"/>
    </row>
    <row r="55" spans="1:38">
      <c r="A55" s="3"/>
      <c r="C55" s="2"/>
      <c r="D55" s="2"/>
      <c r="E55" s="3" t="s">
        <v>19</v>
      </c>
      <c r="F55" s="3" t="s">
        <v>32</v>
      </c>
      <c r="G55" s="2"/>
      <c r="H55" s="87"/>
      <c r="I55" s="87"/>
      <c r="L55" s="87"/>
      <c r="M55" s="87"/>
      <c r="N55" s="87"/>
      <c r="O55" s="87"/>
      <c r="P55" s="87"/>
      <c r="Q55" s="87"/>
      <c r="R55" s="87"/>
      <c r="S55" s="87"/>
      <c r="T55" s="87"/>
      <c r="U55" s="87"/>
      <c r="V55" s="87"/>
      <c r="W55" s="87"/>
      <c r="X55" s="87"/>
      <c r="Y55" s="87"/>
      <c r="Z55" s="87"/>
      <c r="AA55" s="87"/>
      <c r="AB55" s="87"/>
      <c r="AC55" s="87"/>
      <c r="AD55" s="87"/>
      <c r="AE55" s="87"/>
      <c r="AF55" s="87"/>
      <c r="AG55" s="2"/>
    </row>
    <row r="56" spans="1:38" ht="13.35" customHeight="1">
      <c r="A56" s="143"/>
      <c r="B56" s="143"/>
      <c r="C56" s="144"/>
      <c r="D56" s="144"/>
      <c r="E56" s="143"/>
      <c r="F56" s="145" t="s">
        <v>21</v>
      </c>
      <c r="G56" s="1152" t="s">
        <v>33</v>
      </c>
      <c r="H56" s="1152"/>
      <c r="I56" s="1152"/>
      <c r="J56" s="1152"/>
      <c r="K56" s="1152"/>
      <c r="L56" s="1152"/>
      <c r="M56" s="1152"/>
      <c r="N56" s="1152"/>
      <c r="O56" s="1152"/>
      <c r="P56" s="1152"/>
      <c r="Q56" s="1152"/>
      <c r="R56" s="1152"/>
      <c r="S56" s="1152"/>
      <c r="T56" s="1152"/>
      <c r="U56" s="1152"/>
      <c r="V56" s="1152"/>
      <c r="W56" s="1152"/>
      <c r="X56" s="1152"/>
      <c r="Y56" s="1152"/>
      <c r="Z56" s="1152"/>
      <c r="AA56" s="1152"/>
      <c r="AB56" s="1152"/>
      <c r="AC56" s="1152"/>
      <c r="AD56" s="1152"/>
      <c r="AE56" s="1152"/>
      <c r="AF56" s="1152"/>
      <c r="AG56" s="1152"/>
      <c r="AH56" s="1152"/>
      <c r="AI56" s="1152"/>
      <c r="AJ56" s="1152"/>
      <c r="AK56" s="1152"/>
      <c r="AL56" s="143"/>
    </row>
    <row r="57" spans="1:38" ht="13.35" customHeight="1">
      <c r="A57" s="143"/>
      <c r="B57" s="143"/>
      <c r="C57" s="144"/>
      <c r="D57" s="144"/>
      <c r="E57" s="143"/>
      <c r="F57" s="145"/>
      <c r="G57" s="404" t="s">
        <v>34</v>
      </c>
      <c r="H57" s="380"/>
      <c r="I57" s="380"/>
      <c r="J57" s="380"/>
      <c r="K57" s="380"/>
      <c r="L57" s="380"/>
      <c r="M57" s="380"/>
      <c r="N57" s="380"/>
      <c r="O57" s="380"/>
      <c r="P57" s="380"/>
      <c r="Q57" s="380"/>
      <c r="R57" s="380"/>
      <c r="S57" s="380"/>
      <c r="T57" s="380"/>
      <c r="U57" s="380"/>
      <c r="V57" s="380"/>
      <c r="W57" s="380"/>
      <c r="X57" s="380"/>
      <c r="Y57" s="380"/>
      <c r="Z57" s="380"/>
      <c r="AA57" s="380"/>
      <c r="AB57" s="380"/>
      <c r="AC57" s="380"/>
      <c r="AD57" s="380"/>
      <c r="AE57" s="380"/>
      <c r="AF57" s="380"/>
      <c r="AG57" s="380"/>
      <c r="AH57" s="380"/>
      <c r="AI57" s="380"/>
      <c r="AJ57" s="380"/>
      <c r="AK57" s="380"/>
      <c r="AL57" s="143"/>
    </row>
    <row r="58" spans="1:38">
      <c r="A58" s="143"/>
      <c r="B58" s="143"/>
      <c r="C58" s="144"/>
      <c r="D58" s="144"/>
      <c r="E58" s="143"/>
      <c r="F58" s="145"/>
      <c r="G58" s="1152" t="s">
        <v>35</v>
      </c>
      <c r="H58" s="1152"/>
      <c r="I58" s="1152"/>
      <c r="J58" s="379"/>
      <c r="K58" s="379"/>
      <c r="L58" s="379"/>
      <c r="M58" s="379"/>
      <c r="N58" s="379"/>
      <c r="O58" s="379"/>
      <c r="P58" s="379"/>
      <c r="Q58" s="379"/>
      <c r="R58" s="379"/>
      <c r="S58" s="379"/>
      <c r="T58" s="379"/>
      <c r="U58" s="379"/>
      <c r="V58" s="379"/>
      <c r="W58" s="379"/>
      <c r="X58" s="379"/>
      <c r="Y58" s="379"/>
      <c r="Z58" s="379"/>
      <c r="AA58" s="379"/>
      <c r="AB58" s="379"/>
      <c r="AC58" s="379"/>
      <c r="AD58" s="379"/>
      <c r="AE58" s="379"/>
      <c r="AF58" s="379"/>
      <c r="AG58" s="379"/>
      <c r="AH58" s="379"/>
      <c r="AI58" s="379"/>
      <c r="AJ58" s="379"/>
      <c r="AK58" s="379"/>
      <c r="AL58" s="143"/>
    </row>
    <row r="59" spans="1:38" ht="13.35" customHeight="1">
      <c r="A59" s="143"/>
      <c r="B59" s="144"/>
      <c r="C59" s="144"/>
      <c r="D59" s="144"/>
      <c r="E59" s="143"/>
      <c r="F59" s="145" t="s">
        <v>26</v>
      </c>
      <c r="G59" s="1152" t="s">
        <v>36</v>
      </c>
      <c r="H59" s="1152"/>
      <c r="I59" s="1152"/>
      <c r="J59" s="1152"/>
      <c r="K59" s="1152"/>
      <c r="L59" s="1152"/>
      <c r="M59" s="1152"/>
      <c r="N59" s="1152"/>
      <c r="O59" s="1152"/>
      <c r="P59" s="1152"/>
      <c r="Q59" s="1152"/>
      <c r="R59" s="1152"/>
      <c r="S59" s="1152"/>
      <c r="T59" s="1152"/>
      <c r="U59" s="1152"/>
      <c r="V59" s="1152"/>
      <c r="W59" s="1152"/>
      <c r="X59" s="1152"/>
      <c r="Y59" s="1152"/>
      <c r="Z59" s="1152"/>
      <c r="AA59" s="1152"/>
      <c r="AB59" s="1152"/>
      <c r="AC59" s="1152"/>
      <c r="AD59" s="1152"/>
      <c r="AE59" s="1152"/>
      <c r="AF59" s="1152"/>
      <c r="AG59" s="1152"/>
      <c r="AH59" s="1152"/>
      <c r="AI59" s="1152"/>
      <c r="AJ59" s="1152"/>
      <c r="AK59" s="1152"/>
      <c r="AL59" s="1152"/>
    </row>
    <row r="60" spans="1:38">
      <c r="A60" s="143"/>
      <c r="B60" s="143"/>
      <c r="C60" s="144"/>
      <c r="D60" s="144"/>
      <c r="E60" s="143"/>
      <c r="F60" s="145"/>
      <c r="G60" s="1152"/>
      <c r="H60" s="1152"/>
      <c r="I60" s="1152"/>
      <c r="J60" s="1152"/>
      <c r="K60" s="1152"/>
      <c r="L60" s="1152"/>
      <c r="M60" s="1152"/>
      <c r="N60" s="1152"/>
      <c r="O60" s="1152"/>
      <c r="P60" s="1152"/>
      <c r="Q60" s="1152"/>
      <c r="R60" s="1152"/>
      <c r="S60" s="1152"/>
      <c r="T60" s="1152"/>
      <c r="U60" s="1152"/>
      <c r="V60" s="1152"/>
      <c r="W60" s="1152"/>
      <c r="X60" s="1152"/>
      <c r="Y60" s="1152"/>
      <c r="Z60" s="1152"/>
      <c r="AA60" s="1152"/>
      <c r="AB60" s="1152"/>
      <c r="AC60" s="1152"/>
      <c r="AD60" s="1152"/>
      <c r="AE60" s="1152"/>
      <c r="AF60" s="1152"/>
      <c r="AG60" s="1152"/>
      <c r="AH60" s="1152"/>
      <c r="AI60" s="1152"/>
      <c r="AJ60" s="1152"/>
      <c r="AK60" s="1152"/>
      <c r="AL60" s="1152"/>
    </row>
    <row r="61" spans="1:38">
      <c r="A61" s="143"/>
      <c r="B61" s="143"/>
      <c r="C61" s="144"/>
      <c r="D61" s="144"/>
      <c r="E61" s="143"/>
      <c r="F61" s="145"/>
      <c r="G61" s="405" t="s">
        <v>37</v>
      </c>
      <c r="H61" s="379"/>
      <c r="I61" s="379"/>
      <c r="J61" s="379"/>
      <c r="K61" s="379"/>
      <c r="L61" s="379"/>
      <c r="M61" s="379"/>
      <c r="N61" s="379"/>
      <c r="O61" s="379"/>
      <c r="P61" s="379"/>
      <c r="Q61" s="379"/>
      <c r="R61" s="379"/>
      <c r="S61" s="379"/>
      <c r="T61" s="379"/>
      <c r="U61" s="379"/>
      <c r="V61" s="379"/>
      <c r="W61" s="379"/>
      <c r="X61" s="379"/>
      <c r="Y61" s="379"/>
      <c r="Z61" s="379"/>
      <c r="AA61" s="379"/>
      <c r="AB61" s="379"/>
      <c r="AC61" s="379"/>
      <c r="AD61" s="379"/>
      <c r="AE61" s="379"/>
      <c r="AF61" s="379"/>
      <c r="AG61" s="379"/>
      <c r="AH61" s="379"/>
      <c r="AI61" s="379"/>
      <c r="AJ61" s="379"/>
      <c r="AK61" s="379"/>
      <c r="AL61" s="143"/>
    </row>
    <row r="62" spans="1:38">
      <c r="A62" s="3"/>
      <c r="C62" s="2"/>
      <c r="D62" s="2"/>
      <c r="E62" s="3"/>
      <c r="F62" s="2"/>
      <c r="G62" s="2"/>
      <c r="I62" s="2"/>
      <c r="J62" s="87"/>
      <c r="K62" s="87"/>
      <c r="L62" s="87"/>
      <c r="M62" s="87"/>
      <c r="N62" s="87"/>
      <c r="O62" s="87"/>
      <c r="P62" s="87"/>
      <c r="Q62" s="87"/>
      <c r="R62" s="87"/>
      <c r="S62" s="87"/>
      <c r="T62" s="87"/>
      <c r="U62" s="87"/>
      <c r="V62" s="87"/>
      <c r="W62" s="87"/>
      <c r="X62" s="87"/>
      <c r="Y62" s="87"/>
      <c r="Z62" s="87"/>
      <c r="AA62" s="87"/>
      <c r="AB62" s="87"/>
      <c r="AC62" s="87"/>
      <c r="AD62" s="87"/>
      <c r="AE62" s="87"/>
      <c r="AF62" s="87"/>
      <c r="AG62" s="87"/>
    </row>
    <row r="63" spans="1:38">
      <c r="A63" s="3"/>
      <c r="B63" s="3"/>
      <c r="C63" s="3"/>
      <c r="D63" s="3" t="s">
        <v>38</v>
      </c>
      <c r="E63" s="3" t="s">
        <v>39</v>
      </c>
      <c r="F63" s="3"/>
      <c r="G63" s="3"/>
      <c r="H63" s="3"/>
      <c r="I63" s="3"/>
      <c r="J63" s="3"/>
      <c r="K63" s="3"/>
      <c r="L63" s="3"/>
      <c r="M63" s="3"/>
      <c r="N63" s="3"/>
      <c r="O63" s="3"/>
      <c r="P63" s="3"/>
      <c r="Q63" s="3"/>
      <c r="R63" s="3"/>
      <c r="S63" s="3"/>
      <c r="T63" s="3"/>
      <c r="U63" s="87"/>
      <c r="V63" s="87"/>
      <c r="W63" s="87"/>
      <c r="X63" s="87"/>
      <c r="Y63" s="87"/>
      <c r="Z63" s="87"/>
      <c r="AA63" s="87"/>
      <c r="AB63" s="87"/>
      <c r="AC63" s="87"/>
      <c r="AD63" s="87"/>
      <c r="AE63" s="87"/>
      <c r="AF63" s="87"/>
      <c r="AG63" s="2"/>
    </row>
    <row r="64" spans="1:38">
      <c r="A64" s="3"/>
      <c r="C64" s="2"/>
      <c r="E64" s="3" t="s">
        <v>40</v>
      </c>
      <c r="G64" s="3"/>
      <c r="H64" s="3"/>
      <c r="I64" s="3"/>
      <c r="J64" s="3"/>
      <c r="K64" s="3"/>
      <c r="L64" s="3"/>
      <c r="M64" s="3"/>
      <c r="N64" s="3"/>
      <c r="O64" s="3"/>
      <c r="P64" s="3"/>
      <c r="Q64" s="3"/>
      <c r="R64" s="3"/>
      <c r="S64" s="3"/>
      <c r="T64" s="3"/>
      <c r="U64" s="3"/>
      <c r="V64" s="3"/>
      <c r="W64" s="3"/>
      <c r="X64" s="3"/>
      <c r="Y64" s="3"/>
      <c r="Z64" s="3"/>
      <c r="AA64" s="3"/>
      <c r="AB64" s="3"/>
    </row>
    <row r="65" spans="1:37">
      <c r="A65" s="3"/>
      <c r="C65" s="2"/>
      <c r="D65" s="3"/>
      <c r="E65" s="3" t="s">
        <v>19</v>
      </c>
      <c r="F65" s="3" t="s">
        <v>2</v>
      </c>
      <c r="G65" s="3"/>
      <c r="H65" s="3"/>
      <c r="I65" s="3"/>
      <c r="J65" s="3"/>
      <c r="K65" s="3"/>
      <c r="L65" s="3"/>
      <c r="M65" s="3"/>
      <c r="P65" s="3"/>
      <c r="Q65" s="3"/>
      <c r="R65" s="3"/>
      <c r="S65" s="3"/>
      <c r="T65" s="3"/>
      <c r="U65" s="3"/>
      <c r="V65" s="3"/>
      <c r="W65" s="3"/>
      <c r="X65" s="3"/>
      <c r="Y65" s="3"/>
      <c r="Z65" s="3"/>
      <c r="AA65" s="3"/>
      <c r="AB65" s="3"/>
    </row>
    <row r="66" spans="1:37">
      <c r="A66" s="3"/>
      <c r="C66" s="2"/>
      <c r="D66" s="3"/>
      <c r="E66" s="3"/>
      <c r="F66" t="s">
        <v>21</v>
      </c>
      <c r="G66" s="1149" t="s">
        <v>41</v>
      </c>
      <c r="H66" s="1149"/>
      <c r="I66" s="1149"/>
      <c r="J66" s="1149"/>
      <c r="K66" s="1149"/>
      <c r="L66" s="1149"/>
      <c r="M66" s="1149"/>
      <c r="N66" s="1149"/>
      <c r="O66" s="1149"/>
      <c r="P66" s="1149"/>
      <c r="Q66" s="1149"/>
      <c r="R66" s="1149"/>
      <c r="S66" s="1149"/>
      <c r="T66" s="1149"/>
      <c r="U66" s="1149"/>
      <c r="V66" s="1149"/>
      <c r="W66" s="1149"/>
      <c r="X66" s="1149"/>
      <c r="Y66" s="1149"/>
      <c r="Z66" s="1149"/>
      <c r="AA66" s="1149"/>
      <c r="AB66" s="1149"/>
      <c r="AC66" s="1149"/>
      <c r="AD66" s="1149"/>
      <c r="AE66" s="1149"/>
      <c r="AF66" s="1149"/>
      <c r="AG66" s="1149"/>
      <c r="AH66" s="1149"/>
      <c r="AI66" s="1149"/>
      <c r="AJ66" s="1149"/>
      <c r="AK66" s="1149"/>
    </row>
    <row r="67" spans="1:37">
      <c r="A67" s="3"/>
      <c r="C67" s="2"/>
      <c r="D67" s="3"/>
      <c r="E67" s="3"/>
      <c r="G67" s="1149"/>
      <c r="H67" s="1149"/>
      <c r="I67" s="1149"/>
      <c r="J67" s="1149"/>
      <c r="K67" s="1149"/>
      <c r="L67" s="1149"/>
      <c r="M67" s="1149"/>
      <c r="N67" s="1149"/>
      <c r="O67" s="1149"/>
      <c r="P67" s="1149"/>
      <c r="Q67" s="1149"/>
      <c r="R67" s="1149"/>
      <c r="S67" s="1149"/>
      <c r="T67" s="1149"/>
      <c r="U67" s="1149"/>
      <c r="V67" s="1149"/>
      <c r="W67" s="1149"/>
      <c r="X67" s="1149"/>
      <c r="Y67" s="1149"/>
      <c r="Z67" s="1149"/>
      <c r="AA67" s="1149"/>
      <c r="AB67" s="1149"/>
      <c r="AC67" s="1149"/>
      <c r="AD67" s="1149"/>
      <c r="AE67" s="1149"/>
      <c r="AF67" s="1149"/>
      <c r="AG67" s="1149"/>
      <c r="AH67" s="1149"/>
      <c r="AI67" s="1149"/>
      <c r="AJ67" s="1149"/>
      <c r="AK67" s="1149"/>
    </row>
    <row r="68" spans="1:37">
      <c r="A68" s="3"/>
      <c r="C68" s="2"/>
      <c r="D68" s="3"/>
      <c r="E68" s="3"/>
      <c r="G68" s="1149"/>
      <c r="H68" s="1149"/>
      <c r="I68" s="1149"/>
      <c r="J68" s="1149"/>
      <c r="K68" s="1149"/>
      <c r="L68" s="1149"/>
      <c r="M68" s="1149"/>
      <c r="N68" s="1149"/>
      <c r="O68" s="1149"/>
      <c r="P68" s="1149"/>
      <c r="Q68" s="1149"/>
      <c r="R68" s="1149"/>
      <c r="S68" s="1149"/>
      <c r="T68" s="1149"/>
      <c r="U68" s="1149"/>
      <c r="V68" s="1149"/>
      <c r="W68" s="1149"/>
      <c r="X68" s="1149"/>
      <c r="Y68" s="1149"/>
      <c r="Z68" s="1149"/>
      <c r="AA68" s="1149"/>
      <c r="AB68" s="1149"/>
      <c r="AC68" s="1149"/>
      <c r="AD68" s="1149"/>
      <c r="AE68" s="1149"/>
      <c r="AF68" s="1149"/>
      <c r="AG68" s="1149"/>
      <c r="AH68" s="1149"/>
      <c r="AI68" s="1149"/>
      <c r="AJ68" s="1149"/>
      <c r="AK68" s="1149"/>
    </row>
    <row r="69" spans="1:37" ht="13.35" customHeight="1">
      <c r="A69" s="3"/>
      <c r="C69" s="2"/>
      <c r="D69" s="3"/>
      <c r="E69" s="3"/>
      <c r="F69" t="s">
        <v>26</v>
      </c>
      <c r="G69" s="1149" t="s">
        <v>42</v>
      </c>
      <c r="H69" s="1149"/>
      <c r="I69" s="1149"/>
      <c r="J69" s="1149"/>
      <c r="K69" s="1149"/>
      <c r="L69" s="1149"/>
      <c r="M69" s="1149"/>
      <c r="N69" s="1149"/>
      <c r="O69" s="1149"/>
      <c r="P69" s="1149"/>
      <c r="Q69" s="1149"/>
      <c r="R69" s="1149"/>
      <c r="S69" s="1149"/>
      <c r="T69" s="1149"/>
      <c r="U69" s="1149"/>
      <c r="V69" s="1149"/>
      <c r="W69" s="1149"/>
      <c r="X69" s="1149"/>
      <c r="Y69" s="1149"/>
      <c r="Z69" s="1149"/>
      <c r="AA69" s="1149"/>
      <c r="AB69" s="1149"/>
      <c r="AC69" s="1149"/>
      <c r="AD69" s="1149"/>
      <c r="AE69" s="1149"/>
      <c r="AF69" s="1149"/>
      <c r="AG69" s="1149"/>
      <c r="AH69" s="1149"/>
      <c r="AI69" s="1149"/>
      <c r="AJ69" s="1149"/>
      <c r="AK69" s="1149"/>
    </row>
    <row r="70" spans="1:37">
      <c r="A70" s="3"/>
      <c r="C70" s="2"/>
      <c r="D70" s="3"/>
      <c r="E70" s="3"/>
      <c r="F70" s="24"/>
      <c r="G70" s="1149"/>
      <c r="H70" s="1149"/>
      <c r="I70" s="1149"/>
      <c r="J70" s="1149"/>
      <c r="K70" s="1149"/>
      <c r="L70" s="1149"/>
      <c r="M70" s="1149"/>
      <c r="N70" s="1149"/>
      <c r="O70" s="1149"/>
      <c r="P70" s="1149"/>
      <c r="Q70" s="1149"/>
      <c r="R70" s="1149"/>
      <c r="S70" s="1149"/>
      <c r="T70" s="1149"/>
      <c r="U70" s="1149"/>
      <c r="V70" s="1149"/>
      <c r="W70" s="1149"/>
      <c r="X70" s="1149"/>
      <c r="Y70" s="1149"/>
      <c r="Z70" s="1149"/>
      <c r="AA70" s="1149"/>
      <c r="AB70" s="1149"/>
      <c r="AC70" s="1149"/>
      <c r="AD70" s="1149"/>
      <c r="AE70" s="1149"/>
      <c r="AF70" s="1149"/>
      <c r="AG70" s="1149"/>
      <c r="AH70" s="1149"/>
      <c r="AI70" s="1149"/>
      <c r="AJ70" s="1149"/>
      <c r="AK70" s="1149"/>
    </row>
    <row r="71" spans="1:37">
      <c r="A71" s="3"/>
      <c r="C71" s="2"/>
      <c r="D71" s="3"/>
      <c r="E71" s="3" t="s">
        <v>23</v>
      </c>
      <c r="F71" s="3" t="s">
        <v>43</v>
      </c>
      <c r="G71" s="382"/>
      <c r="H71" s="382"/>
      <c r="I71" s="382"/>
      <c r="J71" s="382"/>
      <c r="K71" s="382"/>
      <c r="L71" s="382"/>
      <c r="M71" s="382"/>
      <c r="N71" s="382"/>
      <c r="O71" s="382"/>
      <c r="P71" s="382"/>
      <c r="Q71" s="382"/>
      <c r="R71" s="382"/>
      <c r="S71" s="382"/>
      <c r="T71" s="382"/>
      <c r="U71" s="382"/>
      <c r="V71" s="382"/>
      <c r="W71" s="382"/>
      <c r="X71" s="382"/>
      <c r="Y71" s="382"/>
      <c r="Z71" s="382"/>
      <c r="AA71" s="382"/>
      <c r="AB71" s="382"/>
      <c r="AC71" s="382"/>
      <c r="AD71" s="382"/>
      <c r="AE71" s="382"/>
      <c r="AF71" s="382"/>
      <c r="AG71" s="382"/>
      <c r="AH71" s="382"/>
      <c r="AI71" s="382"/>
      <c r="AJ71" s="382"/>
      <c r="AK71" s="382"/>
    </row>
    <row r="72" spans="1:37">
      <c r="A72" s="3"/>
      <c r="C72" s="2"/>
      <c r="D72" s="3"/>
      <c r="E72" s="3"/>
      <c r="F72" s="8" t="s">
        <v>21</v>
      </c>
      <c r="G72" s="1149" t="s">
        <v>44</v>
      </c>
      <c r="H72" s="1149"/>
      <c r="I72" s="1149"/>
      <c r="J72" s="1149"/>
      <c r="K72" s="1149"/>
      <c r="L72" s="1149"/>
      <c r="M72" s="1149"/>
      <c r="N72" s="1149"/>
      <c r="O72" s="1149"/>
      <c r="P72" s="1149"/>
      <c r="Q72" s="1149"/>
      <c r="R72" s="1149"/>
      <c r="S72" s="1149"/>
      <c r="T72" s="1149"/>
      <c r="U72" s="1149"/>
      <c r="V72" s="1149"/>
      <c r="W72" s="1149"/>
      <c r="X72" s="1149"/>
      <c r="Y72" s="1149"/>
      <c r="Z72" s="1149"/>
      <c r="AA72" s="1149"/>
      <c r="AB72" s="1149"/>
      <c r="AC72" s="1149"/>
      <c r="AD72" s="1149"/>
      <c r="AE72" s="1149"/>
      <c r="AF72" s="1149"/>
      <c r="AG72" s="1149"/>
      <c r="AH72" s="1149"/>
      <c r="AI72" s="1149"/>
      <c r="AJ72" s="1149"/>
      <c r="AK72" s="1149"/>
    </row>
    <row r="73" spans="1:37">
      <c r="A73" s="3"/>
      <c r="C73" s="2"/>
      <c r="D73" s="3"/>
      <c r="E73" s="3"/>
      <c r="F73" s="8"/>
      <c r="G73" s="1149"/>
      <c r="H73" s="1149"/>
      <c r="I73" s="1149"/>
      <c r="J73" s="1149"/>
      <c r="K73" s="1149"/>
      <c r="L73" s="1149"/>
      <c r="M73" s="1149"/>
      <c r="N73" s="1149"/>
      <c r="O73" s="1149"/>
      <c r="P73" s="1149"/>
      <c r="Q73" s="1149"/>
      <c r="R73" s="1149"/>
      <c r="S73" s="1149"/>
      <c r="T73" s="1149"/>
      <c r="U73" s="1149"/>
      <c r="V73" s="1149"/>
      <c r="W73" s="1149"/>
      <c r="X73" s="1149"/>
      <c r="Y73" s="1149"/>
      <c r="Z73" s="1149"/>
      <c r="AA73" s="1149"/>
      <c r="AB73" s="1149"/>
      <c r="AC73" s="1149"/>
      <c r="AD73" s="1149"/>
      <c r="AE73" s="1149"/>
      <c r="AF73" s="1149"/>
      <c r="AG73" s="1149"/>
      <c r="AH73" s="1149"/>
      <c r="AI73" s="1149"/>
      <c r="AJ73" s="1149"/>
      <c r="AK73" s="1149"/>
    </row>
    <row r="74" spans="1:37">
      <c r="A74" s="3"/>
      <c r="C74" s="2"/>
      <c r="D74" s="3"/>
      <c r="E74" s="3"/>
      <c r="F74" s="8" t="s">
        <v>26</v>
      </c>
      <c r="G74" s="1149" t="s">
        <v>45</v>
      </c>
      <c r="H74" s="1149"/>
      <c r="I74" s="1149"/>
      <c r="J74" s="1149"/>
      <c r="K74" s="1149"/>
      <c r="L74" s="1149"/>
      <c r="M74" s="1149"/>
      <c r="N74" s="1149"/>
      <c r="O74" s="1149"/>
      <c r="P74" s="1149"/>
      <c r="Q74" s="1149"/>
      <c r="R74" s="1149"/>
      <c r="S74" s="1149"/>
      <c r="T74" s="1149"/>
      <c r="U74" s="1149"/>
      <c r="V74" s="1149"/>
      <c r="W74" s="1149"/>
      <c r="X74" s="1149"/>
      <c r="Y74" s="1149"/>
      <c r="Z74" s="1149"/>
      <c r="AA74" s="1149"/>
      <c r="AB74" s="1149"/>
      <c r="AC74" s="1149"/>
      <c r="AD74" s="1149"/>
      <c r="AE74" s="1149"/>
      <c r="AF74" s="1149"/>
      <c r="AG74" s="1149"/>
      <c r="AH74" s="1149"/>
      <c r="AI74" s="1149"/>
      <c r="AJ74" s="1149"/>
      <c r="AK74" s="1149"/>
    </row>
    <row r="75" spans="1:37">
      <c r="A75" s="3"/>
      <c r="C75" s="2"/>
      <c r="D75" s="3"/>
      <c r="E75" s="3"/>
      <c r="F75" s="8"/>
      <c r="G75" s="1149"/>
      <c r="H75" s="1149"/>
      <c r="I75" s="1149"/>
      <c r="J75" s="1149"/>
      <c r="K75" s="1149"/>
      <c r="L75" s="1149"/>
      <c r="M75" s="1149"/>
      <c r="N75" s="1149"/>
      <c r="O75" s="1149"/>
      <c r="P75" s="1149"/>
      <c r="Q75" s="1149"/>
      <c r="R75" s="1149"/>
      <c r="S75" s="1149"/>
      <c r="T75" s="1149"/>
      <c r="U75" s="1149"/>
      <c r="V75" s="1149"/>
      <c r="W75" s="1149"/>
      <c r="X75" s="1149"/>
      <c r="Y75" s="1149"/>
      <c r="Z75" s="1149"/>
      <c r="AA75" s="1149"/>
      <c r="AB75" s="1149"/>
      <c r="AC75" s="1149"/>
      <c r="AD75" s="1149"/>
      <c r="AE75" s="1149"/>
      <c r="AF75" s="1149"/>
      <c r="AG75" s="1149"/>
      <c r="AH75" s="1149"/>
      <c r="AI75" s="1149"/>
      <c r="AJ75" s="1149"/>
      <c r="AK75" s="1149"/>
    </row>
    <row r="76" spans="1:37">
      <c r="A76" s="3"/>
      <c r="C76" s="2"/>
      <c r="D76" s="3"/>
      <c r="E76" s="3"/>
      <c r="F76" s="8"/>
      <c r="G76" s="87" t="s">
        <v>46</v>
      </c>
      <c r="H76" s="3"/>
      <c r="J76" s="87"/>
      <c r="K76" s="87"/>
      <c r="L76" s="87"/>
      <c r="P76" s="3"/>
      <c r="Q76" s="3"/>
      <c r="R76" s="3"/>
      <c r="S76" s="3"/>
      <c r="T76" s="3"/>
      <c r="U76" s="3"/>
      <c r="V76" s="3"/>
      <c r="W76" s="3"/>
      <c r="X76" s="3"/>
      <c r="Y76" s="3"/>
      <c r="Z76" s="3"/>
      <c r="AA76" s="3"/>
      <c r="AB76" s="3"/>
    </row>
    <row r="77" spans="1:37">
      <c r="A77" s="3"/>
      <c r="C77" s="2"/>
      <c r="D77" s="3"/>
      <c r="E77" s="3"/>
      <c r="F77" s="8"/>
      <c r="G77" s="87" t="s">
        <v>47</v>
      </c>
      <c r="J77" s="87"/>
      <c r="K77" s="87"/>
      <c r="L77" s="87"/>
      <c r="P77" s="3"/>
      <c r="Q77" s="3"/>
      <c r="R77" s="3"/>
      <c r="S77" s="3"/>
      <c r="T77" s="3"/>
      <c r="U77" s="3"/>
      <c r="V77" s="3"/>
      <c r="W77" s="3"/>
      <c r="X77" s="3"/>
      <c r="Y77" s="3"/>
      <c r="Z77" s="3"/>
      <c r="AA77" s="3"/>
      <c r="AB77" s="3"/>
    </row>
    <row r="78" spans="1:37">
      <c r="A78" s="3"/>
      <c r="C78" s="2"/>
      <c r="D78" s="3"/>
      <c r="E78" s="3"/>
      <c r="F78" s="8" t="s">
        <v>48</v>
      </c>
      <c r="G78" s="3" t="s">
        <v>49</v>
      </c>
      <c r="H78" s="3"/>
      <c r="I78" s="3"/>
      <c r="K78" s="3"/>
      <c r="L78" s="3"/>
      <c r="M78" s="3"/>
      <c r="P78" s="3"/>
      <c r="Q78" s="3"/>
      <c r="R78" s="3"/>
      <c r="S78" s="3"/>
      <c r="T78" s="3"/>
      <c r="U78" s="3"/>
      <c r="V78" s="3"/>
      <c r="W78" s="3"/>
      <c r="X78" s="3"/>
      <c r="Y78" s="3"/>
      <c r="Z78" s="3"/>
      <c r="AA78" s="3"/>
      <c r="AB78" s="3"/>
    </row>
    <row r="79" spans="1:37">
      <c r="A79" s="3"/>
      <c r="C79" s="2"/>
      <c r="D79" s="3"/>
      <c r="E79" s="3"/>
      <c r="F79" s="3"/>
      <c r="G79" s="3" t="s">
        <v>50</v>
      </c>
      <c r="H79" s="3" t="s">
        <v>51</v>
      </c>
      <c r="K79" s="3"/>
      <c r="L79" s="3"/>
      <c r="M79" s="3"/>
      <c r="P79" s="3"/>
      <c r="Q79" s="3"/>
      <c r="R79" s="3"/>
      <c r="S79" s="3"/>
      <c r="T79" s="3"/>
      <c r="U79" s="3"/>
      <c r="V79" s="3"/>
      <c r="W79" s="3"/>
      <c r="X79" s="3"/>
      <c r="Y79" s="3"/>
      <c r="Z79" s="3"/>
      <c r="AA79" s="3"/>
      <c r="AB79" s="3"/>
    </row>
    <row r="80" spans="1:37">
      <c r="A80" s="3"/>
      <c r="C80" s="2"/>
      <c r="D80" s="3"/>
      <c r="E80" s="3"/>
      <c r="F80" s="3"/>
      <c r="G80" s="3" t="s">
        <v>52</v>
      </c>
      <c r="H80" s="3" t="s">
        <v>53</v>
      </c>
      <c r="K80" s="3"/>
      <c r="L80" s="3"/>
      <c r="M80" s="3"/>
      <c r="P80" s="3"/>
      <c r="Q80" s="3"/>
      <c r="R80" s="3"/>
      <c r="S80" s="3"/>
      <c r="T80" s="3"/>
      <c r="U80" s="3"/>
      <c r="V80" s="3"/>
      <c r="W80" s="3"/>
      <c r="X80" s="3"/>
      <c r="Y80" s="3"/>
      <c r="Z80" s="3"/>
      <c r="AA80" s="3"/>
      <c r="AB80" s="3"/>
    </row>
    <row r="81" spans="1:37">
      <c r="A81" s="3"/>
      <c r="C81" s="2"/>
      <c r="D81" s="3"/>
      <c r="E81" s="3" t="s">
        <v>28</v>
      </c>
      <c r="F81" s="3" t="s">
        <v>54</v>
      </c>
      <c r="G81" s="3"/>
      <c r="H81" s="3"/>
      <c r="I81" s="3"/>
      <c r="J81" s="3"/>
      <c r="K81" s="3"/>
      <c r="L81" s="3"/>
      <c r="M81" s="3"/>
      <c r="P81" s="3"/>
      <c r="Q81" s="3"/>
      <c r="R81" s="3"/>
      <c r="S81" s="3"/>
      <c r="T81" s="3"/>
      <c r="U81" s="3"/>
      <c r="V81" s="3"/>
      <c r="W81" s="3"/>
      <c r="X81" s="3"/>
      <c r="Y81" s="3"/>
      <c r="Z81" s="3"/>
      <c r="AA81" s="3"/>
      <c r="AB81" s="3"/>
    </row>
    <row r="82" spans="1:37">
      <c r="A82" s="3"/>
      <c r="C82" s="2"/>
      <c r="D82" s="3"/>
      <c r="E82" s="3"/>
      <c r="F82" s="8"/>
      <c r="G82" s="1149" t="s">
        <v>55</v>
      </c>
      <c r="H82" s="1149"/>
      <c r="I82" s="1149"/>
      <c r="J82" s="1149"/>
      <c r="K82" s="1149"/>
      <c r="L82" s="1149"/>
      <c r="M82" s="1149"/>
      <c r="N82" s="1149"/>
      <c r="O82" s="1149"/>
      <c r="P82" s="1149"/>
      <c r="Q82" s="1149"/>
      <c r="R82" s="1149"/>
      <c r="S82" s="1149"/>
      <c r="T82" s="1149"/>
      <c r="U82" s="1149"/>
      <c r="V82" s="1149"/>
      <c r="W82" s="1149"/>
      <c r="X82" s="1149"/>
      <c r="Y82" s="1149"/>
      <c r="Z82" s="1149"/>
      <c r="AA82" s="1149"/>
      <c r="AB82" s="1149"/>
      <c r="AC82" s="1149"/>
      <c r="AD82" s="1149"/>
      <c r="AE82" s="1149"/>
      <c r="AF82" s="1149"/>
      <c r="AG82" s="1149"/>
      <c r="AH82" s="1149"/>
      <c r="AI82" s="1149"/>
      <c r="AJ82" s="1149"/>
      <c r="AK82" s="1149"/>
    </row>
    <row r="83" spans="1:37">
      <c r="A83" s="3"/>
      <c r="C83" s="2"/>
      <c r="D83" s="3"/>
      <c r="E83" s="3"/>
      <c r="F83" s="3"/>
      <c r="G83" s="1149"/>
      <c r="H83" s="1149"/>
      <c r="I83" s="1149"/>
      <c r="J83" s="1149"/>
      <c r="K83" s="1149"/>
      <c r="L83" s="1149"/>
      <c r="M83" s="1149"/>
      <c r="N83" s="1149"/>
      <c r="O83" s="1149"/>
      <c r="P83" s="1149"/>
      <c r="Q83" s="1149"/>
      <c r="R83" s="1149"/>
      <c r="S83" s="1149"/>
      <c r="T83" s="1149"/>
      <c r="U83" s="1149"/>
      <c r="V83" s="1149"/>
      <c r="W83" s="1149"/>
      <c r="X83" s="1149"/>
      <c r="Y83" s="1149"/>
      <c r="Z83" s="1149"/>
      <c r="AA83" s="1149"/>
      <c r="AB83" s="1149"/>
      <c r="AC83" s="1149"/>
      <c r="AD83" s="1149"/>
      <c r="AE83" s="1149"/>
      <c r="AF83" s="1149"/>
      <c r="AG83" s="1149"/>
      <c r="AH83" s="1149"/>
      <c r="AI83" s="1149"/>
      <c r="AJ83" s="1149"/>
      <c r="AK83" s="1149"/>
    </row>
    <row r="84" spans="1:37">
      <c r="A84" s="3"/>
      <c r="C84" s="2"/>
      <c r="D84" s="3"/>
      <c r="E84" s="3"/>
      <c r="F84" s="3"/>
      <c r="G84" s="1149"/>
      <c r="H84" s="1149"/>
      <c r="I84" s="1149"/>
      <c r="J84" s="1149"/>
      <c r="K84" s="1149"/>
      <c r="L84" s="1149"/>
      <c r="M84" s="1149"/>
      <c r="N84" s="1149"/>
      <c r="O84" s="1149"/>
      <c r="P84" s="1149"/>
      <c r="Q84" s="1149"/>
      <c r="R84" s="1149"/>
      <c r="S84" s="1149"/>
      <c r="T84" s="1149"/>
      <c r="U84" s="1149"/>
      <c r="V84" s="1149"/>
      <c r="W84" s="1149"/>
      <c r="X84" s="1149"/>
      <c r="Y84" s="1149"/>
      <c r="Z84" s="1149"/>
      <c r="AA84" s="1149"/>
      <c r="AB84" s="1149"/>
      <c r="AC84" s="1149"/>
      <c r="AD84" s="1149"/>
      <c r="AE84" s="1149"/>
      <c r="AF84" s="1149"/>
      <c r="AG84" s="1149"/>
      <c r="AH84" s="1149"/>
      <c r="AI84" s="1149"/>
      <c r="AJ84" s="1149"/>
      <c r="AK84" s="1149"/>
    </row>
    <row r="85" spans="1:37">
      <c r="A85" s="3"/>
      <c r="C85" s="2"/>
      <c r="D85" s="3"/>
      <c r="E85" s="3" t="s">
        <v>56</v>
      </c>
      <c r="F85" s="3" t="s">
        <v>57</v>
      </c>
      <c r="G85" s="3"/>
      <c r="H85" s="3"/>
      <c r="I85" s="3"/>
      <c r="J85" s="3"/>
      <c r="K85" s="3"/>
      <c r="L85" s="3"/>
      <c r="M85" s="3"/>
      <c r="P85" s="3"/>
      <c r="Q85" s="3"/>
      <c r="R85" s="3"/>
      <c r="S85" s="3"/>
      <c r="T85" s="3"/>
      <c r="U85" s="3"/>
      <c r="V85" s="3"/>
      <c r="W85" s="3"/>
      <c r="X85" s="3"/>
      <c r="Y85" s="3"/>
      <c r="Z85" s="3"/>
      <c r="AA85" s="3"/>
      <c r="AB85" s="3"/>
    </row>
    <row r="86" spans="1:37">
      <c r="A86" s="3"/>
      <c r="C86" s="2"/>
      <c r="D86" s="3"/>
      <c r="E86" s="3"/>
      <c r="F86" s="8"/>
      <c r="G86" s="1149" t="s">
        <v>58</v>
      </c>
      <c r="H86" s="1149"/>
      <c r="I86" s="1149"/>
      <c r="J86" s="1149"/>
      <c r="K86" s="1149"/>
      <c r="L86" s="1149"/>
      <c r="M86" s="1149"/>
      <c r="N86" s="1149"/>
      <c r="O86" s="1149"/>
      <c r="P86" s="1149"/>
      <c r="Q86" s="1149"/>
      <c r="R86" s="1149"/>
      <c r="S86" s="1149"/>
      <c r="T86" s="1149"/>
      <c r="U86" s="1149"/>
      <c r="V86" s="1149"/>
      <c r="W86" s="1149"/>
      <c r="X86" s="1149"/>
      <c r="Y86" s="1149"/>
      <c r="Z86" s="1149"/>
      <c r="AA86" s="1149"/>
      <c r="AB86" s="1149"/>
      <c r="AC86" s="1149"/>
      <c r="AD86" s="1149"/>
      <c r="AE86" s="1149"/>
      <c r="AF86" s="1149"/>
      <c r="AG86" s="1149"/>
      <c r="AH86" s="1149"/>
      <c r="AI86" s="1149"/>
      <c r="AJ86" s="1149"/>
      <c r="AK86" s="1149"/>
    </row>
    <row r="87" spans="1:37">
      <c r="A87" s="3"/>
      <c r="C87" s="2"/>
      <c r="D87" s="3"/>
      <c r="E87" s="3"/>
      <c r="F87" s="3"/>
      <c r="G87" s="1149"/>
      <c r="H87" s="1149"/>
      <c r="I87" s="1149"/>
      <c r="J87" s="1149"/>
      <c r="K87" s="1149"/>
      <c r="L87" s="1149"/>
      <c r="M87" s="1149"/>
      <c r="N87" s="1149"/>
      <c r="O87" s="1149"/>
      <c r="P87" s="1149"/>
      <c r="Q87" s="1149"/>
      <c r="R87" s="1149"/>
      <c r="S87" s="1149"/>
      <c r="T87" s="1149"/>
      <c r="U87" s="1149"/>
      <c r="V87" s="1149"/>
      <c r="W87" s="1149"/>
      <c r="X87" s="1149"/>
      <c r="Y87" s="1149"/>
      <c r="Z87" s="1149"/>
      <c r="AA87" s="1149"/>
      <c r="AB87" s="1149"/>
      <c r="AC87" s="1149"/>
      <c r="AD87" s="1149"/>
      <c r="AE87" s="1149"/>
      <c r="AF87" s="1149"/>
      <c r="AG87" s="1149"/>
      <c r="AH87" s="1149"/>
      <c r="AI87" s="1149"/>
      <c r="AJ87" s="1149"/>
      <c r="AK87" s="1149"/>
    </row>
    <row r="88" spans="1:37">
      <c r="A88" s="3"/>
      <c r="C88" s="2"/>
      <c r="D88" s="3"/>
      <c r="E88" s="3"/>
      <c r="G88" s="1149"/>
      <c r="H88" s="1149"/>
      <c r="I88" s="1149"/>
      <c r="J88" s="1149"/>
      <c r="K88" s="1149"/>
      <c r="L88" s="1149"/>
      <c r="M88" s="1149"/>
      <c r="N88" s="1149"/>
      <c r="O88" s="1149"/>
      <c r="P88" s="1149"/>
      <c r="Q88" s="1149"/>
      <c r="R88" s="1149"/>
      <c r="S88" s="1149"/>
      <c r="T88" s="1149"/>
      <c r="U88" s="1149"/>
      <c r="V88" s="1149"/>
      <c r="W88" s="1149"/>
      <c r="X88" s="1149"/>
      <c r="Y88" s="1149"/>
      <c r="Z88" s="1149"/>
      <c r="AA88" s="1149"/>
      <c r="AB88" s="1149"/>
      <c r="AC88" s="1149"/>
      <c r="AD88" s="1149"/>
      <c r="AE88" s="1149"/>
      <c r="AF88" s="1149"/>
      <c r="AG88" s="1149"/>
      <c r="AH88" s="1149"/>
      <c r="AI88" s="1149"/>
      <c r="AJ88" s="1149"/>
      <c r="AK88" s="1149"/>
    </row>
    <row r="89" spans="1:37">
      <c r="A89" s="3"/>
      <c r="C89" s="2"/>
      <c r="D89" s="3"/>
      <c r="E89" s="3" t="s">
        <v>59</v>
      </c>
      <c r="F89" t="s">
        <v>60</v>
      </c>
      <c r="G89" s="3"/>
      <c r="L89" s="3"/>
      <c r="M89" s="3"/>
      <c r="P89" s="3"/>
      <c r="Q89" s="3"/>
      <c r="R89" s="3"/>
      <c r="S89" s="3"/>
      <c r="T89" s="3"/>
      <c r="U89" s="3"/>
      <c r="V89" s="3"/>
      <c r="W89" s="3"/>
      <c r="X89" s="3"/>
      <c r="Y89" s="3"/>
      <c r="Z89" s="3"/>
      <c r="AA89" s="3"/>
      <c r="AB89" s="3"/>
    </row>
    <row r="90" spans="1:37">
      <c r="A90" s="3"/>
      <c r="C90" s="2"/>
      <c r="D90" s="3"/>
      <c r="E90" s="3"/>
      <c r="G90" s="1150" t="s">
        <v>61</v>
      </c>
      <c r="H90" s="1150"/>
      <c r="I90" s="1150"/>
      <c r="J90" s="1150"/>
      <c r="K90" s="1150"/>
      <c r="L90" s="1150"/>
      <c r="M90" s="1150"/>
      <c r="N90" s="1150"/>
      <c r="O90" s="1150"/>
      <c r="P90" s="1150"/>
      <c r="Q90" s="1150"/>
      <c r="R90" s="1150"/>
      <c r="S90" s="1150"/>
      <c r="T90" s="1150"/>
      <c r="U90" s="1150"/>
      <c r="V90" s="1150"/>
      <c r="W90" s="1150"/>
      <c r="X90" s="1150"/>
      <c r="Y90" s="1150"/>
      <c r="Z90" s="1150"/>
      <c r="AA90" s="1150"/>
      <c r="AB90" s="1150"/>
      <c r="AC90" s="1150"/>
      <c r="AD90" s="1150"/>
      <c r="AE90" s="1150"/>
      <c r="AF90" s="1150"/>
      <c r="AG90" s="1150"/>
      <c r="AH90" s="1150"/>
      <c r="AI90" s="1150"/>
      <c r="AJ90" s="1150"/>
      <c r="AK90" s="1150"/>
    </row>
    <row r="91" spans="1:37">
      <c r="A91" s="3"/>
      <c r="C91" s="2"/>
      <c r="D91" s="3"/>
      <c r="E91" s="3"/>
      <c r="G91" s="1150"/>
      <c r="H91" s="1150"/>
      <c r="I91" s="1150"/>
      <c r="J91" s="1150"/>
      <c r="K91" s="1150"/>
      <c r="L91" s="1150"/>
      <c r="M91" s="1150"/>
      <c r="N91" s="1150"/>
      <c r="O91" s="1150"/>
      <c r="P91" s="1150"/>
      <c r="Q91" s="1150"/>
      <c r="R91" s="1150"/>
      <c r="S91" s="1150"/>
      <c r="T91" s="1150"/>
      <c r="U91" s="1150"/>
      <c r="V91" s="1150"/>
      <c r="W91" s="1150"/>
      <c r="X91" s="1150"/>
      <c r="Y91" s="1150"/>
      <c r="Z91" s="1150"/>
      <c r="AA91" s="1150"/>
      <c r="AB91" s="1150"/>
      <c r="AC91" s="1150"/>
      <c r="AD91" s="1150"/>
      <c r="AE91" s="1150"/>
      <c r="AF91" s="1150"/>
      <c r="AG91" s="1150"/>
      <c r="AH91" s="1150"/>
      <c r="AI91" s="1150"/>
      <c r="AJ91" s="1150"/>
      <c r="AK91" s="1150"/>
    </row>
    <row r="92" spans="1:37">
      <c r="A92" s="3"/>
      <c r="C92" s="2"/>
      <c r="D92" s="3"/>
      <c r="E92" s="3"/>
      <c r="G92" s="1150"/>
      <c r="H92" s="1150"/>
      <c r="I92" s="1150"/>
      <c r="J92" s="1150"/>
      <c r="K92" s="1150"/>
      <c r="L92" s="1150"/>
      <c r="M92" s="1150"/>
      <c r="N92" s="1150"/>
      <c r="O92" s="1150"/>
      <c r="P92" s="1150"/>
      <c r="Q92" s="1150"/>
      <c r="R92" s="1150"/>
      <c r="S92" s="1150"/>
      <c r="T92" s="1150"/>
      <c r="U92" s="1150"/>
      <c r="V92" s="1150"/>
      <c r="W92" s="1150"/>
      <c r="X92" s="1150"/>
      <c r="Y92" s="1150"/>
      <c r="Z92" s="1150"/>
      <c r="AA92" s="1150"/>
      <c r="AB92" s="1150"/>
      <c r="AC92" s="1150"/>
      <c r="AD92" s="1150"/>
      <c r="AE92" s="1150"/>
      <c r="AF92" s="1150"/>
      <c r="AG92" s="1150"/>
      <c r="AH92" s="1150"/>
      <c r="AI92" s="1150"/>
      <c r="AJ92" s="1150"/>
      <c r="AK92" s="1150"/>
    </row>
    <row r="93" spans="1:37">
      <c r="A93" s="3"/>
      <c r="C93" s="2"/>
      <c r="D93" s="3"/>
      <c r="E93" s="3" t="s">
        <v>62</v>
      </c>
      <c r="F93" s="3" t="s">
        <v>63</v>
      </c>
      <c r="G93" s="3"/>
      <c r="H93" s="3"/>
      <c r="I93" s="3"/>
      <c r="J93" s="3"/>
      <c r="K93" s="3"/>
      <c r="L93" s="3"/>
      <c r="M93" s="3"/>
      <c r="P93" s="3"/>
      <c r="Q93" s="3"/>
      <c r="R93" s="3"/>
      <c r="S93" s="3"/>
      <c r="T93" s="3"/>
      <c r="U93" s="3"/>
      <c r="V93" s="3"/>
      <c r="W93" s="3"/>
      <c r="X93" s="3"/>
      <c r="Y93" s="3"/>
      <c r="Z93" s="3"/>
      <c r="AA93" s="3"/>
      <c r="AB93" s="3"/>
    </row>
    <row r="94" spans="1:37">
      <c r="A94" s="3"/>
      <c r="C94" s="2"/>
      <c r="D94" s="3"/>
      <c r="E94" s="3"/>
      <c r="F94" s="3"/>
      <c r="G94" s="1149" t="s">
        <v>64</v>
      </c>
      <c r="H94" s="1149"/>
      <c r="I94" s="1149"/>
      <c r="J94" s="1149"/>
      <c r="K94" s="1149"/>
      <c r="L94" s="1149"/>
      <c r="M94" s="1149"/>
      <c r="N94" s="1149"/>
      <c r="O94" s="1149"/>
      <c r="P94" s="1149"/>
      <c r="Q94" s="1149"/>
      <c r="R94" s="1149"/>
      <c r="S94" s="1149"/>
      <c r="T94" s="1149"/>
      <c r="U94" s="1149"/>
      <c r="V94" s="1149"/>
      <c r="W94" s="1149"/>
      <c r="X94" s="1149"/>
      <c r="Y94" s="1149"/>
      <c r="Z94" s="1149"/>
      <c r="AA94" s="1149"/>
      <c r="AB94" s="1149"/>
      <c r="AC94" s="1149"/>
      <c r="AD94" s="1149"/>
      <c r="AE94" s="1149"/>
      <c r="AF94" s="1149"/>
      <c r="AG94" s="1149"/>
      <c r="AH94" s="1149"/>
      <c r="AI94" s="1149"/>
      <c r="AJ94" s="1149"/>
      <c r="AK94" s="1149"/>
    </row>
    <row r="95" spans="1:37">
      <c r="A95" s="3"/>
      <c r="C95" s="2"/>
      <c r="D95" s="3"/>
      <c r="E95" s="3"/>
      <c r="G95" s="1149"/>
      <c r="H95" s="1149"/>
      <c r="I95" s="1149"/>
      <c r="J95" s="1149"/>
      <c r="K95" s="1149"/>
      <c r="L95" s="1149"/>
      <c r="M95" s="1149"/>
      <c r="N95" s="1149"/>
      <c r="O95" s="1149"/>
      <c r="P95" s="1149"/>
      <c r="Q95" s="1149"/>
      <c r="R95" s="1149"/>
      <c r="S95" s="1149"/>
      <c r="T95" s="1149"/>
      <c r="U95" s="1149"/>
      <c r="V95" s="1149"/>
      <c r="W95" s="1149"/>
      <c r="X95" s="1149"/>
      <c r="Y95" s="1149"/>
      <c r="Z95" s="1149"/>
      <c r="AA95" s="1149"/>
      <c r="AB95" s="1149"/>
      <c r="AC95" s="1149"/>
      <c r="AD95" s="1149"/>
      <c r="AE95" s="1149"/>
      <c r="AF95" s="1149"/>
      <c r="AG95" s="1149"/>
      <c r="AH95" s="1149"/>
      <c r="AI95" s="1149"/>
      <c r="AJ95" s="1149"/>
      <c r="AK95" s="1149"/>
    </row>
    <row r="96" spans="1:37">
      <c r="A96" s="3"/>
      <c r="C96" s="2"/>
      <c r="D96" s="3"/>
      <c r="E96" s="3" t="s">
        <v>65</v>
      </c>
      <c r="F96" s="143" t="s">
        <v>66</v>
      </c>
      <c r="G96" s="143"/>
      <c r="L96" s="3"/>
      <c r="M96" s="3"/>
      <c r="P96" s="3"/>
      <c r="Q96" s="3"/>
      <c r="R96" s="3"/>
      <c r="S96" s="3"/>
      <c r="T96" s="3"/>
      <c r="U96" s="3"/>
      <c r="V96" s="3"/>
      <c r="W96" s="3"/>
      <c r="X96" s="3"/>
      <c r="Y96" s="3"/>
      <c r="Z96" s="3"/>
      <c r="AA96" s="3"/>
      <c r="AB96" s="3"/>
    </row>
    <row r="97" spans="1:38">
      <c r="A97" s="3"/>
      <c r="C97" s="2"/>
      <c r="D97" s="3"/>
      <c r="E97" s="3"/>
      <c r="G97" s="1149" t="s">
        <v>67</v>
      </c>
      <c r="H97" s="1149"/>
      <c r="I97" s="1149"/>
      <c r="J97" s="1149"/>
      <c r="K97" s="1149"/>
      <c r="L97" s="1149"/>
      <c r="M97" s="1149"/>
      <c r="N97" s="1149"/>
      <c r="O97" s="1149"/>
      <c r="P97" s="1149"/>
      <c r="Q97" s="1149"/>
      <c r="R97" s="1149"/>
      <c r="S97" s="1149"/>
      <c r="T97" s="1149"/>
      <c r="U97" s="1149"/>
      <c r="V97" s="1149"/>
      <c r="W97" s="1149"/>
      <c r="X97" s="1149"/>
      <c r="Y97" s="1149"/>
      <c r="Z97" s="1149"/>
      <c r="AA97" s="1149"/>
      <c r="AB97" s="1149"/>
      <c r="AC97" s="1149"/>
      <c r="AD97" s="1149"/>
      <c r="AE97" s="1149"/>
      <c r="AF97" s="1149"/>
      <c r="AG97" s="1149"/>
      <c r="AH97" s="1149"/>
      <c r="AI97" s="1149"/>
      <c r="AJ97" s="1149"/>
      <c r="AK97" s="1149"/>
    </row>
    <row r="98" spans="1:38">
      <c r="A98" s="3"/>
      <c r="C98" s="2"/>
      <c r="D98" s="3"/>
      <c r="E98" s="3"/>
      <c r="G98" s="1149"/>
      <c r="H98" s="1149"/>
      <c r="I98" s="1149"/>
      <c r="J98" s="1149"/>
      <c r="K98" s="1149"/>
      <c r="L98" s="1149"/>
      <c r="M98" s="1149"/>
      <c r="N98" s="1149"/>
      <c r="O98" s="1149"/>
      <c r="P98" s="1149"/>
      <c r="Q98" s="1149"/>
      <c r="R98" s="1149"/>
      <c r="S98" s="1149"/>
      <c r="T98" s="1149"/>
      <c r="U98" s="1149"/>
      <c r="V98" s="1149"/>
      <c r="W98" s="1149"/>
      <c r="X98" s="1149"/>
      <c r="Y98" s="1149"/>
      <c r="Z98" s="1149"/>
      <c r="AA98" s="1149"/>
      <c r="AB98" s="1149"/>
      <c r="AC98" s="1149"/>
      <c r="AD98" s="1149"/>
      <c r="AE98" s="1149"/>
      <c r="AF98" s="1149"/>
      <c r="AG98" s="1149"/>
      <c r="AH98" s="1149"/>
      <c r="AI98" s="1149"/>
      <c r="AJ98" s="1149"/>
      <c r="AK98" s="1149"/>
    </row>
    <row r="99" spans="1:38">
      <c r="A99" s="3"/>
      <c r="C99" s="2"/>
      <c r="D99" s="3"/>
      <c r="E99" s="3"/>
      <c r="G99" s="1149"/>
      <c r="H99" s="1149"/>
      <c r="I99" s="1149"/>
      <c r="J99" s="1149"/>
      <c r="K99" s="1149"/>
      <c r="L99" s="1149"/>
      <c r="M99" s="1149"/>
      <c r="N99" s="1149"/>
      <c r="O99" s="1149"/>
      <c r="P99" s="1149"/>
      <c r="Q99" s="1149"/>
      <c r="R99" s="1149"/>
      <c r="S99" s="1149"/>
      <c r="T99" s="1149"/>
      <c r="U99" s="1149"/>
      <c r="V99" s="1149"/>
      <c r="W99" s="1149"/>
      <c r="X99" s="1149"/>
      <c r="Y99" s="1149"/>
      <c r="Z99" s="1149"/>
      <c r="AA99" s="1149"/>
      <c r="AB99" s="1149"/>
      <c r="AC99" s="1149"/>
      <c r="AD99" s="1149"/>
      <c r="AE99" s="1149"/>
      <c r="AF99" s="1149"/>
      <c r="AG99" s="1149"/>
      <c r="AH99" s="1149"/>
      <c r="AI99" s="1149"/>
      <c r="AJ99" s="1149"/>
      <c r="AK99" s="1149"/>
    </row>
    <row r="100" spans="1:38">
      <c r="A100" s="3"/>
      <c r="D100" s="75"/>
      <c r="E100" s="1151" t="s">
        <v>68</v>
      </c>
      <c r="F100" s="1151"/>
      <c r="G100" s="1151"/>
      <c r="H100" s="1151"/>
      <c r="I100" s="1151"/>
      <c r="J100" s="1151"/>
      <c r="K100" s="1151"/>
      <c r="L100" s="1151"/>
      <c r="M100" s="1151"/>
      <c r="N100" s="1151"/>
      <c r="O100" s="1151"/>
      <c r="P100" s="1151"/>
      <c r="Q100" s="1151"/>
      <c r="R100" s="1151"/>
      <c r="S100" s="1151"/>
      <c r="T100" s="1151"/>
      <c r="U100" s="1151"/>
      <c r="V100" s="1151"/>
      <c r="W100" s="1151"/>
      <c r="X100" s="1151"/>
      <c r="Y100" s="1151"/>
      <c r="Z100" s="1151"/>
      <c r="AA100" s="1151"/>
      <c r="AB100" s="1151"/>
      <c r="AC100" s="1151"/>
      <c r="AD100" s="1151"/>
      <c r="AE100" s="1151"/>
      <c r="AF100" s="1151"/>
      <c r="AG100" s="1151"/>
      <c r="AH100" s="1151"/>
      <c r="AI100" s="1151"/>
      <c r="AJ100" s="1151"/>
      <c r="AK100" s="1151"/>
    </row>
    <row r="101" spans="1:38">
      <c r="A101" s="3"/>
      <c r="D101" s="75"/>
      <c r="E101" s="1151"/>
      <c r="F101" s="1151"/>
      <c r="G101" s="1151"/>
      <c r="H101" s="1151"/>
      <c r="I101" s="1151"/>
      <c r="J101" s="1151"/>
      <c r="K101" s="1151"/>
      <c r="L101" s="1151"/>
      <c r="M101" s="1151"/>
      <c r="N101" s="1151"/>
      <c r="O101" s="1151"/>
      <c r="P101" s="1151"/>
      <c r="Q101" s="1151"/>
      <c r="R101" s="1151"/>
      <c r="S101" s="1151"/>
      <c r="T101" s="1151"/>
      <c r="U101" s="1151"/>
      <c r="V101" s="1151"/>
      <c r="W101" s="1151"/>
      <c r="X101" s="1151"/>
      <c r="Y101" s="1151"/>
      <c r="Z101" s="1151"/>
      <c r="AA101" s="1151"/>
      <c r="AB101" s="1151"/>
      <c r="AC101" s="1151"/>
      <c r="AD101" s="1151"/>
      <c r="AE101" s="1151"/>
      <c r="AF101" s="1151"/>
      <c r="AG101" s="1151"/>
      <c r="AH101" s="1151"/>
      <c r="AI101" s="1151"/>
      <c r="AJ101" s="1151"/>
      <c r="AK101" s="1151"/>
    </row>
    <row r="102" spans="1:38">
      <c r="A102" s="3"/>
      <c r="B102" s="94"/>
      <c r="C102" s="75"/>
      <c r="D102" s="75"/>
      <c r="E102" s="94"/>
      <c r="F102" s="75"/>
      <c r="G102" s="75"/>
      <c r="H102" s="75"/>
      <c r="I102" s="2"/>
      <c r="J102" s="2"/>
      <c r="K102" s="2"/>
      <c r="L102" s="2"/>
      <c r="M102" s="2"/>
      <c r="N102" s="2"/>
      <c r="P102" s="3"/>
      <c r="Q102" s="3"/>
      <c r="R102" s="3"/>
      <c r="S102" s="3"/>
      <c r="T102" s="3"/>
      <c r="U102" s="3"/>
      <c r="V102" s="3"/>
      <c r="W102" s="3"/>
      <c r="X102" s="3"/>
      <c r="Y102" s="3"/>
      <c r="Z102" s="3"/>
      <c r="AA102" s="3"/>
      <c r="AB102" s="3"/>
    </row>
    <row r="103" spans="1:38">
      <c r="A103" s="5"/>
      <c r="B103" s="11" t="s">
        <v>69</v>
      </c>
      <c r="C103" s="11" t="s">
        <v>43</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70</v>
      </c>
      <c r="E105" s="2"/>
      <c r="F105" s="2"/>
      <c r="G105" s="2" t="s">
        <v>71</v>
      </c>
      <c r="H105" s="2"/>
      <c r="I105" s="2"/>
      <c r="K105" s="2"/>
    </row>
    <row r="106" spans="1:38">
      <c r="B106" s="2"/>
      <c r="C106" s="2"/>
      <c r="D106" s="2" t="s">
        <v>3</v>
      </c>
      <c r="E106" s="2" t="s">
        <v>72</v>
      </c>
      <c r="F106" s="2"/>
      <c r="G106" s="2"/>
      <c r="H106" s="2"/>
      <c r="I106" s="2"/>
      <c r="J106" s="2"/>
      <c r="K106" s="2"/>
      <c r="L106" s="2"/>
      <c r="M106" s="2"/>
    </row>
    <row r="107" spans="1:38">
      <c r="B107" s="2"/>
      <c r="C107" s="2"/>
      <c r="E107" s="3" t="s">
        <v>17</v>
      </c>
      <c r="F107" s="74" t="s">
        <v>73</v>
      </c>
      <c r="G107" s="2"/>
      <c r="H107" s="2"/>
      <c r="I107" s="2"/>
      <c r="J107" s="2"/>
      <c r="K107" s="2"/>
    </row>
    <row r="108" spans="1:38">
      <c r="E108" s="3"/>
      <c r="F108" t="s">
        <v>74</v>
      </c>
    </row>
    <row r="109" spans="1:38">
      <c r="E109" s="3"/>
      <c r="F109" t="s">
        <v>75</v>
      </c>
    </row>
    <row r="110" spans="1:38">
      <c r="E110" s="3"/>
    </row>
    <row r="111" spans="1:38">
      <c r="E111" s="3" t="s">
        <v>30</v>
      </c>
      <c r="F111" s="74" t="s">
        <v>76</v>
      </c>
      <c r="G111" s="2"/>
      <c r="H111" s="2"/>
      <c r="I111" s="2"/>
      <c r="J111" s="2"/>
    </row>
    <row r="112" spans="1:38">
      <c r="E112" s="3"/>
      <c r="F112" t="s">
        <v>77</v>
      </c>
    </row>
    <row r="113" spans="2:16">
      <c r="E113" s="3"/>
    </row>
    <row r="114" spans="2:16">
      <c r="E114" s="3" t="s">
        <v>38</v>
      </c>
      <c r="F114" s="74" t="s">
        <v>78</v>
      </c>
      <c r="G114" s="2"/>
      <c r="H114" s="2"/>
      <c r="I114" s="2"/>
      <c r="J114" s="2"/>
      <c r="K114" s="2"/>
      <c r="L114" s="2"/>
      <c r="M114" s="2"/>
      <c r="N114" s="2"/>
      <c r="O114" s="2"/>
      <c r="P114" s="2"/>
    </row>
    <row r="115" spans="2:16">
      <c r="E115" s="3"/>
      <c r="F115" s="3" t="s">
        <v>79</v>
      </c>
    </row>
    <row r="116" spans="2:16" ht="12.75" customHeight="1">
      <c r="F116" s="3" t="s">
        <v>80</v>
      </c>
    </row>
    <row r="117" spans="2:16"/>
    <row r="118" spans="2:16">
      <c r="E118" t="s">
        <v>81</v>
      </c>
      <c r="F118" s="74" t="s">
        <v>82</v>
      </c>
    </row>
    <row r="119" spans="2:16">
      <c r="F119" s="3" t="s">
        <v>83</v>
      </c>
      <c r="G119" s="3"/>
    </row>
    <row r="120" spans="2:16">
      <c r="F120" s="75" t="s">
        <v>84</v>
      </c>
      <c r="G120" s="75"/>
    </row>
    <row r="121" spans="2:16">
      <c r="G121" s="75"/>
    </row>
    <row r="122" spans="2:16">
      <c r="E122" s="3" t="s">
        <v>85</v>
      </c>
      <c r="F122" s="74" t="s">
        <v>86</v>
      </c>
    </row>
    <row r="123" spans="2:16">
      <c r="E123" s="3"/>
      <c r="F123" s="3" t="s">
        <v>87</v>
      </c>
    </row>
    <row r="124" spans="2:16">
      <c r="B124" s="2"/>
      <c r="C124" s="2"/>
      <c r="F124" s="2"/>
    </row>
    <row r="125" spans="2:16">
      <c r="B125" s="2"/>
      <c r="C125" s="2" t="s">
        <v>88</v>
      </c>
      <c r="G125" s="2" t="s">
        <v>89</v>
      </c>
    </row>
    <row r="126" spans="2:16">
      <c r="B126" s="2"/>
      <c r="C126" s="2"/>
      <c r="D126" s="2" t="s">
        <v>3</v>
      </c>
      <c r="E126" s="2" t="s">
        <v>90</v>
      </c>
      <c r="F126" s="2"/>
      <c r="G126" s="2"/>
      <c r="H126" s="2"/>
      <c r="I126" s="2"/>
      <c r="J126" s="2"/>
    </row>
    <row r="127" spans="2:16">
      <c r="B127" s="2"/>
      <c r="C127" s="2"/>
      <c r="E127" s="3" t="s">
        <v>91</v>
      </c>
      <c r="F127" s="3"/>
    </row>
    <row r="128" spans="2:16"/>
    <row r="129" spans="4:37">
      <c r="D129" s="2" t="s">
        <v>15</v>
      </c>
      <c r="E129" s="2" t="s">
        <v>92</v>
      </c>
    </row>
    <row r="130" spans="4:37">
      <c r="E130" s="3" t="s">
        <v>91</v>
      </c>
      <c r="F130" s="3"/>
    </row>
    <row r="131" spans="4:37"/>
    <row r="132" spans="4:37">
      <c r="D132" s="2" t="s">
        <v>93</v>
      </c>
      <c r="E132" s="2" t="s">
        <v>94</v>
      </c>
      <c r="G132" s="2"/>
      <c r="H132" s="2"/>
      <c r="I132" s="2"/>
      <c r="J132" s="2"/>
      <c r="K132" s="2"/>
      <c r="L132" s="2"/>
      <c r="M132" s="2"/>
      <c r="N132" s="2"/>
    </row>
    <row r="133" spans="4:37">
      <c r="D133" s="2"/>
      <c r="E133" s="86" t="s">
        <v>95</v>
      </c>
      <c r="G133" s="2"/>
      <c r="H133" s="2"/>
      <c r="I133" s="2"/>
      <c r="J133" s="2"/>
      <c r="K133" s="2"/>
      <c r="L133" s="2"/>
      <c r="M133" s="2"/>
      <c r="N133" s="2"/>
    </row>
    <row r="134" spans="4:37" ht="12.75" customHeight="1">
      <c r="E134" s="86" t="s">
        <v>96</v>
      </c>
      <c r="F134" s="382"/>
      <c r="G134" s="382"/>
      <c r="H134" s="382"/>
      <c r="I134" s="382"/>
      <c r="J134" s="382"/>
      <c r="K134" s="382"/>
      <c r="L134" s="382"/>
      <c r="M134" s="382"/>
      <c r="N134" s="382"/>
      <c r="O134" s="382"/>
      <c r="P134" s="382"/>
      <c r="Q134" s="382"/>
      <c r="R134" s="382"/>
      <c r="S134" s="382"/>
      <c r="T134" s="382"/>
      <c r="U134" s="382"/>
      <c r="V134" s="382"/>
      <c r="W134" s="382"/>
      <c r="X134" s="382"/>
      <c r="Y134" s="382"/>
      <c r="Z134" s="382"/>
      <c r="AA134" s="382"/>
      <c r="AB134" s="382"/>
      <c r="AC134" s="382"/>
      <c r="AD134" s="382"/>
      <c r="AE134" s="382"/>
      <c r="AF134" s="382"/>
      <c r="AG134" s="382"/>
      <c r="AH134" s="382"/>
      <c r="AI134" s="382"/>
      <c r="AJ134" s="382"/>
      <c r="AK134" s="382"/>
    </row>
    <row r="135" spans="4:37">
      <c r="E135" s="86" t="s">
        <v>97</v>
      </c>
      <c r="F135" s="382"/>
      <c r="G135" s="382"/>
      <c r="H135" s="382"/>
      <c r="I135" s="382"/>
      <c r="J135" s="382"/>
      <c r="K135" s="382"/>
      <c r="L135" s="382"/>
      <c r="M135" s="382"/>
      <c r="N135" s="382"/>
      <c r="O135" s="382"/>
      <c r="P135" s="382"/>
      <c r="Q135" s="382"/>
      <c r="R135" s="382"/>
      <c r="S135" s="382"/>
      <c r="T135" s="382"/>
      <c r="U135" s="382"/>
      <c r="V135" s="382"/>
      <c r="W135" s="382"/>
      <c r="X135" s="382"/>
      <c r="Y135" s="382"/>
      <c r="Z135" s="382"/>
      <c r="AA135" s="382"/>
      <c r="AB135" s="382"/>
      <c r="AC135" s="382"/>
      <c r="AD135" s="382"/>
      <c r="AE135" s="382"/>
      <c r="AF135" s="382"/>
      <c r="AG135" s="382"/>
      <c r="AH135" s="382"/>
      <c r="AI135" s="382"/>
      <c r="AJ135" s="382"/>
      <c r="AK135" s="382"/>
    </row>
    <row r="136" spans="4:37">
      <c r="F136" s="3"/>
    </row>
    <row r="137" spans="4:37">
      <c r="D137" s="2" t="s">
        <v>98</v>
      </c>
      <c r="E137" s="2" t="s">
        <v>99</v>
      </c>
      <c r="F137" s="2"/>
    </row>
    <row r="138" spans="4:37">
      <c r="E138" s="3" t="s">
        <v>100</v>
      </c>
      <c r="F138" s="3"/>
    </row>
    <row r="139" spans="4:37">
      <c r="F139" s="3"/>
    </row>
    <row r="140" spans="4:37">
      <c r="D140" s="2" t="s">
        <v>101</v>
      </c>
      <c r="E140" s="2" t="s">
        <v>102</v>
      </c>
      <c r="F140" s="2"/>
      <c r="G140" s="2"/>
      <c r="H140" s="2"/>
    </row>
    <row r="141" spans="4:37">
      <c r="E141" t="s">
        <v>17</v>
      </c>
      <c r="F141" t="s">
        <v>103</v>
      </c>
    </row>
    <row r="142" spans="4:37">
      <c r="E142" t="s">
        <v>30</v>
      </c>
      <c r="F142" t="s">
        <v>104</v>
      </c>
    </row>
    <row r="143" spans="4:37"/>
    <row r="144" spans="4:37">
      <c r="D144" s="2" t="s">
        <v>105</v>
      </c>
      <c r="E144" s="2" t="s">
        <v>106</v>
      </c>
    </row>
    <row r="145" spans="3:7">
      <c r="E145" s="143" t="s">
        <v>107</v>
      </c>
      <c r="F145" s="143"/>
    </row>
    <row r="146" spans="3:7"/>
    <row r="147" spans="3:7">
      <c r="C147" s="2" t="s">
        <v>108</v>
      </c>
      <c r="G147" s="2" t="s">
        <v>109</v>
      </c>
    </row>
    <row r="148" spans="3:7">
      <c r="D148" s="2" t="s">
        <v>3</v>
      </c>
      <c r="E148" s="2" t="s">
        <v>110</v>
      </c>
    </row>
    <row r="149" spans="3:7">
      <c r="E149" t="s">
        <v>111</v>
      </c>
    </row>
    <row r="150" spans="3:7"/>
    <row r="151" spans="3:7">
      <c r="D151" s="2" t="s">
        <v>15</v>
      </c>
      <c r="E151" s="2" t="s">
        <v>112</v>
      </c>
      <c r="F151" s="2"/>
    </row>
    <row r="152" spans="3:7">
      <c r="E152" s="3" t="s">
        <v>113</v>
      </c>
      <c r="F152" s="3"/>
    </row>
    <row r="153" spans="3:7"/>
    <row r="154" spans="3:7">
      <c r="D154" s="2" t="s">
        <v>93</v>
      </c>
      <c r="E154" s="2" t="s">
        <v>114</v>
      </c>
    </row>
    <row r="155" spans="3:7">
      <c r="E155" s="3" t="s">
        <v>115</v>
      </c>
    </row>
    <row r="156" spans="3:7">
      <c r="E156" s="3" t="s">
        <v>116</v>
      </c>
      <c r="G156" s="3"/>
    </row>
    <row r="157" spans="3:7"/>
    <row r="158" spans="3:7">
      <c r="D158" s="2" t="s">
        <v>98</v>
      </c>
      <c r="E158" s="2" t="s">
        <v>117</v>
      </c>
    </row>
    <row r="159" spans="3:7">
      <c r="E159" t="s">
        <v>17</v>
      </c>
      <c r="F159" s="3" t="s">
        <v>118</v>
      </c>
    </row>
    <row r="160" spans="3:7">
      <c r="E160" s="3" t="s">
        <v>30</v>
      </c>
      <c r="F160" s="3" t="s">
        <v>119</v>
      </c>
    </row>
    <row r="161" spans="3:20">
      <c r="E161" s="3" t="s">
        <v>38</v>
      </c>
      <c r="F161" t="s">
        <v>120</v>
      </c>
    </row>
    <row r="162" spans="3:20"/>
    <row r="163" spans="3:20">
      <c r="D163" s="2" t="s">
        <v>101</v>
      </c>
      <c r="E163" s="2" t="s">
        <v>121</v>
      </c>
    </row>
    <row r="164" spans="3:20">
      <c r="E164" s="3" t="s">
        <v>122</v>
      </c>
      <c r="F164" s="3"/>
    </row>
    <row r="165" spans="3:20"/>
    <row r="166" spans="3:20">
      <c r="D166" s="2" t="s">
        <v>105</v>
      </c>
      <c r="E166" s="2" t="s">
        <v>123</v>
      </c>
    </row>
    <row r="167" spans="3:20">
      <c r="E167" s="3" t="s">
        <v>124</v>
      </c>
    </row>
    <row r="168" spans="3:20">
      <c r="E168" s="3" t="s">
        <v>125</v>
      </c>
    </row>
    <row r="169" spans="3:20"/>
    <row r="170" spans="3:20">
      <c r="D170" s="2" t="s">
        <v>126</v>
      </c>
      <c r="E170" s="2" t="s">
        <v>127</v>
      </c>
    </row>
    <row r="171" spans="3:20">
      <c r="E171" t="s">
        <v>17</v>
      </c>
      <c r="F171" t="s">
        <v>128</v>
      </c>
    </row>
    <row r="172" spans="3:20">
      <c r="E172" t="s">
        <v>30</v>
      </c>
      <c r="F172" t="s">
        <v>129</v>
      </c>
    </row>
    <row r="173" spans="3:20">
      <c r="F173" s="3"/>
    </row>
    <row r="174" spans="3:20">
      <c r="C174" s="2" t="s">
        <v>130</v>
      </c>
      <c r="E174" s="3"/>
      <c r="G174" s="2" t="s">
        <v>131</v>
      </c>
    </row>
    <row r="175" spans="3:20">
      <c r="E175" s="3" t="s">
        <v>132</v>
      </c>
      <c r="F175" s="3"/>
      <c r="I175" s="3"/>
      <c r="J175" s="3"/>
      <c r="K175" s="3"/>
      <c r="L175" s="3"/>
      <c r="M175" s="3"/>
      <c r="N175" s="3"/>
      <c r="O175" s="3"/>
      <c r="P175" s="3"/>
      <c r="Q175" s="3"/>
      <c r="R175" s="3"/>
      <c r="S175" s="3"/>
      <c r="T175" s="3"/>
    </row>
    <row r="176" spans="3:20">
      <c r="F176" s="3"/>
      <c r="H176" s="3"/>
      <c r="I176" s="3"/>
      <c r="J176" s="3"/>
      <c r="K176" s="3"/>
      <c r="L176" s="3"/>
      <c r="M176" s="3"/>
      <c r="N176" s="3"/>
      <c r="O176" s="3"/>
      <c r="P176" s="3"/>
      <c r="Q176" s="3"/>
      <c r="R176" s="3"/>
      <c r="S176" s="3"/>
      <c r="T176" s="3"/>
    </row>
    <row r="177" spans="2:19">
      <c r="C177" s="2" t="s">
        <v>133</v>
      </c>
      <c r="D177" s="2"/>
      <c r="F177" s="3"/>
      <c r="G177" s="2" t="s">
        <v>92</v>
      </c>
    </row>
    <row r="178" spans="2:19">
      <c r="D178" s="2" t="s">
        <v>3</v>
      </c>
      <c r="E178" s="2" t="s">
        <v>134</v>
      </c>
      <c r="G178" s="3"/>
      <c r="H178" s="3"/>
      <c r="I178" s="3"/>
      <c r="J178" s="3"/>
      <c r="K178" s="3"/>
      <c r="L178" s="3"/>
      <c r="M178" s="3"/>
      <c r="N178" s="3"/>
    </row>
    <row r="179" spans="2:19">
      <c r="E179" t="s">
        <v>17</v>
      </c>
      <c r="F179" s="3" t="s">
        <v>135</v>
      </c>
    </row>
    <row r="180" spans="2:19">
      <c r="F180" s="87" t="s">
        <v>136</v>
      </c>
      <c r="I180" s="87"/>
    </row>
    <row r="181" spans="2:19">
      <c r="I181" s="87"/>
    </row>
    <row r="182" spans="2:19">
      <c r="B182" s="3"/>
      <c r="C182" s="3"/>
      <c r="E182" t="s">
        <v>30</v>
      </c>
      <c r="F182" s="3" t="s">
        <v>137</v>
      </c>
      <c r="H182" s="3"/>
    </row>
    <row r="183" spans="2:19">
      <c r="B183" s="3"/>
      <c r="C183" s="3"/>
      <c r="F183" t="s">
        <v>19</v>
      </c>
      <c r="G183" t="s">
        <v>138</v>
      </c>
      <c r="H183" s="3"/>
      <c r="O183" s="3"/>
      <c r="P183" s="3"/>
      <c r="Q183" s="3"/>
      <c r="R183" s="3"/>
      <c r="S183" s="3"/>
    </row>
    <row r="184" spans="2:19">
      <c r="B184" s="3"/>
      <c r="C184" s="3"/>
      <c r="H184" s="3"/>
      <c r="O184" s="3"/>
      <c r="P184" s="3"/>
      <c r="Q184" s="3"/>
      <c r="R184" s="3"/>
      <c r="S184" s="3"/>
    </row>
    <row r="185" spans="2:19">
      <c r="D185" s="2" t="s">
        <v>15</v>
      </c>
      <c r="E185" s="2" t="s">
        <v>139</v>
      </c>
    </row>
    <row r="186" spans="2:19">
      <c r="B186" s="3"/>
      <c r="C186" s="3"/>
      <c r="E186" s="3" t="s">
        <v>140</v>
      </c>
      <c r="F186" s="3"/>
      <c r="I186" s="3"/>
    </row>
    <row r="187" spans="2:19">
      <c r="B187" s="3"/>
      <c r="C187" s="3"/>
      <c r="E187" s="3" t="s">
        <v>141</v>
      </c>
      <c r="F187" s="87"/>
      <c r="G187" s="3"/>
      <c r="I187" s="87"/>
    </row>
    <row r="188" spans="2:19">
      <c r="B188" s="3"/>
      <c r="C188" s="3"/>
      <c r="F188" s="87"/>
      <c r="G188" s="3"/>
      <c r="I188" s="87"/>
    </row>
    <row r="189" spans="2:19">
      <c r="B189" s="3"/>
      <c r="C189" s="3"/>
      <c r="D189" s="2" t="s">
        <v>93</v>
      </c>
      <c r="E189" s="2" t="s">
        <v>142</v>
      </c>
      <c r="F189" s="87"/>
      <c r="G189" s="3"/>
      <c r="I189" s="87"/>
    </row>
    <row r="190" spans="2:19">
      <c r="B190" s="3"/>
      <c r="C190" s="3"/>
      <c r="D190" s="2"/>
      <c r="E190" s="3" t="s">
        <v>143</v>
      </c>
      <c r="F190" s="3"/>
      <c r="G190" s="3"/>
      <c r="I190" s="87"/>
    </row>
    <row r="191" spans="2:19">
      <c r="B191" s="3"/>
      <c r="C191" s="3"/>
      <c r="F191" s="87"/>
      <c r="G191" s="3"/>
      <c r="I191" s="87"/>
    </row>
    <row r="192" spans="2:19">
      <c r="D192" s="2" t="s">
        <v>98</v>
      </c>
      <c r="E192" s="2" t="s">
        <v>144</v>
      </c>
    </row>
    <row r="193" spans="2:37">
      <c r="B193" s="3"/>
      <c r="C193" s="2"/>
      <c r="E193" t="s">
        <v>17</v>
      </c>
      <c r="F193" s="3" t="s">
        <v>145</v>
      </c>
      <c r="G193" s="3"/>
      <c r="H193" s="3"/>
      <c r="I193" s="3"/>
    </row>
    <row r="194" spans="2:37">
      <c r="B194" s="3"/>
      <c r="C194" s="2"/>
      <c r="F194" s="3" t="s">
        <v>19</v>
      </c>
      <c r="G194" s="3" t="s">
        <v>146</v>
      </c>
    </row>
    <row r="195" spans="2:37">
      <c r="B195" s="3"/>
      <c r="C195" s="3"/>
      <c r="F195" s="3" t="s">
        <v>23</v>
      </c>
      <c r="G195" s="3" t="s">
        <v>147</v>
      </c>
      <c r="I195" s="3"/>
      <c r="J195" s="3"/>
      <c r="M195" s="3"/>
      <c r="N195" s="3"/>
      <c r="O195" s="3"/>
      <c r="P195" s="3"/>
      <c r="Q195" s="3"/>
      <c r="R195" s="3"/>
      <c r="S195" s="3"/>
    </row>
    <row r="196" spans="2:37">
      <c r="B196" s="3"/>
      <c r="C196" s="3"/>
      <c r="F196" s="3" t="s">
        <v>28</v>
      </c>
      <c r="G196" s="3" t="s">
        <v>148</v>
      </c>
      <c r="I196" s="3"/>
      <c r="J196" s="3"/>
      <c r="M196" s="3"/>
      <c r="N196" s="3"/>
      <c r="O196" s="3"/>
      <c r="P196" s="3"/>
      <c r="Q196" s="3"/>
      <c r="R196" s="3"/>
      <c r="S196" s="3"/>
    </row>
    <row r="197" spans="2:37">
      <c r="B197" s="3"/>
      <c r="C197" s="3"/>
      <c r="F197" s="3"/>
      <c r="G197" s="3"/>
      <c r="I197" s="3"/>
      <c r="J197" s="3"/>
      <c r="M197" s="3"/>
      <c r="N197" s="3"/>
      <c r="O197" s="3"/>
      <c r="P197" s="3"/>
      <c r="Q197" s="3"/>
      <c r="R197" s="3"/>
      <c r="S197" s="3"/>
    </row>
    <row r="198" spans="2:37">
      <c r="B198" s="3"/>
      <c r="C198" s="3"/>
      <c r="D198" s="2" t="s">
        <v>101</v>
      </c>
      <c r="E198" s="2" t="s">
        <v>149</v>
      </c>
      <c r="G198" s="3"/>
      <c r="H198" s="3"/>
      <c r="I198" s="3"/>
      <c r="J198" s="3"/>
      <c r="M198" s="3"/>
      <c r="N198" s="3"/>
      <c r="O198" s="3"/>
      <c r="P198" s="3"/>
      <c r="Q198" s="3"/>
      <c r="R198" s="3"/>
      <c r="S198" s="3"/>
    </row>
    <row r="199" spans="2:37">
      <c r="B199" s="3"/>
      <c r="C199" s="3"/>
      <c r="D199" s="3"/>
      <c r="E199" s="3" t="s">
        <v>150</v>
      </c>
      <c r="F199" s="3"/>
      <c r="G199" s="3"/>
      <c r="H199" s="3"/>
      <c r="I199" s="3"/>
      <c r="J199" s="3"/>
      <c r="M199" s="3"/>
      <c r="N199" s="3"/>
      <c r="O199" s="3"/>
      <c r="P199" s="3"/>
      <c r="Q199" s="3"/>
      <c r="R199" s="3"/>
      <c r="S199" s="3"/>
    </row>
    <row r="200" spans="2:37">
      <c r="B200" s="3"/>
      <c r="C200" s="3"/>
      <c r="D200" s="3"/>
      <c r="F200" s="3"/>
      <c r="G200" s="3"/>
      <c r="H200" s="3"/>
      <c r="I200" s="3"/>
      <c r="J200" s="3"/>
      <c r="M200" s="3"/>
      <c r="N200" s="3"/>
      <c r="O200" s="3"/>
      <c r="P200" s="3"/>
      <c r="Q200" s="3"/>
      <c r="R200" s="3"/>
      <c r="S200" s="3"/>
    </row>
    <row r="201" spans="2:37">
      <c r="B201" s="3"/>
      <c r="C201" s="3"/>
      <c r="D201" s="2" t="s">
        <v>105</v>
      </c>
      <c r="E201" s="2" t="s">
        <v>151</v>
      </c>
      <c r="G201" s="3"/>
      <c r="H201" s="3"/>
      <c r="I201" s="3"/>
      <c r="J201" s="3"/>
      <c r="M201" s="3"/>
      <c r="N201" s="3"/>
      <c r="O201" s="3"/>
      <c r="P201" s="3"/>
      <c r="Q201" s="3"/>
      <c r="R201" s="3"/>
      <c r="S201" s="3"/>
    </row>
    <row r="202" spans="2:37">
      <c r="B202" s="3"/>
      <c r="C202" s="3"/>
      <c r="D202" s="2"/>
      <c r="E202" s="3" t="s">
        <v>17</v>
      </c>
      <c r="F202" s="3" t="s">
        <v>152</v>
      </c>
      <c r="M202" s="3"/>
      <c r="N202" s="3"/>
      <c r="O202" s="3"/>
      <c r="P202" s="3"/>
      <c r="Q202" s="3"/>
      <c r="R202" s="3"/>
      <c r="S202" s="3"/>
    </row>
    <row r="203" spans="2:37">
      <c r="B203" s="3"/>
      <c r="C203" s="3"/>
      <c r="D203" s="2"/>
      <c r="E203" s="3" t="s">
        <v>30</v>
      </c>
      <c r="F203" s="3" t="s">
        <v>153</v>
      </c>
      <c r="I203" s="3"/>
      <c r="J203" s="3"/>
      <c r="M203" s="3"/>
      <c r="N203" s="3"/>
      <c r="O203" s="3"/>
      <c r="P203" s="3"/>
      <c r="Q203" s="3"/>
      <c r="R203" s="3"/>
      <c r="S203" s="3"/>
      <c r="T203" s="3"/>
      <c r="U203" s="3"/>
      <c r="V203" s="3"/>
      <c r="W203" s="3"/>
      <c r="X203" s="3"/>
      <c r="Y203" s="3"/>
      <c r="Z203" s="3"/>
      <c r="AA203" s="3"/>
      <c r="AB203" s="3"/>
      <c r="AC203" s="3"/>
      <c r="AD203" s="3"/>
      <c r="AE203" s="3"/>
      <c r="AF203" s="3"/>
      <c r="AG203" s="3"/>
    </row>
    <row r="204" spans="2:37">
      <c r="B204" s="3"/>
      <c r="C204" s="3"/>
      <c r="D204" s="2"/>
      <c r="E204" s="3" t="s">
        <v>38</v>
      </c>
      <c r="F204" s="3" t="s">
        <v>154</v>
      </c>
      <c r="I204" s="3"/>
      <c r="J204" s="3"/>
      <c r="M204" s="3"/>
      <c r="N204" s="3"/>
      <c r="O204" s="3"/>
      <c r="P204" s="3"/>
      <c r="Q204" s="3"/>
      <c r="R204" s="3"/>
      <c r="S204" s="3"/>
      <c r="T204" s="3"/>
      <c r="U204" s="3"/>
      <c r="V204" s="3"/>
      <c r="W204" s="3"/>
      <c r="X204" s="3"/>
      <c r="Y204" s="3"/>
      <c r="Z204" s="3"/>
      <c r="AA204" s="3"/>
      <c r="AB204" s="3"/>
      <c r="AC204" s="3"/>
      <c r="AD204" s="3"/>
      <c r="AE204" s="3"/>
      <c r="AF204" s="3"/>
      <c r="AG204" s="3"/>
    </row>
    <row r="205" spans="2:37">
      <c r="B205" s="3"/>
      <c r="C205" s="3"/>
      <c r="F205" s="3" t="s">
        <v>19</v>
      </c>
      <c r="G205" s="3" t="s">
        <v>155</v>
      </c>
      <c r="I205" s="3"/>
      <c r="J205" s="3"/>
      <c r="M205" s="3"/>
      <c r="N205" s="3"/>
      <c r="O205" s="3"/>
      <c r="P205" s="3"/>
      <c r="Q205" s="3"/>
      <c r="R205" s="3"/>
      <c r="S205" s="3"/>
      <c r="T205" s="3"/>
      <c r="U205" s="3"/>
      <c r="V205" s="3"/>
      <c r="W205" s="3"/>
      <c r="X205" s="3"/>
      <c r="Y205" s="3"/>
    </row>
    <row r="206" spans="2:37">
      <c r="B206" s="3"/>
      <c r="C206" s="3"/>
      <c r="D206" s="2"/>
      <c r="E206" s="3" t="s">
        <v>81</v>
      </c>
      <c r="F206" s="3" t="s">
        <v>156</v>
      </c>
      <c r="M206" s="3"/>
      <c r="N206" s="3"/>
      <c r="O206" s="3"/>
      <c r="P206" s="3"/>
      <c r="Q206" s="3"/>
      <c r="R206" s="3"/>
      <c r="S206" s="3"/>
    </row>
    <row r="207" spans="2:37">
      <c r="B207" s="3"/>
      <c r="C207" s="3"/>
      <c r="D207" s="2"/>
      <c r="F207" t="s">
        <v>19</v>
      </c>
      <c r="G207" s="1149" t="s">
        <v>157</v>
      </c>
      <c r="H207" s="1149"/>
      <c r="I207" s="1149"/>
      <c r="J207" s="1149"/>
      <c r="K207" s="1149"/>
      <c r="L207" s="1149"/>
      <c r="M207" s="1149"/>
      <c r="N207" s="1149"/>
      <c r="O207" s="1149"/>
      <c r="P207" s="1149"/>
      <c r="Q207" s="1149"/>
      <c r="R207" s="1149"/>
      <c r="S207" s="1149"/>
      <c r="T207" s="1149"/>
      <c r="U207" s="1149"/>
      <c r="V207" s="1149"/>
      <c r="W207" s="1149"/>
      <c r="X207" s="1149"/>
      <c r="Y207" s="1149"/>
      <c r="Z207" s="1149"/>
      <c r="AA207" s="1149"/>
      <c r="AB207" s="1149"/>
      <c r="AC207" s="1149"/>
      <c r="AD207" s="1149"/>
      <c r="AE207" s="1149"/>
      <c r="AF207" s="1149"/>
      <c r="AG207" s="1149"/>
      <c r="AH207" s="1149"/>
      <c r="AI207" s="1149"/>
      <c r="AJ207" s="1149"/>
      <c r="AK207" s="1149"/>
    </row>
    <row r="208" spans="2:37">
      <c r="B208" s="3"/>
      <c r="C208" s="3"/>
      <c r="D208" s="2"/>
      <c r="G208" s="1149"/>
      <c r="H208" s="1149"/>
      <c r="I208" s="1149"/>
      <c r="J208" s="1149"/>
      <c r="K208" s="1149"/>
      <c r="L208" s="1149"/>
      <c r="M208" s="1149"/>
      <c r="N208" s="1149"/>
      <c r="O208" s="1149"/>
      <c r="P208" s="1149"/>
      <c r="Q208" s="1149"/>
      <c r="R208" s="1149"/>
      <c r="S208" s="1149"/>
      <c r="T208" s="1149"/>
      <c r="U208" s="1149"/>
      <c r="V208" s="1149"/>
      <c r="W208" s="1149"/>
      <c r="X208" s="1149"/>
      <c r="Y208" s="1149"/>
      <c r="Z208" s="1149"/>
      <c r="AA208" s="1149"/>
      <c r="AB208" s="1149"/>
      <c r="AC208" s="1149"/>
      <c r="AD208" s="1149"/>
      <c r="AE208" s="1149"/>
      <c r="AF208" s="1149"/>
      <c r="AG208" s="1149"/>
      <c r="AH208" s="1149"/>
      <c r="AI208" s="1149"/>
      <c r="AJ208" s="1149"/>
      <c r="AK208" s="1149"/>
    </row>
    <row r="209" spans="1:38">
      <c r="B209" s="3"/>
      <c r="C209" s="3"/>
      <c r="D209" s="2"/>
      <c r="M209" s="3"/>
      <c r="N209" s="3"/>
      <c r="O209" s="3"/>
      <c r="P209" s="3"/>
      <c r="Q209" s="3"/>
      <c r="R209" s="3"/>
      <c r="S209" s="3"/>
    </row>
    <row r="210" spans="1:38">
      <c r="B210" s="3"/>
      <c r="C210" s="3"/>
      <c r="D210" s="2" t="s">
        <v>126</v>
      </c>
      <c r="E210" s="2" t="s">
        <v>158</v>
      </c>
      <c r="G210" s="3"/>
      <c r="H210" s="3"/>
      <c r="I210" s="3"/>
      <c r="J210" s="3"/>
      <c r="M210" s="3"/>
      <c r="N210" s="3"/>
      <c r="O210" s="3"/>
      <c r="P210" s="3"/>
      <c r="Q210" s="3"/>
      <c r="R210" s="3"/>
      <c r="S210" s="3"/>
      <c r="T210" s="3"/>
      <c r="U210" s="3"/>
      <c r="V210" s="3"/>
      <c r="W210" s="3"/>
    </row>
    <row r="211" spans="1:38">
      <c r="B211" s="3"/>
      <c r="C211" s="3"/>
      <c r="E211" s="3" t="s">
        <v>159</v>
      </c>
      <c r="F211" s="3"/>
      <c r="I211" s="3"/>
      <c r="J211" s="3"/>
      <c r="M211" s="3"/>
      <c r="N211" s="3"/>
      <c r="O211" s="3"/>
      <c r="P211" s="3"/>
      <c r="Q211" s="3"/>
      <c r="R211" s="3"/>
      <c r="S211" s="3"/>
      <c r="T211" s="3"/>
      <c r="U211" s="3"/>
      <c r="V211" s="3"/>
      <c r="W211" s="3"/>
    </row>
    <row r="212" spans="1:38">
      <c r="B212" s="3"/>
      <c r="C212" s="3"/>
      <c r="F212" s="3"/>
      <c r="G212" s="3"/>
      <c r="I212" s="3"/>
      <c r="J212" s="3"/>
      <c r="M212" s="3"/>
      <c r="N212" s="3"/>
      <c r="O212" s="3"/>
      <c r="P212" s="3"/>
      <c r="Q212" s="3"/>
      <c r="R212" s="3"/>
      <c r="S212" s="3"/>
      <c r="T212" s="3"/>
      <c r="U212" s="3"/>
      <c r="V212" s="3"/>
      <c r="W212" s="3"/>
    </row>
    <row r="213" spans="1:38">
      <c r="B213" s="3"/>
      <c r="C213" s="3"/>
      <c r="D213" s="2" t="s">
        <v>160</v>
      </c>
      <c r="E213" s="2" t="s">
        <v>161</v>
      </c>
      <c r="F213" s="3"/>
      <c r="G213" s="3"/>
      <c r="I213" s="3"/>
      <c r="J213" s="3"/>
      <c r="M213" s="3"/>
      <c r="N213" s="3"/>
      <c r="O213" s="3"/>
      <c r="P213" s="3"/>
      <c r="Q213" s="3"/>
      <c r="R213" s="3"/>
      <c r="S213" s="3"/>
      <c r="T213" s="3"/>
      <c r="U213" s="3"/>
      <c r="V213" s="3"/>
      <c r="W213" s="3"/>
    </row>
    <row r="214" spans="1:38">
      <c r="B214" s="3"/>
      <c r="C214" s="3"/>
      <c r="D214" s="2"/>
      <c r="E214" s="3" t="s">
        <v>143</v>
      </c>
      <c r="F214" s="3"/>
      <c r="G214" s="3"/>
      <c r="I214" s="3"/>
      <c r="J214" s="3"/>
      <c r="M214" s="3"/>
      <c r="N214" s="3"/>
      <c r="O214" s="3"/>
      <c r="P214" s="3"/>
      <c r="Q214" s="3"/>
      <c r="R214" s="3"/>
      <c r="S214" s="3"/>
      <c r="T214" s="3"/>
      <c r="U214" s="3"/>
      <c r="V214" s="3"/>
      <c r="W214" s="3"/>
    </row>
    <row r="215" spans="1:38">
      <c r="B215" s="3"/>
      <c r="C215" s="3"/>
      <c r="D215" s="2"/>
      <c r="M215" s="3"/>
      <c r="N215" s="3"/>
      <c r="O215" s="3"/>
      <c r="P215" s="3"/>
      <c r="Q215" s="3"/>
      <c r="R215" s="3"/>
      <c r="S215" s="3"/>
    </row>
    <row r="216" spans="1:38">
      <c r="C216" s="2" t="s">
        <v>162</v>
      </c>
      <c r="D216" s="2"/>
      <c r="G216" s="2" t="s">
        <v>163</v>
      </c>
      <c r="M216" s="3"/>
      <c r="N216" s="3"/>
      <c r="O216" s="3"/>
      <c r="P216" s="3"/>
      <c r="Q216" s="3"/>
      <c r="R216" s="3"/>
      <c r="S216" s="3"/>
    </row>
    <row r="217" spans="1:38">
      <c r="B217" s="3"/>
      <c r="C217" s="3"/>
      <c r="E217" t="s">
        <v>17</v>
      </c>
      <c r="F217" s="3" t="s">
        <v>164</v>
      </c>
      <c r="G217" s="3"/>
      <c r="H217" s="3"/>
      <c r="I217" s="3"/>
      <c r="L217" s="3"/>
      <c r="N217" s="3"/>
      <c r="O217" s="3"/>
      <c r="P217" s="3"/>
      <c r="Q217" s="3"/>
      <c r="R217" s="3"/>
      <c r="S217" s="3"/>
    </row>
    <row r="218" spans="1:38">
      <c r="B218" s="3"/>
      <c r="C218" s="3"/>
      <c r="F218" s="3" t="s">
        <v>19</v>
      </c>
      <c r="G218" s="3" t="s">
        <v>165</v>
      </c>
      <c r="I218" s="3"/>
      <c r="M218" s="3"/>
      <c r="N218" s="3"/>
      <c r="O218" s="3"/>
      <c r="P218" s="3"/>
      <c r="Q218" s="3"/>
      <c r="R218" s="3"/>
      <c r="S218" s="3"/>
    </row>
    <row r="219" spans="1:38">
      <c r="B219" s="3"/>
      <c r="C219" s="3"/>
      <c r="E219" t="s">
        <v>30</v>
      </c>
      <c r="F219" s="3" t="s">
        <v>166</v>
      </c>
      <c r="G219" s="3"/>
      <c r="H219" s="3"/>
      <c r="I219" s="3"/>
      <c r="M219" s="3"/>
      <c r="N219" s="3"/>
      <c r="O219" s="3"/>
      <c r="P219" s="3"/>
      <c r="Q219" s="3"/>
      <c r="R219" s="3"/>
      <c r="S219" s="3"/>
    </row>
    <row r="220" spans="1:38">
      <c r="B220" s="3"/>
      <c r="C220" s="3"/>
      <c r="F220" s="3" t="s">
        <v>19</v>
      </c>
      <c r="G220" s="3" t="s">
        <v>167</v>
      </c>
      <c r="I220" s="3"/>
      <c r="M220" s="3"/>
      <c r="N220" s="3"/>
      <c r="O220" s="3"/>
      <c r="P220" s="3"/>
      <c r="Q220" s="3"/>
      <c r="R220" s="3"/>
      <c r="S220" s="3"/>
    </row>
    <row r="221" spans="1:38">
      <c r="B221" s="3"/>
      <c r="C221" s="3"/>
      <c r="F221" s="3"/>
      <c r="G221" s="3" t="s">
        <v>168</v>
      </c>
      <c r="I221" s="3"/>
      <c r="M221" s="3"/>
      <c r="N221" s="3"/>
      <c r="O221" s="3"/>
      <c r="P221" s="3"/>
      <c r="Q221" s="3"/>
      <c r="R221" s="3"/>
      <c r="S221" s="3"/>
    </row>
    <row r="222" spans="1:38">
      <c r="B222" s="3"/>
      <c r="C222" s="3"/>
      <c r="F222" s="3"/>
      <c r="K222" s="3"/>
      <c r="M222" s="3"/>
      <c r="N222" s="3"/>
      <c r="O222" s="3"/>
      <c r="P222" s="3"/>
      <c r="Q222" s="3"/>
      <c r="R222" s="3"/>
      <c r="S222" s="3"/>
    </row>
    <row r="223" spans="1:38">
      <c r="A223" s="5"/>
      <c r="B223" s="11" t="s">
        <v>169</v>
      </c>
      <c r="C223" s="11" t="s">
        <v>170</v>
      </c>
      <c r="D223" s="5"/>
      <c r="E223" s="1147"/>
      <c r="F223" s="1147"/>
      <c r="G223" s="1147"/>
      <c r="H223" s="1147"/>
      <c r="I223" s="1147"/>
      <c r="J223" s="1147"/>
      <c r="K223" s="5"/>
      <c r="L223" s="1147"/>
      <c r="M223" s="1147"/>
      <c r="N223" s="1147"/>
      <c r="O223" s="1147"/>
      <c r="P223" s="1147"/>
      <c r="Q223" s="1147"/>
      <c r="R223" s="1147"/>
      <c r="S223" s="1147"/>
      <c r="T223" s="5"/>
      <c r="U223" s="5"/>
      <c r="V223" s="5"/>
      <c r="W223" s="5"/>
      <c r="X223" s="5"/>
      <c r="Y223" s="5"/>
      <c r="Z223" s="5"/>
      <c r="AA223" s="5"/>
      <c r="AB223" s="5"/>
      <c r="AC223" s="5"/>
      <c r="AD223" s="5"/>
      <c r="AE223" s="5"/>
      <c r="AF223" s="5"/>
      <c r="AG223" s="5"/>
      <c r="AH223" s="5"/>
      <c r="AI223" s="5"/>
      <c r="AJ223" s="5"/>
      <c r="AK223" s="5"/>
      <c r="AL223" s="5"/>
    </row>
    <row r="224" spans="1:38">
      <c r="B224" s="2"/>
      <c r="D224" s="2"/>
      <c r="E224" s="3"/>
      <c r="F224" s="3"/>
      <c r="G224" s="3"/>
      <c r="H224" s="3"/>
      <c r="I224" s="3"/>
      <c r="J224" s="3"/>
      <c r="L224" s="3"/>
      <c r="M224" s="3"/>
      <c r="N224" s="3"/>
      <c r="O224" s="3"/>
      <c r="P224" s="3"/>
      <c r="Q224" s="3"/>
      <c r="R224" s="3"/>
      <c r="S224" s="3"/>
    </row>
    <row r="225" spans="2:19">
      <c r="B225" s="3"/>
      <c r="C225" s="2" t="s">
        <v>70</v>
      </c>
      <c r="D225" s="3"/>
      <c r="E225" s="3"/>
      <c r="F225" s="3"/>
      <c r="G225" s="2" t="s">
        <v>171</v>
      </c>
      <c r="I225" s="3"/>
      <c r="J225" s="3"/>
      <c r="K225" s="3"/>
      <c r="M225" s="3"/>
      <c r="N225" s="3"/>
      <c r="O225" s="3"/>
      <c r="P225" s="3"/>
      <c r="Q225" s="3"/>
      <c r="R225" s="3"/>
      <c r="S225" s="3"/>
    </row>
    <row r="226" spans="2:19">
      <c r="B226" s="2"/>
      <c r="E226" s="3" t="s">
        <v>17</v>
      </c>
      <c r="F226" s="3" t="s">
        <v>172</v>
      </c>
      <c r="G226" s="3"/>
      <c r="I226" s="3"/>
      <c r="J226" s="3"/>
      <c r="K226" s="3"/>
      <c r="L226" s="3"/>
      <c r="M226" s="3"/>
      <c r="N226" s="3"/>
      <c r="O226" s="3"/>
      <c r="P226" s="3"/>
      <c r="Q226" s="3"/>
      <c r="R226" s="3"/>
      <c r="S226" s="3"/>
    </row>
    <row r="227" spans="2:19">
      <c r="B227" s="2"/>
      <c r="E227" s="3" t="s">
        <v>30</v>
      </c>
      <c r="F227" s="3" t="s">
        <v>173</v>
      </c>
      <c r="G227" s="3"/>
      <c r="I227" s="3"/>
      <c r="J227" s="3"/>
      <c r="K227" s="3"/>
      <c r="L227" s="3"/>
      <c r="M227" s="3"/>
      <c r="N227" s="3"/>
      <c r="O227" s="3"/>
      <c r="P227" s="3"/>
      <c r="Q227" s="3"/>
      <c r="R227" s="3"/>
      <c r="S227" s="3"/>
    </row>
    <row r="228" spans="2:19">
      <c r="B228" s="2"/>
      <c r="E228" s="3"/>
      <c r="F228" s="3"/>
      <c r="G228" s="3"/>
      <c r="H228" s="3"/>
      <c r="I228" s="3"/>
      <c r="J228" s="3"/>
      <c r="K228" s="3"/>
      <c r="L228" s="3"/>
      <c r="M228" s="3"/>
      <c r="N228" s="3"/>
      <c r="O228" s="3"/>
      <c r="P228" s="3"/>
      <c r="Q228" s="3"/>
      <c r="R228" s="3"/>
      <c r="S228" s="3"/>
    </row>
    <row r="229" spans="2:19">
      <c r="B229" s="2"/>
      <c r="C229" s="2" t="s">
        <v>88</v>
      </c>
      <c r="D229" s="3"/>
      <c r="E229" s="3"/>
      <c r="F229" s="3"/>
      <c r="G229" s="2" t="s">
        <v>174</v>
      </c>
      <c r="I229" s="3"/>
      <c r="J229" s="3"/>
      <c r="K229" s="3"/>
      <c r="L229" s="3"/>
      <c r="M229" s="3"/>
      <c r="N229" s="3"/>
      <c r="O229" s="3"/>
      <c r="P229" s="3"/>
      <c r="Q229" s="3"/>
      <c r="R229" s="3"/>
      <c r="S229" s="3"/>
    </row>
    <row r="230" spans="2:19">
      <c r="B230" s="2"/>
      <c r="E230" s="3" t="s">
        <v>17</v>
      </c>
      <c r="F230" s="3" t="s">
        <v>175</v>
      </c>
      <c r="G230" s="3"/>
      <c r="I230" s="3"/>
      <c r="J230" s="3"/>
      <c r="K230" s="3"/>
      <c r="L230" s="3"/>
      <c r="M230" s="3"/>
      <c r="N230" s="3"/>
      <c r="O230" s="3"/>
      <c r="P230" s="3"/>
      <c r="Q230" s="3"/>
      <c r="R230" s="3"/>
      <c r="S230" s="3"/>
    </row>
    <row r="231" spans="2:19">
      <c r="B231" s="2"/>
      <c r="E231" s="3"/>
      <c r="F231" s="3" t="s">
        <v>176</v>
      </c>
      <c r="G231" s="3"/>
      <c r="H231" s="3"/>
      <c r="I231" s="3"/>
      <c r="J231" s="3"/>
      <c r="K231" s="3"/>
      <c r="L231" s="3"/>
      <c r="M231" s="3"/>
      <c r="N231" s="3"/>
      <c r="O231" s="3"/>
      <c r="P231" s="3"/>
      <c r="Q231" s="3"/>
      <c r="R231" s="3"/>
      <c r="S231" s="3"/>
    </row>
    <row r="232" spans="2:19">
      <c r="B232" s="2"/>
      <c r="D232" s="3"/>
      <c r="E232" s="3" t="s">
        <v>30</v>
      </c>
      <c r="F232" s="3" t="s">
        <v>173</v>
      </c>
      <c r="G232" s="3"/>
      <c r="I232" s="3"/>
      <c r="J232" s="3"/>
      <c r="K232" s="3"/>
      <c r="L232" s="3"/>
      <c r="M232" s="3"/>
      <c r="N232" s="3"/>
      <c r="O232" s="3"/>
      <c r="P232" s="3"/>
      <c r="Q232" s="3"/>
      <c r="R232" s="3"/>
      <c r="S232" s="3"/>
    </row>
    <row r="233" spans="2:19">
      <c r="B233" s="2"/>
      <c r="E233" s="3" t="s">
        <v>38</v>
      </c>
      <c r="F233" s="74" t="s">
        <v>177</v>
      </c>
      <c r="G233" s="3"/>
      <c r="I233" s="3"/>
      <c r="J233" s="3"/>
      <c r="K233" s="3"/>
      <c r="L233" s="3"/>
      <c r="M233" s="3"/>
      <c r="N233" s="3"/>
      <c r="O233" s="3"/>
      <c r="P233" s="3"/>
      <c r="Q233" s="3"/>
      <c r="R233" s="3"/>
      <c r="S233" s="3"/>
    </row>
    <row r="234" spans="2:19">
      <c r="B234" s="2"/>
      <c r="D234" s="3"/>
      <c r="E234" s="3"/>
      <c r="F234" s="3"/>
      <c r="G234" s="3"/>
      <c r="H234" s="3"/>
      <c r="I234" s="3"/>
      <c r="J234" s="3"/>
      <c r="K234" s="3"/>
      <c r="L234" s="3"/>
      <c r="M234" s="3"/>
      <c r="N234" s="3"/>
      <c r="O234" s="3"/>
      <c r="P234" s="3"/>
      <c r="Q234" s="3"/>
      <c r="R234" s="3"/>
      <c r="S234" s="3"/>
    </row>
    <row r="235" spans="2:19">
      <c r="B235" s="3"/>
      <c r="C235" s="2"/>
      <c r="E235" s="2" t="s">
        <v>178</v>
      </c>
      <c r="F235" s="3"/>
      <c r="J235" s="3"/>
      <c r="K235" s="3"/>
      <c r="M235" s="3"/>
      <c r="N235" s="3"/>
      <c r="O235" s="3"/>
      <c r="P235" s="3"/>
      <c r="Q235" s="3"/>
      <c r="R235" s="3"/>
      <c r="S235" s="3"/>
    </row>
    <row r="236" spans="2:19">
      <c r="B236" s="3"/>
      <c r="C236" s="3"/>
      <c r="E236" t="s">
        <v>17</v>
      </c>
      <c r="F236" s="3" t="s">
        <v>178</v>
      </c>
      <c r="G236" s="2"/>
      <c r="H236" s="2"/>
      <c r="I236" s="2"/>
      <c r="L236" s="2"/>
      <c r="M236" s="2"/>
      <c r="N236" s="2"/>
      <c r="O236" s="2"/>
      <c r="P236" s="2"/>
      <c r="Q236" s="2"/>
      <c r="R236" s="3"/>
      <c r="S236" s="3"/>
    </row>
    <row r="237" spans="2:19">
      <c r="B237" s="3"/>
      <c r="C237" s="3"/>
      <c r="F237" s="3" t="s">
        <v>19</v>
      </c>
      <c r="G237" s="3" t="s">
        <v>179</v>
      </c>
      <c r="I237" s="3"/>
      <c r="M237" s="3"/>
      <c r="N237" s="3"/>
      <c r="O237" s="3"/>
      <c r="P237" s="3"/>
      <c r="Q237" s="3"/>
      <c r="R237" s="3"/>
      <c r="S237" s="3"/>
    </row>
    <row r="238" spans="2:19">
      <c r="B238" s="3"/>
      <c r="C238" s="3"/>
      <c r="F238" s="3"/>
      <c r="G238" s="3" t="s">
        <v>180</v>
      </c>
      <c r="I238" s="3"/>
      <c r="M238" s="3"/>
      <c r="N238" s="3"/>
      <c r="O238" s="3"/>
      <c r="P238" s="3"/>
      <c r="Q238" s="3"/>
      <c r="R238" s="3"/>
      <c r="S238" s="3"/>
    </row>
    <row r="239" spans="2:19">
      <c r="B239" s="3"/>
      <c r="C239" s="3"/>
      <c r="E239" t="s">
        <v>30</v>
      </c>
      <c r="F239" s="952" t="s">
        <v>181</v>
      </c>
      <c r="G239" s="2"/>
      <c r="H239" s="2"/>
      <c r="I239" s="2"/>
      <c r="L239" s="2"/>
      <c r="M239" s="2"/>
      <c r="N239" s="2"/>
      <c r="O239" s="2"/>
      <c r="P239" s="2"/>
      <c r="Q239" s="2"/>
      <c r="R239" s="2"/>
      <c r="S239" s="2"/>
    </row>
    <row r="240" spans="2:19">
      <c r="B240" s="3"/>
      <c r="C240" s="3"/>
      <c r="F240" s="3" t="s">
        <v>19</v>
      </c>
      <c r="G240" s="3" t="s">
        <v>182</v>
      </c>
      <c r="I240" s="3"/>
      <c r="M240" s="3"/>
      <c r="N240" s="3"/>
      <c r="O240" s="3"/>
      <c r="P240" s="3"/>
      <c r="Q240" s="3"/>
      <c r="R240" s="3"/>
      <c r="S240" s="3"/>
    </row>
    <row r="241" spans="2:21">
      <c r="B241" s="3"/>
      <c r="C241" s="3"/>
      <c r="F241" s="3"/>
      <c r="G241" s="3" t="s">
        <v>21</v>
      </c>
      <c r="H241" s="3" t="s">
        <v>183</v>
      </c>
      <c r="I241" s="3"/>
      <c r="M241" s="3"/>
      <c r="N241" s="3"/>
      <c r="O241" s="3"/>
      <c r="P241" s="3"/>
      <c r="Q241" s="3"/>
      <c r="R241" s="3"/>
      <c r="S241" s="3"/>
    </row>
    <row r="242" spans="2:21">
      <c r="B242" s="3"/>
      <c r="C242" s="3"/>
      <c r="F242" s="3" t="s">
        <v>23</v>
      </c>
      <c r="G242" s="952" t="s">
        <v>184</v>
      </c>
      <c r="I242" s="3"/>
      <c r="M242" s="3"/>
      <c r="N242" s="3"/>
      <c r="O242" s="3"/>
      <c r="P242" s="3"/>
      <c r="Q242" s="3"/>
      <c r="R242" s="3"/>
      <c r="S242" s="3"/>
    </row>
    <row r="243" spans="2:21">
      <c r="B243" s="3"/>
      <c r="C243" s="3"/>
      <c r="E243" t="s">
        <v>38</v>
      </c>
      <c r="F243" s="3" t="s">
        <v>19</v>
      </c>
      <c r="G243" s="952" t="s">
        <v>185</v>
      </c>
      <c r="I243" s="3"/>
      <c r="M243" s="3"/>
      <c r="N243" s="3"/>
      <c r="O243" s="3"/>
      <c r="P243" s="3"/>
      <c r="Q243" s="3"/>
      <c r="R243" s="3"/>
      <c r="S243" s="3"/>
    </row>
    <row r="244" spans="2:21">
      <c r="B244" s="3"/>
      <c r="C244" s="3"/>
      <c r="F244" s="3" t="s">
        <v>23</v>
      </c>
      <c r="G244" s="952" t="s">
        <v>186</v>
      </c>
      <c r="I244" s="3"/>
      <c r="M244" s="3"/>
      <c r="N244" s="3"/>
      <c r="O244" s="3"/>
      <c r="P244" s="3"/>
      <c r="Q244" s="3"/>
      <c r="R244" s="3"/>
      <c r="S244" s="3"/>
    </row>
    <row r="245" spans="2:21">
      <c r="B245" s="3"/>
      <c r="C245" s="3"/>
      <c r="F245" s="3" t="s">
        <v>28</v>
      </c>
      <c r="G245" s="952" t="s">
        <v>187</v>
      </c>
      <c r="I245" s="3"/>
      <c r="M245" s="3"/>
      <c r="N245" s="3"/>
      <c r="O245" s="3"/>
      <c r="P245" s="3"/>
      <c r="Q245" s="3"/>
      <c r="R245" s="3"/>
      <c r="S245" s="3"/>
    </row>
    <row r="246" spans="2:21">
      <c r="B246" s="3"/>
      <c r="C246" s="3"/>
      <c r="F246" s="3"/>
      <c r="G246" s="952" t="s">
        <v>188</v>
      </c>
      <c r="I246" s="3"/>
      <c r="M246" s="3"/>
      <c r="N246" s="3"/>
      <c r="O246" s="3"/>
      <c r="P246" s="3"/>
      <c r="Q246" s="3"/>
      <c r="R246" s="3"/>
      <c r="S246" s="3"/>
    </row>
    <row r="247" spans="2:21">
      <c r="B247" s="3"/>
      <c r="C247" s="3"/>
      <c r="D247" s="2"/>
      <c r="E247" s="3" t="s">
        <v>38</v>
      </c>
      <c r="F247" s="3" t="s">
        <v>189</v>
      </c>
      <c r="H247" s="3"/>
      <c r="I247" s="3"/>
      <c r="M247" s="3"/>
      <c r="N247" s="3"/>
      <c r="O247" s="3"/>
      <c r="P247" s="3"/>
      <c r="Q247" s="3"/>
      <c r="R247" s="3"/>
      <c r="S247" s="3"/>
    </row>
    <row r="248" spans="2:21">
      <c r="B248" s="3"/>
      <c r="C248" s="3"/>
      <c r="D248" s="2"/>
      <c r="E248" s="2"/>
      <c r="F248" t="s">
        <v>19</v>
      </c>
      <c r="G248" s="3" t="s">
        <v>190</v>
      </c>
      <c r="I248" s="3"/>
      <c r="M248" s="3"/>
      <c r="N248" s="3"/>
      <c r="O248" s="3"/>
      <c r="P248" s="3"/>
      <c r="Q248" s="3"/>
      <c r="R248" s="3"/>
      <c r="S248" s="3"/>
    </row>
    <row r="249" spans="2:21">
      <c r="B249" s="3"/>
      <c r="C249" s="3"/>
      <c r="D249" s="2"/>
      <c r="E249" s="2"/>
      <c r="F249" s="3"/>
      <c r="G249" s="3" t="s">
        <v>191</v>
      </c>
      <c r="I249" s="3"/>
      <c r="M249" s="3"/>
      <c r="N249" s="3"/>
      <c r="O249" s="3"/>
      <c r="P249" s="3"/>
      <c r="Q249" s="3"/>
      <c r="R249" s="3"/>
      <c r="S249" s="3"/>
    </row>
    <row r="250" spans="2:21">
      <c r="B250" s="3"/>
      <c r="C250" s="3"/>
      <c r="D250" s="2"/>
      <c r="E250" s="2"/>
      <c r="F250" s="3"/>
      <c r="G250" s="3"/>
      <c r="I250" s="3"/>
      <c r="M250" s="3"/>
      <c r="N250" s="3"/>
      <c r="O250" s="3"/>
      <c r="P250" s="3"/>
      <c r="Q250" s="3"/>
      <c r="R250" s="3"/>
      <c r="S250" s="3"/>
    </row>
    <row r="251" spans="2:21">
      <c r="B251" s="2"/>
      <c r="C251" s="2" t="s">
        <v>108</v>
      </c>
      <c r="E251" s="3"/>
      <c r="F251" s="3"/>
      <c r="G251" s="2" t="s">
        <v>192</v>
      </c>
      <c r="I251" s="3"/>
      <c r="J251" s="3"/>
      <c r="K251" s="3"/>
      <c r="L251" s="3"/>
      <c r="M251" s="3"/>
      <c r="N251" s="3"/>
      <c r="O251" s="3"/>
      <c r="P251" s="3"/>
      <c r="Q251" s="3"/>
      <c r="R251" s="3"/>
      <c r="S251" s="3"/>
    </row>
    <row r="252" spans="2:21">
      <c r="B252" s="2"/>
      <c r="C252" s="2"/>
      <c r="E252" s="3" t="s">
        <v>17</v>
      </c>
      <c r="F252" s="3" t="s">
        <v>193</v>
      </c>
      <c r="G252" s="3"/>
      <c r="I252" s="3"/>
      <c r="J252" s="3"/>
      <c r="K252" s="3"/>
      <c r="L252" s="3"/>
      <c r="M252" s="3"/>
      <c r="N252" s="3"/>
      <c r="O252" s="3"/>
      <c r="P252" s="3"/>
      <c r="Q252" s="3"/>
      <c r="R252" s="3"/>
      <c r="S252" s="3"/>
      <c r="T252" s="3"/>
      <c r="U252" s="3"/>
    </row>
    <row r="253" spans="2:21">
      <c r="B253" s="2"/>
      <c r="C253" s="2"/>
      <c r="E253" s="3"/>
      <c r="F253" s="87" t="s">
        <v>194</v>
      </c>
      <c r="G253" s="3"/>
      <c r="I253" s="87"/>
      <c r="J253" s="3"/>
      <c r="K253" s="3"/>
      <c r="L253" s="3"/>
      <c r="M253" s="3"/>
      <c r="N253" s="3"/>
      <c r="O253" s="3"/>
      <c r="P253" s="3"/>
      <c r="Q253" s="3"/>
      <c r="R253" s="3"/>
      <c r="S253" s="3"/>
      <c r="T253" s="3"/>
      <c r="U253" s="3"/>
    </row>
    <row r="254" spans="2:21">
      <c r="B254" s="2"/>
      <c r="C254" s="2"/>
      <c r="E254" s="3" t="s">
        <v>30</v>
      </c>
      <c r="F254" s="3" t="s">
        <v>195</v>
      </c>
      <c r="I254" s="3"/>
      <c r="J254" s="3"/>
      <c r="K254" s="3"/>
      <c r="L254" s="3"/>
      <c r="M254" s="3"/>
      <c r="N254" s="3"/>
      <c r="O254" s="3"/>
      <c r="P254" s="3"/>
      <c r="Q254" s="3"/>
      <c r="R254" s="3"/>
      <c r="S254" s="3"/>
      <c r="T254" s="3"/>
      <c r="U254" s="3"/>
    </row>
    <row r="255" spans="2:21">
      <c r="B255" s="2"/>
      <c r="C255" s="2"/>
      <c r="E255" s="3"/>
      <c r="F255" s="143" t="s">
        <v>19</v>
      </c>
      <c r="G255" s="143" t="s">
        <v>196</v>
      </c>
      <c r="I255" s="3"/>
      <c r="K255" s="3"/>
      <c r="L255" s="3"/>
      <c r="M255" s="3"/>
      <c r="N255" s="3"/>
      <c r="O255" s="3"/>
      <c r="Q255" s="3"/>
      <c r="R255" s="3"/>
      <c r="S255" s="3"/>
      <c r="T255" s="3"/>
      <c r="U255" s="3"/>
    </row>
    <row r="256" spans="2:21">
      <c r="B256" s="2"/>
      <c r="C256" s="2"/>
      <c r="E256" s="3"/>
      <c r="F256" s="143"/>
      <c r="G256" s="143" t="s">
        <v>197</v>
      </c>
      <c r="I256" s="3"/>
      <c r="K256" s="3"/>
      <c r="L256" s="3"/>
      <c r="M256" s="3"/>
      <c r="N256" s="3"/>
      <c r="O256" s="3"/>
      <c r="P256" s="3"/>
    </row>
    <row r="257" spans="2:21">
      <c r="B257" s="2"/>
      <c r="C257" s="2"/>
      <c r="E257" s="3"/>
      <c r="F257" s="143" t="s">
        <v>23</v>
      </c>
      <c r="G257" s="143" t="s">
        <v>198</v>
      </c>
      <c r="I257" s="3"/>
      <c r="K257" s="3"/>
      <c r="L257" s="3"/>
      <c r="M257" s="3"/>
      <c r="N257" s="3"/>
      <c r="O257" s="3"/>
      <c r="P257" s="3"/>
    </row>
    <row r="258" spans="2:21">
      <c r="B258" s="2"/>
      <c r="C258" s="2"/>
      <c r="E258" s="3"/>
      <c r="F258" s="143"/>
      <c r="G258" s="143" t="s">
        <v>199</v>
      </c>
      <c r="I258" s="3"/>
      <c r="K258" s="3"/>
      <c r="L258" s="3"/>
      <c r="M258" s="3"/>
      <c r="N258" s="3"/>
      <c r="O258" s="3"/>
      <c r="P258" s="3"/>
      <c r="Q258" s="3"/>
      <c r="R258" s="3"/>
      <c r="S258" s="3"/>
      <c r="T258" s="3"/>
      <c r="U258" s="3"/>
    </row>
    <row r="259" spans="2:21">
      <c r="B259" s="2"/>
      <c r="C259" s="2"/>
      <c r="E259" s="3"/>
      <c r="G259" s="3"/>
      <c r="I259" s="3"/>
      <c r="K259" s="3"/>
      <c r="L259" s="3"/>
      <c r="M259" s="3"/>
      <c r="N259" s="3"/>
      <c r="O259" s="3"/>
      <c r="P259" s="3"/>
      <c r="Q259" s="3"/>
      <c r="R259" s="3"/>
      <c r="S259" s="3"/>
      <c r="T259" s="3"/>
      <c r="U259" s="3"/>
    </row>
    <row r="260" spans="2:21">
      <c r="B260" s="2"/>
      <c r="C260" s="2"/>
      <c r="D260" s="2" t="s">
        <v>3</v>
      </c>
      <c r="E260" s="2" t="s">
        <v>200</v>
      </c>
      <c r="G260" s="3"/>
      <c r="H260" s="3"/>
      <c r="I260" s="3"/>
      <c r="J260" s="3"/>
      <c r="K260" s="3"/>
      <c r="L260" s="3"/>
      <c r="M260" s="3"/>
      <c r="N260" s="3"/>
      <c r="O260" s="3"/>
      <c r="P260" s="3"/>
      <c r="Q260" s="3"/>
      <c r="R260" s="3"/>
      <c r="S260" s="3"/>
    </row>
    <row r="261" spans="2:21">
      <c r="B261" s="2"/>
      <c r="C261" s="2"/>
      <c r="E261" s="3" t="s">
        <v>17</v>
      </c>
      <c r="F261" s="3" t="s">
        <v>201</v>
      </c>
      <c r="G261" s="3"/>
      <c r="I261" s="3"/>
      <c r="J261" s="3"/>
      <c r="K261" s="3"/>
      <c r="L261" s="3"/>
      <c r="M261" s="3"/>
      <c r="N261" s="3"/>
      <c r="O261" s="3"/>
      <c r="P261" s="3"/>
      <c r="Q261" s="3"/>
      <c r="R261" s="3"/>
      <c r="S261" s="3"/>
    </row>
    <row r="262" spans="2:21">
      <c r="B262" s="2"/>
      <c r="C262" s="2"/>
      <c r="E262" s="3" t="s">
        <v>30</v>
      </c>
      <c r="F262" s="3" t="s">
        <v>202</v>
      </c>
      <c r="G262" s="3"/>
      <c r="I262" s="3"/>
      <c r="J262" s="3"/>
      <c r="K262" s="3"/>
      <c r="L262" s="3"/>
      <c r="M262" s="3"/>
      <c r="N262" s="3"/>
      <c r="O262" s="3"/>
      <c r="P262" s="3"/>
      <c r="Q262" s="3"/>
      <c r="R262" s="3"/>
      <c r="S262" s="3"/>
    </row>
    <row r="263" spans="2:21">
      <c r="B263" s="2"/>
      <c r="C263" s="2"/>
      <c r="E263" s="3" t="s">
        <v>38</v>
      </c>
      <c r="F263" s="3" t="s">
        <v>203</v>
      </c>
      <c r="I263" s="3"/>
      <c r="J263" s="3"/>
      <c r="K263" s="3"/>
      <c r="L263" s="3"/>
      <c r="M263" s="3"/>
      <c r="N263" s="3"/>
      <c r="O263" s="3"/>
      <c r="P263" s="3"/>
      <c r="Q263" s="3"/>
      <c r="R263" s="3"/>
      <c r="S263" s="3"/>
    </row>
    <row r="264" spans="2:21">
      <c r="B264" s="2"/>
      <c r="C264" s="2"/>
      <c r="E264" s="2"/>
      <c r="F264" s="3" t="s">
        <v>204</v>
      </c>
      <c r="I264" s="3"/>
      <c r="J264" s="3"/>
      <c r="K264" s="3"/>
      <c r="L264" s="3"/>
      <c r="M264" s="3"/>
      <c r="N264" s="3"/>
      <c r="O264" s="3"/>
      <c r="P264" s="3"/>
      <c r="Q264" s="3"/>
      <c r="R264" s="3"/>
      <c r="S264" s="3"/>
    </row>
    <row r="265" spans="2:21">
      <c r="B265" s="2"/>
      <c r="C265" s="2"/>
      <c r="E265" s="3" t="s">
        <v>81</v>
      </c>
      <c r="F265" s="143" t="s">
        <v>205</v>
      </c>
      <c r="I265" s="3"/>
      <c r="J265" s="3"/>
      <c r="K265" s="3"/>
      <c r="L265" s="3"/>
      <c r="M265" s="3"/>
      <c r="N265" s="3"/>
      <c r="O265" s="3"/>
      <c r="P265" s="3"/>
      <c r="Q265" s="3"/>
      <c r="R265" s="3"/>
      <c r="S265" s="3"/>
    </row>
    <row r="266" spans="2:21">
      <c r="B266" s="2"/>
      <c r="C266" s="2"/>
      <c r="E266" s="2"/>
      <c r="F266" s="3"/>
      <c r="H266" s="3"/>
      <c r="I266" s="3"/>
      <c r="J266" s="3"/>
      <c r="K266" s="3"/>
      <c r="L266" s="3"/>
      <c r="M266" s="3"/>
      <c r="N266" s="3"/>
      <c r="O266" s="3"/>
      <c r="P266" s="3"/>
      <c r="Q266" s="3"/>
      <c r="R266" s="3"/>
      <c r="S266" s="3"/>
    </row>
    <row r="267" spans="2:21">
      <c r="B267" s="2"/>
      <c r="C267" s="2"/>
      <c r="D267" s="2" t="s">
        <v>15</v>
      </c>
      <c r="E267" s="2" t="s">
        <v>206</v>
      </c>
      <c r="G267" s="3"/>
      <c r="H267" s="3"/>
      <c r="I267" s="3"/>
      <c r="J267" s="3"/>
      <c r="K267" s="3"/>
      <c r="L267" s="3"/>
      <c r="M267" s="3"/>
      <c r="N267" s="3"/>
      <c r="O267" s="3"/>
      <c r="P267" s="3"/>
      <c r="Q267" s="3"/>
      <c r="R267" s="3"/>
      <c r="S267" s="3"/>
    </row>
    <row r="268" spans="2:21">
      <c r="B268" s="2"/>
      <c r="C268" s="2"/>
      <c r="E268" s="3" t="s">
        <v>207</v>
      </c>
      <c r="F268" s="3"/>
      <c r="G268" s="3"/>
      <c r="O268" s="3"/>
      <c r="P268" s="3"/>
      <c r="Q268" s="3"/>
      <c r="R268" s="3"/>
      <c r="S268" s="3"/>
    </row>
    <row r="269" spans="2:21">
      <c r="B269" s="2"/>
      <c r="C269" s="2"/>
      <c r="E269" s="2"/>
      <c r="G269" s="3"/>
      <c r="H269" s="3"/>
      <c r="O269" s="3"/>
      <c r="P269" s="3"/>
      <c r="Q269" s="3"/>
      <c r="R269" s="3"/>
      <c r="S269" s="3"/>
    </row>
    <row r="270" spans="2:21">
      <c r="B270" s="2"/>
      <c r="C270" s="2"/>
      <c r="D270" s="2" t="s">
        <v>93</v>
      </c>
      <c r="E270" s="2" t="s">
        <v>208</v>
      </c>
      <c r="G270" s="3"/>
    </row>
    <row r="271" spans="2:21">
      <c r="B271" s="2"/>
      <c r="C271" s="2"/>
      <c r="E271" s="3" t="s">
        <v>209</v>
      </c>
      <c r="F271" s="3"/>
      <c r="G271" s="3"/>
      <c r="J271" s="3"/>
      <c r="K271" s="3"/>
      <c r="L271" s="3"/>
      <c r="M271" s="3"/>
      <c r="N271" s="3"/>
    </row>
    <row r="272" spans="2:21">
      <c r="B272" s="2"/>
      <c r="C272" s="2"/>
      <c r="E272" s="3" t="s">
        <v>210</v>
      </c>
      <c r="F272" s="3"/>
      <c r="G272" s="3"/>
      <c r="J272" s="3"/>
      <c r="K272" s="3"/>
      <c r="L272" s="3"/>
      <c r="M272" s="3"/>
      <c r="N272" s="3"/>
    </row>
    <row r="273" spans="2:21">
      <c r="B273" s="2"/>
      <c r="C273" s="2"/>
      <c r="E273" s="2"/>
      <c r="G273" s="3"/>
      <c r="H273" s="3"/>
      <c r="J273" s="3"/>
      <c r="K273" s="3"/>
      <c r="L273" s="3"/>
      <c r="M273" s="3"/>
      <c r="N273" s="3"/>
      <c r="O273" s="3"/>
      <c r="P273" s="3"/>
      <c r="Q273" s="3"/>
      <c r="R273" s="3"/>
      <c r="S273" s="3"/>
      <c r="T273" s="3"/>
      <c r="U273" s="3"/>
    </row>
    <row r="274" spans="2:21">
      <c r="B274" s="2"/>
      <c r="D274" s="2" t="s">
        <v>98</v>
      </c>
      <c r="E274" s="2" t="s">
        <v>211</v>
      </c>
      <c r="G274" s="3"/>
      <c r="H274" s="3"/>
      <c r="J274" s="3"/>
      <c r="K274" s="3"/>
      <c r="L274" s="3"/>
      <c r="M274" s="3"/>
      <c r="N274" s="3"/>
      <c r="O274" s="3"/>
      <c r="P274" s="3"/>
      <c r="Q274" s="3"/>
      <c r="R274" s="3"/>
      <c r="S274" s="3"/>
      <c r="T274" s="3"/>
      <c r="U274" s="3"/>
    </row>
    <row r="275" spans="2:21">
      <c r="B275" s="2"/>
      <c r="D275" s="3"/>
      <c r="E275" s="3" t="s">
        <v>212</v>
      </c>
      <c r="J275" s="3"/>
      <c r="K275" s="3"/>
      <c r="L275" s="3"/>
      <c r="M275" s="3"/>
      <c r="N275" s="3"/>
      <c r="O275" s="3"/>
      <c r="P275" s="3"/>
      <c r="Q275" s="3"/>
      <c r="R275" s="3"/>
      <c r="S275" s="3"/>
      <c r="T275" s="3"/>
      <c r="U275" s="3"/>
    </row>
    <row r="276" spans="2:21">
      <c r="B276" s="2"/>
      <c r="D276" s="3"/>
      <c r="E276" s="3" t="s">
        <v>213</v>
      </c>
      <c r="J276" s="3"/>
      <c r="K276" s="3"/>
      <c r="L276" s="3"/>
      <c r="M276" s="3"/>
      <c r="N276" s="3"/>
      <c r="O276" s="3"/>
      <c r="P276" s="3"/>
      <c r="Q276" s="3"/>
      <c r="R276" s="3"/>
      <c r="S276" s="3"/>
      <c r="T276" s="3"/>
      <c r="U276" s="3"/>
    </row>
    <row r="277" spans="2:21">
      <c r="B277" s="2"/>
      <c r="D277" s="3"/>
      <c r="E277" s="3"/>
      <c r="J277" s="3"/>
      <c r="K277" s="3"/>
      <c r="L277" s="3"/>
      <c r="M277" s="3"/>
      <c r="N277" s="3"/>
      <c r="O277" s="3"/>
      <c r="P277" s="3"/>
      <c r="Q277" s="3"/>
      <c r="R277" s="3"/>
      <c r="S277" s="3"/>
      <c r="T277" s="3"/>
      <c r="U277" s="3"/>
    </row>
    <row r="278" spans="2:21">
      <c r="B278" s="2"/>
      <c r="D278" s="2" t="s">
        <v>101</v>
      </c>
      <c r="E278" s="2" t="s">
        <v>214</v>
      </c>
      <c r="K278" s="3"/>
      <c r="L278" s="3"/>
      <c r="M278" s="3"/>
      <c r="N278" s="3"/>
      <c r="O278" s="3"/>
      <c r="P278" s="3"/>
      <c r="Q278" s="3"/>
      <c r="R278" s="3"/>
      <c r="S278" s="3"/>
      <c r="T278" s="3"/>
      <c r="U278" s="3"/>
    </row>
    <row r="279" spans="2:21">
      <c r="B279" s="2"/>
      <c r="D279" s="2"/>
      <c r="E279" t="s">
        <v>215</v>
      </c>
      <c r="K279" s="3"/>
      <c r="L279" s="3"/>
      <c r="M279" s="3"/>
      <c r="N279" s="3"/>
      <c r="O279" s="3"/>
      <c r="P279" s="3"/>
      <c r="Q279" s="3"/>
      <c r="R279" s="3"/>
      <c r="S279" s="3"/>
    </row>
    <row r="280" spans="2:21">
      <c r="B280" s="2"/>
      <c r="D280" s="3"/>
      <c r="E280" s="3" t="s">
        <v>216</v>
      </c>
      <c r="I280" s="3"/>
      <c r="J280" s="3"/>
      <c r="K280" s="3"/>
      <c r="L280" s="3"/>
      <c r="M280" s="3"/>
      <c r="N280" s="3"/>
      <c r="O280" s="3"/>
      <c r="P280" s="3"/>
      <c r="Q280" s="3"/>
      <c r="R280" s="3"/>
      <c r="S280" s="3"/>
    </row>
    <row r="281" spans="2:21">
      <c r="B281" s="2"/>
      <c r="D281" s="3"/>
      <c r="E281" s="3"/>
      <c r="I281" s="3"/>
      <c r="J281" s="3"/>
      <c r="K281" s="3"/>
      <c r="L281" s="3"/>
      <c r="M281" s="3"/>
      <c r="N281" s="3"/>
      <c r="O281" s="3"/>
      <c r="P281" s="3"/>
      <c r="Q281" s="3"/>
      <c r="R281" s="3"/>
      <c r="S281" s="3"/>
    </row>
    <row r="282" spans="2:21">
      <c r="B282" s="2"/>
      <c r="D282" s="2" t="s">
        <v>105</v>
      </c>
      <c r="E282" s="2" t="s">
        <v>217</v>
      </c>
      <c r="G282" s="3"/>
      <c r="H282" s="3"/>
      <c r="I282" s="3"/>
      <c r="J282" s="3"/>
      <c r="K282" s="3"/>
      <c r="L282" s="3"/>
      <c r="M282" s="3"/>
      <c r="O282" s="3"/>
      <c r="P282" s="3"/>
      <c r="Q282" s="3"/>
      <c r="R282" s="3"/>
      <c r="S282" s="3"/>
    </row>
    <row r="283" spans="2:21">
      <c r="B283" s="2"/>
      <c r="D283" s="2"/>
      <c r="E283" t="s">
        <v>218</v>
      </c>
      <c r="G283" s="3"/>
      <c r="H283" s="3"/>
      <c r="I283" s="3"/>
      <c r="J283" s="3"/>
      <c r="K283" s="3"/>
      <c r="L283" s="3"/>
      <c r="M283" s="3"/>
      <c r="P283" s="3"/>
      <c r="Q283" s="3"/>
      <c r="R283" s="3"/>
      <c r="S283" s="3"/>
    </row>
    <row r="284" spans="2:21">
      <c r="B284" s="2"/>
      <c r="D284" s="2"/>
      <c r="E284" t="s">
        <v>219</v>
      </c>
      <c r="G284" s="3"/>
      <c r="H284" s="3"/>
      <c r="I284" s="3"/>
      <c r="J284" s="3"/>
      <c r="K284" s="3"/>
      <c r="L284" s="3"/>
      <c r="M284" s="3"/>
      <c r="P284" s="3"/>
      <c r="Q284" s="3"/>
      <c r="R284" s="3"/>
      <c r="S284" s="3"/>
    </row>
    <row r="285" spans="2:21">
      <c r="B285" s="2"/>
      <c r="D285" s="2"/>
      <c r="E285" s="87" t="s">
        <v>220</v>
      </c>
      <c r="F285" s="87"/>
      <c r="G285" s="3"/>
      <c r="H285" s="87"/>
      <c r="I285" s="87"/>
      <c r="J285" s="3"/>
      <c r="K285" s="3"/>
      <c r="L285" s="3"/>
      <c r="M285" s="3"/>
      <c r="P285" s="3"/>
      <c r="Q285" s="3"/>
      <c r="R285" s="3"/>
      <c r="S285" s="3"/>
    </row>
    <row r="286" spans="2:21">
      <c r="B286" s="2"/>
      <c r="D286" s="2"/>
      <c r="E286" s="376" t="s">
        <v>221</v>
      </c>
      <c r="G286" s="3"/>
      <c r="H286" s="87"/>
      <c r="I286" s="87"/>
      <c r="J286" s="3"/>
      <c r="K286" s="3"/>
      <c r="L286" s="3"/>
      <c r="M286" s="3"/>
      <c r="O286" s="3"/>
      <c r="P286" s="3"/>
      <c r="Q286" s="3"/>
      <c r="R286" s="3"/>
      <c r="S286" s="3"/>
    </row>
    <row r="287" spans="2:21">
      <c r="B287" s="2"/>
      <c r="D287" s="2"/>
      <c r="E287" s="3"/>
      <c r="F287" s="3"/>
      <c r="G287" s="3"/>
      <c r="H287" s="3"/>
      <c r="I287" s="3"/>
      <c r="J287" s="3"/>
      <c r="K287" s="3"/>
      <c r="L287" s="3"/>
      <c r="M287" s="3"/>
    </row>
    <row r="288" spans="2:21">
      <c r="B288" s="2"/>
      <c r="D288" s="2" t="s">
        <v>126</v>
      </c>
      <c r="E288" s="2" t="s">
        <v>222</v>
      </c>
      <c r="K288" s="3"/>
      <c r="L288" s="3"/>
      <c r="M288" s="3"/>
      <c r="N288" s="3"/>
    </row>
    <row r="289" spans="2:23">
      <c r="B289" s="2"/>
      <c r="D289" s="3"/>
      <c r="E289" s="3" t="s">
        <v>17</v>
      </c>
      <c r="F289" s="3" t="s">
        <v>223</v>
      </c>
      <c r="G289" s="3"/>
      <c r="O289" s="3"/>
      <c r="P289" s="3"/>
      <c r="Q289" s="3"/>
      <c r="R289" s="3"/>
      <c r="S289" s="3"/>
      <c r="T289" s="3"/>
      <c r="U289" s="3"/>
      <c r="V289" s="3"/>
      <c r="W289" s="3"/>
    </row>
    <row r="290" spans="2:23">
      <c r="B290" s="2"/>
      <c r="D290" s="3"/>
      <c r="E290" s="3"/>
      <c r="F290" s="87" t="s">
        <v>224</v>
      </c>
      <c r="G290" s="87"/>
      <c r="H290" s="87"/>
      <c r="I290" s="87"/>
      <c r="J290" s="87"/>
      <c r="K290" s="87"/>
      <c r="L290" s="87"/>
      <c r="M290" s="87"/>
      <c r="N290" s="87"/>
      <c r="O290" s="3"/>
      <c r="P290" s="3"/>
      <c r="Q290" s="3"/>
      <c r="R290" s="3"/>
      <c r="S290" s="3"/>
      <c r="T290" s="3"/>
      <c r="U290" s="3"/>
      <c r="V290" s="3"/>
      <c r="W290" s="3"/>
    </row>
    <row r="291" spans="2:23">
      <c r="B291" s="2"/>
      <c r="D291" s="3"/>
      <c r="E291" s="3" t="s">
        <v>30</v>
      </c>
      <c r="F291" s="3" t="s">
        <v>225</v>
      </c>
      <c r="G291" s="3"/>
      <c r="L291" s="3"/>
      <c r="M291" s="3"/>
      <c r="N291" s="3"/>
      <c r="O291" s="3"/>
      <c r="P291" s="3"/>
      <c r="Q291" s="3"/>
      <c r="R291" s="3"/>
      <c r="S291" s="3"/>
      <c r="T291" s="3"/>
      <c r="U291" s="3"/>
      <c r="V291" s="3"/>
      <c r="W291" s="3"/>
    </row>
    <row r="292" spans="2:23">
      <c r="B292" s="2"/>
      <c r="D292" s="3"/>
      <c r="E292" s="3" t="s">
        <v>38</v>
      </c>
      <c r="F292" s="3" t="s">
        <v>226</v>
      </c>
      <c r="G292" s="3"/>
      <c r="H292" s="3"/>
      <c r="K292" s="3"/>
      <c r="L292" s="3"/>
      <c r="M292" s="3"/>
      <c r="N292" s="3"/>
      <c r="O292" s="3"/>
      <c r="P292" s="3"/>
      <c r="Q292" s="3"/>
      <c r="R292" s="3"/>
      <c r="S292" s="3"/>
      <c r="T292" s="3"/>
      <c r="U292" s="3"/>
      <c r="V292" s="3"/>
      <c r="W292" s="3"/>
    </row>
    <row r="293" spans="2:23">
      <c r="B293" s="2"/>
      <c r="D293" s="3"/>
      <c r="E293" s="3"/>
      <c r="F293" s="3" t="s">
        <v>19</v>
      </c>
      <c r="G293" s="3" t="s">
        <v>227</v>
      </c>
      <c r="K293" s="3"/>
      <c r="L293" s="3"/>
      <c r="M293" s="3"/>
      <c r="N293" s="3"/>
      <c r="O293" s="3"/>
      <c r="P293" s="3"/>
      <c r="Q293" s="3"/>
      <c r="R293" s="3"/>
      <c r="S293" s="3"/>
      <c r="T293" s="3"/>
      <c r="U293" s="3"/>
      <c r="V293" s="3"/>
      <c r="W293" s="3"/>
    </row>
    <row r="294" spans="2:23">
      <c r="B294" s="2"/>
      <c r="D294" s="3"/>
      <c r="E294" s="3"/>
      <c r="F294" s="3" t="s">
        <v>23</v>
      </c>
      <c r="G294" s="3" t="s">
        <v>228</v>
      </c>
      <c r="H294" s="3"/>
      <c r="K294" s="3"/>
      <c r="L294" s="3"/>
      <c r="M294" s="3"/>
      <c r="N294" s="3"/>
      <c r="O294" s="3"/>
      <c r="P294" s="3"/>
      <c r="Q294" s="3"/>
      <c r="R294" s="3"/>
      <c r="S294" s="3"/>
      <c r="T294" s="3"/>
      <c r="U294" s="3"/>
      <c r="V294" s="3"/>
      <c r="W294" s="3"/>
    </row>
    <row r="295" spans="2:23">
      <c r="B295" s="2"/>
      <c r="D295" s="3"/>
      <c r="E295" s="3"/>
      <c r="F295" s="3" t="s">
        <v>28</v>
      </c>
      <c r="G295" s="3" t="s">
        <v>229</v>
      </c>
      <c r="K295" s="3"/>
      <c r="L295" s="3"/>
      <c r="M295" s="3"/>
      <c r="N295" s="3"/>
      <c r="O295" s="3"/>
      <c r="P295" s="3"/>
      <c r="Q295" s="3"/>
      <c r="R295" s="3"/>
      <c r="S295" s="3"/>
      <c r="T295" s="3"/>
      <c r="U295" s="3"/>
      <c r="V295" s="3"/>
      <c r="W295" s="3"/>
    </row>
    <row r="296" spans="2:23">
      <c r="B296" s="2"/>
      <c r="D296" s="3"/>
      <c r="E296" s="3"/>
      <c r="F296" s="3" t="s">
        <v>56</v>
      </c>
      <c r="G296" s="3" t="s">
        <v>230</v>
      </c>
      <c r="H296" s="3"/>
      <c r="K296" s="3"/>
      <c r="L296" s="3"/>
      <c r="M296" s="3"/>
      <c r="N296" s="3"/>
      <c r="O296" s="3"/>
      <c r="P296" s="3"/>
      <c r="Q296" s="3"/>
      <c r="R296" s="3"/>
      <c r="S296" s="3"/>
      <c r="T296" s="3"/>
      <c r="U296" s="3"/>
      <c r="V296" s="3"/>
      <c r="W296" s="3"/>
    </row>
    <row r="297" spans="2:23">
      <c r="B297" s="2"/>
      <c r="D297" s="3"/>
      <c r="E297" s="3"/>
      <c r="F297" s="3" t="s">
        <v>59</v>
      </c>
      <c r="G297" s="3" t="s">
        <v>231</v>
      </c>
      <c r="K297" s="3"/>
      <c r="L297" s="3"/>
      <c r="M297" s="3"/>
      <c r="N297" s="3"/>
      <c r="O297" s="3"/>
      <c r="P297" s="3"/>
      <c r="Q297" s="3"/>
      <c r="R297" s="3"/>
      <c r="S297" s="3"/>
      <c r="T297" s="3"/>
      <c r="U297" s="3"/>
      <c r="V297" s="3"/>
      <c r="W297" s="3"/>
    </row>
    <row r="298" spans="2:23">
      <c r="B298" s="2"/>
      <c r="D298" s="3"/>
      <c r="E298" s="3"/>
      <c r="F298" s="3" t="s">
        <v>62</v>
      </c>
      <c r="G298" s="3" t="s">
        <v>232</v>
      </c>
      <c r="H298" s="3"/>
      <c r="K298" s="3"/>
      <c r="L298" s="3"/>
      <c r="M298" s="3"/>
      <c r="N298" s="3"/>
      <c r="O298" s="3"/>
      <c r="P298" s="3"/>
      <c r="Q298" s="3"/>
      <c r="R298" s="3"/>
      <c r="S298" s="3"/>
      <c r="T298" s="3"/>
      <c r="U298" s="3"/>
      <c r="V298" s="3"/>
      <c r="W298" s="3"/>
    </row>
    <row r="299" spans="2:23">
      <c r="B299" s="2"/>
      <c r="D299" s="3"/>
      <c r="E299" s="3" t="s">
        <v>81</v>
      </c>
      <c r="F299" s="3" t="s">
        <v>233</v>
      </c>
      <c r="G299" s="3"/>
      <c r="K299" s="3"/>
      <c r="L299" s="3"/>
      <c r="M299" s="3"/>
      <c r="N299" s="3"/>
      <c r="O299" s="3"/>
      <c r="P299" s="3"/>
      <c r="Q299" s="3"/>
      <c r="R299" s="3"/>
      <c r="S299" s="3"/>
      <c r="T299" s="3"/>
      <c r="U299" s="3"/>
      <c r="V299" s="3"/>
      <c r="W299" s="3"/>
    </row>
    <row r="300" spans="2:23">
      <c r="B300" s="2"/>
      <c r="D300" s="3"/>
      <c r="E300" s="3" t="s">
        <v>85</v>
      </c>
      <c r="F300" s="3" t="s">
        <v>234</v>
      </c>
      <c r="G300" s="3"/>
      <c r="K300" s="3"/>
      <c r="L300" s="3"/>
      <c r="M300" s="3"/>
      <c r="N300" s="3"/>
      <c r="O300" s="3"/>
      <c r="P300" s="3"/>
      <c r="Q300" s="3"/>
      <c r="R300" s="3"/>
      <c r="S300" s="3"/>
      <c r="T300" s="3"/>
      <c r="U300" s="3"/>
      <c r="V300" s="3"/>
      <c r="W300" s="3"/>
    </row>
    <row r="301" spans="2:23">
      <c r="B301" s="2"/>
      <c r="D301" s="3"/>
      <c r="E301" s="3"/>
      <c r="F301" s="87" t="s">
        <v>235</v>
      </c>
      <c r="G301" s="87"/>
      <c r="H301" s="87"/>
      <c r="I301" s="87"/>
      <c r="J301" s="87"/>
      <c r="K301" s="87"/>
      <c r="L301" s="87"/>
      <c r="M301" s="3"/>
      <c r="N301" s="3"/>
      <c r="O301" s="3"/>
      <c r="P301" s="3"/>
      <c r="Q301" s="3"/>
      <c r="R301" s="3"/>
      <c r="S301" s="3"/>
      <c r="T301" s="3"/>
      <c r="U301" s="3"/>
      <c r="V301" s="3"/>
      <c r="W301" s="3"/>
    </row>
    <row r="302" spans="2:23">
      <c r="B302" s="2"/>
      <c r="D302" s="3"/>
      <c r="E302" s="3"/>
      <c r="F302" s="87" t="s">
        <v>236</v>
      </c>
      <c r="G302" s="87"/>
      <c r="H302" s="87"/>
      <c r="I302" s="87"/>
      <c r="J302" s="87"/>
      <c r="K302" s="87"/>
      <c r="L302" s="87"/>
      <c r="M302" s="3"/>
      <c r="N302" s="3"/>
      <c r="O302" s="3"/>
      <c r="P302" s="3"/>
      <c r="Q302" s="3"/>
      <c r="R302" s="3"/>
      <c r="S302" s="3"/>
      <c r="T302" s="3"/>
      <c r="U302" s="3"/>
      <c r="V302" s="3"/>
      <c r="W302" s="3"/>
    </row>
    <row r="303" spans="2:23">
      <c r="B303" s="2"/>
      <c r="D303" s="3"/>
      <c r="E303" s="3"/>
      <c r="F303" s="87" t="s">
        <v>237</v>
      </c>
      <c r="G303" s="87"/>
      <c r="H303" s="87"/>
      <c r="I303" s="87"/>
      <c r="J303" s="87"/>
      <c r="K303" s="87"/>
      <c r="L303" s="87"/>
      <c r="M303" s="3"/>
      <c r="N303" s="3"/>
      <c r="O303" s="3"/>
      <c r="P303" s="3"/>
      <c r="Q303" s="3"/>
      <c r="R303" s="3"/>
      <c r="S303" s="3"/>
      <c r="T303" s="3"/>
      <c r="U303" s="3"/>
      <c r="V303" s="3"/>
      <c r="W303" s="3"/>
    </row>
    <row r="304" spans="2:23">
      <c r="B304" s="2"/>
      <c r="D304" s="3"/>
      <c r="E304" s="3"/>
      <c r="F304" s="87"/>
      <c r="G304" s="87"/>
      <c r="H304" s="87"/>
      <c r="I304" s="87"/>
      <c r="J304" s="87"/>
      <c r="K304" s="87"/>
      <c r="L304" s="87"/>
      <c r="M304" s="3"/>
      <c r="N304" s="3"/>
      <c r="O304" s="3"/>
      <c r="P304" s="3"/>
      <c r="Q304" s="3"/>
      <c r="R304" s="3"/>
      <c r="S304" s="3"/>
      <c r="T304" s="3"/>
      <c r="U304" s="3"/>
      <c r="V304" s="3"/>
      <c r="W304" s="3"/>
    </row>
    <row r="305" spans="2:23">
      <c r="B305" s="2"/>
      <c r="D305" s="2" t="s">
        <v>160</v>
      </c>
      <c r="E305" s="2" t="s">
        <v>238</v>
      </c>
      <c r="G305" s="3"/>
      <c r="H305" s="3"/>
      <c r="I305" s="3"/>
      <c r="J305" s="3"/>
      <c r="K305" s="3"/>
      <c r="L305" s="3"/>
      <c r="M305" s="3"/>
      <c r="N305" s="3"/>
      <c r="O305" s="3"/>
      <c r="P305" s="3"/>
      <c r="Q305" s="3"/>
      <c r="R305" s="3"/>
      <c r="S305" s="3"/>
      <c r="T305" s="3"/>
      <c r="U305" s="3"/>
      <c r="V305" s="3"/>
      <c r="W305" s="3"/>
    </row>
    <row r="306" spans="2:23">
      <c r="B306" s="2"/>
      <c r="D306" s="2"/>
      <c r="E306" s="3" t="s">
        <v>239</v>
      </c>
      <c r="F306" s="3"/>
      <c r="K306" s="3"/>
      <c r="L306" s="3"/>
      <c r="M306" s="3"/>
      <c r="N306" s="3"/>
      <c r="O306" s="3"/>
      <c r="P306" s="3"/>
      <c r="Q306" s="3"/>
      <c r="R306" s="3"/>
      <c r="S306" s="3"/>
      <c r="T306" s="3"/>
      <c r="U306" s="3"/>
      <c r="V306" s="3"/>
      <c r="W306" s="3"/>
    </row>
    <row r="307" spans="2:23">
      <c r="B307" s="2"/>
      <c r="D307" s="2"/>
      <c r="E307" s="3" t="s">
        <v>216</v>
      </c>
      <c r="F307" s="3"/>
      <c r="I307" s="3"/>
      <c r="J307" s="3"/>
      <c r="K307" s="3"/>
      <c r="L307" s="3"/>
      <c r="M307" s="3"/>
      <c r="N307" s="3"/>
      <c r="O307" s="3"/>
      <c r="P307" s="3"/>
      <c r="Q307" s="3"/>
      <c r="R307" s="3"/>
      <c r="S307" s="3"/>
      <c r="T307" s="3"/>
      <c r="U307" s="3"/>
      <c r="V307" s="3"/>
      <c r="W307" s="3"/>
    </row>
    <row r="308" spans="2:23">
      <c r="B308" s="2"/>
      <c r="D308" s="3"/>
      <c r="E308" s="3"/>
      <c r="F308" s="87"/>
      <c r="G308" s="87"/>
      <c r="H308" s="87"/>
      <c r="I308" s="87"/>
      <c r="J308" s="87"/>
      <c r="K308" s="87"/>
      <c r="L308" s="87"/>
      <c r="M308" s="3"/>
      <c r="N308" s="3"/>
      <c r="O308" s="3"/>
      <c r="P308" s="3"/>
      <c r="Q308" s="3"/>
      <c r="R308" s="3"/>
      <c r="S308" s="3"/>
      <c r="T308" s="3"/>
      <c r="U308" s="3"/>
      <c r="V308" s="3"/>
      <c r="W308" s="3"/>
    </row>
    <row r="309" spans="2:23">
      <c r="B309" s="2"/>
      <c r="C309" s="2" t="s">
        <v>130</v>
      </c>
      <c r="D309" s="2"/>
      <c r="F309" s="2"/>
      <c r="G309" s="2" t="s">
        <v>240</v>
      </c>
      <c r="I309" s="3"/>
      <c r="J309" s="3"/>
      <c r="K309" s="3"/>
      <c r="L309" s="3"/>
      <c r="M309" s="3"/>
      <c r="N309" s="3"/>
      <c r="O309" s="3"/>
      <c r="P309" s="3"/>
    </row>
    <row r="310" spans="2:23">
      <c r="B310" s="2"/>
      <c r="D310" s="2" t="s">
        <v>3</v>
      </c>
      <c r="E310" s="2" t="s">
        <v>241</v>
      </c>
      <c r="G310" s="2"/>
      <c r="H310" s="2"/>
      <c r="I310" s="2"/>
      <c r="J310" s="2"/>
      <c r="K310" s="2"/>
      <c r="L310" s="2"/>
      <c r="M310" s="2"/>
      <c r="N310" s="2"/>
      <c r="O310" s="2"/>
      <c r="P310" s="2"/>
      <c r="Q310" s="2"/>
      <c r="R310" s="2"/>
    </row>
    <row r="311" spans="2:23">
      <c r="B311" s="2"/>
      <c r="D311" s="2"/>
      <c r="E311" t="s">
        <v>242</v>
      </c>
      <c r="G311" s="3"/>
      <c r="I311" s="3"/>
      <c r="K311" s="3"/>
    </row>
    <row r="312" spans="2:23">
      <c r="B312" s="2"/>
      <c r="D312" s="2"/>
      <c r="E312" s="3" t="s">
        <v>243</v>
      </c>
      <c r="F312" s="3"/>
      <c r="G312" s="3"/>
      <c r="I312" s="3"/>
      <c r="K312" s="3"/>
    </row>
    <row r="313" spans="2:23">
      <c r="B313" s="2"/>
      <c r="D313" s="2"/>
      <c r="E313" s="3" t="s">
        <v>244</v>
      </c>
      <c r="F313" s="3"/>
      <c r="G313" s="3"/>
      <c r="I313" s="3"/>
      <c r="K313" s="3"/>
    </row>
    <row r="314" spans="2:23">
      <c r="B314" s="2"/>
      <c r="D314" s="2"/>
      <c r="E314" s="3" t="s">
        <v>245</v>
      </c>
      <c r="F314" s="3"/>
      <c r="G314" s="3"/>
      <c r="I314" s="3"/>
      <c r="K314" s="3"/>
    </row>
    <row r="315" spans="2:23">
      <c r="B315" s="2"/>
      <c r="D315" s="2"/>
      <c r="G315" s="3"/>
      <c r="I315" s="3"/>
      <c r="K315" s="3"/>
    </row>
    <row r="316" spans="2:23">
      <c r="B316" s="2"/>
      <c r="D316" s="2" t="s">
        <v>15</v>
      </c>
      <c r="E316" s="2" t="s">
        <v>246</v>
      </c>
      <c r="G316" s="3"/>
      <c r="H316" s="3"/>
      <c r="I316" s="3"/>
      <c r="J316" s="3"/>
      <c r="K316" s="3"/>
      <c r="P316" s="3"/>
      <c r="Q316" s="3"/>
      <c r="R316" s="3"/>
      <c r="S316" s="3"/>
    </row>
    <row r="317" spans="2:23">
      <c r="B317" s="2"/>
      <c r="D317" s="2"/>
      <c r="E317" t="s">
        <v>247</v>
      </c>
      <c r="G317" s="3"/>
      <c r="I317" s="3"/>
      <c r="J317" s="3"/>
      <c r="K317" s="3"/>
      <c r="L317" s="3"/>
      <c r="M317" s="3"/>
      <c r="N317" s="3"/>
      <c r="O317" s="3"/>
      <c r="P317" s="3"/>
      <c r="Q317" s="3"/>
      <c r="R317" s="3"/>
      <c r="S317" s="3"/>
    </row>
    <row r="318" spans="2:23">
      <c r="B318" s="2"/>
      <c r="D318" s="2"/>
      <c r="G318" s="3"/>
      <c r="I318" s="3"/>
      <c r="J318" s="3"/>
      <c r="K318" s="3"/>
      <c r="L318" s="3"/>
      <c r="M318" s="3"/>
      <c r="N318" s="3"/>
      <c r="O318" s="3"/>
      <c r="P318" s="3"/>
      <c r="Q318" s="3"/>
      <c r="R318" s="3"/>
      <c r="S318" s="3"/>
    </row>
    <row r="319" spans="2:23">
      <c r="B319" s="2"/>
      <c r="D319" s="2" t="s">
        <v>93</v>
      </c>
      <c r="E319" s="2" t="s">
        <v>248</v>
      </c>
      <c r="F319" s="3"/>
      <c r="G319" s="3"/>
      <c r="H319" s="3"/>
      <c r="I319" s="3"/>
      <c r="J319" s="3"/>
      <c r="K319" s="3"/>
      <c r="L319" s="3"/>
      <c r="M319" s="3"/>
      <c r="N319" s="3"/>
      <c r="O319" s="3"/>
      <c r="P319" s="3"/>
      <c r="Q319" s="3"/>
      <c r="R319" s="3"/>
      <c r="S319" s="3"/>
    </row>
    <row r="320" spans="2:23">
      <c r="B320" s="2"/>
      <c r="E320" t="s">
        <v>249</v>
      </c>
      <c r="I320" s="3"/>
      <c r="J320" s="3"/>
      <c r="K320" s="3"/>
      <c r="L320" s="3"/>
      <c r="M320" s="3"/>
      <c r="N320" s="3"/>
      <c r="O320" s="3"/>
      <c r="P320" s="3"/>
      <c r="Q320" s="3"/>
      <c r="R320" s="3"/>
      <c r="S320" s="3"/>
    </row>
    <row r="321" spans="1:38">
      <c r="B321" s="2"/>
      <c r="E321" t="s">
        <v>250</v>
      </c>
      <c r="I321" s="3"/>
      <c r="J321" s="3"/>
      <c r="K321" s="3"/>
      <c r="L321" s="3"/>
      <c r="M321" s="3"/>
      <c r="N321" s="3"/>
      <c r="O321" s="3"/>
      <c r="P321" s="3"/>
      <c r="Q321" s="3"/>
      <c r="R321" s="3"/>
      <c r="S321" s="3"/>
    </row>
    <row r="322" spans="1:38">
      <c r="B322" s="2"/>
      <c r="E322" t="s">
        <v>251</v>
      </c>
      <c r="I322" s="3"/>
      <c r="J322" s="3"/>
      <c r="K322" s="3"/>
      <c r="L322" s="3"/>
      <c r="M322" s="3"/>
      <c r="N322" s="3"/>
      <c r="O322" s="3"/>
      <c r="P322" s="3"/>
      <c r="Q322" s="3"/>
      <c r="R322" s="3"/>
      <c r="S322" s="3"/>
    </row>
    <row r="323" spans="1:38">
      <c r="B323" s="2"/>
      <c r="I323" s="3"/>
      <c r="J323" s="3"/>
      <c r="K323" s="3"/>
      <c r="L323" s="3"/>
      <c r="M323" s="3"/>
      <c r="N323" s="3"/>
      <c r="O323" s="3"/>
      <c r="P323" s="3"/>
      <c r="Q323" s="3"/>
      <c r="R323" s="3"/>
      <c r="S323" s="3"/>
    </row>
    <row r="324" spans="1:38">
      <c r="B324" s="2"/>
      <c r="C324" s="2" t="s">
        <v>133</v>
      </c>
      <c r="G324" s="2" t="s">
        <v>252</v>
      </c>
      <c r="I324" s="3"/>
      <c r="J324" s="3"/>
      <c r="K324" s="3"/>
      <c r="L324" s="3"/>
      <c r="M324" s="3"/>
      <c r="N324" s="3"/>
      <c r="O324" s="3"/>
      <c r="P324" s="3"/>
      <c r="Q324" s="3"/>
      <c r="R324" s="3"/>
      <c r="S324" s="3"/>
    </row>
    <row r="325" spans="1:38">
      <c r="A325" t="s">
        <v>253</v>
      </c>
      <c r="D325" s="2" t="s">
        <v>3</v>
      </c>
      <c r="E325" s="2" t="s">
        <v>252</v>
      </c>
      <c r="J325" s="2"/>
      <c r="K325" s="2"/>
      <c r="L325" s="2"/>
      <c r="M325" s="3"/>
      <c r="N325" s="3"/>
      <c r="O325" s="3"/>
      <c r="P325" s="3"/>
      <c r="Q325" s="3"/>
      <c r="R325" s="3"/>
      <c r="S325" s="3"/>
    </row>
    <row r="326" spans="1:38">
      <c r="E326" t="s">
        <v>17</v>
      </c>
      <c r="F326" s="3" t="s">
        <v>254</v>
      </c>
      <c r="J326" s="3"/>
      <c r="K326" s="3"/>
      <c r="L326" s="3"/>
      <c r="M326" s="3"/>
      <c r="N326" s="3"/>
      <c r="O326" s="3"/>
      <c r="P326" s="3"/>
      <c r="Q326" s="3"/>
      <c r="R326" s="3"/>
      <c r="S326" s="3"/>
    </row>
    <row r="327" spans="1:38">
      <c r="E327" s="3" t="s">
        <v>30</v>
      </c>
      <c r="F327" t="s">
        <v>255</v>
      </c>
      <c r="J327" s="3"/>
      <c r="K327" s="3"/>
      <c r="L327" s="3"/>
      <c r="M327" s="3"/>
      <c r="N327" s="3"/>
      <c r="O327" s="3"/>
      <c r="P327" s="3"/>
      <c r="Q327" s="3"/>
      <c r="R327" s="3"/>
      <c r="S327" s="3"/>
    </row>
    <row r="328" spans="1:38">
      <c r="F328" s="87" t="s">
        <v>256</v>
      </c>
      <c r="I328" s="87"/>
      <c r="J328" s="3"/>
      <c r="K328" s="3"/>
      <c r="L328" s="3"/>
      <c r="M328" s="3"/>
      <c r="N328" s="3"/>
      <c r="O328" s="3"/>
      <c r="P328" s="3"/>
      <c r="Q328" s="3"/>
      <c r="R328" s="3"/>
      <c r="S328" s="3"/>
    </row>
    <row r="329" spans="1:38">
      <c r="F329" s="87" t="s">
        <v>257</v>
      </c>
      <c r="I329" s="87"/>
      <c r="J329" s="3"/>
      <c r="K329" s="3"/>
      <c r="L329" s="3"/>
      <c r="M329" s="3"/>
      <c r="N329" s="3"/>
      <c r="O329" s="3"/>
      <c r="P329" s="3"/>
      <c r="Q329" s="3"/>
      <c r="R329" s="3"/>
      <c r="S329" s="3"/>
    </row>
    <row r="330" spans="1:38">
      <c r="J330" s="3"/>
      <c r="K330" s="3"/>
      <c r="L330" s="3"/>
      <c r="M330" s="3"/>
      <c r="N330" s="3"/>
      <c r="O330" s="3"/>
      <c r="P330" s="3"/>
      <c r="Q330" s="3"/>
      <c r="R330" s="3"/>
      <c r="S330" s="3"/>
    </row>
    <row r="331" spans="1:38">
      <c r="A331" s="5"/>
      <c r="B331" s="11" t="s">
        <v>258</v>
      </c>
      <c r="C331" s="11" t="s">
        <v>54</v>
      </c>
      <c r="D331" s="5"/>
      <c r="E331" s="11"/>
      <c r="F331" s="11"/>
      <c r="G331" s="11"/>
      <c r="H331" s="11"/>
      <c r="I331" s="11"/>
      <c r="J331" s="1147"/>
      <c r="K331" s="1147"/>
      <c r="L331" s="1147"/>
      <c r="M331" s="1147"/>
      <c r="N331" s="1147"/>
      <c r="O331" s="1147"/>
      <c r="P331" s="1147"/>
      <c r="Q331" s="1147"/>
      <c r="R331" s="1147"/>
      <c r="S331" s="1147"/>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3"/>
      <c r="K332" s="3"/>
      <c r="L332" s="3"/>
      <c r="M332" s="3"/>
      <c r="N332" s="3"/>
      <c r="O332" s="3"/>
      <c r="P332" s="3"/>
      <c r="Q332" s="3"/>
      <c r="R332" s="3"/>
      <c r="S332" s="3"/>
    </row>
    <row r="333" spans="1:38">
      <c r="B333" s="2"/>
      <c r="C333" s="2" t="s">
        <v>70</v>
      </c>
      <c r="G333" s="2" t="s">
        <v>54</v>
      </c>
      <c r="I333" s="2"/>
      <c r="J333" s="3"/>
      <c r="K333" s="3"/>
      <c r="L333" s="3"/>
      <c r="M333" s="3"/>
      <c r="N333" s="3"/>
      <c r="O333" s="3"/>
      <c r="P333" s="3"/>
      <c r="Q333" s="3"/>
      <c r="R333" s="3"/>
      <c r="S333" s="3"/>
    </row>
    <row r="334" spans="1:38">
      <c r="B334" s="2"/>
      <c r="C334" s="2"/>
      <c r="D334" s="2" t="s">
        <v>3</v>
      </c>
      <c r="E334" s="2" t="s">
        <v>54</v>
      </c>
      <c r="G334" s="2"/>
      <c r="I334" s="2"/>
      <c r="J334" s="3"/>
      <c r="K334" s="3"/>
      <c r="L334" s="3"/>
      <c r="M334" s="3"/>
      <c r="N334" s="3"/>
      <c r="O334" s="3"/>
      <c r="P334" s="3"/>
      <c r="Q334" s="3"/>
      <c r="R334" s="3"/>
      <c r="S334" s="3"/>
    </row>
    <row r="335" spans="1:38">
      <c r="B335" s="2"/>
      <c r="E335" t="s">
        <v>17</v>
      </c>
      <c r="F335" t="s">
        <v>259</v>
      </c>
      <c r="J335" s="3"/>
      <c r="K335" s="3"/>
      <c r="L335" s="3"/>
      <c r="M335" s="3"/>
      <c r="N335" s="3"/>
      <c r="O335" s="3"/>
      <c r="P335" s="3"/>
      <c r="Q335" s="3"/>
      <c r="R335" s="3"/>
      <c r="S335" s="3"/>
    </row>
    <row r="336" spans="1:38">
      <c r="B336" s="2"/>
      <c r="E336" s="3"/>
      <c r="F336" s="3" t="s">
        <v>260</v>
      </c>
      <c r="J336" s="3"/>
      <c r="K336" s="3"/>
      <c r="L336" s="3"/>
      <c r="M336" s="3"/>
      <c r="N336" s="3"/>
      <c r="O336" s="3"/>
      <c r="P336" s="3"/>
      <c r="Q336" s="3"/>
      <c r="R336" s="3"/>
      <c r="S336" s="3"/>
    </row>
    <row r="337" spans="2:37">
      <c r="B337" s="2"/>
      <c r="E337" s="3"/>
      <c r="F337" s="3" t="s">
        <v>261</v>
      </c>
      <c r="I337" s="3"/>
      <c r="J337" s="3"/>
      <c r="K337" s="3"/>
      <c r="L337" s="3"/>
      <c r="M337" s="3"/>
      <c r="N337" s="3"/>
      <c r="O337" s="3"/>
      <c r="P337" s="3"/>
      <c r="Q337" s="3"/>
      <c r="R337" s="3"/>
      <c r="S337" s="3"/>
    </row>
    <row r="338" spans="2:37">
      <c r="B338" s="2"/>
      <c r="E338" s="3" t="s">
        <v>30</v>
      </c>
      <c r="F338" s="1149" t="s">
        <v>262</v>
      </c>
      <c r="G338" s="1149"/>
      <c r="H338" s="1149"/>
      <c r="I338" s="1149"/>
      <c r="J338" s="1149"/>
      <c r="K338" s="1149"/>
      <c r="L338" s="1149"/>
      <c r="M338" s="1149"/>
      <c r="N338" s="1149"/>
      <c r="O338" s="1149"/>
      <c r="P338" s="1149"/>
      <c r="Q338" s="1149"/>
      <c r="R338" s="1149"/>
      <c r="S338" s="1149"/>
      <c r="T338" s="1149"/>
      <c r="U338" s="1149"/>
      <c r="V338" s="1149"/>
      <c r="W338" s="1149"/>
      <c r="X338" s="1149"/>
      <c r="Y338" s="1149"/>
      <c r="Z338" s="1149"/>
      <c r="AA338" s="1149"/>
      <c r="AB338" s="1149"/>
      <c r="AC338" s="1149"/>
      <c r="AD338" s="1149"/>
      <c r="AE338" s="1149"/>
      <c r="AF338" s="1149"/>
      <c r="AG338" s="1149"/>
      <c r="AH338" s="1149"/>
      <c r="AI338" s="1149"/>
      <c r="AJ338" s="1149"/>
      <c r="AK338" s="1149"/>
    </row>
    <row r="339" spans="2:37">
      <c r="B339" s="2"/>
      <c r="E339" s="3"/>
      <c r="F339" s="1149"/>
      <c r="G339" s="1149"/>
      <c r="H339" s="1149"/>
      <c r="I339" s="1149"/>
      <c r="J339" s="1149"/>
      <c r="K339" s="1149"/>
      <c r="L339" s="1149"/>
      <c r="M339" s="1149"/>
      <c r="N339" s="1149"/>
      <c r="O339" s="1149"/>
      <c r="P339" s="1149"/>
      <c r="Q339" s="1149"/>
      <c r="R339" s="1149"/>
      <c r="S339" s="1149"/>
      <c r="T339" s="1149"/>
      <c r="U339" s="1149"/>
      <c r="V339" s="1149"/>
      <c r="W339" s="1149"/>
      <c r="X339" s="1149"/>
      <c r="Y339" s="1149"/>
      <c r="Z339" s="1149"/>
      <c r="AA339" s="1149"/>
      <c r="AB339" s="1149"/>
      <c r="AC339" s="1149"/>
      <c r="AD339" s="1149"/>
      <c r="AE339" s="1149"/>
      <c r="AF339" s="1149"/>
      <c r="AG339" s="1149"/>
      <c r="AH339" s="1149"/>
      <c r="AI339" s="1149"/>
      <c r="AJ339" s="1149"/>
      <c r="AK339" s="1149"/>
    </row>
    <row r="340" spans="2:37">
      <c r="B340" s="2"/>
      <c r="E340" s="3"/>
      <c r="F340" s="1149"/>
      <c r="G340" s="1149"/>
      <c r="H340" s="1149"/>
      <c r="I340" s="1149"/>
      <c r="J340" s="1149"/>
      <c r="K340" s="1149"/>
      <c r="L340" s="1149"/>
      <c r="M340" s="1149"/>
      <c r="N340" s="1149"/>
      <c r="O340" s="1149"/>
      <c r="P340" s="1149"/>
      <c r="Q340" s="1149"/>
      <c r="R340" s="1149"/>
      <c r="S340" s="1149"/>
      <c r="T340" s="1149"/>
      <c r="U340" s="1149"/>
      <c r="V340" s="1149"/>
      <c r="W340" s="1149"/>
      <c r="X340" s="1149"/>
      <c r="Y340" s="1149"/>
      <c r="Z340" s="1149"/>
      <c r="AA340" s="1149"/>
      <c r="AB340" s="1149"/>
      <c r="AC340" s="1149"/>
      <c r="AD340" s="1149"/>
      <c r="AE340" s="1149"/>
      <c r="AF340" s="1149"/>
      <c r="AG340" s="1149"/>
      <c r="AH340" s="1149"/>
      <c r="AI340" s="1149"/>
      <c r="AJ340" s="1149"/>
      <c r="AK340" s="1149"/>
    </row>
    <row r="341" spans="2:37">
      <c r="B341" s="2"/>
      <c r="F341" s="3"/>
      <c r="H341" s="3"/>
      <c r="I341" s="3"/>
      <c r="J341" s="3"/>
      <c r="K341" s="3"/>
      <c r="L341" s="3"/>
      <c r="M341" s="3"/>
      <c r="N341" s="3"/>
      <c r="O341" s="3"/>
      <c r="P341" s="3"/>
      <c r="Q341" s="3"/>
      <c r="R341" s="3"/>
      <c r="S341" s="3"/>
    </row>
    <row r="342" spans="2:37">
      <c r="B342" s="2"/>
      <c r="C342" s="2" t="s">
        <v>88</v>
      </c>
      <c r="G342" s="2" t="s">
        <v>263</v>
      </c>
      <c r="I342" s="2"/>
      <c r="J342" s="3"/>
      <c r="K342" s="3"/>
      <c r="L342" s="3"/>
      <c r="M342" s="3"/>
      <c r="N342" s="3"/>
      <c r="O342" s="3"/>
      <c r="P342" s="3"/>
      <c r="Q342" s="3"/>
      <c r="R342" s="3"/>
      <c r="S342" s="3"/>
    </row>
    <row r="343" spans="2:37" ht="13.35" customHeight="1">
      <c r="B343" s="2"/>
      <c r="E343" s="1152" t="s">
        <v>264</v>
      </c>
      <c r="F343" s="1152"/>
      <c r="G343" s="1152"/>
      <c r="H343" s="1152"/>
      <c r="I343" s="1152"/>
      <c r="J343" s="1152"/>
      <c r="K343" s="1152"/>
      <c r="L343" s="1152"/>
      <c r="M343" s="1152"/>
      <c r="N343" s="1152"/>
      <c r="O343" s="1152"/>
      <c r="P343" s="1152"/>
      <c r="Q343" s="1152"/>
      <c r="R343" s="1152"/>
      <c r="S343" s="1152"/>
      <c r="T343" s="1152"/>
      <c r="U343" s="1152"/>
      <c r="V343" s="1152"/>
      <c r="W343" s="1152"/>
      <c r="X343" s="1152"/>
      <c r="Y343" s="1152"/>
      <c r="Z343" s="1152"/>
      <c r="AA343" s="1152"/>
      <c r="AB343" s="1152"/>
      <c r="AC343" s="1152"/>
      <c r="AD343" s="1152"/>
      <c r="AE343" s="1152"/>
      <c r="AF343" s="1152"/>
      <c r="AG343" s="1152"/>
      <c r="AH343" s="1152"/>
      <c r="AI343" s="1152"/>
      <c r="AJ343" s="1152"/>
      <c r="AK343" s="1152"/>
    </row>
    <row r="344" spans="2:37">
      <c r="B344" s="2"/>
      <c r="E344" s="1152"/>
      <c r="F344" s="1152"/>
      <c r="G344" s="1152"/>
      <c r="H344" s="1152"/>
      <c r="I344" s="1152"/>
      <c r="J344" s="1152"/>
      <c r="K344" s="1152"/>
      <c r="L344" s="1152"/>
      <c r="M344" s="1152"/>
      <c r="N344" s="1152"/>
      <c r="O344" s="1152"/>
      <c r="P344" s="1152"/>
      <c r="Q344" s="1152"/>
      <c r="R344" s="1152"/>
      <c r="S344" s="1152"/>
      <c r="T344" s="1152"/>
      <c r="U344" s="1152"/>
      <c r="V344" s="1152"/>
      <c r="W344" s="1152"/>
      <c r="X344" s="1152"/>
      <c r="Y344" s="1152"/>
      <c r="Z344" s="1152"/>
      <c r="AA344" s="1152"/>
      <c r="AB344" s="1152"/>
      <c r="AC344" s="1152"/>
      <c r="AD344" s="1152"/>
      <c r="AE344" s="1152"/>
      <c r="AF344" s="1152"/>
      <c r="AG344" s="1152"/>
      <c r="AH344" s="1152"/>
      <c r="AI344" s="1152"/>
      <c r="AJ344" s="1152"/>
      <c r="AK344" s="1152"/>
    </row>
    <row r="345" spans="2:37">
      <c r="B345" s="2"/>
      <c r="E345" s="1152"/>
      <c r="F345" s="1152"/>
      <c r="G345" s="1152"/>
      <c r="H345" s="1152"/>
      <c r="I345" s="1152"/>
      <c r="J345" s="1152"/>
      <c r="K345" s="1152"/>
      <c r="L345" s="1152"/>
      <c r="M345" s="1152"/>
      <c r="N345" s="1152"/>
      <c r="O345" s="1152"/>
      <c r="P345" s="1152"/>
      <c r="Q345" s="1152"/>
      <c r="R345" s="1152"/>
      <c r="S345" s="1152"/>
      <c r="T345" s="1152"/>
      <c r="U345" s="1152"/>
      <c r="V345" s="1152"/>
      <c r="W345" s="1152"/>
      <c r="X345" s="1152"/>
      <c r="Y345" s="1152"/>
      <c r="Z345" s="1152"/>
      <c r="AA345" s="1152"/>
      <c r="AB345" s="1152"/>
      <c r="AC345" s="1152"/>
      <c r="AD345" s="1152"/>
      <c r="AE345" s="1152"/>
      <c r="AF345" s="1152"/>
      <c r="AG345" s="1152"/>
      <c r="AH345" s="1152"/>
      <c r="AI345" s="1152"/>
      <c r="AJ345" s="1152"/>
      <c r="AK345" s="1152"/>
    </row>
    <row r="346" spans="2:37">
      <c r="B346" s="2"/>
      <c r="E346" s="1152"/>
      <c r="F346" s="1152"/>
      <c r="G346" s="1152"/>
      <c r="H346" s="1152"/>
      <c r="I346" s="1152"/>
      <c r="J346" s="1152"/>
      <c r="K346" s="1152"/>
      <c r="L346" s="1152"/>
      <c r="M346" s="1152"/>
      <c r="N346" s="1152"/>
      <c r="O346" s="1152"/>
      <c r="P346" s="1152"/>
      <c r="Q346" s="1152"/>
      <c r="R346" s="1152"/>
      <c r="S346" s="1152"/>
      <c r="T346" s="1152"/>
      <c r="U346" s="1152"/>
      <c r="V346" s="1152"/>
      <c r="W346" s="1152"/>
      <c r="X346" s="1152"/>
      <c r="Y346" s="1152"/>
      <c r="Z346" s="1152"/>
      <c r="AA346" s="1152"/>
      <c r="AB346" s="1152"/>
      <c r="AC346" s="1152"/>
      <c r="AD346" s="1152"/>
      <c r="AE346" s="1152"/>
      <c r="AF346" s="1152"/>
      <c r="AG346" s="1152"/>
      <c r="AH346" s="1152"/>
      <c r="AI346" s="1152"/>
      <c r="AJ346" s="1152"/>
      <c r="AK346" s="1152"/>
    </row>
    <row r="347" spans="2:37">
      <c r="B347" s="2"/>
      <c r="E347" s="1152"/>
      <c r="F347" s="1152"/>
      <c r="G347" s="1152"/>
      <c r="H347" s="1152"/>
      <c r="I347" s="1152"/>
      <c r="J347" s="1152"/>
      <c r="K347" s="1152"/>
      <c r="L347" s="1152"/>
      <c r="M347" s="1152"/>
      <c r="N347" s="1152"/>
      <c r="O347" s="1152"/>
      <c r="P347" s="1152"/>
      <c r="Q347" s="1152"/>
      <c r="R347" s="1152"/>
      <c r="S347" s="1152"/>
      <c r="T347" s="1152"/>
      <c r="U347" s="1152"/>
      <c r="V347" s="1152"/>
      <c r="W347" s="1152"/>
      <c r="X347" s="1152"/>
      <c r="Y347" s="1152"/>
      <c r="Z347" s="1152"/>
      <c r="AA347" s="1152"/>
      <c r="AB347" s="1152"/>
      <c r="AC347" s="1152"/>
      <c r="AD347" s="1152"/>
      <c r="AE347" s="1152"/>
      <c r="AF347" s="1152"/>
      <c r="AG347" s="1152"/>
      <c r="AH347" s="1152"/>
      <c r="AI347" s="1152"/>
      <c r="AJ347" s="1152"/>
      <c r="AK347" s="1152"/>
    </row>
    <row r="348" spans="2:37">
      <c r="B348" s="2"/>
      <c r="E348" s="3" t="s">
        <v>17</v>
      </c>
      <c r="F348" s="1149" t="s">
        <v>265</v>
      </c>
      <c r="G348" s="1149"/>
      <c r="H348" s="1149"/>
      <c r="I348" s="1149"/>
      <c r="J348" s="1149"/>
      <c r="K348" s="1149"/>
      <c r="L348" s="1149"/>
      <c r="M348" s="1149"/>
      <c r="N348" s="1149"/>
      <c r="O348" s="1149"/>
      <c r="P348" s="1149"/>
      <c r="Q348" s="1149"/>
      <c r="R348" s="1149"/>
      <c r="S348" s="1149"/>
      <c r="T348" s="1149"/>
      <c r="U348" s="1149"/>
      <c r="V348" s="1149"/>
      <c r="W348" s="1149"/>
      <c r="X348" s="1149"/>
      <c r="Y348" s="1149"/>
      <c r="Z348" s="1149"/>
      <c r="AA348" s="1149"/>
      <c r="AB348" s="1149"/>
      <c r="AC348" s="1149"/>
      <c r="AD348" s="1149"/>
      <c r="AE348" s="1149"/>
      <c r="AF348" s="1149"/>
      <c r="AG348" s="1149"/>
      <c r="AH348" s="1149"/>
      <c r="AI348" s="1149"/>
      <c r="AJ348" s="1149"/>
      <c r="AK348" s="1149"/>
    </row>
    <row r="349" spans="2:37">
      <c r="B349" s="2"/>
      <c r="E349" s="3"/>
      <c r="F349" s="1149"/>
      <c r="G349" s="1149"/>
      <c r="H349" s="1149"/>
      <c r="I349" s="1149"/>
      <c r="J349" s="1149"/>
      <c r="K349" s="1149"/>
      <c r="L349" s="1149"/>
      <c r="M349" s="1149"/>
      <c r="N349" s="1149"/>
      <c r="O349" s="1149"/>
      <c r="P349" s="1149"/>
      <c r="Q349" s="1149"/>
      <c r="R349" s="1149"/>
      <c r="S349" s="1149"/>
      <c r="T349" s="1149"/>
      <c r="U349" s="1149"/>
      <c r="V349" s="1149"/>
      <c r="W349" s="1149"/>
      <c r="X349" s="1149"/>
      <c r="Y349" s="1149"/>
      <c r="Z349" s="1149"/>
      <c r="AA349" s="1149"/>
      <c r="AB349" s="1149"/>
      <c r="AC349" s="1149"/>
      <c r="AD349" s="1149"/>
      <c r="AE349" s="1149"/>
      <c r="AF349" s="1149"/>
      <c r="AG349" s="1149"/>
      <c r="AH349" s="1149"/>
      <c r="AI349" s="1149"/>
      <c r="AJ349" s="1149"/>
      <c r="AK349" s="1149"/>
    </row>
    <row r="350" spans="2:37">
      <c r="B350" s="2"/>
      <c r="E350" s="3"/>
      <c r="F350" s="1149"/>
      <c r="G350" s="1149"/>
      <c r="H350" s="1149"/>
      <c r="I350" s="1149"/>
      <c r="J350" s="1149"/>
      <c r="K350" s="1149"/>
      <c r="L350" s="1149"/>
      <c r="M350" s="1149"/>
      <c r="N350" s="1149"/>
      <c r="O350" s="1149"/>
      <c r="P350" s="1149"/>
      <c r="Q350" s="1149"/>
      <c r="R350" s="1149"/>
      <c r="S350" s="1149"/>
      <c r="T350" s="1149"/>
      <c r="U350" s="1149"/>
      <c r="V350" s="1149"/>
      <c r="W350" s="1149"/>
      <c r="X350" s="1149"/>
      <c r="Y350" s="1149"/>
      <c r="Z350" s="1149"/>
      <c r="AA350" s="1149"/>
      <c r="AB350" s="1149"/>
      <c r="AC350" s="1149"/>
      <c r="AD350" s="1149"/>
      <c r="AE350" s="1149"/>
      <c r="AF350" s="1149"/>
      <c r="AG350" s="1149"/>
      <c r="AH350" s="1149"/>
      <c r="AI350" s="1149"/>
      <c r="AJ350" s="1149"/>
      <c r="AK350" s="1149"/>
    </row>
    <row r="351" spans="2:37">
      <c r="B351" s="2"/>
      <c r="E351" s="3"/>
      <c r="F351" s="1149"/>
      <c r="G351" s="1149"/>
      <c r="H351" s="1149"/>
      <c r="I351" s="1149"/>
      <c r="J351" s="1149"/>
      <c r="K351" s="1149"/>
      <c r="L351" s="1149"/>
      <c r="M351" s="1149"/>
      <c r="N351" s="1149"/>
      <c r="O351" s="1149"/>
      <c r="P351" s="1149"/>
      <c r="Q351" s="1149"/>
      <c r="R351" s="1149"/>
      <c r="S351" s="1149"/>
      <c r="T351" s="1149"/>
      <c r="U351" s="1149"/>
      <c r="V351" s="1149"/>
      <c r="W351" s="1149"/>
      <c r="X351" s="1149"/>
      <c r="Y351" s="1149"/>
      <c r="Z351" s="1149"/>
      <c r="AA351" s="1149"/>
      <c r="AB351" s="1149"/>
      <c r="AC351" s="1149"/>
      <c r="AD351" s="1149"/>
      <c r="AE351" s="1149"/>
      <c r="AF351" s="1149"/>
      <c r="AG351" s="1149"/>
      <c r="AH351" s="1149"/>
      <c r="AI351" s="1149"/>
      <c r="AJ351" s="1149"/>
      <c r="AK351" s="1149"/>
    </row>
    <row r="352" spans="2:37">
      <c r="B352" s="2"/>
      <c r="E352" s="3" t="s">
        <v>30</v>
      </c>
      <c r="F352" s="1149" t="s">
        <v>266</v>
      </c>
      <c r="G352" s="1149"/>
      <c r="H352" s="1149"/>
      <c r="I352" s="1149"/>
      <c r="J352" s="1149"/>
      <c r="K352" s="1149"/>
      <c r="L352" s="1149"/>
      <c r="M352" s="1149"/>
      <c r="N352" s="1149"/>
      <c r="O352" s="1149"/>
      <c r="P352" s="1149"/>
      <c r="Q352" s="1149"/>
      <c r="R352" s="1149"/>
      <c r="S352" s="1149"/>
      <c r="T352" s="1149"/>
      <c r="U352" s="1149"/>
      <c r="V352" s="1149"/>
      <c r="W352" s="1149"/>
      <c r="X352" s="1149"/>
      <c r="Y352" s="1149"/>
      <c r="Z352" s="1149"/>
      <c r="AA352" s="1149"/>
      <c r="AB352" s="1149"/>
      <c r="AC352" s="1149"/>
      <c r="AD352" s="1149"/>
      <c r="AE352" s="1149"/>
      <c r="AF352" s="1149"/>
      <c r="AG352" s="1149"/>
      <c r="AH352" s="1149"/>
      <c r="AI352" s="1149"/>
      <c r="AJ352" s="1149"/>
      <c r="AK352" s="1149"/>
    </row>
    <row r="353" spans="1:38">
      <c r="B353" s="2"/>
      <c r="F353" s="1149"/>
      <c r="G353" s="1149"/>
      <c r="H353" s="1149"/>
      <c r="I353" s="1149"/>
      <c r="J353" s="1149"/>
      <c r="K353" s="1149"/>
      <c r="L353" s="1149"/>
      <c r="M353" s="1149"/>
      <c r="N353" s="1149"/>
      <c r="O353" s="1149"/>
      <c r="P353" s="1149"/>
      <c r="Q353" s="1149"/>
      <c r="R353" s="1149"/>
      <c r="S353" s="1149"/>
      <c r="T353" s="1149"/>
      <c r="U353" s="1149"/>
      <c r="V353" s="1149"/>
      <c r="W353" s="1149"/>
      <c r="X353" s="1149"/>
      <c r="Y353" s="1149"/>
      <c r="Z353" s="1149"/>
      <c r="AA353" s="1149"/>
      <c r="AB353" s="1149"/>
      <c r="AC353" s="1149"/>
      <c r="AD353" s="1149"/>
      <c r="AE353" s="1149"/>
      <c r="AF353" s="1149"/>
      <c r="AG353" s="1149"/>
      <c r="AH353" s="1149"/>
      <c r="AI353" s="1149"/>
      <c r="AJ353" s="1149"/>
      <c r="AK353" s="1149"/>
    </row>
    <row r="354" spans="1:38">
      <c r="B354" s="2"/>
      <c r="F354" s="1149"/>
      <c r="G354" s="1149"/>
      <c r="H354" s="1149"/>
      <c r="I354" s="1149"/>
      <c r="J354" s="1149"/>
      <c r="K354" s="1149"/>
      <c r="L354" s="1149"/>
      <c r="M354" s="1149"/>
      <c r="N354" s="1149"/>
      <c r="O354" s="1149"/>
      <c r="P354" s="1149"/>
      <c r="Q354" s="1149"/>
      <c r="R354" s="1149"/>
      <c r="S354" s="1149"/>
      <c r="T354" s="1149"/>
      <c r="U354" s="1149"/>
      <c r="V354" s="1149"/>
      <c r="W354" s="1149"/>
      <c r="X354" s="1149"/>
      <c r="Y354" s="1149"/>
      <c r="Z354" s="1149"/>
      <c r="AA354" s="1149"/>
      <c r="AB354" s="1149"/>
      <c r="AC354" s="1149"/>
      <c r="AD354" s="1149"/>
      <c r="AE354" s="1149"/>
      <c r="AF354" s="1149"/>
      <c r="AG354" s="1149"/>
      <c r="AH354" s="1149"/>
      <c r="AI354" s="1149"/>
      <c r="AJ354" s="1149"/>
      <c r="AK354" s="1149"/>
    </row>
    <row r="355" spans="1:38">
      <c r="B355" s="2"/>
      <c r="F355" s="3"/>
      <c r="H355" s="3"/>
      <c r="I355" s="3"/>
      <c r="J355" s="3"/>
      <c r="K355" s="3"/>
      <c r="L355" s="3"/>
      <c r="M355" s="3"/>
      <c r="N355" s="3"/>
      <c r="O355" s="3"/>
      <c r="P355" s="3"/>
      <c r="Q355" s="3"/>
      <c r="R355" s="3"/>
      <c r="S355" s="3"/>
    </row>
    <row r="356" spans="1:38">
      <c r="A356" s="5"/>
      <c r="B356" s="11" t="s">
        <v>267</v>
      </c>
      <c r="C356" s="11" t="s">
        <v>57</v>
      </c>
      <c r="D356" s="5"/>
      <c r="E356" s="11"/>
      <c r="F356" s="5"/>
      <c r="G356" s="5"/>
      <c r="H356" s="5"/>
      <c r="I356" s="5"/>
      <c r="J356" s="5"/>
      <c r="K356" s="5"/>
      <c r="L356" s="5"/>
      <c r="M356" s="1147"/>
      <c r="N356" s="1147"/>
      <c r="O356" s="1147"/>
      <c r="P356" s="1147"/>
      <c r="Q356" s="1147"/>
      <c r="R356" s="1147"/>
      <c r="S356" s="1147"/>
      <c r="T356" s="1147"/>
      <c r="U356" s="5"/>
      <c r="V356" s="5"/>
      <c r="W356" s="5"/>
      <c r="X356" s="5"/>
      <c r="Y356" s="5"/>
      <c r="Z356" s="5"/>
      <c r="AA356" s="5"/>
      <c r="AB356" s="5"/>
      <c r="AC356" s="5"/>
      <c r="AD356" s="5"/>
      <c r="AE356" s="5"/>
      <c r="AF356" s="5"/>
      <c r="AG356" s="5"/>
      <c r="AH356" s="5"/>
      <c r="AI356" s="5"/>
      <c r="AJ356" s="5"/>
      <c r="AK356" s="5"/>
      <c r="AL356" s="5"/>
    </row>
    <row r="357" spans="1:38">
      <c r="B357" s="2"/>
      <c r="D357" s="437"/>
      <c r="E357" s="2"/>
      <c r="M357" s="3"/>
      <c r="N357" s="3"/>
      <c r="O357" s="3"/>
      <c r="P357" s="3"/>
      <c r="Q357" s="3"/>
      <c r="R357" s="3"/>
      <c r="S357" s="3"/>
      <c r="T357" s="3"/>
    </row>
    <row r="358" spans="1:38" ht="13.35" customHeight="1">
      <c r="B358" s="2"/>
      <c r="C358" s="11" t="s">
        <v>268</v>
      </c>
      <c r="D358" s="5"/>
      <c r="E358" s="5"/>
      <c r="F358" s="5"/>
      <c r="G358" s="5"/>
      <c r="H358" s="5"/>
      <c r="I358" s="379"/>
      <c r="J358" s="379"/>
      <c r="K358" s="379"/>
      <c r="L358" s="379"/>
      <c r="M358" s="379"/>
      <c r="N358" s="379"/>
      <c r="O358" s="379"/>
      <c r="P358" s="379"/>
      <c r="Q358" s="379"/>
      <c r="R358" s="379"/>
      <c r="S358" s="379"/>
      <c r="T358" s="379"/>
      <c r="U358" s="379"/>
      <c r="V358" s="379"/>
      <c r="W358" s="379"/>
      <c r="X358" s="379"/>
      <c r="Y358" s="379"/>
      <c r="Z358" s="379"/>
      <c r="AA358" s="379"/>
      <c r="AB358" s="379"/>
      <c r="AC358" s="379"/>
      <c r="AD358" s="379"/>
      <c r="AE358" s="379"/>
      <c r="AF358" s="379"/>
      <c r="AG358" s="379"/>
      <c r="AH358" s="379"/>
      <c r="AI358" s="379"/>
      <c r="AJ358" s="379"/>
      <c r="AK358" s="379"/>
    </row>
    <row r="359" spans="1:38" ht="13.35" customHeight="1">
      <c r="B359" s="2"/>
      <c r="C359" s="2"/>
      <c r="E359" s="380"/>
      <c r="F359" s="380"/>
      <c r="G359" s="380"/>
      <c r="H359" s="380"/>
      <c r="I359" s="380"/>
      <c r="J359" s="380"/>
      <c r="K359" s="380"/>
      <c r="L359" s="380"/>
      <c r="M359" s="380"/>
      <c r="N359" s="380"/>
      <c r="O359" s="380"/>
      <c r="P359" s="380"/>
      <c r="Q359" s="380"/>
      <c r="R359" s="380"/>
      <c r="S359" s="380"/>
      <c r="T359" s="380"/>
      <c r="U359" s="380"/>
      <c r="V359" s="380"/>
      <c r="W359" s="380"/>
      <c r="X359" s="380"/>
      <c r="Y359" s="380"/>
      <c r="Z359" s="380"/>
      <c r="AA359" s="380"/>
      <c r="AB359" s="380"/>
      <c r="AC359" s="380"/>
      <c r="AD359" s="380"/>
      <c r="AE359" s="380"/>
      <c r="AF359" s="380"/>
      <c r="AG359" s="380"/>
      <c r="AH359" s="380"/>
      <c r="AI359" s="380"/>
      <c r="AJ359" s="380"/>
      <c r="AK359" s="380"/>
    </row>
    <row r="360" spans="1:38">
      <c r="B360" s="2"/>
      <c r="D360" s="2" t="s">
        <v>3</v>
      </c>
      <c r="E360" s="2" t="s">
        <v>269</v>
      </c>
      <c r="I360" s="3"/>
      <c r="J360" s="3"/>
      <c r="K360" s="3"/>
      <c r="L360" s="3"/>
      <c r="M360" s="3"/>
      <c r="N360" s="3"/>
      <c r="O360" s="3"/>
      <c r="P360" s="3"/>
      <c r="Q360" s="3"/>
      <c r="R360" s="3"/>
      <c r="S360" s="3"/>
    </row>
    <row r="361" spans="1:38">
      <c r="B361" s="2"/>
      <c r="E361" t="s">
        <v>17</v>
      </c>
      <c r="F361" s="3" t="s">
        <v>270</v>
      </c>
      <c r="I361" s="3"/>
      <c r="J361" s="3"/>
      <c r="K361" s="3"/>
      <c r="L361" s="3"/>
      <c r="M361" s="3"/>
      <c r="N361" s="3"/>
      <c r="O361" s="3"/>
      <c r="P361" s="3"/>
      <c r="Q361" s="3"/>
      <c r="R361" s="3"/>
      <c r="S361" s="3"/>
    </row>
    <row r="362" spans="1:38">
      <c r="B362" s="2"/>
      <c r="F362" s="3" t="s">
        <v>271</v>
      </c>
      <c r="I362" s="3"/>
      <c r="J362" s="3"/>
      <c r="K362" s="3"/>
      <c r="L362" s="3"/>
      <c r="M362" s="3"/>
      <c r="N362" s="3"/>
      <c r="O362" s="3"/>
      <c r="P362" s="3"/>
      <c r="Q362" s="3"/>
      <c r="R362" s="3"/>
      <c r="S362" s="3"/>
    </row>
    <row r="363" spans="1:38">
      <c r="B363" s="2"/>
      <c r="F363" s="3" t="s">
        <v>272</v>
      </c>
      <c r="G363" s="3"/>
      <c r="K363" s="3"/>
      <c r="L363" s="3"/>
      <c r="M363" s="3"/>
      <c r="N363" s="3"/>
      <c r="O363" s="3"/>
      <c r="P363" s="3"/>
      <c r="Q363" s="3"/>
      <c r="R363" s="3"/>
      <c r="S363" s="3"/>
    </row>
    <row r="364" spans="1:38">
      <c r="B364" s="2"/>
      <c r="E364" t="s">
        <v>30</v>
      </c>
      <c r="F364" s="3" t="s">
        <v>273</v>
      </c>
      <c r="I364" s="3"/>
      <c r="J364" s="3"/>
      <c r="K364" s="3"/>
      <c r="L364" s="3"/>
      <c r="M364" s="3"/>
      <c r="N364" s="3"/>
      <c r="O364" s="3"/>
      <c r="P364" s="3"/>
      <c r="Q364" s="3"/>
      <c r="R364" s="3"/>
      <c r="S364" s="3"/>
    </row>
    <row r="365" spans="1:38">
      <c r="B365" s="2"/>
      <c r="E365" t="s">
        <v>38</v>
      </c>
      <c r="F365" s="3" t="s">
        <v>274</v>
      </c>
      <c r="I365" s="3"/>
      <c r="J365" s="3"/>
      <c r="K365" s="3"/>
      <c r="L365" s="3"/>
      <c r="M365" s="3"/>
      <c r="N365" s="3"/>
      <c r="O365" s="3"/>
      <c r="P365" s="3"/>
      <c r="Q365" s="3"/>
      <c r="R365" s="3"/>
      <c r="S365" s="3"/>
    </row>
    <row r="366" spans="1:38">
      <c r="B366" s="2"/>
      <c r="F366" s="3" t="s">
        <v>275</v>
      </c>
      <c r="J366" s="3"/>
      <c r="K366" s="3"/>
      <c r="L366" s="3"/>
      <c r="M366" s="3"/>
      <c r="N366" s="3"/>
      <c r="O366" s="3"/>
      <c r="P366" s="3"/>
      <c r="Q366" s="3"/>
      <c r="R366" s="3"/>
      <c r="S366" s="3"/>
    </row>
    <row r="367" spans="1:38">
      <c r="B367" s="2"/>
      <c r="E367" s="1155" t="s">
        <v>276</v>
      </c>
      <c r="F367" s="1155"/>
      <c r="G367" s="1155"/>
      <c r="H367" s="1155"/>
      <c r="I367" s="1155"/>
      <c r="J367" s="1155"/>
      <c r="K367" s="1155"/>
      <c r="L367" s="1155"/>
      <c r="M367" s="1155"/>
      <c r="N367" s="1155"/>
      <c r="O367" s="1155"/>
      <c r="P367" s="1155"/>
      <c r="Q367" s="1155"/>
      <c r="R367" s="1155"/>
      <c r="S367" s="1155"/>
      <c r="T367" s="1155"/>
      <c r="U367" s="1155"/>
      <c r="V367" s="1155"/>
      <c r="W367" s="1155"/>
      <c r="X367" s="1155"/>
      <c r="Y367" s="1155"/>
      <c r="Z367" s="1155"/>
      <c r="AA367" s="1155"/>
      <c r="AB367" s="1155"/>
      <c r="AC367" s="1155"/>
      <c r="AD367" s="1155"/>
      <c r="AE367" s="1155"/>
      <c r="AF367" s="1155"/>
      <c r="AG367" s="1155"/>
      <c r="AH367" s="1155"/>
      <c r="AI367" s="1155"/>
      <c r="AJ367" s="1155"/>
      <c r="AK367" s="1155"/>
      <c r="AL367" s="1155"/>
    </row>
    <row r="368" spans="1:38">
      <c r="B368" s="2"/>
      <c r="E368" s="1155"/>
      <c r="F368" s="1155"/>
      <c r="G368" s="1155"/>
      <c r="H368" s="1155"/>
      <c r="I368" s="1155"/>
      <c r="J368" s="1155"/>
      <c r="K368" s="1155"/>
      <c r="L368" s="1155"/>
      <c r="M368" s="1155"/>
      <c r="N368" s="1155"/>
      <c r="O368" s="1155"/>
      <c r="P368" s="1155"/>
      <c r="Q368" s="1155"/>
      <c r="R368" s="1155"/>
      <c r="S368" s="1155"/>
      <c r="T368" s="1155"/>
      <c r="U368" s="1155"/>
      <c r="V368" s="1155"/>
      <c r="W368" s="1155"/>
      <c r="X368" s="1155"/>
      <c r="Y368" s="1155"/>
      <c r="Z368" s="1155"/>
      <c r="AA368" s="1155"/>
      <c r="AB368" s="1155"/>
      <c r="AC368" s="1155"/>
      <c r="AD368" s="1155"/>
      <c r="AE368" s="1155"/>
      <c r="AF368" s="1155"/>
      <c r="AG368" s="1155"/>
      <c r="AH368" s="1155"/>
      <c r="AI368" s="1155"/>
      <c r="AJ368" s="1155"/>
      <c r="AK368" s="1155"/>
      <c r="AL368" s="1155"/>
    </row>
    <row r="369" spans="1:37" s="1156" customFormat="1">
      <c r="A369"/>
      <c r="B369" s="2"/>
      <c r="C369"/>
      <c r="D369"/>
      <c r="E369" s="1153" t="s">
        <v>277</v>
      </c>
      <c r="F369" s="1153"/>
      <c r="G369" s="1153"/>
      <c r="H369" s="1153"/>
      <c r="I369" s="1153"/>
      <c r="J369" s="1153"/>
      <c r="K369" s="1153"/>
      <c r="L369" s="1153"/>
      <c r="M369" s="1153"/>
      <c r="N369" s="1153"/>
      <c r="O369" s="1153"/>
      <c r="P369" s="1153"/>
      <c r="Q369" s="1153"/>
      <c r="R369" s="1153"/>
      <c r="S369" s="1153"/>
      <c r="T369" s="1153"/>
      <c r="U369" s="1153"/>
      <c r="V369" s="1153"/>
      <c r="W369" s="1153"/>
      <c r="X369" s="1153"/>
      <c r="Y369" s="1153"/>
      <c r="Z369" s="1153"/>
      <c r="AA369" s="1153"/>
      <c r="AB369" s="1153"/>
      <c r="AC369" s="1153"/>
      <c r="AD369" s="1153"/>
      <c r="AE369" s="1153"/>
      <c r="AF369" s="1153"/>
      <c r="AG369" s="1153"/>
      <c r="AH369" s="1153"/>
      <c r="AI369" s="1153"/>
      <c r="AJ369" s="1153"/>
      <c r="AK369" s="1153"/>
    </row>
    <row r="370" spans="1:37" s="1156" customFormat="1">
      <c r="A370"/>
      <c r="B370" s="2"/>
      <c r="C370" s="2"/>
      <c r="D370"/>
      <c r="E370" s="1153"/>
      <c r="F370" s="1153"/>
      <c r="G370" s="1153"/>
      <c r="H370" s="1153"/>
      <c r="I370" s="1153"/>
      <c r="J370" s="1153"/>
      <c r="K370" s="1153"/>
      <c r="L370" s="1153"/>
      <c r="M370" s="1153"/>
      <c r="N370" s="1153"/>
      <c r="O370" s="1153"/>
      <c r="P370" s="1153"/>
      <c r="Q370" s="1153"/>
      <c r="R370" s="1153"/>
      <c r="S370" s="1153"/>
      <c r="T370" s="1153"/>
      <c r="U370" s="1153"/>
      <c r="V370" s="1153"/>
      <c r="W370" s="1153"/>
      <c r="X370" s="1153"/>
      <c r="Y370" s="1153"/>
      <c r="Z370" s="1153"/>
      <c r="AA370" s="1153"/>
      <c r="AB370" s="1153"/>
      <c r="AC370" s="1153"/>
      <c r="AD370" s="1153"/>
      <c r="AE370" s="1153"/>
      <c r="AF370" s="1153"/>
      <c r="AG370" s="1153"/>
      <c r="AH370" s="1153"/>
      <c r="AI370" s="1153"/>
      <c r="AJ370" s="1153"/>
      <c r="AK370" s="1153"/>
    </row>
    <row r="371" spans="1:37">
      <c r="B371" s="2"/>
      <c r="E371" s="3"/>
      <c r="F371" s="382"/>
      <c r="G371" s="382"/>
      <c r="H371" s="382"/>
      <c r="I371" s="382"/>
      <c r="J371" s="382"/>
      <c r="K371" s="382"/>
      <c r="L371" s="382"/>
      <c r="M371" s="382"/>
      <c r="N371" s="382"/>
      <c r="O371" s="382"/>
      <c r="P371" s="382"/>
      <c r="Q371" s="382"/>
      <c r="R371" s="382"/>
      <c r="S371" s="382"/>
      <c r="T371" s="382"/>
      <c r="U371" s="382"/>
      <c r="V371" s="382"/>
      <c r="W371" s="382"/>
      <c r="X371" s="382"/>
      <c r="Y371" s="382"/>
      <c r="Z371" s="382"/>
      <c r="AA371" s="382"/>
      <c r="AB371" s="382"/>
      <c r="AC371" s="382"/>
      <c r="AD371" s="382"/>
      <c r="AE371" s="382"/>
      <c r="AF371" s="382"/>
      <c r="AG371" s="382"/>
      <c r="AH371" s="382"/>
      <c r="AI371" s="382"/>
      <c r="AJ371" s="382"/>
      <c r="AK371" s="382"/>
    </row>
    <row r="372" spans="1:37">
      <c r="B372" s="2"/>
      <c r="D372" s="2" t="s">
        <v>15</v>
      </c>
      <c r="E372" s="2" t="s">
        <v>278</v>
      </c>
      <c r="J372" s="3"/>
      <c r="K372" s="3"/>
      <c r="L372" s="3"/>
      <c r="M372" s="3"/>
      <c r="N372" s="3"/>
      <c r="O372" s="3"/>
      <c r="P372" s="3"/>
      <c r="Q372" s="3"/>
      <c r="R372" s="3"/>
      <c r="S372" s="3"/>
    </row>
    <row r="373" spans="1:37">
      <c r="B373" s="2"/>
      <c r="E373" s="3" t="s">
        <v>279</v>
      </c>
      <c r="F373" s="3"/>
      <c r="G373" s="3"/>
      <c r="H373" s="3"/>
      <c r="I373" s="3"/>
      <c r="J373" s="3"/>
      <c r="K373" s="3"/>
      <c r="L373" s="3"/>
      <c r="M373" s="3"/>
      <c r="N373" s="3"/>
      <c r="O373" s="3"/>
      <c r="P373" s="3"/>
      <c r="Q373" s="3"/>
      <c r="R373" s="3"/>
      <c r="S373" s="3"/>
    </row>
    <row r="374" spans="1:37">
      <c r="B374" s="2"/>
      <c r="E374" s="3" t="s">
        <v>280</v>
      </c>
      <c r="F374" s="3"/>
      <c r="G374" s="3"/>
      <c r="H374" s="3"/>
      <c r="I374" s="3"/>
      <c r="J374" s="3"/>
      <c r="K374" s="3"/>
      <c r="L374" s="3"/>
      <c r="M374" s="3"/>
      <c r="N374" s="3"/>
      <c r="O374" s="3"/>
      <c r="P374" s="3"/>
      <c r="Q374" s="3"/>
      <c r="R374" s="3"/>
      <c r="S374" s="3"/>
    </row>
    <row r="375" spans="1:37">
      <c r="B375" s="2"/>
      <c r="E375" s="3"/>
      <c r="F375" s="3"/>
      <c r="G375" s="3"/>
      <c r="H375" s="3"/>
      <c r="I375" s="3"/>
      <c r="J375" s="3"/>
      <c r="K375" s="3"/>
      <c r="L375" s="3"/>
      <c r="M375" s="3"/>
      <c r="N375" s="3"/>
      <c r="O375" s="3"/>
      <c r="P375" s="3"/>
      <c r="Q375" s="3"/>
      <c r="R375" s="3"/>
      <c r="S375" s="3"/>
    </row>
    <row r="376" spans="1:37">
      <c r="B376" s="2"/>
      <c r="D376" s="2" t="s">
        <v>93</v>
      </c>
      <c r="E376" s="2" t="s">
        <v>281</v>
      </c>
      <c r="J376" s="3"/>
      <c r="K376" s="3"/>
      <c r="L376" s="3"/>
      <c r="M376" s="3"/>
      <c r="N376" s="3"/>
      <c r="O376" s="3"/>
      <c r="P376" s="3"/>
      <c r="Q376" s="3"/>
      <c r="R376" s="3"/>
      <c r="S376" s="3"/>
    </row>
    <row r="377" spans="1:37">
      <c r="B377" s="2"/>
      <c r="E377" s="3" t="s">
        <v>17</v>
      </c>
      <c r="F377" s="3" t="s">
        <v>282</v>
      </c>
      <c r="G377" s="3"/>
      <c r="I377" s="3"/>
      <c r="J377" s="3"/>
      <c r="K377" s="3"/>
      <c r="L377" s="3"/>
      <c r="M377" s="3"/>
      <c r="N377" s="3"/>
      <c r="O377" s="3"/>
      <c r="P377" s="3"/>
      <c r="Q377" s="3"/>
      <c r="R377" s="3"/>
      <c r="S377" s="3"/>
    </row>
    <row r="378" spans="1:37">
      <c r="B378" s="2"/>
      <c r="E378" s="3"/>
      <c r="F378" s="87" t="s">
        <v>283</v>
      </c>
      <c r="G378" s="3"/>
      <c r="I378" s="87"/>
      <c r="J378" s="3"/>
      <c r="K378" s="3"/>
      <c r="L378" s="3"/>
      <c r="M378" s="3"/>
      <c r="N378" s="3"/>
      <c r="O378" s="3"/>
      <c r="P378" s="3"/>
      <c r="Q378" s="3"/>
      <c r="R378" s="3"/>
      <c r="S378" s="3"/>
    </row>
    <row r="379" spans="1:37">
      <c r="B379" s="2"/>
      <c r="E379" s="3" t="s">
        <v>30</v>
      </c>
      <c r="F379" s="3" t="s">
        <v>284</v>
      </c>
      <c r="G379" s="3"/>
      <c r="I379" s="87"/>
      <c r="J379" s="3"/>
      <c r="K379" s="3"/>
      <c r="L379" s="3"/>
      <c r="M379" s="3"/>
      <c r="N379" s="3"/>
      <c r="O379" s="3"/>
      <c r="P379" s="3"/>
      <c r="Q379" s="3"/>
      <c r="R379" s="3"/>
      <c r="S379" s="3"/>
    </row>
    <row r="380" spans="1:37">
      <c r="B380" s="2"/>
      <c r="E380" s="3"/>
      <c r="F380" s="3"/>
      <c r="G380" s="3"/>
      <c r="I380" s="87"/>
      <c r="J380" s="3"/>
      <c r="K380" s="3"/>
      <c r="L380" s="3"/>
      <c r="M380" s="3"/>
      <c r="N380" s="3"/>
      <c r="O380" s="3"/>
      <c r="P380" s="3"/>
      <c r="Q380" s="3"/>
      <c r="R380" s="3"/>
      <c r="S380" s="3"/>
    </row>
    <row r="381" spans="1:37">
      <c r="B381" s="2"/>
      <c r="D381" s="2" t="s">
        <v>98</v>
      </c>
      <c r="E381" s="2" t="s">
        <v>285</v>
      </c>
      <c r="J381" s="3"/>
      <c r="K381" s="3"/>
      <c r="L381" s="3"/>
      <c r="M381" s="3"/>
      <c r="N381" s="3"/>
      <c r="O381" s="3"/>
      <c r="P381" s="3"/>
      <c r="Q381" s="3"/>
      <c r="R381" s="3"/>
      <c r="S381" s="3"/>
    </row>
    <row r="382" spans="1:37">
      <c r="B382" s="2"/>
      <c r="D382" s="2"/>
      <c r="E382" s="3" t="s">
        <v>279</v>
      </c>
      <c r="F382" s="3"/>
      <c r="G382" s="3"/>
      <c r="J382" s="3"/>
      <c r="K382" s="3"/>
      <c r="L382" s="3"/>
      <c r="M382" s="3"/>
      <c r="N382" s="3"/>
      <c r="O382" s="3"/>
      <c r="P382" s="3"/>
      <c r="Q382" s="3"/>
      <c r="R382" s="3"/>
      <c r="S382" s="3"/>
    </row>
    <row r="383" spans="1:37">
      <c r="B383" s="2"/>
      <c r="D383" s="2"/>
      <c r="E383" s="3" t="s">
        <v>286</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19" customFormat="1">
      <c r="A385"/>
      <c r="B385" s="2"/>
      <c r="C385"/>
      <c r="D385" s="2" t="s">
        <v>101</v>
      </c>
      <c r="E385" s="2" t="s">
        <v>287</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19" customFormat="1">
      <c r="A386"/>
      <c r="B386" s="2"/>
      <c r="C386"/>
      <c r="D386"/>
      <c r="E386" s="3" t="s">
        <v>17</v>
      </c>
      <c r="F386" s="3" t="s">
        <v>288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19" customFormat="1">
      <c r="A387"/>
      <c r="B387" s="2"/>
      <c r="C387"/>
      <c r="D387"/>
      <c r="E387" s="3"/>
      <c r="F387" s="87" t="s">
        <v>283</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30</v>
      </c>
      <c r="F388" s="1149" t="s">
        <v>289</v>
      </c>
      <c r="G388" s="1149"/>
      <c r="H388" s="1149"/>
      <c r="I388" s="1149"/>
      <c r="J388" s="1149"/>
      <c r="K388" s="1149"/>
      <c r="L388" s="1149"/>
      <c r="M388" s="1149"/>
      <c r="N388" s="1149"/>
      <c r="O388" s="1149"/>
      <c r="P388" s="1149"/>
      <c r="Q388" s="1149"/>
      <c r="R388" s="1149"/>
      <c r="S388" s="1149"/>
      <c r="T388" s="1149"/>
      <c r="U388" s="1149"/>
      <c r="V388" s="1149"/>
      <c r="W388" s="1149"/>
      <c r="X388" s="1149"/>
      <c r="Y388" s="1149"/>
      <c r="Z388" s="1149"/>
      <c r="AA388" s="1149"/>
      <c r="AB388" s="1149"/>
      <c r="AC388" s="1149"/>
      <c r="AD388" s="1149"/>
      <c r="AE388" s="1149"/>
      <c r="AF388" s="1149"/>
      <c r="AG388" s="1149"/>
      <c r="AH388" s="1149"/>
      <c r="AI388" s="1149"/>
      <c r="AJ388" s="1149"/>
      <c r="AK388" s="1149"/>
    </row>
    <row r="389" spans="1:38">
      <c r="B389" s="2"/>
      <c r="E389" s="3"/>
      <c r="F389" s="1149"/>
      <c r="G389" s="1149"/>
      <c r="H389" s="1149"/>
      <c r="I389" s="1149"/>
      <c r="J389" s="1149"/>
      <c r="K389" s="1149"/>
      <c r="L389" s="1149"/>
      <c r="M389" s="1149"/>
      <c r="N389" s="1149"/>
      <c r="O389" s="1149"/>
      <c r="P389" s="1149"/>
      <c r="Q389" s="1149"/>
      <c r="R389" s="1149"/>
      <c r="S389" s="1149"/>
      <c r="T389" s="1149"/>
      <c r="U389" s="1149"/>
      <c r="V389" s="1149"/>
      <c r="W389" s="1149"/>
      <c r="X389" s="1149"/>
      <c r="Y389" s="1149"/>
      <c r="Z389" s="1149"/>
      <c r="AA389" s="1149"/>
      <c r="AB389" s="1149"/>
      <c r="AC389" s="1149"/>
      <c r="AD389" s="1149"/>
      <c r="AE389" s="1149"/>
      <c r="AF389" s="1149"/>
      <c r="AG389" s="1149"/>
      <c r="AH389" s="1149"/>
      <c r="AI389" s="1149"/>
      <c r="AJ389" s="1149"/>
      <c r="AK389" s="1149"/>
    </row>
    <row r="390" spans="1:38">
      <c r="B390" s="2"/>
      <c r="E390" s="3"/>
      <c r="F390" s="1149"/>
      <c r="G390" s="1149"/>
      <c r="H390" s="1149"/>
      <c r="I390" s="1149"/>
      <c r="J390" s="1149"/>
      <c r="K390" s="1149"/>
      <c r="L390" s="1149"/>
      <c r="M390" s="1149"/>
      <c r="N390" s="1149"/>
      <c r="O390" s="1149"/>
      <c r="P390" s="1149"/>
      <c r="Q390" s="1149"/>
      <c r="R390" s="1149"/>
      <c r="S390" s="1149"/>
      <c r="T390" s="1149"/>
      <c r="U390" s="1149"/>
      <c r="V390" s="1149"/>
      <c r="W390" s="1149"/>
      <c r="X390" s="1149"/>
      <c r="Y390" s="1149"/>
      <c r="Z390" s="1149"/>
      <c r="AA390" s="1149"/>
      <c r="AB390" s="1149"/>
      <c r="AC390" s="1149"/>
      <c r="AD390" s="1149"/>
      <c r="AE390" s="1149"/>
      <c r="AF390" s="1149"/>
      <c r="AG390" s="1149"/>
      <c r="AH390" s="1149"/>
      <c r="AI390" s="1149"/>
      <c r="AJ390" s="1149"/>
      <c r="AK390" s="1149"/>
    </row>
    <row r="391" spans="1:38">
      <c r="B391" s="2"/>
      <c r="E391" s="3"/>
      <c r="F391" s="368"/>
      <c r="G391" s="368"/>
      <c r="H391" s="368"/>
      <c r="I391" s="368"/>
      <c r="J391" s="368"/>
      <c r="K391" s="368"/>
      <c r="L391" s="368"/>
      <c r="M391" s="368"/>
      <c r="N391" s="368"/>
      <c r="O391" s="368"/>
      <c r="P391" s="368"/>
      <c r="Q391" s="368"/>
      <c r="R391" s="368"/>
      <c r="S391" s="368"/>
      <c r="T391" s="368"/>
      <c r="U391" s="368"/>
      <c r="V391" s="368"/>
      <c r="W391" s="368"/>
      <c r="X391" s="368"/>
      <c r="Y391" s="368"/>
      <c r="Z391" s="368"/>
      <c r="AA391" s="368"/>
      <c r="AB391" s="368"/>
      <c r="AC391" s="368"/>
      <c r="AD391" s="368"/>
      <c r="AE391" s="368"/>
      <c r="AF391" s="368"/>
      <c r="AG391" s="368"/>
      <c r="AH391" s="368"/>
      <c r="AI391" s="368"/>
      <c r="AJ391" s="368"/>
      <c r="AK391" s="368"/>
      <c r="AL391" s="380"/>
    </row>
    <row r="392" spans="1:38">
      <c r="B392" s="2"/>
      <c r="C392" s="2"/>
      <c r="D392" s="2" t="s">
        <v>105</v>
      </c>
      <c r="E392" s="2" t="s">
        <v>290</v>
      </c>
      <c r="F392" s="3"/>
      <c r="G392" s="2"/>
      <c r="I392" s="87"/>
      <c r="J392" s="3"/>
      <c r="K392" s="3"/>
      <c r="L392" s="3"/>
      <c r="M392" s="3"/>
      <c r="N392" s="3"/>
      <c r="O392" s="3"/>
      <c r="P392" s="3"/>
      <c r="Q392" s="3"/>
      <c r="R392" s="3"/>
      <c r="S392" s="3"/>
    </row>
    <row r="393" spans="1:38" ht="13.35" customHeight="1">
      <c r="B393" s="2"/>
      <c r="D393" s="2"/>
      <c r="E393" s="3" t="s">
        <v>291</v>
      </c>
      <c r="F393" s="382"/>
      <c r="G393" s="382"/>
      <c r="H393" s="382"/>
      <c r="I393" s="382"/>
      <c r="J393" s="382"/>
      <c r="K393" s="382"/>
      <c r="L393" s="382"/>
      <c r="M393" s="382"/>
      <c r="N393" s="382"/>
      <c r="O393" s="382"/>
      <c r="P393" s="382"/>
      <c r="Q393" s="382"/>
      <c r="R393" s="382"/>
      <c r="S393" s="382"/>
      <c r="T393" s="382"/>
      <c r="U393" s="382"/>
      <c r="V393" s="382"/>
      <c r="W393" s="382"/>
      <c r="X393" s="382"/>
      <c r="Y393" s="382"/>
      <c r="Z393" s="382"/>
      <c r="AA393" s="382"/>
      <c r="AB393" s="382"/>
      <c r="AC393" s="382"/>
      <c r="AD393" s="382"/>
      <c r="AE393" s="382"/>
      <c r="AF393" s="382"/>
      <c r="AG393" s="382"/>
      <c r="AH393" s="382"/>
      <c r="AI393" s="382"/>
      <c r="AJ393" s="382"/>
      <c r="AK393" s="382"/>
    </row>
    <row r="394" spans="1:38">
      <c r="B394" s="2"/>
      <c r="E394" t="s">
        <v>286</v>
      </c>
      <c r="F394" s="379"/>
      <c r="G394" s="379"/>
      <c r="H394" s="379"/>
      <c r="I394" s="379"/>
      <c r="J394" s="379"/>
      <c r="K394" s="379"/>
      <c r="L394" s="379"/>
      <c r="M394" s="379"/>
      <c r="N394" s="379"/>
      <c r="O394" s="379"/>
      <c r="P394" s="379"/>
      <c r="Q394" s="379"/>
      <c r="R394" s="379"/>
      <c r="S394" s="379"/>
      <c r="T394" s="379"/>
      <c r="U394" s="379"/>
      <c r="V394" s="379"/>
      <c r="W394" s="379"/>
      <c r="X394" s="379"/>
      <c r="Y394" s="379"/>
      <c r="Z394" s="379"/>
      <c r="AA394" s="379"/>
      <c r="AB394" s="379"/>
      <c r="AC394" s="379"/>
      <c r="AD394" s="379"/>
      <c r="AE394" s="379"/>
      <c r="AF394" s="379"/>
      <c r="AG394" s="379"/>
      <c r="AH394" s="379"/>
      <c r="AI394" s="379"/>
      <c r="AJ394" s="379"/>
      <c r="AK394" s="379"/>
      <c r="AL394" s="379"/>
    </row>
    <row r="395" spans="1:38" s="119" customFormat="1">
      <c r="A395"/>
      <c r="B395" s="2"/>
      <c r="C395"/>
      <c r="D395"/>
      <c r="E395"/>
      <c r="F395"/>
      <c r="G395"/>
      <c r="H395"/>
      <c r="I395"/>
      <c r="J395"/>
      <c r="K395"/>
      <c r="L395"/>
      <c r="M395"/>
      <c r="N395"/>
      <c r="O395"/>
      <c r="P395"/>
      <c r="Q395"/>
      <c r="R395"/>
      <c r="S395" s="3"/>
      <c r="T395"/>
      <c r="U395"/>
      <c r="V395"/>
      <c r="W395"/>
      <c r="X395"/>
      <c r="Y395"/>
      <c r="Z395"/>
      <c r="AA395"/>
      <c r="AB395"/>
      <c r="AC395"/>
      <c r="AD395"/>
      <c r="AE395"/>
      <c r="AF395"/>
      <c r="AG395"/>
      <c r="AH395"/>
      <c r="AI395"/>
      <c r="AJ395"/>
      <c r="AK395"/>
      <c r="AL395"/>
    </row>
    <row r="396" spans="1:38" s="119" customFormat="1" hidden="1">
      <c r="A396"/>
      <c r="B396" s="2"/>
      <c r="C396"/>
      <c r="D396"/>
      <c r="E396"/>
      <c r="F396"/>
      <c r="G396"/>
      <c r="H396"/>
      <c r="I396"/>
      <c r="J396"/>
      <c r="K396"/>
      <c r="L396"/>
      <c r="M396"/>
      <c r="N396"/>
      <c r="O396"/>
      <c r="P396"/>
      <c r="Q396"/>
      <c r="R396"/>
      <c r="S396" s="3"/>
      <c r="T396"/>
      <c r="U396"/>
      <c r="V396"/>
      <c r="W396"/>
      <c r="X396"/>
      <c r="Y396"/>
      <c r="Z396"/>
      <c r="AA396"/>
      <c r="AB396"/>
      <c r="AC396"/>
      <c r="AD396"/>
      <c r="AE396"/>
      <c r="AF396"/>
      <c r="AG396"/>
      <c r="AH396"/>
      <c r="AI396"/>
      <c r="AJ396"/>
      <c r="AK396"/>
      <c r="AL396"/>
    </row>
    <row r="397" spans="1:38" hidden="1">
      <c r="B397" s="2"/>
      <c r="S397" s="3"/>
    </row>
    <row r="398" spans="1:38" hidden="1">
      <c r="B398" s="2"/>
      <c r="S398" s="3"/>
    </row>
    <row r="399" spans="1:38" hidden="1">
      <c r="B399" s="2"/>
      <c r="S399" s="3"/>
    </row>
    <row r="400" spans="1:38" hidden="1">
      <c r="B400" s="2"/>
      <c r="S400" s="3"/>
    </row>
    <row r="401" spans="2:19" hidden="1">
      <c r="B401" s="2"/>
      <c r="S401" s="3"/>
    </row>
    <row r="402" spans="2:19" hidden="1">
      <c r="B402" s="2"/>
      <c r="S402" s="3"/>
    </row>
    <row r="403" spans="2:19" hidden="1">
      <c r="B403" s="2"/>
      <c r="S403" s="3"/>
    </row>
    <row r="404" spans="2:19" hidden="1">
      <c r="B404" s="2"/>
      <c r="S404" s="3"/>
    </row>
    <row r="405" spans="2:19" hidden="1">
      <c r="B405" s="2"/>
      <c r="S405" s="3"/>
    </row>
    <row r="406" spans="2:19" hidden="1">
      <c r="B406" s="2"/>
      <c r="S406" s="3"/>
    </row>
    <row r="407" spans="2:19" hidden="1">
      <c r="B407" s="2"/>
      <c r="S407" s="3"/>
    </row>
    <row r="408" spans="2:19" hidden="1">
      <c r="B408" s="2"/>
      <c r="D408" s="2"/>
      <c r="E408" s="3"/>
      <c r="F408" s="3"/>
      <c r="G408" s="3"/>
      <c r="H408" s="3"/>
      <c r="I408" s="3"/>
      <c r="J408" s="3"/>
      <c r="K408" s="3"/>
      <c r="L408" s="3"/>
      <c r="M408" s="3"/>
      <c r="N408" s="3"/>
      <c r="O408" s="3"/>
      <c r="P408" s="3"/>
      <c r="Q408" s="3"/>
      <c r="R408" s="3"/>
      <c r="S408" s="3"/>
    </row>
    <row r="409" spans="2:19" hidden="1">
      <c r="B409" s="2"/>
      <c r="D409" s="2"/>
      <c r="E409" s="3"/>
      <c r="F409" s="3"/>
      <c r="G409" s="3"/>
      <c r="H409" s="3"/>
      <c r="I409" s="3"/>
      <c r="J409" s="3"/>
      <c r="K409" s="3"/>
      <c r="L409" s="3"/>
      <c r="M409" s="3"/>
      <c r="N409" s="3"/>
      <c r="O409" s="3"/>
      <c r="P409" s="3"/>
      <c r="Q409" s="3"/>
      <c r="R409" s="3"/>
      <c r="S409" s="3"/>
    </row>
    <row r="410" spans="2:19" hidden="1">
      <c r="J410" s="3"/>
      <c r="K410" s="3"/>
      <c r="L410" s="3"/>
      <c r="M410" s="3"/>
      <c r="N410" s="3"/>
      <c r="O410" s="3"/>
      <c r="P410" s="3"/>
      <c r="Q410" s="3"/>
      <c r="R410" s="3"/>
      <c r="S410" s="3"/>
    </row>
    <row r="411" spans="2:19" hidden="1">
      <c r="J411" s="3"/>
      <c r="K411" s="3"/>
      <c r="L411" s="3"/>
      <c r="M411" s="3"/>
      <c r="N411" s="3"/>
      <c r="O411" s="3"/>
      <c r="P411" s="3"/>
      <c r="Q411" s="3"/>
      <c r="R411" s="3"/>
      <c r="S411" s="3"/>
    </row>
    <row r="412" spans="2:19" hidden="1">
      <c r="J412" s="3"/>
      <c r="K412" s="3"/>
      <c r="L412" s="3"/>
      <c r="M412" s="3"/>
      <c r="N412" s="3"/>
      <c r="O412" s="3"/>
      <c r="P412" s="3"/>
      <c r="Q412" s="3"/>
      <c r="R412" s="3"/>
      <c r="S412" s="3"/>
    </row>
    <row r="413" spans="2:19" hidden="1">
      <c r="J413" s="3"/>
      <c r="K413" s="3"/>
      <c r="L413" s="3"/>
      <c r="M413" s="3"/>
      <c r="N413" s="3"/>
      <c r="O413" s="3"/>
      <c r="P413" s="3"/>
      <c r="Q413" s="3"/>
      <c r="R413" s="3"/>
      <c r="S413" s="3"/>
    </row>
    <row r="414" spans="2:19" hidden="1">
      <c r="J414" s="3"/>
      <c r="K414" s="3"/>
      <c r="L414" s="3"/>
      <c r="M414" s="3"/>
      <c r="N414" s="3"/>
      <c r="O414" s="3"/>
      <c r="P414" s="3"/>
      <c r="Q414" s="3"/>
      <c r="R414" s="3"/>
      <c r="S414" s="3"/>
    </row>
    <row r="415" spans="2:19" hidden="1">
      <c r="J415" s="3"/>
      <c r="K415" s="3"/>
      <c r="L415" s="3"/>
      <c r="M415" s="3"/>
      <c r="N415" s="3"/>
      <c r="O415" s="3"/>
      <c r="P415" s="3"/>
      <c r="Q415" s="3"/>
      <c r="R415" s="3"/>
      <c r="S415" s="3"/>
    </row>
    <row r="416" spans="2:19" hidden="1">
      <c r="J416" s="3"/>
      <c r="K416" s="3"/>
      <c r="L416" s="3"/>
      <c r="M416" s="3"/>
      <c r="N416" s="3"/>
      <c r="O416" s="3"/>
      <c r="P416" s="3"/>
      <c r="Q416" s="3"/>
      <c r="R416" s="3"/>
      <c r="S416" s="3"/>
    </row>
    <row r="417" spans="2:19" hidden="1">
      <c r="J417" s="3"/>
      <c r="K417" s="3"/>
      <c r="L417" s="3"/>
      <c r="M417" s="3"/>
      <c r="N417" s="3"/>
      <c r="O417" s="3"/>
      <c r="P417" s="3"/>
      <c r="Q417" s="3"/>
      <c r="R417" s="3"/>
      <c r="S417" s="3"/>
    </row>
    <row r="418" spans="2:19" hidden="1">
      <c r="J418" s="3"/>
      <c r="K418" s="3"/>
      <c r="L418" s="3"/>
      <c r="M418" s="3"/>
      <c r="N418" s="3"/>
      <c r="O418" s="3"/>
      <c r="P418" s="3"/>
      <c r="Q418" s="3"/>
      <c r="R418" s="3"/>
      <c r="S418" s="3"/>
    </row>
    <row r="419" spans="2:19" hidden="1">
      <c r="L419" s="3"/>
      <c r="M419" s="3"/>
      <c r="N419" s="3"/>
      <c r="O419" s="3"/>
      <c r="P419" s="3"/>
      <c r="Q419" s="3"/>
      <c r="R419" s="3"/>
      <c r="S419" s="3"/>
    </row>
    <row r="420" spans="2:19" hidden="1">
      <c r="J420" s="3"/>
      <c r="K420" s="3"/>
      <c r="L420" s="3"/>
      <c r="M420" s="3"/>
      <c r="N420" s="3"/>
      <c r="O420" s="3"/>
      <c r="P420" s="3"/>
      <c r="Q420" s="3"/>
      <c r="R420" s="3"/>
      <c r="S420" s="3"/>
    </row>
    <row r="421" spans="2:19" hidden="1">
      <c r="B421" s="2"/>
      <c r="D421" s="2"/>
      <c r="E421" s="3"/>
      <c r="F421" s="3"/>
      <c r="G421" s="3"/>
      <c r="H421" s="3"/>
      <c r="I421" s="3"/>
      <c r="J421" s="3"/>
      <c r="K421" s="3"/>
      <c r="L421" s="3"/>
      <c r="M421" s="3"/>
      <c r="N421" s="3"/>
      <c r="O421" s="3"/>
      <c r="P421" s="3"/>
      <c r="Q421" s="3"/>
      <c r="R421" s="3"/>
      <c r="S421" s="3"/>
    </row>
    <row r="422" spans="2:19" hidden="1">
      <c r="B422" s="2"/>
      <c r="C422" s="2"/>
      <c r="D422" s="2"/>
      <c r="E422" s="3"/>
      <c r="F422" s="3"/>
      <c r="G422" s="3"/>
      <c r="H422" s="3"/>
      <c r="I422" s="3"/>
      <c r="J422" s="3"/>
      <c r="K422" s="3"/>
      <c r="L422" s="3"/>
      <c r="M422" s="3"/>
      <c r="N422" s="3"/>
      <c r="O422" s="3"/>
      <c r="P422" s="3"/>
      <c r="Q422" s="3"/>
      <c r="R422" s="3"/>
      <c r="S422" s="3"/>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E1" zoomScaleNormal="100" workbookViewId="0">
      <selection activeCell="O199" sqref="O199:AE200"/>
    </sheetView>
  </sheetViews>
  <sheetFormatPr defaultColWidth="2.7109375" defaultRowHeight="15.75" customHeight="1"/>
  <cols>
    <col min="1" max="13" width="2.7109375" style="1077"/>
    <col min="14" max="14" width="4.7109375" style="1077" customWidth="1"/>
    <col min="15" max="37" width="2.7109375" style="1077"/>
    <col min="38" max="38" width="3" style="1077" customWidth="1"/>
    <col min="39" max="45" width="2.7109375" style="1077"/>
    <col min="46" max="46" width="4.7109375" style="1077" customWidth="1"/>
    <col min="47" max="64" width="2.7109375" style="1077"/>
    <col min="65" max="65" width="10.28515625" style="1077" hidden="1" customWidth="1"/>
    <col min="66" max="70" width="5.7109375" style="1077" bestFit="1" customWidth="1"/>
    <col min="71" max="71" width="6.140625" style="1077" bestFit="1" customWidth="1"/>
    <col min="72" max="76" width="5.7109375" style="1077" bestFit="1" customWidth="1"/>
    <col min="77" max="77" width="6.140625" style="1077" bestFit="1" customWidth="1"/>
    <col min="78" max="78" width="5.7109375" style="1077" bestFit="1" customWidth="1"/>
    <col min="79" max="16384" width="2.7109375" style="1077"/>
  </cols>
  <sheetData>
    <row r="1" spans="1:65" ht="15.75" customHeight="1">
      <c r="A1" s="2295" t="s">
        <v>2481</v>
      </c>
      <c r="B1" s="2296"/>
      <c r="C1" s="2296"/>
      <c r="D1" s="2296"/>
      <c r="E1" s="2296"/>
      <c r="F1" s="2296"/>
      <c r="G1" s="2296"/>
      <c r="H1" s="2296"/>
      <c r="I1" s="2296"/>
      <c r="J1" s="2296"/>
      <c r="K1" s="2296"/>
      <c r="L1" s="2296"/>
      <c r="M1" s="2296"/>
      <c r="N1" s="2296"/>
      <c r="O1" s="2296"/>
      <c r="P1" s="2296"/>
      <c r="Q1" s="2296"/>
      <c r="R1" s="2296"/>
      <c r="S1" s="2296"/>
      <c r="T1" s="2296"/>
      <c r="U1" s="2296"/>
      <c r="V1" s="2296"/>
      <c r="W1" s="2296"/>
      <c r="X1" s="2296"/>
      <c r="Y1" s="2296"/>
      <c r="Z1" s="2296"/>
      <c r="AA1" s="2296"/>
      <c r="AB1" s="2296"/>
      <c r="AC1" s="2296"/>
      <c r="AD1" s="2296"/>
      <c r="AE1" s="2296"/>
      <c r="AF1" s="2296"/>
      <c r="AG1" s="2296"/>
      <c r="AH1" s="2296"/>
      <c r="AI1" s="2296"/>
      <c r="AJ1" s="2296"/>
      <c r="AK1" s="2296"/>
      <c r="AL1" s="2296"/>
      <c r="AM1" s="2296"/>
      <c r="AN1" s="2296"/>
      <c r="AO1" s="2296"/>
      <c r="AP1" s="2296"/>
      <c r="AQ1" s="2296"/>
      <c r="AR1" s="2296"/>
      <c r="AS1" s="2296"/>
      <c r="AT1" s="2296"/>
      <c r="AU1" s="2296"/>
      <c r="AV1" s="2296"/>
      <c r="AW1" s="2296"/>
      <c r="AX1" s="2296"/>
      <c r="AY1" s="2296"/>
      <c r="AZ1" s="2296"/>
      <c r="BA1" s="2296"/>
      <c r="BB1" s="2296"/>
      <c r="BC1" s="2296"/>
      <c r="BD1" s="2296"/>
      <c r="BE1" s="2297"/>
    </row>
    <row r="2" spans="1:65" ht="15.75" customHeight="1">
      <c r="A2" s="2298" t="s">
        <v>2482</v>
      </c>
      <c r="B2" s="2299"/>
      <c r="C2" s="2299"/>
      <c r="D2" s="2299"/>
      <c r="E2" s="2299"/>
      <c r="F2" s="2299"/>
      <c r="G2" s="2299"/>
      <c r="H2" s="2299"/>
      <c r="I2" s="2299"/>
      <c r="J2" s="2299"/>
      <c r="K2" s="2299"/>
      <c r="L2" s="2299"/>
      <c r="M2" s="2299"/>
      <c r="N2" s="2299"/>
      <c r="O2" s="2299"/>
      <c r="P2" s="2299"/>
      <c r="Q2" s="2299"/>
      <c r="R2" s="2299"/>
      <c r="S2" s="2299"/>
      <c r="T2" s="2299"/>
      <c r="U2" s="2299"/>
      <c r="V2" s="2299"/>
      <c r="W2" s="2299"/>
      <c r="X2" s="2299"/>
      <c r="Y2" s="2299"/>
      <c r="Z2" s="2299"/>
      <c r="AA2" s="2299"/>
      <c r="AB2" s="2299"/>
      <c r="AC2" s="2299"/>
      <c r="AD2" s="2299"/>
      <c r="AE2" s="2299"/>
      <c r="AF2" s="2299"/>
      <c r="AG2" s="2299"/>
      <c r="AH2" s="2299"/>
      <c r="AI2" s="2299"/>
      <c r="AJ2" s="2299"/>
      <c r="AK2" s="2299"/>
      <c r="AL2" s="2299"/>
      <c r="AM2" s="2299"/>
      <c r="AN2" s="2299"/>
      <c r="AO2" s="2299"/>
      <c r="AP2" s="2299"/>
      <c r="AQ2" s="2299"/>
      <c r="AR2" s="2299"/>
      <c r="AS2" s="2299"/>
      <c r="AT2" s="2299"/>
      <c r="AU2" s="2299"/>
      <c r="AV2" s="2299"/>
      <c r="AW2" s="2299"/>
      <c r="AX2" s="2299"/>
      <c r="AY2" s="2299"/>
      <c r="AZ2" s="2299"/>
      <c r="BA2" s="2299"/>
      <c r="BB2" s="2299"/>
      <c r="BC2" s="2299"/>
      <c r="BD2" s="2299"/>
      <c r="BE2" s="2300"/>
      <c r="BF2" s="1078"/>
    </row>
    <row r="3" spans="1:65" ht="15.75" customHeight="1" thickBot="1">
      <c r="A3" s="1092"/>
      <c r="B3" s="1086"/>
      <c r="C3" s="1086"/>
      <c r="D3" s="1086"/>
      <c r="E3" s="1086"/>
      <c r="F3" s="1086"/>
      <c r="G3" s="1086"/>
      <c r="H3" s="1086"/>
      <c r="I3" s="1086"/>
      <c r="J3" s="1086"/>
      <c r="K3" s="1086"/>
      <c r="L3" s="1086"/>
      <c r="M3" s="1086"/>
      <c r="N3" s="1086"/>
      <c r="O3" s="1086"/>
      <c r="P3" s="1086"/>
      <c r="Q3" s="1086"/>
      <c r="R3" s="1086"/>
      <c r="S3" s="1086"/>
      <c r="T3" s="1086"/>
      <c r="U3" s="1086"/>
      <c r="V3" s="1086"/>
      <c r="W3" s="1086"/>
      <c r="X3" s="1086"/>
      <c r="Y3" s="1086"/>
      <c r="Z3" s="1086"/>
      <c r="AA3" s="1086"/>
      <c r="AB3" s="1086"/>
      <c r="AC3" s="1086"/>
      <c r="AD3" s="1086"/>
      <c r="AE3" s="1086"/>
      <c r="AF3" s="1086"/>
      <c r="AG3" s="1086"/>
      <c r="AH3" s="1086"/>
      <c r="AI3" s="1086"/>
      <c r="AJ3" s="1086"/>
      <c r="AK3" s="1086"/>
      <c r="AL3" s="1086"/>
      <c r="AM3" s="1086"/>
      <c r="AN3" s="1086"/>
      <c r="AO3" s="1086"/>
      <c r="AP3" s="1086"/>
      <c r="AQ3" s="1086"/>
      <c r="AR3" s="1086"/>
      <c r="AS3" s="1086"/>
      <c r="AT3" s="1086"/>
      <c r="AU3" s="1086"/>
      <c r="AV3" s="1086"/>
      <c r="AW3" s="1086"/>
      <c r="AX3" s="1086"/>
      <c r="AY3" s="1086"/>
      <c r="AZ3" s="1086"/>
      <c r="BA3" s="1086"/>
      <c r="BB3" s="1086"/>
      <c r="BC3" s="1086"/>
      <c r="BD3" s="1086"/>
      <c r="BE3" s="1096"/>
    </row>
    <row r="4" spans="1:65" ht="15.75" customHeight="1" thickBot="1">
      <c r="A4" s="1092"/>
      <c r="B4" s="1094" t="s">
        <v>76</v>
      </c>
      <c r="C4" s="1094"/>
      <c r="D4" s="1094"/>
      <c r="E4" s="1094"/>
      <c r="F4" s="1094"/>
      <c r="G4" s="1086"/>
      <c r="H4" s="1086"/>
      <c r="I4" s="1086"/>
      <c r="J4" s="1086"/>
      <c r="K4" s="1086"/>
      <c r="L4" s="2301" t="str">
        <f>IF(Application!H18="","",Application!H18)</f>
        <v xml:space="preserve">The Grant at Mission Trails </v>
      </c>
      <c r="M4" s="2302"/>
      <c r="N4" s="2302"/>
      <c r="O4" s="2302"/>
      <c r="P4" s="2302"/>
      <c r="Q4" s="2302"/>
      <c r="R4" s="2302"/>
      <c r="S4" s="2302"/>
      <c r="T4" s="2302"/>
      <c r="U4" s="2302"/>
      <c r="V4" s="2302"/>
      <c r="W4" s="2302"/>
      <c r="X4" s="2302"/>
      <c r="Y4" s="2302"/>
      <c r="Z4" s="2302"/>
      <c r="AA4" s="2302"/>
      <c r="AB4" s="2302"/>
      <c r="AC4" s="2303"/>
      <c r="AD4" s="1086"/>
      <c r="AE4" s="1086"/>
      <c r="AF4" s="1951" t="s">
        <v>2483</v>
      </c>
      <c r="AG4" s="1951"/>
      <c r="AH4" s="1951"/>
      <c r="AI4" s="1951"/>
      <c r="AJ4" s="1951"/>
      <c r="AK4" s="1951"/>
      <c r="AL4" s="1951"/>
      <c r="AM4" s="1951"/>
      <c r="AN4" s="1951"/>
      <c r="AO4" s="1951"/>
      <c r="AP4" s="1952"/>
      <c r="AQ4" s="1953"/>
      <c r="AR4" s="1953"/>
      <c r="AS4" s="1953"/>
      <c r="AT4" s="1953"/>
      <c r="AU4" s="1953"/>
      <c r="AV4" s="1086"/>
      <c r="AW4" s="1086"/>
      <c r="AX4" s="1086"/>
      <c r="AY4" s="1086"/>
      <c r="AZ4" s="1086"/>
      <c r="BA4" s="1086"/>
      <c r="BB4" s="1086"/>
      <c r="BC4" s="1086"/>
      <c r="BD4" s="1086"/>
      <c r="BE4" s="1096"/>
    </row>
    <row r="5" spans="1:65" ht="15.75" customHeight="1" thickBot="1">
      <c r="A5" s="1092"/>
      <c r="B5" s="1086"/>
      <c r="C5" s="1086"/>
      <c r="D5" s="1086"/>
      <c r="E5" s="1086"/>
      <c r="F5" s="1086"/>
      <c r="G5" s="1086"/>
      <c r="H5" s="1086"/>
      <c r="I5" s="1086"/>
      <c r="J5" s="1086"/>
      <c r="K5" s="1086"/>
      <c r="L5" s="1086"/>
      <c r="M5" s="1086"/>
      <c r="N5" s="1086"/>
      <c r="O5" s="1086"/>
      <c r="P5" s="1086"/>
      <c r="Q5" s="1086"/>
      <c r="R5" s="1086"/>
      <c r="S5" s="1086"/>
      <c r="T5" s="1086"/>
      <c r="U5" s="1086"/>
      <c r="V5" s="1086"/>
      <c r="W5" s="1086"/>
      <c r="X5" s="1086"/>
      <c r="Y5" s="1086"/>
      <c r="Z5" s="1086"/>
      <c r="AA5" s="1086"/>
      <c r="AB5" s="1086"/>
      <c r="AC5" s="1086"/>
      <c r="AD5" s="1086"/>
      <c r="AE5" s="1086"/>
      <c r="AF5" s="1951" t="s">
        <v>2484</v>
      </c>
      <c r="AG5" s="1951"/>
      <c r="AH5" s="1951"/>
      <c r="AI5" s="1951"/>
      <c r="AJ5" s="1951"/>
      <c r="AK5" s="1951"/>
      <c r="AL5" s="1951"/>
      <c r="AM5" s="1951"/>
      <c r="AN5" s="1951"/>
      <c r="AO5" s="1951"/>
      <c r="AP5" s="1952"/>
      <c r="AQ5" s="1953"/>
      <c r="AR5" s="1953"/>
      <c r="AS5" s="1953"/>
      <c r="AT5" s="1953"/>
      <c r="AU5" s="1953"/>
      <c r="AV5" s="1086"/>
      <c r="AW5" s="1086"/>
      <c r="AX5" s="1086"/>
      <c r="AY5" s="1086"/>
      <c r="AZ5" s="1086"/>
      <c r="BA5" s="1086"/>
      <c r="BB5" s="1086"/>
      <c r="BC5" s="1086"/>
      <c r="BD5" s="1086"/>
      <c r="BE5" s="1096"/>
    </row>
    <row r="6" spans="1:65" ht="15.75" customHeight="1" thickBot="1">
      <c r="A6" s="1092"/>
      <c r="B6" s="1094" t="s">
        <v>2485</v>
      </c>
      <c r="C6" s="1086"/>
      <c r="D6" s="1086"/>
      <c r="E6" s="1086"/>
      <c r="F6" s="1086"/>
      <c r="G6" s="1086"/>
      <c r="H6" s="1086"/>
      <c r="I6" s="1086"/>
      <c r="J6" s="1086"/>
      <c r="K6" s="1086"/>
      <c r="L6" s="2301" t="str">
        <f>IF(Application!H16="","",Application!H16)</f>
        <v>The Grant at Mssion Trails LP</v>
      </c>
      <c r="M6" s="2302"/>
      <c r="N6" s="2302"/>
      <c r="O6" s="2302"/>
      <c r="P6" s="2302"/>
      <c r="Q6" s="2302"/>
      <c r="R6" s="2302"/>
      <c r="S6" s="2302"/>
      <c r="T6" s="2302"/>
      <c r="U6" s="2302"/>
      <c r="V6" s="2302"/>
      <c r="W6" s="2302"/>
      <c r="X6" s="2302"/>
      <c r="Y6" s="2302"/>
      <c r="Z6" s="2302"/>
      <c r="AA6" s="2302"/>
      <c r="AB6" s="2302"/>
      <c r="AC6" s="2303"/>
      <c r="AD6" s="1086"/>
      <c r="AE6" s="1086"/>
      <c r="AF6" s="2304" t="s">
        <v>2486</v>
      </c>
      <c r="AG6" s="2304"/>
      <c r="AH6" s="2304"/>
      <c r="AI6" s="2304"/>
      <c r="AJ6" s="2304"/>
      <c r="AK6" s="2304"/>
      <c r="AL6" s="2304"/>
      <c r="AM6" s="2304"/>
      <c r="AN6" s="2304"/>
      <c r="AO6" s="2304"/>
      <c r="AP6" s="2294">
        <v>0</v>
      </c>
      <c r="AQ6" s="2294"/>
      <c r="AR6" s="2294"/>
      <c r="AS6" s="2294"/>
      <c r="AT6" s="2294"/>
      <c r="AU6" s="2294"/>
      <c r="AV6" s="1086"/>
      <c r="AW6" s="1086"/>
      <c r="AX6" s="1086"/>
      <c r="AY6" s="1086"/>
      <c r="AZ6" s="1086"/>
      <c r="BA6" s="1086"/>
      <c r="BB6" s="1086"/>
      <c r="BC6" s="1086"/>
      <c r="BD6" s="1086"/>
      <c r="BE6" s="1096"/>
    </row>
    <row r="7" spans="1:65" ht="15.95" thickBot="1">
      <c r="A7" s="1092"/>
      <c r="B7" s="1086"/>
      <c r="C7" s="1086"/>
      <c r="D7" s="1086"/>
      <c r="E7" s="1086"/>
      <c r="F7" s="1086"/>
      <c r="G7" s="1086"/>
      <c r="H7" s="1086"/>
      <c r="I7" s="1086"/>
      <c r="J7" s="1086"/>
      <c r="K7" s="1086"/>
      <c r="L7" s="1086"/>
      <c r="M7" s="1086"/>
      <c r="N7" s="1086"/>
      <c r="O7" s="1086"/>
      <c r="P7" s="1086"/>
      <c r="Q7" s="1086"/>
      <c r="R7" s="1086"/>
      <c r="S7" s="1086"/>
      <c r="T7" s="1086"/>
      <c r="U7" s="1086"/>
      <c r="V7" s="1086"/>
      <c r="W7" s="1086"/>
      <c r="X7" s="1086"/>
      <c r="Y7" s="1086"/>
      <c r="Z7" s="1086"/>
      <c r="AA7" s="1086"/>
      <c r="AB7" s="1086"/>
      <c r="AC7" s="1086"/>
      <c r="AD7" s="1086"/>
      <c r="AE7" s="1086"/>
      <c r="AF7" s="2304" t="s">
        <v>2487</v>
      </c>
      <c r="AG7" s="2304"/>
      <c r="AH7" s="2304"/>
      <c r="AI7" s="2304"/>
      <c r="AJ7" s="2304"/>
      <c r="AK7" s="2304"/>
      <c r="AL7" s="2304"/>
      <c r="AM7" s="2304"/>
      <c r="AN7" s="2304"/>
      <c r="AO7" s="2304"/>
      <c r="AP7" s="2294">
        <v>0</v>
      </c>
      <c r="AQ7" s="2294"/>
      <c r="AR7" s="2294"/>
      <c r="AS7" s="2294"/>
      <c r="AT7" s="2294"/>
      <c r="AU7" s="2294"/>
      <c r="AV7" s="1086"/>
      <c r="AW7" s="1086"/>
      <c r="AX7" s="1086"/>
      <c r="AY7" s="1086"/>
      <c r="AZ7" s="1086"/>
      <c r="BA7" s="1086"/>
      <c r="BB7" s="1086"/>
      <c r="BC7" s="1086"/>
      <c r="BD7" s="1086"/>
      <c r="BE7" s="1096"/>
    </row>
    <row r="8" spans="1:65" ht="15.95" thickBot="1">
      <c r="A8" s="1092"/>
      <c r="B8" s="1094" t="s">
        <v>2488</v>
      </c>
      <c r="C8" s="1086"/>
      <c r="D8" s="1086"/>
      <c r="E8" s="1086"/>
      <c r="F8" s="1086"/>
      <c r="G8" s="1086"/>
      <c r="H8" s="1086"/>
      <c r="I8" s="1086"/>
      <c r="J8" s="1086"/>
      <c r="K8" s="1086"/>
      <c r="L8" s="1086"/>
      <c r="M8" s="1086"/>
      <c r="N8" s="1086"/>
      <c r="O8" s="1086"/>
      <c r="P8" s="1086"/>
      <c r="Q8" s="1086"/>
      <c r="R8" s="1086"/>
      <c r="S8" s="1086"/>
      <c r="T8" s="1086"/>
      <c r="U8" s="1086"/>
      <c r="V8" s="1086"/>
      <c r="W8" s="1086"/>
      <c r="X8" s="1086"/>
      <c r="Y8" s="1086"/>
      <c r="Z8" s="1086"/>
      <c r="AA8" s="1086"/>
      <c r="AB8" s="2305" t="str">
        <f>Application!T197</f>
        <v>No</v>
      </c>
      <c r="AC8" s="2306"/>
      <c r="AD8" s="2307"/>
      <c r="AE8" s="1086"/>
      <c r="AF8" s="2304" t="s">
        <v>2489</v>
      </c>
      <c r="AG8" s="2304"/>
      <c r="AH8" s="2304"/>
      <c r="AI8" s="2304"/>
      <c r="AJ8" s="2304"/>
      <c r="AK8" s="2304"/>
      <c r="AL8" s="2304"/>
      <c r="AM8" s="2304"/>
      <c r="AN8" s="2304"/>
      <c r="AO8" s="2304"/>
      <c r="AP8" s="2294" t="s">
        <v>1241</v>
      </c>
      <c r="AQ8" s="2294"/>
      <c r="AR8" s="2294"/>
      <c r="AS8" s="2294"/>
      <c r="AT8" s="2294"/>
      <c r="AU8" s="2294"/>
      <c r="AV8" s="1086"/>
      <c r="AW8" s="1086"/>
      <c r="AX8" s="1086"/>
      <c r="AY8" s="1086"/>
      <c r="AZ8" s="1086"/>
      <c r="BA8" s="1086"/>
      <c r="BB8" s="1086"/>
      <c r="BC8" s="1086"/>
      <c r="BD8" s="1086"/>
      <c r="BE8" s="1096"/>
      <c r="BM8" s="1077" t="s">
        <v>2417</v>
      </c>
    </row>
    <row r="9" spans="1:65" ht="15">
      <c r="A9" s="1086"/>
      <c r="B9" s="1086"/>
      <c r="C9" s="1086"/>
      <c r="D9" s="1086"/>
      <c r="E9" s="1086"/>
      <c r="F9" s="1086"/>
      <c r="G9" s="1086"/>
      <c r="H9" s="1086"/>
      <c r="I9" s="1086"/>
      <c r="J9" s="1086"/>
      <c r="K9" s="1086"/>
      <c r="L9" s="1086"/>
      <c r="M9" s="1086"/>
      <c r="N9" s="1086"/>
      <c r="O9" s="1086"/>
      <c r="P9" s="1086"/>
      <c r="Q9" s="1086"/>
      <c r="R9" s="1086"/>
      <c r="S9" s="1086"/>
      <c r="T9" s="1086"/>
      <c r="U9" s="1086"/>
      <c r="V9" s="1086"/>
      <c r="W9" s="1086"/>
      <c r="X9" s="1086"/>
      <c r="Y9" s="1086"/>
      <c r="Z9" s="1086"/>
      <c r="AA9" s="1086"/>
      <c r="AB9" s="1086"/>
      <c r="AC9" s="1086"/>
      <c r="AD9" s="1086"/>
      <c r="AE9" s="1086"/>
      <c r="AF9" s="1951" t="s">
        <v>2490</v>
      </c>
      <c r="AG9" s="1951"/>
      <c r="AH9" s="1951"/>
      <c r="AI9" s="1951"/>
      <c r="AJ9" s="1951"/>
      <c r="AK9" s="1951"/>
      <c r="AL9" s="1951"/>
      <c r="AM9" s="1951"/>
      <c r="AN9" s="1951"/>
      <c r="AO9" s="1951"/>
      <c r="AP9" s="1952"/>
      <c r="AQ9" s="1953"/>
      <c r="AR9" s="1953"/>
      <c r="AS9" s="1953"/>
      <c r="AT9" s="1953"/>
      <c r="AU9" s="1953"/>
      <c r="AV9" s="1086"/>
      <c r="AW9" s="1086"/>
      <c r="AX9" s="1086"/>
      <c r="AY9" s="1086"/>
      <c r="AZ9" s="1086"/>
      <c r="BA9" s="1086"/>
      <c r="BB9" s="1086"/>
      <c r="BC9" s="1086"/>
      <c r="BD9" s="1086"/>
      <c r="BE9" s="1096"/>
      <c r="BM9" s="1077" t="s">
        <v>2491</v>
      </c>
    </row>
    <row r="10" spans="1:65" ht="15">
      <c r="A10" s="1092"/>
      <c r="B10" s="1094" t="s">
        <v>2492</v>
      </c>
      <c r="C10" s="1094"/>
      <c r="D10" s="1094"/>
      <c r="E10" s="1094"/>
      <c r="F10" s="1094"/>
      <c r="G10" s="1094"/>
      <c r="H10" s="1094"/>
      <c r="I10" s="1094"/>
      <c r="J10" s="1094"/>
      <c r="K10" s="1094"/>
      <c r="L10" s="1094"/>
      <c r="M10" s="1086"/>
      <c r="N10" s="2276">
        <f>Application!AO627</f>
        <v>5292738</v>
      </c>
      <c r="O10" s="2276"/>
      <c r="P10" s="2276"/>
      <c r="Q10" s="2276"/>
      <c r="R10" s="2276"/>
      <c r="S10" s="2276"/>
      <c r="T10" s="2276"/>
      <c r="U10" s="1086"/>
      <c r="V10" s="1086"/>
      <c r="W10" s="1086"/>
      <c r="X10" s="1135"/>
      <c r="Y10" s="1135"/>
      <c r="Z10" s="1135"/>
      <c r="AA10" s="1135"/>
      <c r="AB10" s="1135"/>
      <c r="AC10" s="1135"/>
      <c r="AD10" s="1135"/>
      <c r="AE10" s="1135"/>
      <c r="AF10" s="1951" t="s">
        <v>2493</v>
      </c>
      <c r="AG10" s="1951"/>
      <c r="AH10" s="1951"/>
      <c r="AI10" s="1951"/>
      <c r="AJ10" s="1951"/>
      <c r="AK10" s="1951"/>
      <c r="AL10" s="1951"/>
      <c r="AM10" s="1951"/>
      <c r="AN10" s="1951"/>
      <c r="AO10" s="1951"/>
      <c r="AP10" s="1952"/>
      <c r="AQ10" s="1953"/>
      <c r="AR10" s="1953"/>
      <c r="AS10" s="1953"/>
      <c r="AT10" s="1953"/>
      <c r="AU10" s="1953"/>
      <c r="AV10" s="1135"/>
      <c r="AW10" s="1135"/>
      <c r="AX10" s="1086"/>
      <c r="AY10" s="1086"/>
      <c r="AZ10" s="1086"/>
      <c r="BA10" s="1086"/>
      <c r="BB10" s="1086"/>
      <c r="BC10" s="1086"/>
      <c r="BD10" s="1086"/>
      <c r="BE10" s="1096"/>
      <c r="BM10" s="1077" t="s">
        <v>2494</v>
      </c>
    </row>
    <row r="11" spans="1:65" ht="15">
      <c r="A11" s="1092"/>
      <c r="B11" s="1094" t="s">
        <v>2495</v>
      </c>
      <c r="C11" s="1094"/>
      <c r="D11" s="1094"/>
      <c r="E11" s="1094"/>
      <c r="F11" s="1094"/>
      <c r="G11" s="1094"/>
      <c r="H11" s="1094"/>
      <c r="I11" s="1094"/>
      <c r="J11" s="1094"/>
      <c r="K11" s="1094"/>
      <c r="L11" s="1094"/>
      <c r="M11" s="1086"/>
      <c r="N11" s="2276">
        <f>Application!AA933</f>
        <v>0</v>
      </c>
      <c r="O11" s="2276"/>
      <c r="P11" s="2276"/>
      <c r="Q11" s="2276"/>
      <c r="R11" s="2276"/>
      <c r="S11" s="2276"/>
      <c r="T11" s="2276"/>
      <c r="U11" s="1086"/>
      <c r="V11" s="1086"/>
      <c r="W11" s="1086"/>
      <c r="X11" s="1135"/>
      <c r="Y11" s="1135"/>
      <c r="Z11" s="1135"/>
      <c r="AA11" s="1135"/>
      <c r="AB11" s="1135"/>
      <c r="AC11" s="1135"/>
      <c r="AD11" s="1135"/>
      <c r="AE11" s="1135"/>
      <c r="AF11" s="1951" t="s">
        <v>2496</v>
      </c>
      <c r="AG11" s="1951"/>
      <c r="AH11" s="1951"/>
      <c r="AI11" s="1951"/>
      <c r="AJ11" s="1951"/>
      <c r="AK11" s="1951"/>
      <c r="AL11" s="1951"/>
      <c r="AM11" s="1951"/>
      <c r="AN11" s="1951"/>
      <c r="AO11" s="1951"/>
      <c r="AP11" s="1952"/>
      <c r="AQ11" s="1953"/>
      <c r="AR11" s="1953"/>
      <c r="AS11" s="1953"/>
      <c r="AT11" s="1953"/>
      <c r="AU11" s="1953"/>
      <c r="AV11" s="1135"/>
      <c r="AW11" s="1135"/>
      <c r="AX11" s="1086"/>
      <c r="AY11" s="1086"/>
      <c r="AZ11" s="1086"/>
      <c r="BA11" s="1086"/>
      <c r="BB11" s="1086"/>
      <c r="BC11" s="1086"/>
      <c r="BD11" s="1086"/>
      <c r="BE11" s="1096"/>
      <c r="BM11" s="1077" t="s">
        <v>1241</v>
      </c>
    </row>
    <row r="12" spans="1:65" ht="15.95" thickBot="1">
      <c r="A12" s="1086"/>
      <c r="B12" s="1086"/>
      <c r="C12" s="1086"/>
      <c r="D12" s="1086"/>
      <c r="E12" s="1086"/>
      <c r="F12" s="1086"/>
      <c r="G12" s="1086"/>
      <c r="H12" s="1086"/>
      <c r="I12" s="1086"/>
      <c r="J12" s="1086"/>
      <c r="K12" s="1086"/>
      <c r="L12" s="1086"/>
      <c r="M12" s="1086"/>
      <c r="N12" s="1086"/>
      <c r="O12" s="1086"/>
      <c r="P12" s="1086"/>
      <c r="Q12" s="1086"/>
      <c r="R12" s="1086"/>
      <c r="S12" s="1086"/>
      <c r="T12" s="1086"/>
      <c r="U12" s="1086"/>
      <c r="V12" s="1086"/>
      <c r="W12" s="1086"/>
      <c r="X12" s="1135"/>
      <c r="Y12" s="1135"/>
      <c r="Z12" s="1135"/>
      <c r="AA12" s="1135"/>
      <c r="AB12" s="1135"/>
      <c r="AC12" s="1135"/>
      <c r="AD12" s="1135"/>
      <c r="AE12" s="1135"/>
      <c r="AF12" s="1135"/>
      <c r="AG12" s="1135"/>
      <c r="AH12" s="1135"/>
      <c r="AI12" s="1135"/>
      <c r="AJ12" s="1135"/>
      <c r="AK12" s="1135"/>
      <c r="AL12" s="1135"/>
      <c r="AM12" s="1135"/>
      <c r="AN12" s="1135"/>
      <c r="AO12" s="1135"/>
      <c r="AP12" s="1135"/>
      <c r="AQ12" s="1135"/>
      <c r="AR12" s="1135"/>
      <c r="AS12" s="1135"/>
      <c r="AT12" s="1135"/>
      <c r="AU12" s="1135"/>
      <c r="AV12" s="1086"/>
      <c r="AW12" s="1086"/>
      <c r="AX12" s="1086"/>
      <c r="AY12" s="1086"/>
      <c r="AZ12" s="1086"/>
      <c r="BA12" s="1086"/>
      <c r="BB12" s="1086"/>
      <c r="BC12" s="1086"/>
      <c r="BD12" s="1086"/>
      <c r="BE12" s="1082"/>
      <c r="BM12" s="1077" t="s">
        <v>2497</v>
      </c>
    </row>
    <row r="13" spans="1:65" ht="15.95" thickBot="1">
      <c r="A13" s="1086"/>
      <c r="B13" s="2283" t="s">
        <v>2498</v>
      </c>
      <c r="C13" s="2284"/>
      <c r="D13" s="2284"/>
      <c r="E13" s="2284"/>
      <c r="F13" s="2284"/>
      <c r="G13" s="2284"/>
      <c r="H13" s="2284"/>
      <c r="I13" s="2284"/>
      <c r="J13" s="2284"/>
      <c r="K13" s="2284"/>
      <c r="L13" s="2284"/>
      <c r="M13" s="2284"/>
      <c r="N13" s="2284"/>
      <c r="O13" s="2284"/>
      <c r="P13" s="2285"/>
      <c r="Q13" s="2286" t="s">
        <v>894</v>
      </c>
      <c r="R13" s="2287"/>
      <c r="S13" s="2287"/>
      <c r="T13" s="2288"/>
      <c r="U13" s="1135"/>
      <c r="V13" s="1086"/>
      <c r="W13" s="1086"/>
      <c r="X13" s="1086"/>
      <c r="Y13" s="1086"/>
      <c r="Z13" s="1086"/>
      <c r="AA13" s="2277" t="s">
        <v>2499</v>
      </c>
      <c r="AB13" s="2277"/>
      <c r="AC13" s="2277"/>
      <c r="AD13" s="2277"/>
      <c r="AE13" s="2277"/>
      <c r="AF13" s="2277"/>
      <c r="AG13" s="2277"/>
      <c r="AH13" s="2277"/>
      <c r="AI13" s="2277"/>
      <c r="AJ13" s="2277"/>
      <c r="AK13" s="2277"/>
      <c r="AL13" s="2277"/>
      <c r="AM13" s="2277"/>
      <c r="AN13" s="2277"/>
      <c r="AO13" s="2278">
        <f>Application!W473</f>
        <v>0</v>
      </c>
      <c r="AP13" s="2279"/>
      <c r="AQ13" s="2279"/>
      <c r="AR13" s="2279"/>
      <c r="AS13" s="2279"/>
      <c r="AT13" s="1135"/>
      <c r="AU13" s="1135"/>
      <c r="AV13" s="1135"/>
      <c r="AW13" s="1135"/>
      <c r="AX13" s="1135"/>
      <c r="AY13" s="1135"/>
      <c r="AZ13" s="1135"/>
      <c r="BA13" s="1135"/>
      <c r="BB13" s="1135"/>
      <c r="BC13" s="1135"/>
      <c r="BD13" s="1135"/>
      <c r="BE13" s="1082"/>
      <c r="BM13" s="1077" t="s">
        <v>2500</v>
      </c>
    </row>
    <row r="14" spans="1:65" ht="15.95" thickBot="1">
      <c r="A14" s="1086"/>
      <c r="B14" s="1086"/>
      <c r="C14" s="1086"/>
      <c r="D14" s="1086"/>
      <c r="E14" s="1086"/>
      <c r="F14" s="1086"/>
      <c r="G14" s="1086"/>
      <c r="H14" s="1086"/>
      <c r="I14" s="1086"/>
      <c r="J14" s="1086"/>
      <c r="K14" s="1086"/>
      <c r="L14" s="1086"/>
      <c r="M14" s="1086"/>
      <c r="N14" s="1086"/>
      <c r="O14" s="1086"/>
      <c r="P14" s="1086"/>
      <c r="Q14" s="1086"/>
      <c r="R14" s="1086"/>
      <c r="S14" s="1086"/>
      <c r="T14" s="1086"/>
      <c r="U14" s="1086"/>
      <c r="V14" s="1086"/>
      <c r="W14" s="1086"/>
      <c r="X14" s="1086"/>
      <c r="Y14" s="1086"/>
      <c r="Z14" s="1086"/>
      <c r="AA14" s="2280" t="s">
        <v>2501</v>
      </c>
      <c r="AB14" s="2280"/>
      <c r="AC14" s="2280"/>
      <c r="AD14" s="2280"/>
      <c r="AE14" s="2280"/>
      <c r="AF14" s="2280"/>
      <c r="AG14" s="2280"/>
      <c r="AH14" s="2280"/>
      <c r="AI14" s="2280"/>
      <c r="AJ14" s="2280"/>
      <c r="AK14" s="2280"/>
      <c r="AL14" s="2280"/>
      <c r="AM14" s="2280"/>
      <c r="AN14" s="2280"/>
      <c r="AO14" s="2281">
        <v>45510</v>
      </c>
      <c r="AP14" s="2282"/>
      <c r="AQ14" s="2282"/>
      <c r="AR14" s="2282"/>
      <c r="AS14" s="2282"/>
      <c r="AT14" s="1135"/>
      <c r="AU14" s="1135"/>
      <c r="AV14" s="1135"/>
      <c r="AW14" s="1135"/>
      <c r="AX14" s="1135"/>
      <c r="AY14" s="1135"/>
      <c r="AZ14" s="1135"/>
      <c r="BA14" s="1135"/>
      <c r="BB14" s="1135"/>
      <c r="BC14" s="1135"/>
      <c r="BD14" s="1135"/>
      <c r="BE14" s="1082"/>
    </row>
    <row r="15" spans="1:65" ht="15.95" thickBot="1">
      <c r="A15" s="1086"/>
      <c r="B15" s="2289" t="s">
        <v>2502</v>
      </c>
      <c r="C15" s="2290"/>
      <c r="D15" s="2290"/>
      <c r="E15" s="2290"/>
      <c r="F15" s="2290"/>
      <c r="G15" s="2290"/>
      <c r="H15" s="2290"/>
      <c r="I15" s="2290"/>
      <c r="J15" s="2290"/>
      <c r="K15" s="2290"/>
      <c r="L15" s="2290"/>
      <c r="M15" s="2290"/>
      <c r="N15" s="2290"/>
      <c r="O15" s="2290"/>
      <c r="P15" s="2290"/>
      <c r="Q15" s="2290"/>
      <c r="R15" s="2291"/>
      <c r="S15" s="2292" t="str">
        <f>IF(Application!AB214="","",Application!AB214)</f>
        <v/>
      </c>
      <c r="T15" s="2292"/>
      <c r="U15" s="2292"/>
      <c r="V15" s="2292"/>
      <c r="W15" s="2293"/>
      <c r="X15" s="1135"/>
      <c r="Y15" s="1086"/>
      <c r="Z15" s="1086"/>
      <c r="AA15" s="2277" t="s">
        <v>2503</v>
      </c>
      <c r="AB15" s="2277"/>
      <c r="AC15" s="2277"/>
      <c r="AD15" s="2277"/>
      <c r="AE15" s="2277"/>
      <c r="AF15" s="2277"/>
      <c r="AG15" s="2277"/>
      <c r="AH15" s="2277"/>
      <c r="AI15" s="2277"/>
      <c r="AJ15" s="2277"/>
      <c r="AK15" s="2277"/>
      <c r="AL15" s="2277"/>
      <c r="AM15" s="2277"/>
      <c r="AN15" s="2277"/>
      <c r="AO15" s="2281">
        <v>45531</v>
      </c>
      <c r="AP15" s="2282"/>
      <c r="AQ15" s="2282"/>
      <c r="AR15" s="2282"/>
      <c r="AS15" s="2282"/>
      <c r="AT15" s="1135"/>
      <c r="AU15" s="1135"/>
      <c r="AV15" s="1135"/>
      <c r="AW15" s="1135"/>
      <c r="AX15" s="1135"/>
      <c r="AY15" s="1135"/>
      <c r="AZ15" s="1135"/>
      <c r="BA15" s="1135"/>
      <c r="BB15" s="1135"/>
      <c r="BC15" s="1135"/>
      <c r="BD15" s="1135"/>
      <c r="BE15" s="1082"/>
    </row>
    <row r="16" spans="1:65" ht="15.95" thickBot="1">
      <c r="A16" s="1092"/>
      <c r="B16" s="1086"/>
      <c r="C16" s="1086"/>
      <c r="D16" s="1086"/>
      <c r="E16" s="1086"/>
      <c r="F16" s="1086"/>
      <c r="G16" s="1086"/>
      <c r="H16" s="1086"/>
      <c r="I16" s="1086"/>
      <c r="J16" s="1086"/>
      <c r="K16" s="1086"/>
      <c r="L16" s="1086"/>
      <c r="M16" s="1086"/>
      <c r="N16" s="1086"/>
      <c r="O16" s="1086"/>
      <c r="P16" s="1086"/>
      <c r="Q16" s="1086"/>
      <c r="R16" s="1086"/>
      <c r="S16" s="1086"/>
      <c r="T16" s="1086"/>
      <c r="U16" s="1086"/>
      <c r="V16" s="1086"/>
      <c r="W16" s="1086"/>
      <c r="X16" s="1086"/>
      <c r="Y16" s="1086"/>
      <c r="Z16" s="1086"/>
      <c r="AA16" s="1086"/>
      <c r="AB16" s="1086"/>
      <c r="AC16" s="1086"/>
      <c r="AD16" s="1086"/>
      <c r="AE16" s="1086"/>
      <c r="AF16" s="1086"/>
      <c r="AG16" s="1086"/>
      <c r="AH16" s="1086"/>
      <c r="AI16" s="1086"/>
      <c r="AJ16" s="1086"/>
      <c r="AK16" s="1086"/>
      <c r="AL16" s="1086"/>
      <c r="AM16" s="1086"/>
      <c r="AN16" s="1086"/>
      <c r="AO16" s="1086"/>
      <c r="AP16" s="1086"/>
      <c r="AQ16" s="1086"/>
      <c r="AR16" s="1086"/>
      <c r="AS16" s="1086"/>
      <c r="AT16" s="1086"/>
      <c r="AU16" s="1086"/>
      <c r="AV16" s="1086"/>
      <c r="AW16" s="1086"/>
      <c r="AX16" s="1086"/>
      <c r="AY16" s="1086"/>
      <c r="AZ16" s="1086"/>
      <c r="BA16" s="1086"/>
      <c r="BB16" s="1086"/>
      <c r="BC16" s="1086"/>
      <c r="BD16" s="1086"/>
      <c r="BE16" s="1082"/>
    </row>
    <row r="17" spans="1:58" ht="15">
      <c r="A17" s="1086"/>
      <c r="B17" s="2156" t="s">
        <v>2504</v>
      </c>
      <c r="C17" s="2157"/>
      <c r="D17" s="2157"/>
      <c r="E17" s="2157"/>
      <c r="F17" s="2157"/>
      <c r="G17" s="2157"/>
      <c r="H17" s="2157"/>
      <c r="I17" s="2157"/>
      <c r="J17" s="2157"/>
      <c r="K17" s="2157"/>
      <c r="L17" s="2157"/>
      <c r="M17" s="2157"/>
      <c r="N17" s="2157"/>
      <c r="O17" s="2157"/>
      <c r="P17" s="2157"/>
      <c r="Q17" s="2157"/>
      <c r="R17" s="2157"/>
      <c r="S17" s="2157"/>
      <c r="T17" s="2157"/>
      <c r="U17" s="2157"/>
      <c r="V17" s="2157"/>
      <c r="W17" s="2157"/>
      <c r="X17" s="2157"/>
      <c r="Y17" s="2157"/>
      <c r="Z17" s="2157"/>
      <c r="AA17" s="2157"/>
      <c r="AB17" s="2157"/>
      <c r="AC17" s="2157"/>
      <c r="AD17" s="2157"/>
      <c r="AE17" s="2157"/>
      <c r="AF17" s="2157"/>
      <c r="AG17" s="2157"/>
      <c r="AH17" s="2157"/>
      <c r="AI17" s="2157"/>
      <c r="AJ17" s="2157"/>
      <c r="AK17" s="2157"/>
      <c r="AL17" s="2157"/>
      <c r="AM17" s="2157"/>
      <c r="AN17" s="2157"/>
      <c r="AO17" s="2157"/>
      <c r="AP17" s="2157"/>
      <c r="AQ17" s="2157"/>
      <c r="AR17" s="2157"/>
      <c r="AS17" s="2157"/>
      <c r="AT17" s="2157"/>
      <c r="AU17" s="2157"/>
      <c r="AV17" s="2157"/>
      <c r="AW17" s="2157"/>
      <c r="AX17" s="2157"/>
      <c r="AY17" s="2158"/>
      <c r="AZ17" s="1086"/>
      <c r="BA17" s="1086"/>
      <c r="BB17" s="1086"/>
      <c r="BC17" s="1086"/>
      <c r="BD17" s="1086"/>
      <c r="BE17" s="1082"/>
      <c r="BF17" s="1078"/>
    </row>
    <row r="18" spans="1:58" ht="15.75" customHeight="1">
      <c r="A18" s="1086"/>
      <c r="B18" s="2269" t="s">
        <v>2505</v>
      </c>
      <c r="C18" s="2270"/>
      <c r="D18" s="2270"/>
      <c r="E18" s="2270"/>
      <c r="F18" s="2270"/>
      <c r="G18" s="2270"/>
      <c r="H18" s="2270"/>
      <c r="I18" s="2271"/>
      <c r="J18" s="2272" t="s">
        <v>2435</v>
      </c>
      <c r="K18" s="2273"/>
      <c r="L18" s="2273"/>
      <c r="M18" s="2273"/>
      <c r="N18" s="2273"/>
      <c r="O18" s="2274"/>
      <c r="P18" s="2272" t="s">
        <v>1375</v>
      </c>
      <c r="Q18" s="2273"/>
      <c r="R18" s="2273"/>
      <c r="S18" s="2273"/>
      <c r="T18" s="2273"/>
      <c r="U18" s="2274"/>
      <c r="V18" s="2272" t="s">
        <v>1376</v>
      </c>
      <c r="W18" s="2273"/>
      <c r="X18" s="2273"/>
      <c r="Y18" s="2273"/>
      <c r="Z18" s="2273"/>
      <c r="AA18" s="2274"/>
      <c r="AB18" s="2272" t="s">
        <v>1377</v>
      </c>
      <c r="AC18" s="2273"/>
      <c r="AD18" s="2273"/>
      <c r="AE18" s="2273"/>
      <c r="AF18" s="2273"/>
      <c r="AG18" s="2274"/>
      <c r="AH18" s="2272" t="s">
        <v>1378</v>
      </c>
      <c r="AI18" s="2273"/>
      <c r="AJ18" s="2273"/>
      <c r="AK18" s="2273"/>
      <c r="AL18" s="2273"/>
      <c r="AM18" s="2274"/>
      <c r="AN18" s="2272" t="s">
        <v>1379</v>
      </c>
      <c r="AO18" s="2273"/>
      <c r="AP18" s="2273"/>
      <c r="AQ18" s="2273"/>
      <c r="AR18" s="2273"/>
      <c r="AS18" s="2274"/>
      <c r="AT18" s="2272" t="s">
        <v>2506</v>
      </c>
      <c r="AU18" s="2273"/>
      <c r="AV18" s="2273"/>
      <c r="AW18" s="2273"/>
      <c r="AX18" s="2273"/>
      <c r="AY18" s="2275"/>
      <c r="AZ18" s="1086"/>
      <c r="BA18" s="1086"/>
      <c r="BB18" s="1086"/>
      <c r="BC18" s="1086"/>
      <c r="BD18" s="1086"/>
      <c r="BE18" s="1082"/>
    </row>
    <row r="19" spans="1:58" ht="15">
      <c r="A19" s="1086"/>
      <c r="B19" s="2246">
        <v>0.3</v>
      </c>
      <c r="C19" s="2247"/>
      <c r="D19" s="2247"/>
      <c r="E19" s="2247"/>
      <c r="F19" s="2247"/>
      <c r="G19" s="2247"/>
      <c r="H19" s="2247"/>
      <c r="I19" s="2248"/>
      <c r="J19" s="2249">
        <f t="shared" ref="J19:J28" si="0">SUM(P19:AS19)</f>
        <v>17</v>
      </c>
      <c r="K19" s="2250"/>
      <c r="L19" s="2250"/>
      <c r="M19" s="2250"/>
      <c r="N19" s="2250"/>
      <c r="O19" s="2251"/>
      <c r="P19" s="2249" cm="1">
        <f t="array" ref="P19">SUMPRODUCT((Application!$B$718:$B$752 = 'CalHFA Addendum'!P$18)*(Application!$AC$718:$AC$752 = 'CalHFA Addendum'!$B19),Application!$G$718:$G$752)</f>
        <v>0</v>
      </c>
      <c r="Q19" s="2250"/>
      <c r="R19" s="2250"/>
      <c r="S19" s="2250"/>
      <c r="T19" s="2250"/>
      <c r="U19" s="2251"/>
      <c r="V19" s="2249" cm="1">
        <f t="array" ref="V19">SUMPRODUCT((Application!$B$714:$B$738 = 'CalHFA Addendum'!V$18)*(Application!$AC$714:$AC$738 = 'CalHFA Addendum'!$B19),Application!$G$714:$G$738)</f>
        <v>12</v>
      </c>
      <c r="W19" s="2250"/>
      <c r="X19" s="2250"/>
      <c r="Y19" s="2250"/>
      <c r="Z19" s="2250"/>
      <c r="AA19" s="2251"/>
      <c r="AB19" s="2249" cm="1">
        <f t="array" ref="AB19">SUMPRODUCT((Application!$B$714:$B$738 = 'CalHFA Addendum'!AB$18)*(Application!$AC$714:$AC$738 = 'CalHFA Addendum'!$B19),Application!$G$714:$G$738)</f>
        <v>3</v>
      </c>
      <c r="AC19" s="2250"/>
      <c r="AD19" s="2250"/>
      <c r="AE19" s="2250"/>
      <c r="AF19" s="2250"/>
      <c r="AG19" s="2251"/>
      <c r="AH19" s="2249" cm="1">
        <f t="array" ref="AH19">SUMPRODUCT((Application!$B$714:$B$738 = 'CalHFA Addendum'!AH$18)*(Application!$AC$714:$AC$738 = 'CalHFA Addendum'!$B19),Application!$G$714:$G$738)</f>
        <v>2</v>
      </c>
      <c r="AI19" s="2250"/>
      <c r="AJ19" s="2250"/>
      <c r="AK19" s="2250"/>
      <c r="AL19" s="2250"/>
      <c r="AM19" s="2251"/>
      <c r="AN19" s="2249" cm="1">
        <f t="array" ref="AN19">SUMPRODUCT((Application!$B$714:$B$738 = 'CalHFA Addendum'!AN$18)*(Application!$AC$714:$AC$738 = 'CalHFA Addendum'!$B19),Application!$G$714:$G$738)</f>
        <v>0</v>
      </c>
      <c r="AO19" s="2250"/>
      <c r="AP19" s="2250"/>
      <c r="AQ19" s="2250"/>
      <c r="AR19" s="2250"/>
      <c r="AS19" s="2251"/>
      <c r="AT19" s="2252">
        <f t="shared" ref="AT19:AT29" si="1">J19/$J$29</f>
        <v>0.36170212765957449</v>
      </c>
      <c r="AU19" s="2253"/>
      <c r="AV19" s="2253"/>
      <c r="AW19" s="2253"/>
      <c r="AX19" s="2253"/>
      <c r="AY19" s="2254"/>
      <c r="AZ19" s="1097"/>
      <c r="BA19" s="1086"/>
      <c r="BB19" s="1086"/>
      <c r="BC19" s="1086"/>
      <c r="BD19" s="1086"/>
      <c r="BE19" s="1082"/>
    </row>
    <row r="20" spans="1:58" ht="15" customHeight="1">
      <c r="A20" s="1086"/>
      <c r="B20" s="2246">
        <v>0.4</v>
      </c>
      <c r="C20" s="2247"/>
      <c r="D20" s="2247"/>
      <c r="E20" s="2247"/>
      <c r="F20" s="2247"/>
      <c r="G20" s="2247"/>
      <c r="H20" s="2247"/>
      <c r="I20" s="2248"/>
      <c r="J20" s="2249">
        <f t="shared" si="0"/>
        <v>4</v>
      </c>
      <c r="K20" s="2250"/>
      <c r="L20" s="2250"/>
      <c r="M20" s="2250"/>
      <c r="N20" s="2250"/>
      <c r="O20" s="2251"/>
      <c r="P20" s="2249" cm="1">
        <f t="array" ref="P20">SUMPRODUCT((Application!$B$718:$B$752 = 'CalHFA Addendum'!P$18)*(Application!$AC$718:$AC$752 = 'CalHFA Addendum'!$B20),Application!$G$718:$G$752)</f>
        <v>0</v>
      </c>
      <c r="Q20" s="2250"/>
      <c r="R20" s="2250"/>
      <c r="S20" s="2250"/>
      <c r="T20" s="2250"/>
      <c r="U20" s="2251"/>
      <c r="V20" s="2249" cm="1">
        <f t="array" ref="V20">SUMPRODUCT((Application!$B$714:$B$738 = 'CalHFA Addendum'!V$18)*(Application!$AC$714:$AC$738 = 'CalHFA Addendum'!$B20),Application!$G$714:$G$738)</f>
        <v>0</v>
      </c>
      <c r="W20" s="2250"/>
      <c r="X20" s="2250"/>
      <c r="Y20" s="2250"/>
      <c r="Z20" s="2250"/>
      <c r="AA20" s="2251"/>
      <c r="AB20" s="2249" cm="1">
        <f t="array" ref="AB20">SUMPRODUCT((Application!$B$714:$B$738 = 'CalHFA Addendum'!AB$18)*(Application!$AC$714:$AC$738 = 'CalHFA Addendum'!$B20),Application!$G$714:$G$738)</f>
        <v>4</v>
      </c>
      <c r="AC20" s="2250"/>
      <c r="AD20" s="2250"/>
      <c r="AE20" s="2250"/>
      <c r="AF20" s="2250"/>
      <c r="AG20" s="2251"/>
      <c r="AH20" s="2249" cm="1">
        <f t="array" ref="AH20">SUMPRODUCT((Application!$B$714:$B$738 = 'CalHFA Addendum'!AH$18)*(Application!$AC$714:$AC$738 = 'CalHFA Addendum'!$B20),Application!$G$714:$G$738)</f>
        <v>0</v>
      </c>
      <c r="AI20" s="2250"/>
      <c r="AJ20" s="2250"/>
      <c r="AK20" s="2250"/>
      <c r="AL20" s="2250"/>
      <c r="AM20" s="2251"/>
      <c r="AN20" s="2249" cm="1">
        <f t="array" ref="AN20">SUMPRODUCT((Application!$B$714:$B$738 = 'CalHFA Addendum'!AN$18)*(Application!$AC$714:$AC$738 = 'CalHFA Addendum'!$B20),Application!$G$714:$G$738)</f>
        <v>0</v>
      </c>
      <c r="AO20" s="2250"/>
      <c r="AP20" s="2250"/>
      <c r="AQ20" s="2250"/>
      <c r="AR20" s="2250"/>
      <c r="AS20" s="2251"/>
      <c r="AT20" s="2252">
        <f t="shared" si="1"/>
        <v>8.5106382978723402E-2</v>
      </c>
      <c r="AU20" s="2253"/>
      <c r="AV20" s="2253"/>
      <c r="AW20" s="2253"/>
      <c r="AX20" s="2253"/>
      <c r="AY20" s="2254"/>
      <c r="AZ20" s="1086"/>
      <c r="BA20" s="1086"/>
      <c r="BB20" s="1086"/>
      <c r="BC20" s="1086"/>
      <c r="BD20" s="1086"/>
      <c r="BE20" s="1082"/>
    </row>
    <row r="21" spans="1:58" ht="15">
      <c r="A21" s="1086"/>
      <c r="B21" s="2246">
        <v>0.5</v>
      </c>
      <c r="C21" s="2247"/>
      <c r="D21" s="2247"/>
      <c r="E21" s="2247"/>
      <c r="F21" s="2247"/>
      <c r="G21" s="2247"/>
      <c r="H21" s="2247"/>
      <c r="I21" s="2248"/>
      <c r="J21" s="2249">
        <f t="shared" si="0"/>
        <v>8</v>
      </c>
      <c r="K21" s="2250"/>
      <c r="L21" s="2250"/>
      <c r="M21" s="2250"/>
      <c r="N21" s="2250"/>
      <c r="O21" s="2251"/>
      <c r="P21" s="2249" cm="1">
        <f t="array" ref="P21">SUMPRODUCT((Application!$B$714:$B$738 = 'CalHFA Addendum'!P$18)*(Application!$AC$714:$AC$738 = 'CalHFA Addendum'!$B21),Application!$G$714:$G$738)</f>
        <v>0</v>
      </c>
      <c r="Q21" s="2250"/>
      <c r="R21" s="2250"/>
      <c r="S21" s="2250"/>
      <c r="T21" s="2250"/>
      <c r="U21" s="2251"/>
      <c r="V21" s="2249" cm="1">
        <f t="array" ref="V21">SUMPRODUCT((Application!$B$714:$B$738 = 'CalHFA Addendum'!V$18)*(Application!$AC$714:$AC$738 = 'CalHFA Addendum'!$B21),Application!$G$714:$G$738)</f>
        <v>0</v>
      </c>
      <c r="W21" s="2250"/>
      <c r="X21" s="2250"/>
      <c r="Y21" s="2250"/>
      <c r="Z21" s="2250"/>
      <c r="AA21" s="2251"/>
      <c r="AB21" s="2249" cm="1">
        <f t="array" ref="AB21">SUMPRODUCT((Application!$B$714:$B$738 = 'CalHFA Addendum'!AB$18)*(Application!$AC$714:$AC$738 = 'CalHFA Addendum'!$B21),Application!$G$714:$G$738)</f>
        <v>4</v>
      </c>
      <c r="AC21" s="2250"/>
      <c r="AD21" s="2250"/>
      <c r="AE21" s="2250"/>
      <c r="AF21" s="2250"/>
      <c r="AG21" s="2251"/>
      <c r="AH21" s="2249" cm="1">
        <f t="array" ref="AH21">SUMPRODUCT((Application!$B$714:$B$738 = 'CalHFA Addendum'!AH$18)*(Application!$AC$714:$AC$738 = 'CalHFA Addendum'!$B21),Application!$G$714:$G$738)</f>
        <v>4</v>
      </c>
      <c r="AI21" s="2250"/>
      <c r="AJ21" s="2250"/>
      <c r="AK21" s="2250"/>
      <c r="AL21" s="2250"/>
      <c r="AM21" s="2251"/>
      <c r="AN21" s="2249" cm="1">
        <f t="array" ref="AN21">SUMPRODUCT((Application!$B$714:$B$738 = 'CalHFA Addendum'!AN$18)*(Application!$AC$714:$AC$738 = 'CalHFA Addendum'!$B21),Application!$G$714:$G$738)</f>
        <v>0</v>
      </c>
      <c r="AO21" s="2250"/>
      <c r="AP21" s="2250"/>
      <c r="AQ21" s="2250"/>
      <c r="AR21" s="2250"/>
      <c r="AS21" s="2251"/>
      <c r="AT21" s="2252">
        <f t="shared" si="1"/>
        <v>0.1702127659574468</v>
      </c>
      <c r="AU21" s="2253"/>
      <c r="AV21" s="2253"/>
      <c r="AW21" s="2253"/>
      <c r="AX21" s="2253"/>
      <c r="AY21" s="2254"/>
      <c r="AZ21" s="1086"/>
      <c r="BA21" s="1086"/>
      <c r="BB21" s="1086"/>
      <c r="BC21" s="1086"/>
      <c r="BD21" s="1086"/>
      <c r="BE21" s="1082"/>
    </row>
    <row r="22" spans="1:58" ht="15">
      <c r="A22" s="1086"/>
      <c r="B22" s="2246">
        <v>0.6</v>
      </c>
      <c r="C22" s="2247"/>
      <c r="D22" s="2247"/>
      <c r="E22" s="2247"/>
      <c r="F22" s="2247"/>
      <c r="G22" s="2247"/>
      <c r="H22" s="2247"/>
      <c r="I22" s="2248"/>
      <c r="J22" s="2249">
        <f t="shared" si="0"/>
        <v>18</v>
      </c>
      <c r="K22" s="2250"/>
      <c r="L22" s="2250"/>
      <c r="M22" s="2250"/>
      <c r="N22" s="2250"/>
      <c r="O22" s="2251"/>
      <c r="P22" s="2249" cm="1">
        <f t="array" ref="P22">SUMPRODUCT((Application!$B$714:$B$738 = 'CalHFA Addendum'!P$18)*(Application!$AC$714:$AC$738 = 'CalHFA Addendum'!$B22),Application!$G$714:$G$738)</f>
        <v>0</v>
      </c>
      <c r="Q22" s="2250"/>
      <c r="R22" s="2250"/>
      <c r="S22" s="2250"/>
      <c r="T22" s="2250"/>
      <c r="U22" s="2251"/>
      <c r="V22" s="2249" cm="1">
        <f t="array" ref="V22">SUMPRODUCT((Application!$B$714:$B$738 = 'CalHFA Addendum'!V$18)*(Application!$AC$714:$AC$738 = 'CalHFA Addendum'!$B22),Application!$G$714:$G$738)</f>
        <v>0</v>
      </c>
      <c r="W22" s="2250"/>
      <c r="X22" s="2250"/>
      <c r="Y22" s="2250"/>
      <c r="Z22" s="2250"/>
      <c r="AA22" s="2251"/>
      <c r="AB22" s="2249" cm="1">
        <f t="array" ref="AB22">SUMPRODUCT((Application!$B$714:$B$738 = 'CalHFA Addendum'!AB$18)*(Application!$AC$714:$AC$738 = 'CalHFA Addendum'!$B22),Application!$G$714:$G$738)</f>
        <v>12</v>
      </c>
      <c r="AC22" s="2250"/>
      <c r="AD22" s="2250"/>
      <c r="AE22" s="2250"/>
      <c r="AF22" s="2250"/>
      <c r="AG22" s="2251"/>
      <c r="AH22" s="2249" cm="1">
        <f t="array" ref="AH22">SUMPRODUCT((Application!$B$714:$B$738 = 'CalHFA Addendum'!AH$18)*(Application!$AC$714:$AC$738 = 'CalHFA Addendum'!$B22),Application!$G$714:$G$738)</f>
        <v>6</v>
      </c>
      <c r="AI22" s="2250"/>
      <c r="AJ22" s="2250"/>
      <c r="AK22" s="2250"/>
      <c r="AL22" s="2250"/>
      <c r="AM22" s="2251"/>
      <c r="AN22" s="2249" cm="1">
        <f t="array" ref="AN22">SUMPRODUCT((Application!$B$714:$B$738 = 'CalHFA Addendum'!AN$18)*(Application!$AC$714:$AC$738 = 'CalHFA Addendum'!$B22),Application!$G$714:$G$738)</f>
        <v>0</v>
      </c>
      <c r="AO22" s="2250"/>
      <c r="AP22" s="2250"/>
      <c r="AQ22" s="2250"/>
      <c r="AR22" s="2250"/>
      <c r="AS22" s="2251"/>
      <c r="AT22" s="2252">
        <f t="shared" si="1"/>
        <v>0.38297872340425532</v>
      </c>
      <c r="AU22" s="2253"/>
      <c r="AV22" s="2253"/>
      <c r="AW22" s="2253"/>
      <c r="AX22" s="2253"/>
      <c r="AY22" s="2254"/>
      <c r="AZ22" s="1086"/>
      <c r="BA22" s="1086"/>
      <c r="BB22" s="1086"/>
      <c r="BC22" s="1086"/>
      <c r="BD22" s="1086"/>
      <c r="BE22" s="1082"/>
    </row>
    <row r="23" spans="1:58" ht="15">
      <c r="A23" s="1086"/>
      <c r="B23" s="2246">
        <v>0.7</v>
      </c>
      <c r="C23" s="2247"/>
      <c r="D23" s="2247"/>
      <c r="E23" s="2247"/>
      <c r="F23" s="2247"/>
      <c r="G23" s="2247"/>
      <c r="H23" s="2247"/>
      <c r="I23" s="2248"/>
      <c r="J23" s="2249">
        <f t="shared" si="0"/>
        <v>0</v>
      </c>
      <c r="K23" s="2250"/>
      <c r="L23" s="2250"/>
      <c r="M23" s="2250"/>
      <c r="N23" s="2250"/>
      <c r="O23" s="2251"/>
      <c r="P23" s="2249" cm="1">
        <f t="array" ref="P23">SUMPRODUCT((Application!$B$714:$B$738 = 'CalHFA Addendum'!P$18)*(Application!$AC$714:$AC$738 = 'CalHFA Addendum'!$B23),Application!$G$714:$G$738)</f>
        <v>0</v>
      </c>
      <c r="Q23" s="2250"/>
      <c r="R23" s="2250"/>
      <c r="S23" s="2250"/>
      <c r="T23" s="2250"/>
      <c r="U23" s="2251"/>
      <c r="V23" s="2249" cm="1">
        <f t="array" ref="V23">SUMPRODUCT((Application!$B$714:$B$738 = 'CalHFA Addendum'!V$18)*(Application!$AC$714:$AC$738 = 'CalHFA Addendum'!$B23),Application!$G$714:$G$738)</f>
        <v>0</v>
      </c>
      <c r="W23" s="2250"/>
      <c r="X23" s="2250"/>
      <c r="Y23" s="2250"/>
      <c r="Z23" s="2250"/>
      <c r="AA23" s="2251"/>
      <c r="AB23" s="2249" cm="1">
        <f t="array" ref="AB23">SUMPRODUCT((Application!$B$714:$B$738 = 'CalHFA Addendum'!AB$18)*(Application!$AC$714:$AC$738 = 'CalHFA Addendum'!$B23),Application!$G$714:$G$738)</f>
        <v>0</v>
      </c>
      <c r="AC23" s="2250"/>
      <c r="AD23" s="2250"/>
      <c r="AE23" s="2250"/>
      <c r="AF23" s="2250"/>
      <c r="AG23" s="2251"/>
      <c r="AH23" s="2249" cm="1">
        <f t="array" ref="AH23">SUMPRODUCT((Application!$B$714:$B$738 = 'CalHFA Addendum'!AH$18)*(Application!$AC$714:$AC$738 = 'CalHFA Addendum'!$B23),Application!$G$714:$G$738)</f>
        <v>0</v>
      </c>
      <c r="AI23" s="2250"/>
      <c r="AJ23" s="2250"/>
      <c r="AK23" s="2250"/>
      <c r="AL23" s="2250"/>
      <c r="AM23" s="2251"/>
      <c r="AN23" s="2249" cm="1">
        <f t="array" ref="AN23">SUMPRODUCT((Application!$B$714:$B$738 = 'CalHFA Addendum'!AN$18)*(Application!$AC$714:$AC$738 = 'CalHFA Addendum'!$B23),Application!$G$714:$G$738)</f>
        <v>0</v>
      </c>
      <c r="AO23" s="2250"/>
      <c r="AP23" s="2250"/>
      <c r="AQ23" s="2250"/>
      <c r="AR23" s="2250"/>
      <c r="AS23" s="2251"/>
      <c r="AT23" s="2252">
        <f t="shared" si="1"/>
        <v>0</v>
      </c>
      <c r="AU23" s="2253"/>
      <c r="AV23" s="2253"/>
      <c r="AW23" s="2253"/>
      <c r="AX23" s="2253"/>
      <c r="AY23" s="2254"/>
      <c r="AZ23" s="1086"/>
      <c r="BA23" s="1086"/>
      <c r="BB23" s="1086"/>
      <c r="BC23" s="1086"/>
      <c r="BD23" s="1086"/>
      <c r="BE23" s="1082"/>
    </row>
    <row r="24" spans="1:58" ht="15">
      <c r="A24" s="1086"/>
      <c r="B24" s="2246">
        <v>0.8</v>
      </c>
      <c r="C24" s="2247"/>
      <c r="D24" s="2247"/>
      <c r="E24" s="2247"/>
      <c r="F24" s="2247"/>
      <c r="G24" s="2247"/>
      <c r="H24" s="2247"/>
      <c r="I24" s="2248"/>
      <c r="J24" s="2249">
        <f t="shared" si="0"/>
        <v>0</v>
      </c>
      <c r="K24" s="2250"/>
      <c r="L24" s="2250"/>
      <c r="M24" s="2250"/>
      <c r="N24" s="2250"/>
      <c r="O24" s="2251"/>
      <c r="P24" s="2249" cm="1">
        <f t="array" ref="P24">SUMPRODUCT((Application!$B$714:$B$738 = 'CalHFA Addendum'!P$18)*(Application!$AC$714:$AC$738 = 'CalHFA Addendum'!$B24),Application!$G$714:$G$738)</f>
        <v>0</v>
      </c>
      <c r="Q24" s="2250"/>
      <c r="R24" s="2250"/>
      <c r="S24" s="2250"/>
      <c r="T24" s="2250"/>
      <c r="U24" s="2251"/>
      <c r="V24" s="2249" cm="1">
        <f t="array" ref="V24">SUMPRODUCT((Application!$B$714:$B$738 = 'CalHFA Addendum'!V$18)*(Application!$AC$714:$AC$738 = 'CalHFA Addendum'!$B24),Application!$G$714:$G$738)</f>
        <v>0</v>
      </c>
      <c r="W24" s="2250"/>
      <c r="X24" s="2250"/>
      <c r="Y24" s="2250"/>
      <c r="Z24" s="2250"/>
      <c r="AA24" s="2251"/>
      <c r="AB24" s="2249" cm="1">
        <f t="array" ref="AB24">SUMPRODUCT((Application!$B$714:$B$738 = 'CalHFA Addendum'!AB$18)*(Application!$AC$714:$AC$738 = 'CalHFA Addendum'!$B24),Application!$G$714:$G$738)</f>
        <v>0</v>
      </c>
      <c r="AC24" s="2250"/>
      <c r="AD24" s="2250"/>
      <c r="AE24" s="2250"/>
      <c r="AF24" s="2250"/>
      <c r="AG24" s="2251"/>
      <c r="AH24" s="2249" cm="1">
        <f t="array" ref="AH24">SUMPRODUCT((Application!$B$714:$B$738 = 'CalHFA Addendum'!AH$18)*(Application!$AC$714:$AC$738 = 'CalHFA Addendum'!$B24),Application!$G$714:$G$738)</f>
        <v>0</v>
      </c>
      <c r="AI24" s="2250"/>
      <c r="AJ24" s="2250"/>
      <c r="AK24" s="2250"/>
      <c r="AL24" s="2250"/>
      <c r="AM24" s="2251"/>
      <c r="AN24" s="2249" cm="1">
        <f t="array" ref="AN24">SUMPRODUCT((Application!$B$714:$B$738 = 'CalHFA Addendum'!AN$18)*(Application!$AC$714:$AC$738 = 'CalHFA Addendum'!$B24),Application!$G$714:$G$738)</f>
        <v>0</v>
      </c>
      <c r="AO24" s="2250"/>
      <c r="AP24" s="2250"/>
      <c r="AQ24" s="2250"/>
      <c r="AR24" s="2250"/>
      <c r="AS24" s="2251"/>
      <c r="AT24" s="2252">
        <f t="shared" si="1"/>
        <v>0</v>
      </c>
      <c r="AU24" s="2253"/>
      <c r="AV24" s="2253"/>
      <c r="AW24" s="2253"/>
      <c r="AX24" s="2253"/>
      <c r="AY24" s="2254"/>
      <c r="AZ24" s="1086"/>
      <c r="BA24" s="1086"/>
      <c r="BB24" s="1086"/>
      <c r="BC24" s="1086"/>
      <c r="BD24" s="1086"/>
      <c r="BE24" s="1082"/>
    </row>
    <row r="25" spans="1:58" ht="15">
      <c r="A25" s="1086"/>
      <c r="B25" s="2246">
        <v>0.9</v>
      </c>
      <c r="C25" s="2247"/>
      <c r="D25" s="2247"/>
      <c r="E25" s="2247"/>
      <c r="F25" s="2247"/>
      <c r="G25" s="2247"/>
      <c r="H25" s="2247"/>
      <c r="I25" s="2248"/>
      <c r="J25" s="2249">
        <f t="shared" si="0"/>
        <v>0</v>
      </c>
      <c r="K25" s="2250"/>
      <c r="L25" s="2250"/>
      <c r="M25" s="2250"/>
      <c r="N25" s="2250"/>
      <c r="O25" s="2251"/>
      <c r="P25" s="2249" cm="1">
        <f t="array" ref="P25">SUMPRODUCT((Application!$B$714:$B$738 = 'CalHFA Addendum'!P$18)*(Application!$AC$714:$AC$738 = 'CalHFA Addendum'!$B25),Application!$G$714:$G$738)</f>
        <v>0</v>
      </c>
      <c r="Q25" s="2250"/>
      <c r="R25" s="2250"/>
      <c r="S25" s="2250"/>
      <c r="T25" s="2250"/>
      <c r="U25" s="2251"/>
      <c r="V25" s="2249" cm="1">
        <f t="array" ref="V25">SUMPRODUCT((Application!$B$714:$B$738 = 'CalHFA Addendum'!V$18)*(Application!$AC$714:$AC$738 = 'CalHFA Addendum'!$B25),Application!$G$714:$G$738)</f>
        <v>0</v>
      </c>
      <c r="W25" s="2250"/>
      <c r="X25" s="2250"/>
      <c r="Y25" s="2250"/>
      <c r="Z25" s="2250"/>
      <c r="AA25" s="2251"/>
      <c r="AB25" s="2249" cm="1">
        <f t="array" ref="AB25">SUMPRODUCT((Application!$B$714:$B$738 = 'CalHFA Addendum'!AB$18)*(Application!$AC$714:$AC$738 = 'CalHFA Addendum'!$B25),Application!$G$714:$G$738)</f>
        <v>0</v>
      </c>
      <c r="AC25" s="2250"/>
      <c r="AD25" s="2250"/>
      <c r="AE25" s="2250"/>
      <c r="AF25" s="2250"/>
      <c r="AG25" s="2251"/>
      <c r="AH25" s="2249" cm="1">
        <f t="array" ref="AH25">SUMPRODUCT((Application!$B$714:$B$738 = 'CalHFA Addendum'!AH$18)*(Application!$AC$714:$AC$738 = 'CalHFA Addendum'!$B25),Application!$G$714:$G$738)</f>
        <v>0</v>
      </c>
      <c r="AI25" s="2250"/>
      <c r="AJ25" s="2250"/>
      <c r="AK25" s="2250"/>
      <c r="AL25" s="2250"/>
      <c r="AM25" s="2251"/>
      <c r="AN25" s="2249" cm="1">
        <f t="array" ref="AN25">SUMPRODUCT((Application!$B$714:$B$738 = 'CalHFA Addendum'!AN$18)*(Application!$AC$714:$AC$738 = 'CalHFA Addendum'!$B25),Application!$G$714:$G$738)</f>
        <v>0</v>
      </c>
      <c r="AO25" s="2250"/>
      <c r="AP25" s="2250"/>
      <c r="AQ25" s="2250"/>
      <c r="AR25" s="2250"/>
      <c r="AS25" s="2251"/>
      <c r="AT25" s="2252">
        <f t="shared" si="1"/>
        <v>0</v>
      </c>
      <c r="AU25" s="2253"/>
      <c r="AV25" s="2253"/>
      <c r="AW25" s="2253"/>
      <c r="AX25" s="2253"/>
      <c r="AY25" s="2254"/>
      <c r="AZ25" s="1086"/>
      <c r="BA25" s="1086"/>
      <c r="BB25" s="1086"/>
      <c r="BC25" s="1086"/>
      <c r="BD25" s="1086"/>
      <c r="BE25" s="1082"/>
    </row>
    <row r="26" spans="1:58" ht="15">
      <c r="A26" s="1086"/>
      <c r="B26" s="2246">
        <v>1</v>
      </c>
      <c r="C26" s="2247"/>
      <c r="D26" s="2247"/>
      <c r="E26" s="2247"/>
      <c r="F26" s="2247"/>
      <c r="G26" s="2247"/>
      <c r="H26" s="2247"/>
      <c r="I26" s="2248"/>
      <c r="J26" s="2249">
        <f t="shared" si="0"/>
        <v>0</v>
      </c>
      <c r="K26" s="2250"/>
      <c r="L26" s="2250"/>
      <c r="M26" s="2250"/>
      <c r="N26" s="2250"/>
      <c r="O26" s="2251"/>
      <c r="P26" s="2249" cm="1">
        <f t="array" ref="P26">SUMPRODUCT((Application!$B$714:$B$738 = 'CalHFA Addendum'!P$18)*(Application!$AC$714:$AC$738 = 'CalHFA Addendum'!$B26),Application!$G$714:$G$738)</f>
        <v>0</v>
      </c>
      <c r="Q26" s="2250"/>
      <c r="R26" s="2250"/>
      <c r="S26" s="2250"/>
      <c r="T26" s="2250"/>
      <c r="U26" s="2251"/>
      <c r="V26" s="2249" cm="1">
        <f t="array" ref="V26">SUMPRODUCT((Application!$B$714:$B$738 = 'CalHFA Addendum'!V$18)*(Application!$AC$714:$AC$738 = 'CalHFA Addendum'!$B26),Application!$G$714:$G$738)</f>
        <v>0</v>
      </c>
      <c r="W26" s="2250"/>
      <c r="X26" s="2250"/>
      <c r="Y26" s="2250"/>
      <c r="Z26" s="2250"/>
      <c r="AA26" s="2251"/>
      <c r="AB26" s="2249" cm="1">
        <f t="array" ref="AB26">SUMPRODUCT((Application!$B$714:$B$738 = 'CalHFA Addendum'!AB$18)*(Application!$AC$714:$AC$738 = 'CalHFA Addendum'!$B26),Application!$G$714:$G$738)</f>
        <v>0</v>
      </c>
      <c r="AC26" s="2250"/>
      <c r="AD26" s="2250"/>
      <c r="AE26" s="2250"/>
      <c r="AF26" s="2250"/>
      <c r="AG26" s="2251"/>
      <c r="AH26" s="2249" cm="1">
        <f t="array" ref="AH26">SUMPRODUCT((Application!$B$714:$B$738 = 'CalHFA Addendum'!AH$18)*(Application!$AC$714:$AC$738 = 'CalHFA Addendum'!$B26),Application!$G$714:$G$738)</f>
        <v>0</v>
      </c>
      <c r="AI26" s="2250"/>
      <c r="AJ26" s="2250"/>
      <c r="AK26" s="2250"/>
      <c r="AL26" s="2250"/>
      <c r="AM26" s="2251"/>
      <c r="AN26" s="2249" cm="1">
        <f t="array" ref="AN26">SUMPRODUCT((Application!$B$714:$B$738 = 'CalHFA Addendum'!AN$18)*(Application!$AC$714:$AC$738 = 'CalHFA Addendum'!$B26),Application!$G$714:$G$738)</f>
        <v>0</v>
      </c>
      <c r="AO26" s="2250"/>
      <c r="AP26" s="2250"/>
      <c r="AQ26" s="2250"/>
      <c r="AR26" s="2250"/>
      <c r="AS26" s="2251"/>
      <c r="AT26" s="2252">
        <f t="shared" si="1"/>
        <v>0</v>
      </c>
      <c r="AU26" s="2253"/>
      <c r="AV26" s="2253"/>
      <c r="AW26" s="2253"/>
      <c r="AX26" s="2253"/>
      <c r="AY26" s="2254"/>
      <c r="AZ26" s="1086"/>
      <c r="BA26" s="1086"/>
      <c r="BB26" s="1086"/>
      <c r="BC26" s="1086"/>
      <c r="BD26" s="1086"/>
      <c r="BE26" s="1082"/>
    </row>
    <row r="27" spans="1:58" ht="15">
      <c r="A27" s="1086"/>
      <c r="B27" s="2246">
        <v>1.1000000000000001</v>
      </c>
      <c r="C27" s="2247"/>
      <c r="D27" s="2247"/>
      <c r="E27" s="2247"/>
      <c r="F27" s="2247"/>
      <c r="G27" s="2247"/>
      <c r="H27" s="2247"/>
      <c r="I27" s="2248"/>
      <c r="J27" s="2249">
        <f t="shared" si="0"/>
        <v>0</v>
      </c>
      <c r="K27" s="2250"/>
      <c r="L27" s="2250"/>
      <c r="M27" s="2250"/>
      <c r="N27" s="2250"/>
      <c r="O27" s="2251"/>
      <c r="P27" s="2249" cm="1">
        <f t="array" ref="P27">SUMPRODUCT((Application!$B$714:$B$738 = 'CalHFA Addendum'!P$18)*(Application!$AC$714:$AC$738 = 'CalHFA Addendum'!$B27),Application!$G$714:$G$738)</f>
        <v>0</v>
      </c>
      <c r="Q27" s="2250"/>
      <c r="R27" s="2250"/>
      <c r="S27" s="2250"/>
      <c r="T27" s="2250"/>
      <c r="U27" s="2251"/>
      <c r="V27" s="2249" cm="1">
        <f t="array" ref="V27">SUMPRODUCT((Application!$B$714:$B$738 = 'CalHFA Addendum'!V$18)*(Application!$AC$714:$AC$738 = 'CalHFA Addendum'!$B27),Application!$G$714:$G$738)</f>
        <v>0</v>
      </c>
      <c r="W27" s="2250"/>
      <c r="X27" s="2250"/>
      <c r="Y27" s="2250"/>
      <c r="Z27" s="2250"/>
      <c r="AA27" s="2251"/>
      <c r="AB27" s="2249" cm="1">
        <f t="array" ref="AB27">SUMPRODUCT((Application!$B$714:$B$738 = 'CalHFA Addendum'!AB$18)*(Application!$AC$714:$AC$738 = 'CalHFA Addendum'!$B27),Application!$G$714:$G$738)</f>
        <v>0</v>
      </c>
      <c r="AC27" s="2250"/>
      <c r="AD27" s="2250"/>
      <c r="AE27" s="2250"/>
      <c r="AF27" s="2250"/>
      <c r="AG27" s="2251"/>
      <c r="AH27" s="2249" cm="1">
        <f t="array" ref="AH27">SUMPRODUCT((Application!$B$714:$B$738 = 'CalHFA Addendum'!AH$18)*(Application!$AC$714:$AC$738 = 'CalHFA Addendum'!$B27),Application!$G$714:$G$738)</f>
        <v>0</v>
      </c>
      <c r="AI27" s="2250"/>
      <c r="AJ27" s="2250"/>
      <c r="AK27" s="2250"/>
      <c r="AL27" s="2250"/>
      <c r="AM27" s="2251"/>
      <c r="AN27" s="2249" cm="1">
        <f t="array" ref="AN27">SUMPRODUCT((Application!$B$714:$B$738 = 'CalHFA Addendum'!AN$18)*(Application!$AC$714:$AC$738 = 'CalHFA Addendum'!$B27),Application!$G$714:$G$738)</f>
        <v>0</v>
      </c>
      <c r="AO27" s="2250"/>
      <c r="AP27" s="2250"/>
      <c r="AQ27" s="2250"/>
      <c r="AR27" s="2250"/>
      <c r="AS27" s="2251"/>
      <c r="AT27" s="2252">
        <f t="shared" si="1"/>
        <v>0</v>
      </c>
      <c r="AU27" s="2253"/>
      <c r="AV27" s="2253"/>
      <c r="AW27" s="2253"/>
      <c r="AX27" s="2253"/>
      <c r="AY27" s="2254"/>
      <c r="AZ27" s="1086"/>
      <c r="BA27" s="1086"/>
      <c r="BB27" s="1086"/>
      <c r="BC27" s="1086"/>
      <c r="BD27" s="1086"/>
      <c r="BE27" s="1082"/>
    </row>
    <row r="28" spans="1:58" ht="15.95" thickBot="1">
      <c r="A28" s="1086"/>
      <c r="B28" s="2255" t="s">
        <v>2507</v>
      </c>
      <c r="C28" s="2256"/>
      <c r="D28" s="2256"/>
      <c r="E28" s="2256"/>
      <c r="F28" s="2256"/>
      <c r="G28" s="2256"/>
      <c r="H28" s="2256"/>
      <c r="I28" s="2257"/>
      <c r="J28" s="2258">
        <f t="shared" si="0"/>
        <v>0</v>
      </c>
      <c r="K28" s="2259"/>
      <c r="L28" s="2259"/>
      <c r="M28" s="2259"/>
      <c r="N28" s="2259"/>
      <c r="O28" s="2260"/>
      <c r="P28" s="2258">
        <f>_xlfn.IFNA(VLOOKUP(P$18,Application!$J$758:$S$761,6,FALSE), 0)</f>
        <v>0</v>
      </c>
      <c r="Q28" s="2259"/>
      <c r="R28" s="2259"/>
      <c r="S28" s="2259"/>
      <c r="T28" s="2259"/>
      <c r="U28" s="2260"/>
      <c r="V28" s="2258">
        <f>_xlfn.IFNA(VLOOKUP(V$18,Application!$J$758:$S$761,6,FALSE), 0)</f>
        <v>0</v>
      </c>
      <c r="W28" s="2259"/>
      <c r="X28" s="2259"/>
      <c r="Y28" s="2259"/>
      <c r="Z28" s="2259"/>
      <c r="AA28" s="2260"/>
      <c r="AB28" s="2258">
        <f>_xlfn.IFNA(VLOOKUP(AB$18,Application!$J$758:$S$761,6,FALSE), 0)</f>
        <v>0</v>
      </c>
      <c r="AC28" s="2259"/>
      <c r="AD28" s="2259"/>
      <c r="AE28" s="2259"/>
      <c r="AF28" s="2259"/>
      <c r="AG28" s="2260"/>
      <c r="AH28" s="2258">
        <f>_xlfn.IFNA(VLOOKUP(AH$18,Application!$J$758:$S$761,6,FALSE), 0)</f>
        <v>0</v>
      </c>
      <c r="AI28" s="2259"/>
      <c r="AJ28" s="2259"/>
      <c r="AK28" s="2259"/>
      <c r="AL28" s="2259"/>
      <c r="AM28" s="2260"/>
      <c r="AN28" s="2258">
        <f>_xlfn.IFNA(VLOOKUP(AN$18,Application!$J$758:$S$761,6,FALSE), 0)</f>
        <v>0</v>
      </c>
      <c r="AO28" s="2259"/>
      <c r="AP28" s="2259"/>
      <c r="AQ28" s="2259"/>
      <c r="AR28" s="2259"/>
      <c r="AS28" s="2260"/>
      <c r="AT28" s="2261">
        <f t="shared" si="1"/>
        <v>0</v>
      </c>
      <c r="AU28" s="2262"/>
      <c r="AV28" s="2262"/>
      <c r="AW28" s="2262"/>
      <c r="AX28" s="2262"/>
      <c r="AY28" s="2263"/>
      <c r="AZ28" s="1086"/>
      <c r="BA28" s="1086"/>
      <c r="BB28" s="1086"/>
      <c r="BC28" s="1086"/>
      <c r="BD28" s="1086"/>
      <c r="BE28" s="1082"/>
    </row>
    <row r="29" spans="1:58" ht="15.95" thickBot="1">
      <c r="A29" s="1086"/>
      <c r="B29" s="2235" t="s">
        <v>2435</v>
      </c>
      <c r="C29" s="2213"/>
      <c r="D29" s="2213"/>
      <c r="E29" s="2213"/>
      <c r="F29" s="2213"/>
      <c r="G29" s="2213"/>
      <c r="H29" s="2213"/>
      <c r="I29" s="2214"/>
      <c r="J29" s="2212">
        <f>SUM(J19:O28)</f>
        <v>47</v>
      </c>
      <c r="K29" s="2213"/>
      <c r="L29" s="2213"/>
      <c r="M29" s="2213"/>
      <c r="N29" s="2213"/>
      <c r="O29" s="2214"/>
      <c r="P29" s="2212">
        <f>SUM(P19:U28)</f>
        <v>0</v>
      </c>
      <c r="Q29" s="2213"/>
      <c r="R29" s="2213"/>
      <c r="S29" s="2213"/>
      <c r="T29" s="2213"/>
      <c r="U29" s="2214"/>
      <c r="V29" s="2212">
        <f>SUM(V19:AA28)</f>
        <v>12</v>
      </c>
      <c r="W29" s="2213"/>
      <c r="X29" s="2213"/>
      <c r="Y29" s="2213"/>
      <c r="Z29" s="2213"/>
      <c r="AA29" s="2214"/>
      <c r="AB29" s="2212">
        <f>SUM(AB19:AG28)</f>
        <v>23</v>
      </c>
      <c r="AC29" s="2213"/>
      <c r="AD29" s="2213"/>
      <c r="AE29" s="2213"/>
      <c r="AF29" s="2213"/>
      <c r="AG29" s="2214"/>
      <c r="AH29" s="2212">
        <f>SUM(AH19:AM28)</f>
        <v>12</v>
      </c>
      <c r="AI29" s="2213"/>
      <c r="AJ29" s="2213"/>
      <c r="AK29" s="2213"/>
      <c r="AL29" s="2213"/>
      <c r="AM29" s="2214"/>
      <c r="AN29" s="2212">
        <f>SUM(AN19:AS28)</f>
        <v>0</v>
      </c>
      <c r="AO29" s="2213"/>
      <c r="AP29" s="2213"/>
      <c r="AQ29" s="2213"/>
      <c r="AR29" s="2213"/>
      <c r="AS29" s="2214"/>
      <c r="AT29" s="2228">
        <f t="shared" si="1"/>
        <v>1</v>
      </c>
      <c r="AU29" s="2229"/>
      <c r="AV29" s="2229"/>
      <c r="AW29" s="2229"/>
      <c r="AX29" s="2229"/>
      <c r="AY29" s="2230"/>
      <c r="AZ29" s="1086"/>
      <c r="BA29" s="1086"/>
      <c r="BB29" s="1086"/>
      <c r="BC29" s="1086"/>
      <c r="BD29" s="1086"/>
      <c r="BE29" s="1082"/>
    </row>
    <row r="30" spans="1:58" ht="15.95" thickBot="1">
      <c r="A30" s="1092"/>
      <c r="B30" s="1086"/>
      <c r="C30" s="1086"/>
      <c r="D30" s="1086"/>
      <c r="E30" s="1086"/>
      <c r="F30" s="1086"/>
      <c r="G30" s="1086"/>
      <c r="H30" s="1086"/>
      <c r="I30" s="1086"/>
      <c r="J30" s="1086"/>
      <c r="K30" s="1086"/>
      <c r="L30" s="1086"/>
      <c r="M30" s="1086"/>
      <c r="N30" s="1086"/>
      <c r="O30" s="1086"/>
      <c r="P30" s="1086"/>
      <c r="Q30" s="1086"/>
      <c r="R30" s="1086"/>
      <c r="S30" s="1086"/>
      <c r="T30" s="1086"/>
      <c r="U30" s="1086"/>
      <c r="V30" s="1086"/>
      <c r="W30" s="1086"/>
      <c r="X30" s="1086"/>
      <c r="Y30" s="1086"/>
      <c r="Z30" s="1086"/>
      <c r="AA30" s="1086"/>
      <c r="AB30" s="1086"/>
      <c r="AC30" s="1086"/>
      <c r="AD30" s="1086"/>
      <c r="AE30" s="1086"/>
      <c r="AF30" s="1086"/>
      <c r="AG30" s="1086"/>
      <c r="AH30" s="1086"/>
      <c r="AI30" s="1086"/>
      <c r="AJ30" s="1086"/>
      <c r="AK30" s="1086"/>
      <c r="AL30" s="1086"/>
      <c r="AM30" s="1086"/>
      <c r="AN30" s="1086"/>
      <c r="AO30" s="1086"/>
      <c r="AP30" s="1086"/>
      <c r="AQ30" s="1086"/>
      <c r="AR30" s="1086"/>
      <c r="AS30" s="1086"/>
      <c r="AT30" s="1086"/>
      <c r="AU30" s="1086"/>
      <c r="AV30" s="1086"/>
      <c r="AW30" s="1086"/>
      <c r="AX30" s="1086"/>
      <c r="AY30" s="1086"/>
      <c r="AZ30" s="1086"/>
      <c r="BA30" s="1086"/>
      <c r="BB30" s="1086"/>
      <c r="BC30" s="1086"/>
      <c r="BD30" s="1086"/>
      <c r="BE30" s="1082"/>
    </row>
    <row r="31" spans="1:58" ht="15.95" thickBot="1">
      <c r="A31" s="1086"/>
      <c r="B31" s="2216" t="s">
        <v>2508</v>
      </c>
      <c r="C31" s="2217"/>
      <c r="D31" s="2217"/>
      <c r="E31" s="2217"/>
      <c r="F31" s="2217"/>
      <c r="G31" s="2217"/>
      <c r="H31" s="2217"/>
      <c r="I31" s="2217"/>
      <c r="J31" s="2217"/>
      <c r="K31" s="2217"/>
      <c r="L31" s="2217"/>
      <c r="M31" s="2217"/>
      <c r="N31" s="2217"/>
      <c r="O31" s="2217"/>
      <c r="P31" s="2217"/>
      <c r="Q31" s="2217"/>
      <c r="R31" s="2217"/>
      <c r="S31" s="2217"/>
      <c r="T31" s="2217"/>
      <c r="U31" s="2217"/>
      <c r="V31" s="2217"/>
      <c r="W31" s="2217"/>
      <c r="X31" s="2217"/>
      <c r="Y31" s="2217"/>
      <c r="Z31" s="2217"/>
      <c r="AA31" s="2217"/>
      <c r="AB31" s="2217"/>
      <c r="AC31" s="2217"/>
      <c r="AD31" s="2217"/>
      <c r="AE31" s="2217"/>
      <c r="AF31" s="2217"/>
      <c r="AG31" s="2217"/>
      <c r="AH31" s="2217"/>
      <c r="AI31" s="2217"/>
      <c r="AJ31" s="2217"/>
      <c r="AK31" s="2217"/>
      <c r="AL31" s="2217"/>
      <c r="AM31" s="2217"/>
      <c r="AN31" s="2217"/>
      <c r="AO31" s="2217"/>
      <c r="AP31" s="2217"/>
      <c r="AQ31" s="2217"/>
      <c r="AR31" s="2217"/>
      <c r="AS31" s="2217"/>
      <c r="AT31" s="2217"/>
      <c r="AU31" s="2217"/>
      <c r="AV31" s="2217"/>
      <c r="AW31" s="2217"/>
      <c r="AX31" s="2217"/>
      <c r="AY31" s="2217"/>
      <c r="AZ31" s="2217"/>
      <c r="BA31" s="2217"/>
      <c r="BB31" s="2217"/>
      <c r="BC31" s="2217"/>
      <c r="BD31" s="2218"/>
      <c r="BE31" s="1082"/>
    </row>
    <row r="32" spans="1:58" ht="15.95" thickBot="1">
      <c r="A32" s="1086"/>
      <c r="B32" s="2231" t="s">
        <v>2509</v>
      </c>
      <c r="C32" s="2232"/>
      <c r="D32" s="2232"/>
      <c r="E32" s="2232"/>
      <c r="F32" s="2232"/>
      <c r="G32" s="2232"/>
      <c r="H32" s="2232"/>
      <c r="I32" s="2232"/>
      <c r="J32" s="2264" t="s">
        <v>2510</v>
      </c>
      <c r="K32" s="2265"/>
      <c r="L32" s="2265"/>
      <c r="M32" s="2265"/>
      <c r="N32" s="2264" t="s">
        <v>2511</v>
      </c>
      <c r="O32" s="2265"/>
      <c r="P32" s="2265"/>
      <c r="Q32" s="2267"/>
      <c r="R32" s="2225" t="s">
        <v>2512</v>
      </c>
      <c r="S32" s="2226"/>
      <c r="T32" s="2226"/>
      <c r="U32" s="2226"/>
      <c r="V32" s="2226"/>
      <c r="W32" s="2226"/>
      <c r="X32" s="2226"/>
      <c r="Y32" s="2226"/>
      <c r="Z32" s="2226"/>
      <c r="AA32" s="2226"/>
      <c r="AB32" s="2226"/>
      <c r="AC32" s="2226"/>
      <c r="AD32" s="2226"/>
      <c r="AE32" s="2226"/>
      <c r="AF32" s="2226"/>
      <c r="AG32" s="2226"/>
      <c r="AH32" s="2226"/>
      <c r="AI32" s="2226"/>
      <c r="AJ32" s="2226"/>
      <c r="AK32" s="2226"/>
      <c r="AL32" s="2226"/>
      <c r="AM32" s="2226"/>
      <c r="AN32" s="2226"/>
      <c r="AO32" s="2226"/>
      <c r="AP32" s="2226"/>
      <c r="AQ32" s="2226"/>
      <c r="AR32" s="2226"/>
      <c r="AS32" s="2226"/>
      <c r="AT32" s="2226"/>
      <c r="AU32" s="2226"/>
      <c r="AV32" s="2226"/>
      <c r="AW32" s="2226"/>
      <c r="AX32" s="2226"/>
      <c r="AY32" s="2226"/>
      <c r="AZ32" s="2226"/>
      <c r="BA32" s="2226"/>
      <c r="BB32" s="2226"/>
      <c r="BC32" s="2226"/>
      <c r="BD32" s="2227"/>
      <c r="BE32" s="1082"/>
    </row>
    <row r="33" spans="1:58" ht="15" customHeight="1">
      <c r="A33" s="1086"/>
      <c r="B33" s="2233"/>
      <c r="C33" s="2234"/>
      <c r="D33" s="2234"/>
      <c r="E33" s="2234"/>
      <c r="F33" s="2234"/>
      <c r="G33" s="2234"/>
      <c r="H33" s="2234"/>
      <c r="I33" s="2234"/>
      <c r="J33" s="2266"/>
      <c r="K33" s="2266"/>
      <c r="L33" s="2266"/>
      <c r="M33" s="2266"/>
      <c r="N33" s="2266"/>
      <c r="O33" s="2266"/>
      <c r="P33" s="2266"/>
      <c r="Q33" s="2268"/>
      <c r="R33" s="2219" t="s">
        <v>2513</v>
      </c>
      <c r="S33" s="2220"/>
      <c r="T33" s="2220"/>
      <c r="U33" s="2220"/>
      <c r="V33" s="2220"/>
      <c r="W33" s="2220"/>
      <c r="X33" s="2220"/>
      <c r="Y33" s="2220"/>
      <c r="Z33" s="2220"/>
      <c r="AA33" s="2220"/>
      <c r="AB33" s="2220"/>
      <c r="AC33" s="2220"/>
      <c r="AD33" s="2220"/>
      <c r="AE33" s="2220"/>
      <c r="AF33" s="2220"/>
      <c r="AG33" s="2220"/>
      <c r="AH33" s="2220"/>
      <c r="AI33" s="2220"/>
      <c r="AJ33" s="2220"/>
      <c r="AK33" s="2220"/>
      <c r="AL33" s="2220"/>
      <c r="AM33" s="2220"/>
      <c r="AN33" s="2220"/>
      <c r="AO33" s="2220"/>
      <c r="AP33" s="2220"/>
      <c r="AQ33" s="2220"/>
      <c r="AR33" s="2220"/>
      <c r="AS33" s="2220"/>
      <c r="AT33" s="2220"/>
      <c r="AU33" s="2220"/>
      <c r="AV33" s="2220"/>
      <c r="AW33" s="2220"/>
      <c r="AX33" s="2220"/>
      <c r="AY33" s="2220"/>
      <c r="AZ33" s="2220"/>
      <c r="BA33" s="2220"/>
      <c r="BB33" s="2220"/>
      <c r="BC33" s="2220"/>
      <c r="BD33" s="2221"/>
      <c r="BE33" s="1082"/>
    </row>
    <row r="34" spans="1:58" ht="15.75" customHeight="1" thickBot="1">
      <c r="A34" s="1086"/>
      <c r="B34" s="2233"/>
      <c r="C34" s="2234"/>
      <c r="D34" s="2234"/>
      <c r="E34" s="2234"/>
      <c r="F34" s="2234"/>
      <c r="G34" s="2234"/>
      <c r="H34" s="2234"/>
      <c r="I34" s="2234"/>
      <c r="J34" s="2266"/>
      <c r="K34" s="2266"/>
      <c r="L34" s="2266"/>
      <c r="M34" s="2266"/>
      <c r="N34" s="2266"/>
      <c r="O34" s="2266"/>
      <c r="P34" s="2266"/>
      <c r="Q34" s="2268"/>
      <c r="R34" s="2222"/>
      <c r="S34" s="2223"/>
      <c r="T34" s="2223"/>
      <c r="U34" s="2223"/>
      <c r="V34" s="2223"/>
      <c r="W34" s="2223"/>
      <c r="X34" s="2223"/>
      <c r="Y34" s="2223"/>
      <c r="Z34" s="2223"/>
      <c r="AA34" s="2223"/>
      <c r="AB34" s="2223"/>
      <c r="AC34" s="2223"/>
      <c r="AD34" s="2223"/>
      <c r="AE34" s="2223"/>
      <c r="AF34" s="2223"/>
      <c r="AG34" s="2223"/>
      <c r="AH34" s="2223"/>
      <c r="AI34" s="2223"/>
      <c r="AJ34" s="2223"/>
      <c r="AK34" s="2223"/>
      <c r="AL34" s="2223"/>
      <c r="AM34" s="2223"/>
      <c r="AN34" s="2223"/>
      <c r="AO34" s="2223"/>
      <c r="AP34" s="2223"/>
      <c r="AQ34" s="2223"/>
      <c r="AR34" s="2223"/>
      <c r="AS34" s="2223"/>
      <c r="AT34" s="2223"/>
      <c r="AU34" s="2223"/>
      <c r="AV34" s="2223"/>
      <c r="AW34" s="2223"/>
      <c r="AX34" s="2223"/>
      <c r="AY34" s="2223"/>
      <c r="AZ34" s="2223"/>
      <c r="BA34" s="2223"/>
      <c r="BB34" s="2223"/>
      <c r="BC34" s="2223"/>
      <c r="BD34" s="2224"/>
      <c r="BE34" s="1082"/>
    </row>
    <row r="35" spans="1:58" ht="15.75" customHeight="1">
      <c r="A35" s="1086"/>
      <c r="B35" s="2233"/>
      <c r="C35" s="2234"/>
      <c r="D35" s="2234"/>
      <c r="E35" s="2234"/>
      <c r="F35" s="2234"/>
      <c r="G35" s="2234"/>
      <c r="H35" s="2234"/>
      <c r="I35" s="2234"/>
      <c r="J35" s="2266"/>
      <c r="K35" s="2266"/>
      <c r="L35" s="2266"/>
      <c r="M35" s="2266"/>
      <c r="N35" s="2266"/>
      <c r="O35" s="2266"/>
      <c r="P35" s="2266"/>
      <c r="Q35" s="2266"/>
      <c r="R35" s="2215">
        <v>0.3</v>
      </c>
      <c r="S35" s="2215"/>
      <c r="T35" s="2215"/>
      <c r="U35" s="2215"/>
      <c r="V35" s="2215">
        <v>0.4</v>
      </c>
      <c r="W35" s="2215"/>
      <c r="X35" s="2215"/>
      <c r="Y35" s="2215"/>
      <c r="Z35" s="2215">
        <v>0.5</v>
      </c>
      <c r="AA35" s="2215"/>
      <c r="AB35" s="2215"/>
      <c r="AC35" s="2215"/>
      <c r="AD35" s="2215">
        <v>0.6</v>
      </c>
      <c r="AE35" s="2215"/>
      <c r="AF35" s="2215"/>
      <c r="AG35" s="2215"/>
      <c r="AH35" s="2215">
        <v>0.7</v>
      </c>
      <c r="AI35" s="2215"/>
      <c r="AJ35" s="2215"/>
      <c r="AK35" s="2215"/>
      <c r="AL35" s="2236">
        <v>0.8</v>
      </c>
      <c r="AM35" s="2237"/>
      <c r="AN35" s="2237"/>
      <c r="AO35" s="2238"/>
      <c r="AP35" s="2239">
        <v>1.2</v>
      </c>
      <c r="AQ35" s="2240"/>
      <c r="AR35" s="2241"/>
      <c r="AS35" s="2242" t="s">
        <v>2514</v>
      </c>
      <c r="AT35" s="2243"/>
      <c r="AU35" s="2243"/>
      <c r="AV35" s="2243"/>
      <c r="AW35" s="2243"/>
      <c r="AX35" s="2244"/>
      <c r="AY35" s="2242" t="s">
        <v>2515</v>
      </c>
      <c r="AZ35" s="2243"/>
      <c r="BA35" s="2243"/>
      <c r="BB35" s="2243"/>
      <c r="BC35" s="2243"/>
      <c r="BD35" s="2245"/>
      <c r="BE35" s="1082"/>
    </row>
    <row r="36" spans="1:58" ht="15.75" customHeight="1">
      <c r="A36" s="1086"/>
      <c r="B36" s="1976" t="s">
        <v>2516</v>
      </c>
      <c r="C36" s="1977"/>
      <c r="D36" s="1977"/>
      <c r="E36" s="1977"/>
      <c r="F36" s="1977"/>
      <c r="G36" s="1977"/>
      <c r="H36" s="1977"/>
      <c r="I36" s="1977"/>
      <c r="J36" s="2205" t="s">
        <v>2517</v>
      </c>
      <c r="K36" s="2205"/>
      <c r="L36" s="2205"/>
      <c r="M36" s="2205"/>
      <c r="N36" s="2205">
        <v>55</v>
      </c>
      <c r="O36" s="2205"/>
      <c r="P36" s="2205"/>
      <c r="Q36" s="2205"/>
      <c r="R36" s="1954">
        <v>0</v>
      </c>
      <c r="S36" s="1954"/>
      <c r="T36" s="1954"/>
      <c r="U36" s="1954"/>
      <c r="V36" s="1954">
        <v>0</v>
      </c>
      <c r="W36" s="1954"/>
      <c r="X36" s="1954"/>
      <c r="Y36" s="1954"/>
      <c r="Z36" s="1954">
        <v>10</v>
      </c>
      <c r="AA36" s="1954"/>
      <c r="AB36" s="1954"/>
      <c r="AC36" s="1954"/>
      <c r="AD36" s="1954">
        <v>10</v>
      </c>
      <c r="AE36" s="1954"/>
      <c r="AF36" s="1954"/>
      <c r="AG36" s="1954"/>
      <c r="AH36" s="1954">
        <v>30</v>
      </c>
      <c r="AI36" s="1954"/>
      <c r="AJ36" s="1954"/>
      <c r="AK36" s="1954"/>
      <c r="AL36" s="1955">
        <v>0</v>
      </c>
      <c r="AM36" s="1956"/>
      <c r="AN36" s="1956"/>
      <c r="AO36" s="1957"/>
      <c r="AP36" s="1955">
        <v>0</v>
      </c>
      <c r="AQ36" s="1956"/>
      <c r="AR36" s="1957"/>
      <c r="AS36" s="1958">
        <f t="shared" ref="AS36:AS47" si="2">SUM(R36:AR36)</f>
        <v>50</v>
      </c>
      <c r="AT36" s="1959"/>
      <c r="AU36" s="1959"/>
      <c r="AV36" s="1959"/>
      <c r="AW36" s="1959"/>
      <c r="AX36" s="1960"/>
      <c r="AY36" s="2209">
        <f t="shared" ref="AY36:AY47" si="3">AS36/$J$29</f>
        <v>1.0638297872340425</v>
      </c>
      <c r="AZ36" s="2210"/>
      <c r="BA36" s="2210"/>
      <c r="BB36" s="2210"/>
      <c r="BC36" s="2210"/>
      <c r="BD36" s="2211"/>
      <c r="BE36" s="1082"/>
    </row>
    <row r="37" spans="1:58" ht="15.75" customHeight="1">
      <c r="A37" s="1086"/>
      <c r="B37" s="1976" t="s">
        <v>2518</v>
      </c>
      <c r="C37" s="1977"/>
      <c r="D37" s="1977"/>
      <c r="E37" s="1977"/>
      <c r="F37" s="1977"/>
      <c r="G37" s="1977"/>
      <c r="H37" s="1977"/>
      <c r="I37" s="1977"/>
      <c r="J37" s="2205" t="s">
        <v>2519</v>
      </c>
      <c r="K37" s="2205"/>
      <c r="L37" s="2205"/>
      <c r="M37" s="2205"/>
      <c r="N37" s="2205">
        <v>55</v>
      </c>
      <c r="O37" s="2205"/>
      <c r="P37" s="2205"/>
      <c r="Q37" s="2205"/>
      <c r="R37" s="1954">
        <v>10</v>
      </c>
      <c r="S37" s="1954"/>
      <c r="T37" s="1954"/>
      <c r="U37" s="1954"/>
      <c r="V37" s="1954"/>
      <c r="W37" s="1954"/>
      <c r="X37" s="1954"/>
      <c r="Y37" s="1954"/>
      <c r="Z37" s="1954"/>
      <c r="AA37" s="1954"/>
      <c r="AB37" s="1954"/>
      <c r="AC37" s="1954"/>
      <c r="AD37" s="1954"/>
      <c r="AE37" s="1954"/>
      <c r="AF37" s="1954"/>
      <c r="AG37" s="1954"/>
      <c r="AH37" s="1954"/>
      <c r="AI37" s="1954"/>
      <c r="AJ37" s="1954"/>
      <c r="AK37" s="1954"/>
      <c r="AL37" s="1955"/>
      <c r="AM37" s="1956"/>
      <c r="AN37" s="1956"/>
      <c r="AO37" s="1957"/>
      <c r="AP37" s="1955"/>
      <c r="AQ37" s="1956"/>
      <c r="AR37" s="1957"/>
      <c r="AS37" s="1958">
        <f t="shared" si="2"/>
        <v>10</v>
      </c>
      <c r="AT37" s="1959"/>
      <c r="AU37" s="1959"/>
      <c r="AV37" s="1959"/>
      <c r="AW37" s="1959"/>
      <c r="AX37" s="1960"/>
      <c r="AY37" s="2209">
        <f t="shared" si="3"/>
        <v>0.21276595744680851</v>
      </c>
      <c r="AZ37" s="2210"/>
      <c r="BA37" s="2210"/>
      <c r="BB37" s="2210"/>
      <c r="BC37" s="2210"/>
      <c r="BD37" s="2211"/>
      <c r="BE37" s="1082"/>
    </row>
    <row r="38" spans="1:58" ht="15.75" customHeight="1">
      <c r="A38" s="1086"/>
      <c r="B38" s="1976" t="s">
        <v>2520</v>
      </c>
      <c r="C38" s="1977"/>
      <c r="D38" s="1977"/>
      <c r="E38" s="1977"/>
      <c r="F38" s="1977"/>
      <c r="G38" s="1977"/>
      <c r="H38" s="1977"/>
      <c r="I38" s="1977"/>
      <c r="J38" s="2205" t="s">
        <v>2521</v>
      </c>
      <c r="K38" s="2205"/>
      <c r="L38" s="2205"/>
      <c r="M38" s="2205"/>
      <c r="N38" s="2205">
        <v>55</v>
      </c>
      <c r="O38" s="2205"/>
      <c r="P38" s="2205"/>
      <c r="Q38" s="2205"/>
      <c r="R38" s="1954"/>
      <c r="S38" s="1954"/>
      <c r="T38" s="1954"/>
      <c r="U38" s="1954"/>
      <c r="V38" s="1954"/>
      <c r="W38" s="1954"/>
      <c r="X38" s="1954"/>
      <c r="Y38" s="1954"/>
      <c r="Z38" s="1954"/>
      <c r="AA38" s="1954"/>
      <c r="AB38" s="1954"/>
      <c r="AC38" s="1954"/>
      <c r="AD38" s="1954"/>
      <c r="AE38" s="1954"/>
      <c r="AF38" s="1954"/>
      <c r="AG38" s="1954"/>
      <c r="AH38" s="1954"/>
      <c r="AI38" s="1954"/>
      <c r="AJ38" s="1954"/>
      <c r="AK38" s="1954"/>
      <c r="AL38" s="1955"/>
      <c r="AM38" s="1956"/>
      <c r="AN38" s="1956"/>
      <c r="AO38" s="1957"/>
      <c r="AP38" s="1955"/>
      <c r="AQ38" s="1956"/>
      <c r="AR38" s="1957"/>
      <c r="AS38" s="1958">
        <f t="shared" si="2"/>
        <v>0</v>
      </c>
      <c r="AT38" s="1959"/>
      <c r="AU38" s="1959"/>
      <c r="AV38" s="1959"/>
      <c r="AW38" s="1959"/>
      <c r="AX38" s="1960"/>
      <c r="AY38" s="2209">
        <f t="shared" si="3"/>
        <v>0</v>
      </c>
      <c r="AZ38" s="2210"/>
      <c r="BA38" s="2210"/>
      <c r="BB38" s="2210"/>
      <c r="BC38" s="2210"/>
      <c r="BD38" s="2211"/>
      <c r="BE38" s="1082"/>
    </row>
    <row r="39" spans="1:58" ht="15.75" customHeight="1">
      <c r="A39" s="1086"/>
      <c r="B39" s="1976" t="s">
        <v>2522</v>
      </c>
      <c r="C39" s="1977"/>
      <c r="D39" s="1977"/>
      <c r="E39" s="1977"/>
      <c r="F39" s="1977"/>
      <c r="G39" s="1977"/>
      <c r="H39" s="1977"/>
      <c r="I39" s="1977"/>
      <c r="J39" s="2205"/>
      <c r="K39" s="2205"/>
      <c r="L39" s="2205"/>
      <c r="M39" s="2205"/>
      <c r="N39" s="2205"/>
      <c r="O39" s="2205"/>
      <c r="P39" s="2205"/>
      <c r="Q39" s="2205"/>
      <c r="R39" s="1954"/>
      <c r="S39" s="1954"/>
      <c r="T39" s="1954"/>
      <c r="U39" s="1954"/>
      <c r="V39" s="1954"/>
      <c r="W39" s="1954"/>
      <c r="X39" s="1954"/>
      <c r="Y39" s="1954"/>
      <c r="Z39" s="1954"/>
      <c r="AA39" s="1954"/>
      <c r="AB39" s="1954"/>
      <c r="AC39" s="1954"/>
      <c r="AD39" s="1954"/>
      <c r="AE39" s="1954"/>
      <c r="AF39" s="1954"/>
      <c r="AG39" s="1954"/>
      <c r="AH39" s="1954"/>
      <c r="AI39" s="1954"/>
      <c r="AJ39" s="1954"/>
      <c r="AK39" s="1954"/>
      <c r="AL39" s="1955"/>
      <c r="AM39" s="1956"/>
      <c r="AN39" s="1956"/>
      <c r="AO39" s="1957"/>
      <c r="AP39" s="1955"/>
      <c r="AQ39" s="1956"/>
      <c r="AR39" s="1957"/>
      <c r="AS39" s="1958">
        <f t="shared" si="2"/>
        <v>0</v>
      </c>
      <c r="AT39" s="1959"/>
      <c r="AU39" s="1959"/>
      <c r="AV39" s="1959"/>
      <c r="AW39" s="1959"/>
      <c r="AX39" s="1960"/>
      <c r="AY39" s="2209">
        <f t="shared" si="3"/>
        <v>0</v>
      </c>
      <c r="AZ39" s="2210"/>
      <c r="BA39" s="2210"/>
      <c r="BB39" s="2210"/>
      <c r="BC39" s="2210"/>
      <c r="BD39" s="2211"/>
      <c r="BE39" s="1082"/>
    </row>
    <row r="40" spans="1:58" ht="15.75" customHeight="1">
      <c r="A40" s="1086"/>
      <c r="B40" s="1976" t="s">
        <v>2522</v>
      </c>
      <c r="C40" s="1977"/>
      <c r="D40" s="1977"/>
      <c r="E40" s="1977"/>
      <c r="F40" s="1977"/>
      <c r="G40" s="1977"/>
      <c r="H40" s="1977"/>
      <c r="I40" s="1977"/>
      <c r="J40" s="2205"/>
      <c r="K40" s="2205"/>
      <c r="L40" s="2205"/>
      <c r="M40" s="2205"/>
      <c r="N40" s="2205"/>
      <c r="O40" s="2205"/>
      <c r="P40" s="2205"/>
      <c r="Q40" s="2205"/>
      <c r="R40" s="1954"/>
      <c r="S40" s="1954"/>
      <c r="T40" s="1954"/>
      <c r="U40" s="1954"/>
      <c r="V40" s="1954"/>
      <c r="W40" s="1954"/>
      <c r="X40" s="1954"/>
      <c r="Y40" s="1954"/>
      <c r="Z40" s="1954"/>
      <c r="AA40" s="1954"/>
      <c r="AB40" s="1954"/>
      <c r="AC40" s="1954"/>
      <c r="AD40" s="1954"/>
      <c r="AE40" s="1954"/>
      <c r="AF40" s="1954"/>
      <c r="AG40" s="1954"/>
      <c r="AH40" s="1954"/>
      <c r="AI40" s="1954"/>
      <c r="AJ40" s="1954"/>
      <c r="AK40" s="1954"/>
      <c r="AL40" s="1955"/>
      <c r="AM40" s="1956"/>
      <c r="AN40" s="1956"/>
      <c r="AO40" s="1957"/>
      <c r="AP40" s="1955"/>
      <c r="AQ40" s="1956"/>
      <c r="AR40" s="1957"/>
      <c r="AS40" s="1958">
        <f t="shared" si="2"/>
        <v>0</v>
      </c>
      <c r="AT40" s="1959"/>
      <c r="AU40" s="1959"/>
      <c r="AV40" s="1959"/>
      <c r="AW40" s="1959"/>
      <c r="AX40" s="1960"/>
      <c r="AY40" s="2209">
        <f t="shared" si="3"/>
        <v>0</v>
      </c>
      <c r="AZ40" s="2210"/>
      <c r="BA40" s="2210"/>
      <c r="BB40" s="2210"/>
      <c r="BC40" s="2210"/>
      <c r="BD40" s="2211"/>
      <c r="BE40" s="1082"/>
    </row>
    <row r="41" spans="1:58" ht="15.75" customHeight="1">
      <c r="A41" s="1086"/>
      <c r="B41" s="1976" t="s">
        <v>2523</v>
      </c>
      <c r="C41" s="1977"/>
      <c r="D41" s="1977"/>
      <c r="E41" s="1977"/>
      <c r="F41" s="1977"/>
      <c r="G41" s="1977"/>
      <c r="H41" s="1977"/>
      <c r="I41" s="1977"/>
      <c r="J41" s="2205"/>
      <c r="K41" s="2205"/>
      <c r="L41" s="2205"/>
      <c r="M41" s="2205"/>
      <c r="N41" s="2205"/>
      <c r="O41" s="2205"/>
      <c r="P41" s="2205"/>
      <c r="Q41" s="2205"/>
      <c r="R41" s="1954"/>
      <c r="S41" s="1954"/>
      <c r="T41" s="1954"/>
      <c r="U41" s="1954"/>
      <c r="V41" s="1954"/>
      <c r="W41" s="1954"/>
      <c r="X41" s="1954"/>
      <c r="Y41" s="1954"/>
      <c r="Z41" s="1954"/>
      <c r="AA41" s="1954"/>
      <c r="AB41" s="1954"/>
      <c r="AC41" s="1954"/>
      <c r="AD41" s="1954"/>
      <c r="AE41" s="1954"/>
      <c r="AF41" s="1954"/>
      <c r="AG41" s="1954"/>
      <c r="AH41" s="1954"/>
      <c r="AI41" s="1954"/>
      <c r="AJ41" s="1954"/>
      <c r="AK41" s="1954"/>
      <c r="AL41" s="1955"/>
      <c r="AM41" s="1956"/>
      <c r="AN41" s="1956"/>
      <c r="AO41" s="1957"/>
      <c r="AP41" s="1955"/>
      <c r="AQ41" s="1956"/>
      <c r="AR41" s="1957"/>
      <c r="AS41" s="1958">
        <f t="shared" si="2"/>
        <v>0</v>
      </c>
      <c r="AT41" s="1959"/>
      <c r="AU41" s="1959"/>
      <c r="AV41" s="1959"/>
      <c r="AW41" s="1959"/>
      <c r="AX41" s="1960"/>
      <c r="AY41" s="2209">
        <f t="shared" si="3"/>
        <v>0</v>
      </c>
      <c r="AZ41" s="2210"/>
      <c r="BA41" s="2210"/>
      <c r="BB41" s="2210"/>
      <c r="BC41" s="2210"/>
      <c r="BD41" s="2211"/>
      <c r="BE41" s="1082"/>
    </row>
    <row r="42" spans="1:58" ht="15.75" customHeight="1">
      <c r="A42" s="1086"/>
      <c r="B42" s="1976" t="s">
        <v>2523</v>
      </c>
      <c r="C42" s="1977"/>
      <c r="D42" s="1977"/>
      <c r="E42" s="1977"/>
      <c r="F42" s="1977"/>
      <c r="G42" s="1977"/>
      <c r="H42" s="1977"/>
      <c r="I42" s="1977"/>
      <c r="J42" s="2205"/>
      <c r="K42" s="2205"/>
      <c r="L42" s="2205"/>
      <c r="M42" s="2205"/>
      <c r="N42" s="2205"/>
      <c r="O42" s="2205"/>
      <c r="P42" s="2205"/>
      <c r="Q42" s="2205"/>
      <c r="R42" s="1954"/>
      <c r="S42" s="1954"/>
      <c r="T42" s="1954"/>
      <c r="U42" s="1954"/>
      <c r="V42" s="1954"/>
      <c r="W42" s="1954"/>
      <c r="X42" s="1954"/>
      <c r="Y42" s="1954"/>
      <c r="Z42" s="1954"/>
      <c r="AA42" s="1954"/>
      <c r="AB42" s="1954"/>
      <c r="AC42" s="1954"/>
      <c r="AD42" s="1954"/>
      <c r="AE42" s="1954"/>
      <c r="AF42" s="1954"/>
      <c r="AG42" s="1954"/>
      <c r="AH42" s="1954"/>
      <c r="AI42" s="1954"/>
      <c r="AJ42" s="1954"/>
      <c r="AK42" s="1954"/>
      <c r="AL42" s="1955"/>
      <c r="AM42" s="1956"/>
      <c r="AN42" s="1956"/>
      <c r="AO42" s="1957"/>
      <c r="AP42" s="1955"/>
      <c r="AQ42" s="1956"/>
      <c r="AR42" s="1957"/>
      <c r="AS42" s="1958">
        <f t="shared" si="2"/>
        <v>0</v>
      </c>
      <c r="AT42" s="1959"/>
      <c r="AU42" s="1959"/>
      <c r="AV42" s="1959"/>
      <c r="AW42" s="1959"/>
      <c r="AX42" s="1960"/>
      <c r="AY42" s="2209">
        <f t="shared" si="3"/>
        <v>0</v>
      </c>
      <c r="AZ42" s="2210"/>
      <c r="BA42" s="2210"/>
      <c r="BB42" s="2210"/>
      <c r="BC42" s="2210"/>
      <c r="BD42" s="2211"/>
      <c r="BE42" s="1082"/>
    </row>
    <row r="43" spans="1:58" ht="15.75" customHeight="1">
      <c r="A43" s="1086"/>
      <c r="B43" s="1947" t="s">
        <v>2524</v>
      </c>
      <c r="C43" s="1948"/>
      <c r="D43" s="1948"/>
      <c r="E43" s="1948"/>
      <c r="F43" s="1948"/>
      <c r="G43" s="1948"/>
      <c r="H43" s="1948"/>
      <c r="I43" s="1948"/>
      <c r="J43" s="2205"/>
      <c r="K43" s="2205"/>
      <c r="L43" s="2205"/>
      <c r="M43" s="2205"/>
      <c r="N43" s="2205"/>
      <c r="O43" s="2205"/>
      <c r="P43" s="2205"/>
      <c r="Q43" s="2205"/>
      <c r="R43" s="1954"/>
      <c r="S43" s="1954"/>
      <c r="T43" s="1954"/>
      <c r="U43" s="1954"/>
      <c r="V43" s="1954"/>
      <c r="W43" s="1954"/>
      <c r="X43" s="1954"/>
      <c r="Y43" s="1954"/>
      <c r="Z43" s="1954"/>
      <c r="AA43" s="1954"/>
      <c r="AB43" s="1954"/>
      <c r="AC43" s="1954"/>
      <c r="AD43" s="1954"/>
      <c r="AE43" s="1954"/>
      <c r="AF43" s="1954"/>
      <c r="AG43" s="1954"/>
      <c r="AH43" s="1954"/>
      <c r="AI43" s="1954"/>
      <c r="AJ43" s="1954"/>
      <c r="AK43" s="1954"/>
      <c r="AL43" s="1955"/>
      <c r="AM43" s="1956"/>
      <c r="AN43" s="1956"/>
      <c r="AO43" s="1957"/>
      <c r="AP43" s="1955"/>
      <c r="AQ43" s="1956"/>
      <c r="AR43" s="1957"/>
      <c r="AS43" s="1958">
        <f t="shared" si="2"/>
        <v>0</v>
      </c>
      <c r="AT43" s="1959"/>
      <c r="AU43" s="1959"/>
      <c r="AV43" s="1959"/>
      <c r="AW43" s="1959"/>
      <c r="AX43" s="1960"/>
      <c r="AY43" s="2209">
        <f t="shared" si="3"/>
        <v>0</v>
      </c>
      <c r="AZ43" s="2210"/>
      <c r="BA43" s="2210"/>
      <c r="BB43" s="2210"/>
      <c r="BC43" s="2210"/>
      <c r="BD43" s="2211"/>
      <c r="BE43" s="1082"/>
    </row>
    <row r="44" spans="1:58" ht="15.75" customHeight="1">
      <c r="A44" s="1086"/>
      <c r="B44" s="1947" t="s">
        <v>2525</v>
      </c>
      <c r="C44" s="1948"/>
      <c r="D44" s="1948"/>
      <c r="E44" s="1948"/>
      <c r="F44" s="1948"/>
      <c r="G44" s="1948"/>
      <c r="H44" s="1948"/>
      <c r="I44" s="1948"/>
      <c r="J44" s="2205"/>
      <c r="K44" s="2205"/>
      <c r="L44" s="2205"/>
      <c r="M44" s="2205"/>
      <c r="N44" s="2205"/>
      <c r="O44" s="2205"/>
      <c r="P44" s="2205"/>
      <c r="Q44" s="2205"/>
      <c r="R44" s="1954"/>
      <c r="S44" s="1954"/>
      <c r="T44" s="1954"/>
      <c r="U44" s="1954"/>
      <c r="V44" s="1954"/>
      <c r="W44" s="1954"/>
      <c r="X44" s="1954"/>
      <c r="Y44" s="1954"/>
      <c r="Z44" s="1954"/>
      <c r="AA44" s="1954"/>
      <c r="AB44" s="1954"/>
      <c r="AC44" s="1954"/>
      <c r="AD44" s="1954"/>
      <c r="AE44" s="1954"/>
      <c r="AF44" s="1954"/>
      <c r="AG44" s="1954"/>
      <c r="AH44" s="1954"/>
      <c r="AI44" s="1954"/>
      <c r="AJ44" s="1954"/>
      <c r="AK44" s="1954"/>
      <c r="AL44" s="1955"/>
      <c r="AM44" s="1956"/>
      <c r="AN44" s="1956"/>
      <c r="AO44" s="1957"/>
      <c r="AP44" s="1955"/>
      <c r="AQ44" s="1956"/>
      <c r="AR44" s="1957"/>
      <c r="AS44" s="1958">
        <f t="shared" si="2"/>
        <v>0</v>
      </c>
      <c r="AT44" s="1959"/>
      <c r="AU44" s="1959"/>
      <c r="AV44" s="1959"/>
      <c r="AW44" s="1959"/>
      <c r="AX44" s="1960"/>
      <c r="AY44" s="2209">
        <f t="shared" si="3"/>
        <v>0</v>
      </c>
      <c r="AZ44" s="2210"/>
      <c r="BA44" s="2210"/>
      <c r="BB44" s="2210"/>
      <c r="BC44" s="2210"/>
      <c r="BD44" s="2211"/>
      <c r="BE44" s="1082"/>
    </row>
    <row r="45" spans="1:58" ht="15.75" customHeight="1">
      <c r="A45" s="1086"/>
      <c r="B45" s="1947" t="s">
        <v>2526</v>
      </c>
      <c r="C45" s="1948"/>
      <c r="D45" s="1948"/>
      <c r="E45" s="1948"/>
      <c r="F45" s="1948"/>
      <c r="G45" s="1948"/>
      <c r="H45" s="1948"/>
      <c r="I45" s="1948"/>
      <c r="J45" s="2205"/>
      <c r="K45" s="2205"/>
      <c r="L45" s="2205"/>
      <c r="M45" s="2205"/>
      <c r="N45" s="2205"/>
      <c r="O45" s="2205"/>
      <c r="P45" s="2205"/>
      <c r="Q45" s="2205"/>
      <c r="R45" s="1954"/>
      <c r="S45" s="1954"/>
      <c r="T45" s="1954"/>
      <c r="U45" s="1954"/>
      <c r="V45" s="1954"/>
      <c r="W45" s="1954"/>
      <c r="X45" s="1954"/>
      <c r="Y45" s="1954"/>
      <c r="Z45" s="1954"/>
      <c r="AA45" s="1954"/>
      <c r="AB45" s="1954"/>
      <c r="AC45" s="1954"/>
      <c r="AD45" s="1954"/>
      <c r="AE45" s="1954"/>
      <c r="AF45" s="1954"/>
      <c r="AG45" s="1954"/>
      <c r="AH45" s="1954"/>
      <c r="AI45" s="1954"/>
      <c r="AJ45" s="1954"/>
      <c r="AK45" s="1954"/>
      <c r="AL45" s="1955"/>
      <c r="AM45" s="1956"/>
      <c r="AN45" s="1956"/>
      <c r="AO45" s="1957"/>
      <c r="AP45" s="1955"/>
      <c r="AQ45" s="1956"/>
      <c r="AR45" s="1957"/>
      <c r="AS45" s="1958">
        <f t="shared" si="2"/>
        <v>0</v>
      </c>
      <c r="AT45" s="1959"/>
      <c r="AU45" s="1959"/>
      <c r="AV45" s="1959"/>
      <c r="AW45" s="1959"/>
      <c r="AX45" s="1960"/>
      <c r="AY45" s="2209">
        <f t="shared" si="3"/>
        <v>0</v>
      </c>
      <c r="AZ45" s="2210"/>
      <c r="BA45" s="2210"/>
      <c r="BB45" s="2210"/>
      <c r="BC45" s="2210"/>
      <c r="BD45" s="2211"/>
      <c r="BE45" s="1082"/>
    </row>
    <row r="46" spans="1:58" ht="15.75" customHeight="1">
      <c r="A46" s="1086"/>
      <c r="B46" s="1947" t="s">
        <v>2527</v>
      </c>
      <c r="C46" s="1948"/>
      <c r="D46" s="1948"/>
      <c r="E46" s="1948"/>
      <c r="F46" s="1948"/>
      <c r="G46" s="1948"/>
      <c r="H46" s="1948"/>
      <c r="I46" s="1948"/>
      <c r="J46" s="2205"/>
      <c r="K46" s="2205"/>
      <c r="L46" s="2205"/>
      <c r="M46" s="2205"/>
      <c r="N46" s="2205">
        <v>99</v>
      </c>
      <c r="O46" s="2205"/>
      <c r="P46" s="2205"/>
      <c r="Q46" s="2205"/>
      <c r="R46" s="1954"/>
      <c r="S46" s="1954"/>
      <c r="T46" s="1954"/>
      <c r="U46" s="1954"/>
      <c r="V46" s="1954"/>
      <c r="W46" s="1954"/>
      <c r="X46" s="1954"/>
      <c r="Y46" s="1954"/>
      <c r="Z46" s="1954"/>
      <c r="AA46" s="1954"/>
      <c r="AB46" s="1954"/>
      <c r="AC46" s="1954"/>
      <c r="AD46" s="1954"/>
      <c r="AE46" s="1954"/>
      <c r="AF46" s="1954"/>
      <c r="AG46" s="1954"/>
      <c r="AH46" s="1954"/>
      <c r="AI46" s="1954"/>
      <c r="AJ46" s="1954"/>
      <c r="AK46" s="1954"/>
      <c r="AL46" s="1955"/>
      <c r="AM46" s="1956"/>
      <c r="AN46" s="1956"/>
      <c r="AO46" s="1957"/>
      <c r="AP46" s="1955"/>
      <c r="AQ46" s="1956"/>
      <c r="AR46" s="1957"/>
      <c r="AS46" s="1958">
        <f t="shared" si="2"/>
        <v>0</v>
      </c>
      <c r="AT46" s="1959"/>
      <c r="AU46" s="1959"/>
      <c r="AV46" s="1959"/>
      <c r="AW46" s="1959"/>
      <c r="AX46" s="1960"/>
      <c r="AY46" s="2209">
        <f t="shared" si="3"/>
        <v>0</v>
      </c>
      <c r="AZ46" s="2210"/>
      <c r="BA46" s="2210"/>
      <c r="BB46" s="2210"/>
      <c r="BC46" s="2210"/>
      <c r="BD46" s="2211"/>
      <c r="BE46" s="1082"/>
    </row>
    <row r="47" spans="1:58" ht="15.75" customHeight="1" thickBot="1">
      <c r="A47" s="1086"/>
      <c r="B47" s="2202" t="s">
        <v>1100</v>
      </c>
      <c r="C47" s="2203"/>
      <c r="D47" s="2203"/>
      <c r="E47" s="2203"/>
      <c r="F47" s="2203"/>
      <c r="G47" s="2203"/>
      <c r="H47" s="2203"/>
      <c r="I47" s="2203"/>
      <c r="J47" s="2204"/>
      <c r="K47" s="2204"/>
      <c r="L47" s="2204"/>
      <c r="M47" s="2204"/>
      <c r="N47" s="2204"/>
      <c r="O47" s="2204"/>
      <c r="P47" s="2204"/>
      <c r="Q47" s="2204"/>
      <c r="R47" s="2198"/>
      <c r="S47" s="2198"/>
      <c r="T47" s="2198"/>
      <c r="U47" s="2198"/>
      <c r="V47" s="2198"/>
      <c r="W47" s="2198"/>
      <c r="X47" s="2198"/>
      <c r="Y47" s="2198"/>
      <c r="Z47" s="2198"/>
      <c r="AA47" s="2198"/>
      <c r="AB47" s="2198"/>
      <c r="AC47" s="2198"/>
      <c r="AD47" s="2198"/>
      <c r="AE47" s="2198"/>
      <c r="AF47" s="2198"/>
      <c r="AG47" s="2198"/>
      <c r="AH47" s="2198"/>
      <c r="AI47" s="2198"/>
      <c r="AJ47" s="2198"/>
      <c r="AK47" s="2198"/>
      <c r="AL47" s="2199"/>
      <c r="AM47" s="2200"/>
      <c r="AN47" s="2200"/>
      <c r="AO47" s="2201"/>
      <c r="AP47" s="2199"/>
      <c r="AQ47" s="2200"/>
      <c r="AR47" s="2201"/>
      <c r="AS47" s="1958">
        <f t="shared" si="2"/>
        <v>0</v>
      </c>
      <c r="AT47" s="1959"/>
      <c r="AU47" s="1959"/>
      <c r="AV47" s="1959"/>
      <c r="AW47" s="1959"/>
      <c r="AX47" s="1960"/>
      <c r="AY47" s="2206">
        <f t="shared" si="3"/>
        <v>0</v>
      </c>
      <c r="AZ47" s="2207"/>
      <c r="BA47" s="2207"/>
      <c r="BB47" s="2207"/>
      <c r="BC47" s="2207"/>
      <c r="BD47" s="2208"/>
      <c r="BE47" s="1082"/>
    </row>
    <row r="48" spans="1:58" ht="15.75" customHeight="1">
      <c r="A48" s="1086"/>
      <c r="B48" s="1134" t="s">
        <v>2528</v>
      </c>
      <c r="C48" s="1086"/>
      <c r="D48" s="1086"/>
      <c r="E48" s="1086"/>
      <c r="F48" s="1086"/>
      <c r="G48" s="1086"/>
      <c r="H48" s="1086"/>
      <c r="I48" s="1086"/>
      <c r="J48" s="1086"/>
      <c r="K48" s="1086"/>
      <c r="L48" s="1086"/>
      <c r="M48" s="1086"/>
      <c r="N48" s="1086"/>
      <c r="O48" s="1086"/>
      <c r="P48" s="1086"/>
      <c r="Q48" s="1086"/>
      <c r="R48" s="1086"/>
      <c r="S48" s="1086"/>
      <c r="T48" s="1086"/>
      <c r="U48" s="1086"/>
      <c r="V48" s="1086"/>
      <c r="W48" s="1086"/>
      <c r="X48" s="1086"/>
      <c r="Y48" s="1086"/>
      <c r="Z48" s="1086"/>
      <c r="AA48" s="1086"/>
      <c r="AB48" s="1086"/>
      <c r="AC48" s="1086"/>
      <c r="AD48" s="1086"/>
      <c r="AE48" s="1086"/>
      <c r="AF48" s="1086"/>
      <c r="AG48" s="1086"/>
      <c r="AH48" s="1086"/>
      <c r="AI48" s="1086"/>
      <c r="AJ48" s="1086"/>
      <c r="AK48" s="1086"/>
      <c r="AL48" s="1086"/>
      <c r="AM48" s="1086"/>
      <c r="AN48" s="1086"/>
      <c r="AO48" s="1086"/>
      <c r="AP48" s="1086"/>
      <c r="AQ48" s="1086"/>
      <c r="AR48" s="1086"/>
      <c r="AS48" s="1086"/>
      <c r="AT48" s="1086"/>
      <c r="AU48" s="1086"/>
      <c r="AV48" s="1086"/>
      <c r="AW48" s="1086"/>
      <c r="AX48" s="1086"/>
      <c r="AY48" s="1086"/>
      <c r="AZ48" s="1086"/>
      <c r="BA48" s="1086"/>
      <c r="BB48" s="1086"/>
      <c r="BC48" s="1086"/>
      <c r="BD48" s="1086"/>
      <c r="BE48" s="1082"/>
      <c r="BF48" s="1078"/>
    </row>
    <row r="49" spans="1:58" ht="15.75" customHeight="1" thickBot="1">
      <c r="A49" s="1086"/>
      <c r="B49" s="1134" t="s">
        <v>2529</v>
      </c>
      <c r="C49" s="1086"/>
      <c r="D49" s="1086"/>
      <c r="E49" s="1086"/>
      <c r="F49" s="1086"/>
      <c r="G49" s="1086"/>
      <c r="H49" s="1086"/>
      <c r="I49" s="1086"/>
      <c r="J49" s="1086"/>
      <c r="K49" s="1086"/>
      <c r="L49" s="1086"/>
      <c r="M49" s="1086"/>
      <c r="N49" s="1086"/>
      <c r="O49" s="1086"/>
      <c r="P49" s="1086"/>
      <c r="Q49" s="1086"/>
      <c r="R49" s="1086"/>
      <c r="S49" s="1086"/>
      <c r="T49" s="1086"/>
      <c r="U49" s="1086"/>
      <c r="V49" s="1086"/>
      <c r="W49" s="1086"/>
      <c r="X49" s="1086"/>
      <c r="Y49" s="1086"/>
      <c r="Z49" s="1086"/>
      <c r="AA49" s="1086"/>
      <c r="AB49" s="1086"/>
      <c r="AC49" s="1086"/>
      <c r="AD49" s="1086"/>
      <c r="AE49" s="1086"/>
      <c r="AF49" s="1086"/>
      <c r="AG49" s="1086"/>
      <c r="AH49" s="1086"/>
      <c r="AI49" s="1086"/>
      <c r="AJ49" s="1086"/>
      <c r="AK49" s="1086"/>
      <c r="AL49" s="1086"/>
      <c r="AM49" s="1086"/>
      <c r="AN49" s="1086"/>
      <c r="AO49" s="1086"/>
      <c r="AP49" s="1094"/>
      <c r="AQ49" s="1094"/>
      <c r="AR49" s="1094"/>
      <c r="AS49" s="1094"/>
      <c r="AT49" s="1094"/>
      <c r="AU49" s="1094"/>
      <c r="AV49" s="1094"/>
      <c r="AW49" s="1094"/>
      <c r="AX49" s="1086"/>
      <c r="AY49" s="1086"/>
      <c r="AZ49" s="1086"/>
      <c r="BA49" s="1086"/>
      <c r="BB49" s="1086"/>
      <c r="BC49" s="1086"/>
      <c r="BD49" s="1086"/>
      <c r="BE49" s="1082"/>
      <c r="BF49" s="1078"/>
    </row>
    <row r="50" spans="1:58" ht="15.75" customHeight="1">
      <c r="A50" s="1086"/>
      <c r="B50" s="2144" t="s">
        <v>2530</v>
      </c>
      <c r="C50" s="1945"/>
      <c r="D50" s="1945"/>
      <c r="E50" s="1945"/>
      <c r="F50" s="1945"/>
      <c r="G50" s="1945"/>
      <c r="H50" s="1945"/>
      <c r="I50" s="1945"/>
      <c r="J50" s="1945"/>
      <c r="K50" s="1945"/>
      <c r="L50" s="1945"/>
      <c r="M50" s="1945"/>
      <c r="N50" s="1945"/>
      <c r="O50" s="1945"/>
      <c r="P50" s="1945"/>
      <c r="Q50" s="1945"/>
      <c r="R50" s="1945"/>
      <c r="S50" s="1945"/>
      <c r="T50" s="1945"/>
      <c r="U50" s="1945"/>
      <c r="V50" s="1945"/>
      <c r="W50" s="1945"/>
      <c r="X50" s="1945"/>
      <c r="Y50" s="1945"/>
      <c r="Z50" s="1945"/>
      <c r="AA50" s="1945"/>
      <c r="AB50" s="1945"/>
      <c r="AC50" s="1945"/>
      <c r="AD50" s="1945"/>
      <c r="AE50" s="1945"/>
      <c r="AF50" s="1945"/>
      <c r="AG50" s="1945"/>
      <c r="AH50" s="1945"/>
      <c r="AI50" s="1945"/>
      <c r="AJ50" s="1945"/>
      <c r="AK50" s="1945"/>
      <c r="AL50" s="1945"/>
      <c r="AM50" s="1945"/>
      <c r="AN50" s="1945"/>
      <c r="AO50" s="1946"/>
      <c r="AP50" s="1094"/>
      <c r="AQ50" s="1094"/>
      <c r="AR50" s="1094"/>
      <c r="AS50" s="1094"/>
      <c r="AT50" s="1094"/>
      <c r="AU50" s="1094"/>
      <c r="AV50" s="1094"/>
      <c r="AW50" s="1094"/>
      <c r="AX50" s="1086"/>
      <c r="AY50" s="1086"/>
      <c r="AZ50" s="1086"/>
      <c r="BA50" s="1086"/>
      <c r="BB50" s="1086"/>
      <c r="BC50" s="1086"/>
      <c r="BD50" s="1086"/>
      <c r="BE50" s="1082"/>
    </row>
    <row r="51" spans="1:58" ht="33.75" customHeight="1">
      <c r="A51" s="1086"/>
      <c r="B51" s="1907" t="s">
        <v>2531</v>
      </c>
      <c r="C51" s="1908"/>
      <c r="D51" s="1908"/>
      <c r="E51" s="1908"/>
      <c r="F51" s="1908"/>
      <c r="G51" s="1908"/>
      <c r="H51" s="1908"/>
      <c r="I51" s="1908"/>
      <c r="J51" s="1908" t="s">
        <v>2532</v>
      </c>
      <c r="K51" s="1908"/>
      <c r="L51" s="1908"/>
      <c r="M51" s="1908"/>
      <c r="N51" s="1908"/>
      <c r="O51" s="1908"/>
      <c r="P51" s="1908"/>
      <c r="Q51" s="1908"/>
      <c r="R51" s="2196" t="s">
        <v>2533</v>
      </c>
      <c r="S51" s="2196"/>
      <c r="T51" s="2196"/>
      <c r="U51" s="2196"/>
      <c r="V51" s="2196"/>
      <c r="W51" s="2196"/>
      <c r="X51" s="2196"/>
      <c r="Y51" s="2196"/>
      <c r="Z51" s="2196" t="s">
        <v>2534</v>
      </c>
      <c r="AA51" s="2196"/>
      <c r="AB51" s="2196"/>
      <c r="AC51" s="2196"/>
      <c r="AD51" s="2196"/>
      <c r="AE51" s="2196"/>
      <c r="AF51" s="2196"/>
      <c r="AG51" s="2196"/>
      <c r="AH51" s="2196" t="s">
        <v>2535</v>
      </c>
      <c r="AI51" s="2196"/>
      <c r="AJ51" s="2196"/>
      <c r="AK51" s="2196"/>
      <c r="AL51" s="2196"/>
      <c r="AM51" s="2196"/>
      <c r="AN51" s="2196"/>
      <c r="AO51" s="2197"/>
      <c r="AP51" s="1094"/>
      <c r="AQ51" s="1094"/>
      <c r="AR51" s="1094"/>
      <c r="AS51" s="1094"/>
      <c r="AT51" s="1094"/>
      <c r="AU51" s="1094"/>
      <c r="AV51" s="1094"/>
      <c r="AW51" s="1094"/>
      <c r="AX51" s="1097"/>
      <c r="AY51" s="1086"/>
      <c r="AZ51" s="1086"/>
      <c r="BA51" s="1086"/>
      <c r="BB51" s="1086"/>
      <c r="BC51" s="1086"/>
      <c r="BD51" s="1086"/>
      <c r="BE51" s="1082"/>
    </row>
    <row r="52" spans="1:58" ht="15.75" customHeight="1">
      <c r="A52" s="1086"/>
      <c r="B52" s="1947" t="s">
        <v>2536</v>
      </c>
      <c r="C52" s="1948"/>
      <c r="D52" s="1948"/>
      <c r="E52" s="1948"/>
      <c r="F52" s="1948"/>
      <c r="G52" s="1948"/>
      <c r="H52" s="1948"/>
      <c r="I52" s="1948"/>
      <c r="J52" s="2078" t="s">
        <v>2537</v>
      </c>
      <c r="K52" s="2078"/>
      <c r="L52" s="2078"/>
      <c r="M52" s="2078"/>
      <c r="N52" s="2078"/>
      <c r="O52" s="2078"/>
      <c r="P52" s="2078"/>
      <c r="Q52" s="2078"/>
      <c r="R52" s="2184">
        <v>9686</v>
      </c>
      <c r="S52" s="2184"/>
      <c r="T52" s="2184"/>
      <c r="U52" s="2184"/>
      <c r="V52" s="2184"/>
      <c r="W52" s="2184"/>
      <c r="X52" s="2184"/>
      <c r="Y52" s="2184"/>
      <c r="Z52" s="2185">
        <v>11</v>
      </c>
      <c r="AA52" s="2185"/>
      <c r="AB52" s="2185"/>
      <c r="AC52" s="2185"/>
      <c r="AD52" s="2185"/>
      <c r="AE52" s="2185"/>
      <c r="AF52" s="2185"/>
      <c r="AG52" s="2185"/>
      <c r="AH52" s="2186"/>
      <c r="AI52" s="2186"/>
      <c r="AJ52" s="2186"/>
      <c r="AK52" s="2186"/>
      <c r="AL52" s="2186"/>
      <c r="AM52" s="2186"/>
      <c r="AN52" s="2186"/>
      <c r="AO52" s="2187"/>
      <c r="AP52" s="1094"/>
      <c r="AQ52" s="1094"/>
      <c r="AR52" s="1094"/>
      <c r="AS52" s="1094"/>
      <c r="AT52" s="1094"/>
      <c r="AU52" s="1094"/>
      <c r="AV52" s="1094"/>
      <c r="AW52" s="1094"/>
      <c r="AX52" s="1097"/>
      <c r="AY52" s="1086"/>
      <c r="AZ52" s="1086"/>
      <c r="BA52" s="1086"/>
      <c r="BB52" s="1086"/>
      <c r="BC52" s="1086"/>
      <c r="BD52" s="1086"/>
      <c r="BE52" s="1082"/>
    </row>
    <row r="53" spans="1:58" ht="15.75" customHeight="1">
      <c r="A53" s="1086"/>
      <c r="B53" s="1947" t="s">
        <v>2536</v>
      </c>
      <c r="C53" s="1948"/>
      <c r="D53" s="1948"/>
      <c r="E53" s="1948"/>
      <c r="F53" s="1948"/>
      <c r="G53" s="1948"/>
      <c r="H53" s="1948"/>
      <c r="I53" s="1948"/>
      <c r="J53" s="2078" t="s">
        <v>2537</v>
      </c>
      <c r="K53" s="2078"/>
      <c r="L53" s="2078"/>
      <c r="M53" s="2078"/>
      <c r="N53" s="2078"/>
      <c r="O53" s="2078"/>
      <c r="P53" s="2078"/>
      <c r="Q53" s="2078"/>
      <c r="R53" s="2184">
        <v>9687</v>
      </c>
      <c r="S53" s="2184"/>
      <c r="T53" s="2184"/>
      <c r="U53" s="2184"/>
      <c r="V53" s="2184"/>
      <c r="W53" s="2184"/>
      <c r="X53" s="2184"/>
      <c r="Y53" s="2184"/>
      <c r="Z53" s="2185">
        <v>11</v>
      </c>
      <c r="AA53" s="2185"/>
      <c r="AB53" s="2185"/>
      <c r="AC53" s="2185"/>
      <c r="AD53" s="2185"/>
      <c r="AE53" s="2185"/>
      <c r="AF53" s="2185"/>
      <c r="AG53" s="2185"/>
      <c r="AH53" s="2186"/>
      <c r="AI53" s="2186"/>
      <c r="AJ53" s="2186"/>
      <c r="AK53" s="2186"/>
      <c r="AL53" s="2186"/>
      <c r="AM53" s="2186"/>
      <c r="AN53" s="2186"/>
      <c r="AO53" s="2187"/>
      <c r="AP53" s="1094"/>
      <c r="AQ53" s="1094"/>
      <c r="AR53" s="1094"/>
      <c r="AS53" s="1094"/>
      <c r="AT53" s="1094"/>
      <c r="AU53" s="1094"/>
      <c r="AV53" s="1094"/>
      <c r="AW53" s="1094"/>
      <c r="AX53" s="1086"/>
      <c r="AY53" s="1086"/>
      <c r="AZ53" s="1086"/>
      <c r="BA53" s="1086"/>
      <c r="BB53" s="1086"/>
      <c r="BC53" s="1086"/>
      <c r="BD53" s="1086"/>
      <c r="BE53" s="1082"/>
    </row>
    <row r="54" spans="1:58" ht="15.75" customHeight="1">
      <c r="A54" s="1086"/>
      <c r="B54" s="1947" t="s">
        <v>2538</v>
      </c>
      <c r="C54" s="1948"/>
      <c r="D54" s="1948"/>
      <c r="E54" s="1948"/>
      <c r="F54" s="1948"/>
      <c r="G54" s="1948"/>
      <c r="H54" s="1948"/>
      <c r="I54" s="1948"/>
      <c r="J54" s="2078" t="s">
        <v>2537</v>
      </c>
      <c r="K54" s="2078"/>
      <c r="L54" s="2078"/>
      <c r="M54" s="2078"/>
      <c r="N54" s="2078"/>
      <c r="O54" s="2078"/>
      <c r="P54" s="2078"/>
      <c r="Q54" s="2078"/>
      <c r="R54" s="2184">
        <v>48000</v>
      </c>
      <c r="S54" s="2184"/>
      <c r="T54" s="2184"/>
      <c r="U54" s="2184"/>
      <c r="V54" s="2184"/>
      <c r="W54" s="2184"/>
      <c r="X54" s="2184"/>
      <c r="Y54" s="2184"/>
      <c r="Z54" s="2185" t="s">
        <v>2539</v>
      </c>
      <c r="AA54" s="2185"/>
      <c r="AB54" s="2185"/>
      <c r="AC54" s="2185"/>
      <c r="AD54" s="2185"/>
      <c r="AE54" s="2185"/>
      <c r="AF54" s="2185"/>
      <c r="AG54" s="2185"/>
      <c r="AH54" s="2186"/>
      <c r="AI54" s="2186"/>
      <c r="AJ54" s="2186"/>
      <c r="AK54" s="2186"/>
      <c r="AL54" s="2186"/>
      <c r="AM54" s="2186"/>
      <c r="AN54" s="2186"/>
      <c r="AO54" s="2187"/>
      <c r="AP54" s="1094"/>
      <c r="AQ54" s="1094"/>
      <c r="AR54" s="1094"/>
      <c r="AS54" s="1094"/>
      <c r="AT54" s="1094"/>
      <c r="AU54" s="1094"/>
      <c r="AV54" s="1094"/>
      <c r="AW54" s="1094"/>
      <c r="AX54" s="1086"/>
      <c r="AY54" s="1086"/>
      <c r="AZ54" s="1086"/>
      <c r="BA54" s="1086"/>
      <c r="BB54" s="1086"/>
      <c r="BC54" s="1086"/>
      <c r="BD54" s="1086"/>
      <c r="BE54" s="1082"/>
    </row>
    <row r="55" spans="1:58" ht="15.75" customHeight="1">
      <c r="A55" s="1086"/>
      <c r="B55" s="1947"/>
      <c r="C55" s="1948"/>
      <c r="D55" s="1948"/>
      <c r="E55" s="1948"/>
      <c r="F55" s="1948"/>
      <c r="G55" s="1948"/>
      <c r="H55" s="1948"/>
      <c r="I55" s="1948"/>
      <c r="J55" s="2078"/>
      <c r="K55" s="2078"/>
      <c r="L55" s="2078"/>
      <c r="M55" s="2078"/>
      <c r="N55" s="2078"/>
      <c r="O55" s="2078"/>
      <c r="P55" s="2078"/>
      <c r="Q55" s="2078"/>
      <c r="R55" s="2184"/>
      <c r="S55" s="2184"/>
      <c r="T55" s="2184"/>
      <c r="U55" s="2184"/>
      <c r="V55" s="2184"/>
      <c r="W55" s="2184"/>
      <c r="X55" s="2184"/>
      <c r="Y55" s="2184"/>
      <c r="Z55" s="2185"/>
      <c r="AA55" s="2185"/>
      <c r="AB55" s="2185"/>
      <c r="AC55" s="2185"/>
      <c r="AD55" s="2185"/>
      <c r="AE55" s="2185"/>
      <c r="AF55" s="2185"/>
      <c r="AG55" s="2185"/>
      <c r="AH55" s="2186"/>
      <c r="AI55" s="2186"/>
      <c r="AJ55" s="2186"/>
      <c r="AK55" s="2186"/>
      <c r="AL55" s="2186"/>
      <c r="AM55" s="2186"/>
      <c r="AN55" s="2186"/>
      <c r="AO55" s="2187"/>
      <c r="AP55" s="1094"/>
      <c r="AQ55" s="1094"/>
      <c r="AR55" s="1094"/>
      <c r="AS55" s="1094"/>
      <c r="AT55" s="1094" t="s">
        <v>253</v>
      </c>
      <c r="AU55" s="1094"/>
      <c r="AV55" s="1094"/>
      <c r="AW55" s="1094"/>
      <c r="AX55" s="1086"/>
      <c r="AY55" s="1086"/>
      <c r="AZ55" s="1086"/>
      <c r="BA55" s="1086"/>
      <c r="BB55" s="1086"/>
      <c r="BC55" s="1086"/>
      <c r="BD55" s="1086"/>
      <c r="BE55" s="1082"/>
    </row>
    <row r="56" spans="1:58" ht="15.75" customHeight="1">
      <c r="A56" s="1086"/>
      <c r="B56" s="1947"/>
      <c r="C56" s="1948"/>
      <c r="D56" s="1948"/>
      <c r="E56" s="1948"/>
      <c r="F56" s="1948"/>
      <c r="G56" s="1948"/>
      <c r="H56" s="1948"/>
      <c r="I56" s="1948"/>
      <c r="J56" s="2078"/>
      <c r="K56" s="2078"/>
      <c r="L56" s="2078"/>
      <c r="M56" s="2078"/>
      <c r="N56" s="2078"/>
      <c r="O56" s="2078"/>
      <c r="P56" s="2078"/>
      <c r="Q56" s="2078"/>
      <c r="R56" s="2184"/>
      <c r="S56" s="2184"/>
      <c r="T56" s="2184"/>
      <c r="U56" s="2184"/>
      <c r="V56" s="2184"/>
      <c r="W56" s="2184"/>
      <c r="X56" s="2184"/>
      <c r="Y56" s="2184"/>
      <c r="Z56" s="2185"/>
      <c r="AA56" s="2185"/>
      <c r="AB56" s="2185"/>
      <c r="AC56" s="2185"/>
      <c r="AD56" s="2185"/>
      <c r="AE56" s="2185"/>
      <c r="AF56" s="2185"/>
      <c r="AG56" s="2185"/>
      <c r="AH56" s="2186"/>
      <c r="AI56" s="2186"/>
      <c r="AJ56" s="2186"/>
      <c r="AK56" s="2186"/>
      <c r="AL56" s="2186"/>
      <c r="AM56" s="2186"/>
      <c r="AN56" s="2186"/>
      <c r="AO56" s="2187"/>
      <c r="AP56" s="1094"/>
      <c r="AQ56" s="1094"/>
      <c r="AR56" s="1094"/>
      <c r="AS56" s="1094"/>
      <c r="AT56" s="1094"/>
      <c r="AU56" s="1094"/>
      <c r="AV56" s="1094"/>
      <c r="AW56" s="1094"/>
      <c r="AX56" s="1086"/>
      <c r="AY56" s="1086"/>
      <c r="AZ56" s="1086"/>
      <c r="BA56" s="1086"/>
      <c r="BB56" s="1086"/>
      <c r="BC56" s="1086"/>
      <c r="BD56" s="1086"/>
      <c r="BE56" s="1082"/>
    </row>
    <row r="57" spans="1:58" s="1132" customFormat="1" ht="15.75" customHeight="1" thickBot="1">
      <c r="A57" s="1094"/>
      <c r="B57" s="1901" t="s">
        <v>2435</v>
      </c>
      <c r="C57" s="1902"/>
      <c r="D57" s="1902"/>
      <c r="E57" s="1902"/>
      <c r="F57" s="1902"/>
      <c r="G57" s="1902"/>
      <c r="H57" s="1902"/>
      <c r="I57" s="1902"/>
      <c r="J57" s="1902"/>
      <c r="K57" s="1902"/>
      <c r="L57" s="1902"/>
      <c r="M57" s="1902"/>
      <c r="N57" s="1902"/>
      <c r="O57" s="1902"/>
      <c r="P57" s="1902"/>
      <c r="Q57" s="1902"/>
      <c r="R57" s="2188">
        <f>SUM(R52:Y56)</f>
        <v>67373</v>
      </c>
      <c r="S57" s="2188"/>
      <c r="T57" s="2188"/>
      <c r="U57" s="2188"/>
      <c r="V57" s="2188"/>
      <c r="W57" s="2188"/>
      <c r="X57" s="2188"/>
      <c r="Y57" s="2188"/>
      <c r="Z57" s="2189">
        <f>SUM(Z52:AG56)</f>
        <v>22</v>
      </c>
      <c r="AA57" s="2189"/>
      <c r="AB57" s="2189"/>
      <c r="AC57" s="2189"/>
      <c r="AD57" s="2189"/>
      <c r="AE57" s="2189"/>
      <c r="AF57" s="2189"/>
      <c r="AG57" s="2189"/>
      <c r="AH57" s="2190"/>
      <c r="AI57" s="2190"/>
      <c r="AJ57" s="2190"/>
      <c r="AK57" s="2190"/>
      <c r="AL57" s="2190"/>
      <c r="AM57" s="2190"/>
      <c r="AN57" s="2190"/>
      <c r="AO57" s="2191"/>
      <c r="AP57" s="1094"/>
      <c r="AQ57" s="1094"/>
      <c r="AR57" s="1094"/>
      <c r="AS57" s="1094"/>
      <c r="AT57" s="1094"/>
      <c r="AU57" s="1094"/>
      <c r="AV57" s="1094"/>
      <c r="AW57" s="1094"/>
      <c r="AX57" s="1094"/>
      <c r="AY57" s="1094"/>
      <c r="AZ57" s="1094"/>
      <c r="BA57" s="1094"/>
      <c r="BB57" s="1094"/>
      <c r="BC57" s="1094"/>
      <c r="BD57" s="1094"/>
      <c r="BE57" s="1133"/>
    </row>
    <row r="58" spans="1:58" ht="15.75" customHeight="1" thickBot="1">
      <c r="A58" s="1086"/>
      <c r="B58" s="1086"/>
      <c r="C58" s="1086"/>
      <c r="D58" s="1086"/>
      <c r="E58" s="1086"/>
      <c r="F58" s="1086"/>
      <c r="G58" s="1086"/>
      <c r="H58" s="1086"/>
      <c r="I58" s="1086"/>
      <c r="J58" s="1086"/>
      <c r="K58" s="1086"/>
      <c r="L58" s="1086"/>
      <c r="M58" s="1086"/>
      <c r="N58" s="1086"/>
      <c r="O58" s="1086"/>
      <c r="P58" s="1086"/>
      <c r="Q58" s="1086"/>
      <c r="R58" s="1086"/>
      <c r="S58" s="1086"/>
      <c r="T58" s="1086"/>
      <c r="U58" s="1086"/>
      <c r="V58" s="1086"/>
      <c r="W58" s="1086"/>
      <c r="X58" s="1086"/>
      <c r="Y58" s="1086"/>
      <c r="Z58" s="1086"/>
      <c r="AA58" s="1086"/>
      <c r="AB58" s="1086"/>
      <c r="AC58" s="1086"/>
      <c r="AD58" s="1086"/>
      <c r="AE58" s="1086"/>
      <c r="AF58" s="1086"/>
      <c r="AG58" s="1086"/>
      <c r="AH58" s="1086"/>
      <c r="AI58" s="1086"/>
      <c r="AJ58" s="1086"/>
      <c r="AK58" s="1086"/>
      <c r="AL58" s="1086"/>
      <c r="AM58" s="1086"/>
      <c r="AN58" s="1086"/>
      <c r="AO58" s="1086"/>
      <c r="AP58" s="1086"/>
      <c r="AQ58" s="1086"/>
      <c r="AR58" s="1086"/>
      <c r="AS58" s="1086"/>
      <c r="AT58" s="1086"/>
      <c r="AU58" s="1086"/>
      <c r="AV58" s="1086"/>
      <c r="AW58" s="1086"/>
      <c r="AX58" s="1086"/>
      <c r="AY58" s="1086"/>
      <c r="AZ58" s="1086"/>
      <c r="BA58" s="1086"/>
      <c r="BB58" s="1086"/>
      <c r="BC58" s="1086"/>
      <c r="BD58" s="1086"/>
      <c r="BE58" s="1082"/>
    </row>
    <row r="59" spans="1:58" ht="15.75" customHeight="1">
      <c r="A59" s="1086"/>
      <c r="B59" s="2192" t="s">
        <v>2531</v>
      </c>
      <c r="C59" s="2193"/>
      <c r="D59" s="2193"/>
      <c r="E59" s="2193"/>
      <c r="F59" s="2193"/>
      <c r="G59" s="2193"/>
      <c r="H59" s="2193"/>
      <c r="I59" s="2194"/>
      <c r="J59" s="2157" t="s">
        <v>2540</v>
      </c>
      <c r="K59" s="2157"/>
      <c r="L59" s="2157"/>
      <c r="M59" s="2157"/>
      <c r="N59" s="2157"/>
      <c r="O59" s="2157"/>
      <c r="P59" s="2157"/>
      <c r="Q59" s="2157"/>
      <c r="R59" s="2157"/>
      <c r="S59" s="2157"/>
      <c r="T59" s="2157"/>
      <c r="U59" s="2157"/>
      <c r="V59" s="2157"/>
      <c r="W59" s="2157"/>
      <c r="X59" s="2157"/>
      <c r="Y59" s="2157"/>
      <c r="Z59" s="2157"/>
      <c r="AA59" s="2157"/>
      <c r="AB59" s="2157"/>
      <c r="AC59" s="2157"/>
      <c r="AD59" s="2157"/>
      <c r="AE59" s="2157"/>
      <c r="AF59" s="2157"/>
      <c r="AG59" s="2157"/>
      <c r="AH59" s="2157"/>
      <c r="AI59" s="2157"/>
      <c r="AJ59" s="2157"/>
      <c r="AK59" s="2157"/>
      <c r="AL59" s="2157"/>
      <c r="AM59" s="2157"/>
      <c r="AN59" s="2157"/>
      <c r="AO59" s="2157"/>
      <c r="AP59" s="2157"/>
      <c r="AQ59" s="2157"/>
      <c r="AR59" s="2157"/>
      <c r="AS59" s="2157"/>
      <c r="AT59" s="2157"/>
      <c r="AU59" s="2157"/>
      <c r="AV59" s="2157"/>
      <c r="AW59" s="2158"/>
      <c r="AX59" s="1086"/>
      <c r="AY59" s="1086"/>
      <c r="AZ59" s="1086"/>
      <c r="BA59" s="1086"/>
      <c r="BB59" s="1086"/>
      <c r="BC59" s="1086"/>
      <c r="BD59" s="1086"/>
      <c r="BE59" s="1082"/>
    </row>
    <row r="60" spans="1:58" ht="15.75" customHeight="1">
      <c r="A60" s="1086"/>
      <c r="B60" s="2177" t="str">
        <f>IF(B52="", "", B52)</f>
        <v>Pacific Sothwest  Community Developemnt Corporation</v>
      </c>
      <c r="C60" s="2178"/>
      <c r="D60" s="2178"/>
      <c r="E60" s="2178"/>
      <c r="F60" s="2178"/>
      <c r="G60" s="2178"/>
      <c r="H60" s="2178"/>
      <c r="I60" s="2179"/>
      <c r="J60" s="2180" t="s">
        <v>2541</v>
      </c>
      <c r="K60" s="2081"/>
      <c r="L60" s="2081"/>
      <c r="M60" s="2081"/>
      <c r="N60" s="2081"/>
      <c r="O60" s="2081"/>
      <c r="P60" s="2081"/>
      <c r="Q60" s="2081"/>
      <c r="R60" s="2081"/>
      <c r="S60" s="2081"/>
      <c r="T60" s="2081"/>
      <c r="U60" s="2081"/>
      <c r="V60" s="2081"/>
      <c r="W60" s="2081"/>
      <c r="X60" s="2081"/>
      <c r="Y60" s="2081"/>
      <c r="Z60" s="2081"/>
      <c r="AA60" s="2081"/>
      <c r="AB60" s="2081"/>
      <c r="AC60" s="2081"/>
      <c r="AD60" s="2081"/>
      <c r="AE60" s="2081"/>
      <c r="AF60" s="2081"/>
      <c r="AG60" s="2081"/>
      <c r="AH60" s="2081"/>
      <c r="AI60" s="2081"/>
      <c r="AJ60" s="2081"/>
      <c r="AK60" s="2081"/>
      <c r="AL60" s="2081"/>
      <c r="AM60" s="2081"/>
      <c r="AN60" s="2081"/>
      <c r="AO60" s="2081"/>
      <c r="AP60" s="2081"/>
      <c r="AQ60" s="2081"/>
      <c r="AR60" s="2081"/>
      <c r="AS60" s="2081"/>
      <c r="AT60" s="2081"/>
      <c r="AU60" s="2081"/>
      <c r="AV60" s="2081"/>
      <c r="AW60" s="2082"/>
      <c r="AX60" s="1086"/>
      <c r="AY60" s="1086"/>
      <c r="AZ60" s="1086"/>
      <c r="BA60" s="1086"/>
      <c r="BB60" s="1086"/>
      <c r="BC60" s="1086"/>
      <c r="BD60" s="1086"/>
      <c r="BE60" s="1082"/>
    </row>
    <row r="61" spans="1:58" ht="15.75" customHeight="1">
      <c r="A61" s="1086"/>
      <c r="B61" s="2177" t="str">
        <f>IF(B53="", "", B53)</f>
        <v>Pacific Sothwest  Community Developemnt Corporation</v>
      </c>
      <c r="C61" s="2178"/>
      <c r="D61" s="2178"/>
      <c r="E61" s="2178"/>
      <c r="F61" s="2178"/>
      <c r="G61" s="2178"/>
      <c r="H61" s="2178"/>
      <c r="I61" s="2179"/>
      <c r="J61" s="2180" t="s">
        <v>2542</v>
      </c>
      <c r="K61" s="2081"/>
      <c r="L61" s="2081"/>
      <c r="M61" s="2081"/>
      <c r="N61" s="2081"/>
      <c r="O61" s="2081"/>
      <c r="P61" s="2081"/>
      <c r="Q61" s="2081"/>
      <c r="R61" s="2081"/>
      <c r="S61" s="2081"/>
      <c r="T61" s="2081"/>
      <c r="U61" s="2081"/>
      <c r="V61" s="2081"/>
      <c r="W61" s="2081"/>
      <c r="X61" s="2081"/>
      <c r="Y61" s="2081"/>
      <c r="Z61" s="2081"/>
      <c r="AA61" s="2081"/>
      <c r="AB61" s="2081"/>
      <c r="AC61" s="2081"/>
      <c r="AD61" s="2081"/>
      <c r="AE61" s="2081"/>
      <c r="AF61" s="2081"/>
      <c r="AG61" s="2081"/>
      <c r="AH61" s="2081"/>
      <c r="AI61" s="2081"/>
      <c r="AJ61" s="2081"/>
      <c r="AK61" s="2081"/>
      <c r="AL61" s="2081"/>
      <c r="AM61" s="2081"/>
      <c r="AN61" s="2081"/>
      <c r="AO61" s="2081"/>
      <c r="AP61" s="2081"/>
      <c r="AQ61" s="2081"/>
      <c r="AR61" s="2081"/>
      <c r="AS61" s="2081"/>
      <c r="AT61" s="2081"/>
      <c r="AU61" s="2081"/>
      <c r="AV61" s="2081"/>
      <c r="AW61" s="2082"/>
      <c r="AX61" s="1086"/>
      <c r="AY61" s="1086"/>
      <c r="AZ61" s="1086"/>
      <c r="BA61" s="1086"/>
      <c r="BB61" s="1086"/>
      <c r="BC61" s="1086"/>
      <c r="BD61" s="1086"/>
      <c r="BE61" s="1082"/>
    </row>
    <row r="62" spans="1:58" ht="15.75" customHeight="1">
      <c r="A62" s="1086"/>
      <c r="B62" s="2177" t="str">
        <f>IF(B54="", "", B54)</f>
        <v>Townspeople</v>
      </c>
      <c r="C62" s="2178"/>
      <c r="D62" s="2178"/>
      <c r="E62" s="2178"/>
      <c r="F62" s="2178"/>
      <c r="G62" s="2178"/>
      <c r="H62" s="2178"/>
      <c r="I62" s="2179"/>
      <c r="J62" s="2180" t="s">
        <v>2543</v>
      </c>
      <c r="K62" s="2081"/>
      <c r="L62" s="2081"/>
      <c r="M62" s="2081"/>
      <c r="N62" s="2081"/>
      <c r="O62" s="2081"/>
      <c r="P62" s="2081"/>
      <c r="Q62" s="2081"/>
      <c r="R62" s="2081"/>
      <c r="S62" s="2081"/>
      <c r="T62" s="2081"/>
      <c r="U62" s="2081"/>
      <c r="V62" s="2081"/>
      <c r="W62" s="2081"/>
      <c r="X62" s="2081"/>
      <c r="Y62" s="2081"/>
      <c r="Z62" s="2081"/>
      <c r="AA62" s="2081"/>
      <c r="AB62" s="2081"/>
      <c r="AC62" s="2081"/>
      <c r="AD62" s="2081"/>
      <c r="AE62" s="2081"/>
      <c r="AF62" s="2081"/>
      <c r="AG62" s="2081"/>
      <c r="AH62" s="2081"/>
      <c r="AI62" s="2081"/>
      <c r="AJ62" s="2081"/>
      <c r="AK62" s="2081"/>
      <c r="AL62" s="2081"/>
      <c r="AM62" s="2081"/>
      <c r="AN62" s="2081"/>
      <c r="AO62" s="2081"/>
      <c r="AP62" s="2081"/>
      <c r="AQ62" s="2081"/>
      <c r="AR62" s="2081"/>
      <c r="AS62" s="2081"/>
      <c r="AT62" s="2081"/>
      <c r="AU62" s="2081"/>
      <c r="AV62" s="2081"/>
      <c r="AW62" s="2082"/>
      <c r="AX62" s="1086"/>
      <c r="AY62" s="1086"/>
      <c r="AZ62" s="1086"/>
      <c r="BA62" s="1086"/>
      <c r="BB62" s="1086"/>
      <c r="BC62" s="1086"/>
      <c r="BD62" s="1086"/>
      <c r="BE62" s="1082"/>
    </row>
    <row r="63" spans="1:58" ht="15.75" customHeight="1">
      <c r="A63" s="1086"/>
      <c r="B63" s="2177" t="str">
        <f>IF(B55="", "", B55)</f>
        <v/>
      </c>
      <c r="C63" s="2178"/>
      <c r="D63" s="2178"/>
      <c r="E63" s="2178"/>
      <c r="F63" s="2178"/>
      <c r="G63" s="2178"/>
      <c r="H63" s="2178"/>
      <c r="I63" s="2179"/>
      <c r="J63" s="2180"/>
      <c r="K63" s="2081"/>
      <c r="L63" s="2081"/>
      <c r="M63" s="2081"/>
      <c r="N63" s="2081"/>
      <c r="O63" s="2081"/>
      <c r="P63" s="2081"/>
      <c r="Q63" s="2081"/>
      <c r="R63" s="2081"/>
      <c r="S63" s="2081"/>
      <c r="T63" s="2081"/>
      <c r="U63" s="2081"/>
      <c r="V63" s="2081"/>
      <c r="W63" s="2081"/>
      <c r="X63" s="2081"/>
      <c r="Y63" s="2081"/>
      <c r="Z63" s="2081"/>
      <c r="AA63" s="2081"/>
      <c r="AB63" s="2081"/>
      <c r="AC63" s="2081"/>
      <c r="AD63" s="2081"/>
      <c r="AE63" s="2081"/>
      <c r="AF63" s="2081"/>
      <c r="AG63" s="2081"/>
      <c r="AH63" s="2081"/>
      <c r="AI63" s="2081"/>
      <c r="AJ63" s="2081"/>
      <c r="AK63" s="2081"/>
      <c r="AL63" s="2081"/>
      <c r="AM63" s="2081"/>
      <c r="AN63" s="2081"/>
      <c r="AO63" s="2081"/>
      <c r="AP63" s="2081"/>
      <c r="AQ63" s="2081"/>
      <c r="AR63" s="2081"/>
      <c r="AS63" s="2081"/>
      <c r="AT63" s="2081"/>
      <c r="AU63" s="2081"/>
      <c r="AV63" s="2081"/>
      <c r="AW63" s="2082"/>
      <c r="AX63" s="1086"/>
      <c r="AY63" s="1086"/>
      <c r="AZ63" s="1086"/>
      <c r="BA63" s="1086"/>
      <c r="BB63" s="1086"/>
      <c r="BC63" s="1086"/>
      <c r="BD63" s="1086"/>
      <c r="BE63" s="1082"/>
    </row>
    <row r="64" spans="1:58" ht="15.75" customHeight="1" thickBot="1">
      <c r="A64" s="1086"/>
      <c r="B64" s="2181" t="str">
        <f>IF(B56="", "", B56)</f>
        <v/>
      </c>
      <c r="C64" s="2182"/>
      <c r="D64" s="2182"/>
      <c r="E64" s="2182"/>
      <c r="F64" s="2182"/>
      <c r="G64" s="2182"/>
      <c r="H64" s="2182"/>
      <c r="I64" s="2183"/>
      <c r="J64" s="2195"/>
      <c r="K64" s="2175"/>
      <c r="L64" s="2175"/>
      <c r="M64" s="2175"/>
      <c r="N64" s="2175"/>
      <c r="O64" s="2175"/>
      <c r="P64" s="2175"/>
      <c r="Q64" s="2175"/>
      <c r="R64" s="2175"/>
      <c r="S64" s="2175"/>
      <c r="T64" s="2175"/>
      <c r="U64" s="2175"/>
      <c r="V64" s="2175"/>
      <c r="W64" s="2175"/>
      <c r="X64" s="2175"/>
      <c r="Y64" s="2175"/>
      <c r="Z64" s="2175"/>
      <c r="AA64" s="2175"/>
      <c r="AB64" s="2175"/>
      <c r="AC64" s="2175"/>
      <c r="AD64" s="2175"/>
      <c r="AE64" s="2175"/>
      <c r="AF64" s="2175"/>
      <c r="AG64" s="2175"/>
      <c r="AH64" s="2175"/>
      <c r="AI64" s="2175"/>
      <c r="AJ64" s="2175"/>
      <c r="AK64" s="2175"/>
      <c r="AL64" s="2175"/>
      <c r="AM64" s="2175"/>
      <c r="AN64" s="2175"/>
      <c r="AO64" s="2175"/>
      <c r="AP64" s="2175"/>
      <c r="AQ64" s="2175"/>
      <c r="AR64" s="2175"/>
      <c r="AS64" s="2175"/>
      <c r="AT64" s="2175"/>
      <c r="AU64" s="2175"/>
      <c r="AV64" s="2175"/>
      <c r="AW64" s="2176"/>
      <c r="AX64" s="1086"/>
      <c r="AY64" s="1086"/>
      <c r="AZ64" s="1086"/>
      <c r="BA64" s="1086"/>
      <c r="BB64" s="1086"/>
      <c r="BC64" s="1086"/>
      <c r="BD64" s="1086"/>
      <c r="BE64" s="1082"/>
    </row>
    <row r="65" spans="1:65" ht="15.75" customHeight="1">
      <c r="A65" s="1086"/>
      <c r="B65" s="1086"/>
      <c r="C65" s="1086"/>
      <c r="D65" s="1086"/>
      <c r="E65" s="1086"/>
      <c r="F65" s="1086"/>
      <c r="G65" s="1086"/>
      <c r="H65" s="1086"/>
      <c r="I65" s="1086"/>
      <c r="J65" s="1086"/>
      <c r="K65" s="1086"/>
      <c r="L65" s="1086"/>
      <c r="M65" s="1086"/>
      <c r="N65" s="1086"/>
      <c r="O65" s="1086"/>
      <c r="P65" s="1086"/>
      <c r="Q65" s="1086"/>
      <c r="R65" s="1086"/>
      <c r="S65" s="1086"/>
      <c r="T65" s="1086"/>
      <c r="U65" s="1086"/>
      <c r="V65" s="1086"/>
      <c r="W65" s="1086"/>
      <c r="X65" s="1086"/>
      <c r="Y65" s="1086"/>
      <c r="Z65" s="1086"/>
      <c r="AA65" s="1086"/>
      <c r="AB65" s="1086"/>
      <c r="AC65" s="1086"/>
      <c r="AD65" s="1086"/>
      <c r="AE65" s="1086"/>
      <c r="AF65" s="1086"/>
      <c r="AG65" s="1086"/>
      <c r="AH65" s="1086"/>
      <c r="AI65" s="1086"/>
      <c r="AJ65" s="1086"/>
      <c r="AK65" s="1086"/>
      <c r="AL65" s="1086"/>
      <c r="AM65" s="1086"/>
      <c r="AN65" s="1086"/>
      <c r="AO65" s="1086"/>
      <c r="AP65" s="1086"/>
      <c r="AQ65" s="1086"/>
      <c r="AR65" s="1086"/>
      <c r="AS65" s="1086"/>
      <c r="AT65" s="1086"/>
      <c r="AU65" s="1086"/>
      <c r="AV65" s="1086"/>
      <c r="AW65" s="1086"/>
      <c r="AX65" s="1086"/>
      <c r="AY65" s="1086"/>
      <c r="AZ65" s="1086"/>
      <c r="BA65" s="1086"/>
      <c r="BB65" s="1086"/>
      <c r="BC65" s="1086"/>
      <c r="BD65" s="1086"/>
      <c r="BE65" s="1082"/>
    </row>
    <row r="66" spans="1:65" ht="15.75" customHeight="1">
      <c r="A66" s="1086"/>
      <c r="B66" s="1132" t="s">
        <v>2544</v>
      </c>
      <c r="C66" s="1132"/>
      <c r="D66" s="1132"/>
      <c r="E66" s="1132"/>
      <c r="F66" s="1132"/>
      <c r="G66" s="1132"/>
      <c r="H66" s="1132"/>
      <c r="I66" s="1132"/>
      <c r="J66" s="1132"/>
      <c r="K66" s="1132"/>
      <c r="L66" s="1086"/>
      <c r="M66" s="1086"/>
      <c r="N66" s="1086"/>
      <c r="O66" s="1086"/>
      <c r="P66" s="1086"/>
      <c r="Q66" s="1086"/>
      <c r="R66" s="1086"/>
      <c r="S66" s="1086"/>
      <c r="T66" s="1086"/>
      <c r="U66" s="1086"/>
      <c r="V66" s="1086"/>
      <c r="W66" s="1086"/>
      <c r="X66" s="1086"/>
      <c r="Y66" s="1086"/>
      <c r="Z66" s="1086"/>
      <c r="AA66" s="1086"/>
      <c r="AB66" s="1086"/>
      <c r="AC66" s="1086"/>
      <c r="AD66" s="1086"/>
      <c r="AE66" s="1086"/>
      <c r="AF66" s="1086"/>
      <c r="AG66" s="1086"/>
      <c r="AH66" s="1086"/>
      <c r="AI66" s="1086"/>
      <c r="AJ66" s="1086"/>
      <c r="AK66" s="1086"/>
      <c r="AL66" s="1086"/>
      <c r="AM66" s="1086"/>
      <c r="AN66" s="1086"/>
      <c r="AO66" s="1086"/>
      <c r="AP66" s="1086"/>
      <c r="AQ66" s="1086"/>
      <c r="AR66" s="1086"/>
      <c r="AS66" s="1086"/>
      <c r="AT66" s="1086"/>
      <c r="AU66" s="1086"/>
      <c r="AV66" s="1086"/>
      <c r="AW66" s="1086"/>
      <c r="AX66" s="1086"/>
      <c r="AY66" s="1086"/>
      <c r="AZ66" s="1086"/>
      <c r="BA66" s="1086"/>
      <c r="BB66" s="1086"/>
      <c r="BC66" s="1086"/>
      <c r="BD66" s="1086"/>
      <c r="BE66" s="1082"/>
    </row>
    <row r="67" spans="1:65" ht="15.75" customHeight="1" thickBot="1">
      <c r="A67" s="1086"/>
      <c r="B67" s="1086"/>
      <c r="C67" s="1086"/>
      <c r="D67" s="1086"/>
      <c r="E67" s="1086"/>
      <c r="F67" s="1086"/>
      <c r="G67" s="1086"/>
      <c r="H67" s="1086"/>
      <c r="I67" s="1086"/>
      <c r="J67" s="1086"/>
      <c r="K67" s="1086"/>
      <c r="L67" s="1086"/>
      <c r="M67" s="1086"/>
      <c r="N67" s="1086"/>
      <c r="O67" s="1086"/>
      <c r="P67" s="1086"/>
      <c r="Q67" s="1086"/>
      <c r="R67" s="1086"/>
      <c r="S67" s="1086"/>
      <c r="T67" s="1086"/>
      <c r="U67" s="1086"/>
      <c r="V67" s="1086"/>
      <c r="W67" s="1086"/>
      <c r="X67" s="1086"/>
      <c r="Y67" s="1086"/>
      <c r="Z67" s="1086"/>
      <c r="AA67" s="1086"/>
      <c r="AB67" s="1086"/>
      <c r="AC67" s="1086"/>
      <c r="AD67" s="1086"/>
      <c r="AE67" s="1086"/>
      <c r="AF67" s="1086"/>
      <c r="AG67" s="1086"/>
      <c r="AH67" s="1086"/>
      <c r="AI67" s="1086"/>
      <c r="AJ67" s="1086"/>
      <c r="AK67" s="1086"/>
      <c r="AL67" s="1086"/>
      <c r="AM67" s="1086"/>
      <c r="AN67" s="1086"/>
      <c r="AO67" s="1086"/>
      <c r="AP67" s="1086"/>
      <c r="AQ67" s="1086"/>
      <c r="AR67" s="1086"/>
      <c r="AS67" s="1086"/>
      <c r="AT67" s="1086"/>
      <c r="AU67" s="1086"/>
      <c r="AV67" s="1086"/>
      <c r="AW67" s="1086"/>
      <c r="AX67" s="1086"/>
      <c r="AY67" s="1086"/>
      <c r="AZ67" s="1086"/>
      <c r="BA67" s="1086"/>
      <c r="BB67" s="1086"/>
      <c r="BC67" s="1086"/>
      <c r="BD67" s="1086"/>
      <c r="BE67" s="1082"/>
    </row>
    <row r="68" spans="1:65" ht="15.75" customHeight="1" thickBot="1">
      <c r="A68" s="1086"/>
      <c r="B68" s="2156" t="s">
        <v>2545</v>
      </c>
      <c r="C68" s="2157"/>
      <c r="D68" s="2157"/>
      <c r="E68" s="2157"/>
      <c r="F68" s="2157"/>
      <c r="G68" s="2157"/>
      <c r="H68" s="2157"/>
      <c r="I68" s="2157"/>
      <c r="J68" s="2157"/>
      <c r="K68" s="2157"/>
      <c r="L68" s="2157"/>
      <c r="M68" s="2157"/>
      <c r="N68" s="2157"/>
      <c r="O68" s="2157"/>
      <c r="P68" s="2157"/>
      <c r="Q68" s="2157"/>
      <c r="R68" s="2157"/>
      <c r="S68" s="2157"/>
      <c r="T68" s="2157"/>
      <c r="U68" s="2157"/>
      <c r="V68" s="2157"/>
      <c r="W68" s="2157"/>
      <c r="X68" s="2157"/>
      <c r="Y68" s="2157"/>
      <c r="Z68" s="2157"/>
      <c r="AA68" s="2158"/>
      <c r="AB68" s="1086"/>
      <c r="AC68" s="1912" t="s">
        <v>2546</v>
      </c>
      <c r="AD68" s="1913"/>
      <c r="AE68" s="1913"/>
      <c r="AF68" s="1913"/>
      <c r="AG68" s="1913"/>
      <c r="AH68" s="1913"/>
      <c r="AI68" s="1913"/>
      <c r="AJ68" s="1913"/>
      <c r="AK68" s="1913"/>
      <c r="AL68" s="1913"/>
      <c r="AM68" s="1913"/>
      <c r="AN68" s="1913"/>
      <c r="AO68" s="1913"/>
      <c r="AP68" s="1913"/>
      <c r="AQ68" s="1913"/>
      <c r="AR68" s="1913"/>
      <c r="AS68" s="1913"/>
      <c r="AT68" s="1913"/>
      <c r="AU68" s="1913"/>
      <c r="AV68" s="1963" t="s">
        <v>837</v>
      </c>
      <c r="AW68" s="1964"/>
      <c r="AX68" s="1964"/>
      <c r="AY68" s="1964"/>
      <c r="AZ68" s="1964"/>
      <c r="BA68" s="1964"/>
      <c r="BB68" s="1964"/>
      <c r="BC68" s="1965"/>
      <c r="BD68" s="1086"/>
      <c r="BE68" s="1082"/>
      <c r="BM68" s="1131" t="s">
        <v>2547</v>
      </c>
    </row>
    <row r="69" spans="1:65" ht="15.75" customHeight="1" thickTop="1" thickBot="1">
      <c r="A69" s="1086"/>
      <c r="B69" s="1966" t="s">
        <v>2548</v>
      </c>
      <c r="C69" s="1967"/>
      <c r="D69" s="1967"/>
      <c r="E69" s="1967"/>
      <c r="F69" s="1967"/>
      <c r="G69" s="1967"/>
      <c r="H69" s="1967"/>
      <c r="I69" s="1967"/>
      <c r="J69" s="1967"/>
      <c r="K69" s="1967"/>
      <c r="L69" s="1967"/>
      <c r="M69" s="1967"/>
      <c r="N69" s="1967"/>
      <c r="O69" s="1968" t="s">
        <v>2549</v>
      </c>
      <c r="P69" s="1969"/>
      <c r="Q69" s="1969"/>
      <c r="R69" s="1969"/>
      <c r="S69" s="1969"/>
      <c r="T69" s="1969"/>
      <c r="U69" s="1969"/>
      <c r="V69" s="1969"/>
      <c r="W69" s="1969"/>
      <c r="X69" s="1969"/>
      <c r="Y69" s="1969"/>
      <c r="Z69" s="1969"/>
      <c r="AA69" s="1970"/>
      <c r="AB69" s="1086"/>
      <c r="AC69" s="1971" t="s">
        <v>2550</v>
      </c>
      <c r="AD69" s="1972"/>
      <c r="AE69" s="1972"/>
      <c r="AF69" s="1972"/>
      <c r="AG69" s="1972"/>
      <c r="AH69" s="1972"/>
      <c r="AI69" s="1972"/>
      <c r="AJ69" s="1972"/>
      <c r="AK69" s="1972"/>
      <c r="AL69" s="1972"/>
      <c r="AM69" s="1972"/>
      <c r="AN69" s="1972"/>
      <c r="AO69" s="1972"/>
      <c r="AP69" s="1972"/>
      <c r="AQ69" s="1972"/>
      <c r="AR69" s="1972"/>
      <c r="AS69" s="1972"/>
      <c r="AT69" s="1972"/>
      <c r="AU69" s="1972"/>
      <c r="AV69" s="1973"/>
      <c r="AW69" s="1974"/>
      <c r="AX69" s="1974"/>
      <c r="AY69" s="1974"/>
      <c r="AZ69" s="1974"/>
      <c r="BA69" s="1974"/>
      <c r="BB69" s="1974"/>
      <c r="BC69" s="1975"/>
      <c r="BD69" s="1086"/>
      <c r="BE69" s="1082"/>
      <c r="BM69" s="1130" t="s">
        <v>837</v>
      </c>
    </row>
    <row r="70" spans="1:65" ht="15.75" customHeight="1">
      <c r="A70" s="1086"/>
      <c r="B70" s="1976" t="s">
        <v>2551</v>
      </c>
      <c r="C70" s="1977"/>
      <c r="D70" s="1977"/>
      <c r="E70" s="1977"/>
      <c r="F70" s="1977"/>
      <c r="G70" s="1977"/>
      <c r="H70" s="1977"/>
      <c r="I70" s="1977"/>
      <c r="J70" s="1977"/>
      <c r="K70" s="1977"/>
      <c r="L70" s="1977"/>
      <c r="M70" s="1977"/>
      <c r="N70" s="1977"/>
      <c r="O70" s="1941">
        <v>0</v>
      </c>
      <c r="P70" s="1941"/>
      <c r="Q70" s="1941"/>
      <c r="R70" s="1941"/>
      <c r="S70" s="1941"/>
      <c r="T70" s="1941"/>
      <c r="U70" s="1941"/>
      <c r="V70" s="1941"/>
      <c r="W70" s="1941"/>
      <c r="X70" s="1941"/>
      <c r="Y70" s="1941"/>
      <c r="Z70" s="1941"/>
      <c r="AA70" s="1942"/>
      <c r="AB70" s="1086"/>
      <c r="AC70" s="2144" t="s">
        <v>2552</v>
      </c>
      <c r="AD70" s="1945"/>
      <c r="AE70" s="1945"/>
      <c r="AF70" s="2171" t="s">
        <v>2553</v>
      </c>
      <c r="AG70" s="2171"/>
      <c r="AH70" s="2171"/>
      <c r="AI70" s="2171"/>
      <c r="AJ70" s="2171"/>
      <c r="AK70" s="2171"/>
      <c r="AL70" s="2171"/>
      <c r="AM70" s="2171"/>
      <c r="AN70" s="2171"/>
      <c r="AO70" s="2171"/>
      <c r="AP70" s="2171"/>
      <c r="AQ70" s="2171"/>
      <c r="AR70" s="2171"/>
      <c r="AS70" s="2171"/>
      <c r="AT70" s="2171"/>
      <c r="AU70" s="2172"/>
      <c r="AV70" s="1086"/>
      <c r="AW70" s="1086"/>
      <c r="AX70" s="1086"/>
      <c r="AY70" s="1086"/>
      <c r="AZ70" s="1086"/>
      <c r="BA70" s="1086"/>
      <c r="BB70" s="1086"/>
      <c r="BC70" s="1086"/>
      <c r="BD70" s="1086"/>
      <c r="BE70" s="1082"/>
      <c r="BM70" s="1129" t="s">
        <v>894</v>
      </c>
    </row>
    <row r="71" spans="1:65" ht="15.75" customHeight="1" thickBot="1">
      <c r="A71" s="1086"/>
      <c r="B71" s="1976" t="s">
        <v>2554</v>
      </c>
      <c r="C71" s="1977"/>
      <c r="D71" s="1977"/>
      <c r="E71" s="1977"/>
      <c r="F71" s="1977"/>
      <c r="G71" s="1977"/>
      <c r="H71" s="1977"/>
      <c r="I71" s="1977"/>
      <c r="J71" s="1977"/>
      <c r="K71" s="1977"/>
      <c r="L71" s="1977"/>
      <c r="M71" s="1977"/>
      <c r="N71" s="1977"/>
      <c r="O71" s="1941">
        <v>0</v>
      </c>
      <c r="P71" s="1941"/>
      <c r="Q71" s="1941"/>
      <c r="R71" s="1941"/>
      <c r="S71" s="1941"/>
      <c r="T71" s="1941"/>
      <c r="U71" s="1941"/>
      <c r="V71" s="1941"/>
      <c r="W71" s="1941"/>
      <c r="X71" s="1941"/>
      <c r="Y71" s="1941"/>
      <c r="Z71" s="1941"/>
      <c r="AA71" s="1942"/>
      <c r="AB71" s="1086"/>
      <c r="AC71" s="2173" t="s">
        <v>2555</v>
      </c>
      <c r="AD71" s="2174"/>
      <c r="AE71" s="2174"/>
      <c r="AF71" s="2175" t="s">
        <v>2556</v>
      </c>
      <c r="AG71" s="2175"/>
      <c r="AH71" s="2175"/>
      <c r="AI71" s="2175"/>
      <c r="AJ71" s="2175"/>
      <c r="AK71" s="2175"/>
      <c r="AL71" s="2175"/>
      <c r="AM71" s="2175"/>
      <c r="AN71" s="2175"/>
      <c r="AO71" s="2175"/>
      <c r="AP71" s="2175"/>
      <c r="AQ71" s="2175"/>
      <c r="AR71" s="2175"/>
      <c r="AS71" s="2175"/>
      <c r="AT71" s="2175"/>
      <c r="AU71" s="2176"/>
      <c r="AV71" s="1086"/>
      <c r="AW71" s="1086"/>
      <c r="AX71" s="1086"/>
      <c r="AY71" s="1086"/>
      <c r="AZ71" s="1086"/>
      <c r="BA71" s="1086"/>
      <c r="BB71" s="1086"/>
      <c r="BC71" s="1086"/>
      <c r="BD71" s="1086"/>
      <c r="BE71" s="1082"/>
      <c r="BM71" s="1077" t="s">
        <v>2557</v>
      </c>
    </row>
    <row r="72" spans="1:65" ht="15.75" customHeight="1">
      <c r="A72" s="1086"/>
      <c r="B72" s="1976" t="s">
        <v>2558</v>
      </c>
      <c r="C72" s="1977"/>
      <c r="D72" s="1977"/>
      <c r="E72" s="1977"/>
      <c r="F72" s="1977"/>
      <c r="G72" s="1977"/>
      <c r="H72" s="1977"/>
      <c r="I72" s="1977"/>
      <c r="J72" s="1977"/>
      <c r="K72" s="1977"/>
      <c r="L72" s="1977"/>
      <c r="M72" s="1977"/>
      <c r="N72" s="1977"/>
      <c r="O72" s="1941">
        <v>0</v>
      </c>
      <c r="P72" s="1941"/>
      <c r="Q72" s="1941"/>
      <c r="R72" s="1941"/>
      <c r="S72" s="1941"/>
      <c r="T72" s="1941"/>
      <c r="U72" s="1941"/>
      <c r="V72" s="1941"/>
      <c r="W72" s="1941"/>
      <c r="X72" s="1941"/>
      <c r="Y72" s="1941"/>
      <c r="Z72" s="1941"/>
      <c r="AA72" s="1942"/>
      <c r="AB72" s="1086"/>
      <c r="AC72" s="1943" t="s">
        <v>2559</v>
      </c>
      <c r="AD72" s="1944"/>
      <c r="AE72" s="1944"/>
      <c r="AF72" s="1944"/>
      <c r="AG72" s="1944"/>
      <c r="AH72" s="1944"/>
      <c r="AI72" s="1944"/>
      <c r="AJ72" s="1944"/>
      <c r="AK72" s="1944"/>
      <c r="AL72" s="1944"/>
      <c r="AM72" s="1944"/>
      <c r="AN72" s="1944"/>
      <c r="AO72" s="1944"/>
      <c r="AP72" s="1944"/>
      <c r="AQ72" s="1944"/>
      <c r="AR72" s="1944"/>
      <c r="AS72" s="1944"/>
      <c r="AT72" s="1944"/>
      <c r="AU72" s="1944"/>
      <c r="AV72" s="1945"/>
      <c r="AW72" s="1945"/>
      <c r="AX72" s="1945"/>
      <c r="AY72" s="1945"/>
      <c r="AZ72" s="1945"/>
      <c r="BA72" s="1945"/>
      <c r="BB72" s="1945"/>
      <c r="BC72" s="1946"/>
      <c r="BD72" s="1086"/>
      <c r="BE72" s="1082"/>
    </row>
    <row r="73" spans="1:65" ht="15.75" customHeight="1">
      <c r="A73" s="1086"/>
      <c r="B73" s="1947" t="s">
        <v>2560</v>
      </c>
      <c r="C73" s="1948"/>
      <c r="D73" s="1948"/>
      <c r="E73" s="1948"/>
      <c r="F73" s="1948"/>
      <c r="G73" s="1948"/>
      <c r="H73" s="1948"/>
      <c r="I73" s="1948"/>
      <c r="J73" s="1948"/>
      <c r="K73" s="1948"/>
      <c r="L73" s="1948"/>
      <c r="M73" s="1948"/>
      <c r="N73" s="1948"/>
      <c r="O73" s="1941">
        <v>0</v>
      </c>
      <c r="P73" s="1941"/>
      <c r="Q73" s="1941"/>
      <c r="R73" s="1941"/>
      <c r="S73" s="1941"/>
      <c r="T73" s="1941"/>
      <c r="U73" s="1941"/>
      <c r="V73" s="1941"/>
      <c r="W73" s="1941"/>
      <c r="X73" s="1941"/>
      <c r="Y73" s="1941"/>
      <c r="Z73" s="1941"/>
      <c r="AA73" s="1942"/>
      <c r="AB73" s="1086"/>
      <c r="AC73" s="2166" t="s">
        <v>2561</v>
      </c>
      <c r="AD73" s="2127"/>
      <c r="AE73" s="2127"/>
      <c r="AF73" s="2127"/>
      <c r="AG73" s="2127"/>
      <c r="AH73" s="2127"/>
      <c r="AI73" s="2127"/>
      <c r="AJ73" s="2127"/>
      <c r="AK73" s="2127"/>
      <c r="AL73" s="2127"/>
      <c r="AM73" s="2127"/>
      <c r="AN73" s="2127"/>
      <c r="AO73" s="2127"/>
      <c r="AP73" s="2127"/>
      <c r="AQ73" s="2127"/>
      <c r="AR73" s="2127"/>
      <c r="AS73" s="2127"/>
      <c r="AT73" s="2127"/>
      <c r="AU73" s="2127"/>
      <c r="AV73" s="2127"/>
      <c r="AW73" s="2127"/>
      <c r="AX73" s="2127"/>
      <c r="AY73" s="2127"/>
      <c r="AZ73" s="2127"/>
      <c r="BA73" s="2127"/>
      <c r="BB73" s="2127"/>
      <c r="BC73" s="2128"/>
      <c r="BD73" s="1086"/>
      <c r="BE73" s="1082"/>
    </row>
    <row r="74" spans="1:65" ht="15.75" customHeight="1">
      <c r="A74" s="1086"/>
      <c r="B74" s="2077" t="s">
        <v>2562</v>
      </c>
      <c r="C74" s="2078"/>
      <c r="D74" s="2078"/>
      <c r="E74" s="2078"/>
      <c r="F74" s="2078"/>
      <c r="G74" s="2078"/>
      <c r="H74" s="2078"/>
      <c r="I74" s="2078"/>
      <c r="J74" s="2078"/>
      <c r="K74" s="2078"/>
      <c r="L74" s="2078"/>
      <c r="M74" s="2078"/>
      <c r="N74" s="2078"/>
      <c r="O74" s="1941">
        <v>2700000</v>
      </c>
      <c r="P74" s="1941"/>
      <c r="Q74" s="1941"/>
      <c r="R74" s="1941"/>
      <c r="S74" s="1941"/>
      <c r="T74" s="1941"/>
      <c r="U74" s="1941"/>
      <c r="V74" s="1941"/>
      <c r="W74" s="1941"/>
      <c r="X74" s="1941"/>
      <c r="Y74" s="1941"/>
      <c r="Z74" s="1941"/>
      <c r="AA74" s="1942"/>
      <c r="AB74" s="1086"/>
      <c r="AC74" s="2126"/>
      <c r="AD74" s="2127"/>
      <c r="AE74" s="2127"/>
      <c r="AF74" s="2127"/>
      <c r="AG74" s="2127"/>
      <c r="AH74" s="2127"/>
      <c r="AI74" s="2127"/>
      <c r="AJ74" s="2127"/>
      <c r="AK74" s="2127"/>
      <c r="AL74" s="2127"/>
      <c r="AM74" s="2127"/>
      <c r="AN74" s="2127"/>
      <c r="AO74" s="2127"/>
      <c r="AP74" s="2127"/>
      <c r="AQ74" s="2127"/>
      <c r="AR74" s="2127"/>
      <c r="AS74" s="2127"/>
      <c r="AT74" s="2127"/>
      <c r="AU74" s="2127"/>
      <c r="AV74" s="2127"/>
      <c r="AW74" s="2127"/>
      <c r="AX74" s="2127"/>
      <c r="AY74" s="2127"/>
      <c r="AZ74" s="2127"/>
      <c r="BA74" s="2127"/>
      <c r="BB74" s="2127"/>
      <c r="BC74" s="2128"/>
      <c r="BD74" s="1086"/>
      <c r="BE74" s="1082"/>
    </row>
    <row r="75" spans="1:65" ht="15.75" customHeight="1" thickBot="1">
      <c r="A75" s="1086"/>
      <c r="B75" s="2169" t="s">
        <v>1563</v>
      </c>
      <c r="C75" s="2170"/>
      <c r="D75" s="2170"/>
      <c r="E75" s="2170"/>
      <c r="F75" s="2170"/>
      <c r="G75" s="2170"/>
      <c r="H75" s="2170"/>
      <c r="I75" s="2170"/>
      <c r="J75" s="2170"/>
      <c r="K75" s="2170"/>
      <c r="L75" s="2170"/>
      <c r="M75" s="2170"/>
      <c r="N75" s="2170"/>
      <c r="O75" s="1949">
        <f>SUM(O70:AA74)</f>
        <v>2700000</v>
      </c>
      <c r="P75" s="1949"/>
      <c r="Q75" s="1949"/>
      <c r="R75" s="1949"/>
      <c r="S75" s="1949"/>
      <c r="T75" s="1949"/>
      <c r="U75" s="1949"/>
      <c r="V75" s="1949"/>
      <c r="W75" s="1949"/>
      <c r="X75" s="1949"/>
      <c r="Y75" s="1949"/>
      <c r="Z75" s="1949"/>
      <c r="AA75" s="1950"/>
      <c r="AB75" s="1086"/>
      <c r="AC75" s="2126"/>
      <c r="AD75" s="2127"/>
      <c r="AE75" s="2127"/>
      <c r="AF75" s="2127"/>
      <c r="AG75" s="2127"/>
      <c r="AH75" s="2127"/>
      <c r="AI75" s="2127"/>
      <c r="AJ75" s="2127"/>
      <c r="AK75" s="2127"/>
      <c r="AL75" s="2127"/>
      <c r="AM75" s="2127"/>
      <c r="AN75" s="2127"/>
      <c r="AO75" s="2127"/>
      <c r="AP75" s="2127"/>
      <c r="AQ75" s="2127"/>
      <c r="AR75" s="2127"/>
      <c r="AS75" s="2127"/>
      <c r="AT75" s="2127"/>
      <c r="AU75" s="2127"/>
      <c r="AV75" s="2127"/>
      <c r="AW75" s="2127"/>
      <c r="AX75" s="2127"/>
      <c r="AY75" s="2127"/>
      <c r="AZ75" s="2127"/>
      <c r="BA75" s="2127"/>
      <c r="BB75" s="2127"/>
      <c r="BC75" s="2128"/>
      <c r="BD75" s="1086"/>
      <c r="BE75" s="1082"/>
    </row>
    <row r="76" spans="1:65" ht="15.75" customHeight="1">
      <c r="A76" s="1086"/>
      <c r="B76" s="1086"/>
      <c r="C76" s="1086"/>
      <c r="D76" s="1086"/>
      <c r="E76" s="1086"/>
      <c r="F76" s="1086"/>
      <c r="G76" s="1086"/>
      <c r="H76" s="1086"/>
      <c r="I76" s="1086"/>
      <c r="J76" s="1086"/>
      <c r="K76" s="1086"/>
      <c r="L76" s="1086"/>
      <c r="M76" s="1086"/>
      <c r="N76" s="1086"/>
      <c r="O76" s="1086"/>
      <c r="P76" s="1086"/>
      <c r="Q76" s="1086"/>
      <c r="R76" s="1086"/>
      <c r="S76" s="1086"/>
      <c r="T76" s="1086"/>
      <c r="U76" s="1086"/>
      <c r="V76" s="1086"/>
      <c r="W76" s="1086"/>
      <c r="X76" s="1086"/>
      <c r="Y76" s="1086"/>
      <c r="Z76" s="1086"/>
      <c r="AA76" s="1086"/>
      <c r="AB76" s="1086"/>
      <c r="AC76" s="2126"/>
      <c r="AD76" s="2127"/>
      <c r="AE76" s="2127"/>
      <c r="AF76" s="2127"/>
      <c r="AG76" s="2127"/>
      <c r="AH76" s="2127"/>
      <c r="AI76" s="2127"/>
      <c r="AJ76" s="2127"/>
      <c r="AK76" s="2127"/>
      <c r="AL76" s="2127"/>
      <c r="AM76" s="2127"/>
      <c r="AN76" s="2127"/>
      <c r="AO76" s="2127"/>
      <c r="AP76" s="2127"/>
      <c r="AQ76" s="2127"/>
      <c r="AR76" s="2127"/>
      <c r="AS76" s="2127"/>
      <c r="AT76" s="2127"/>
      <c r="AU76" s="2127"/>
      <c r="AV76" s="2127"/>
      <c r="AW76" s="2127"/>
      <c r="AX76" s="2127"/>
      <c r="AY76" s="2127"/>
      <c r="AZ76" s="2127"/>
      <c r="BA76" s="2127"/>
      <c r="BB76" s="2127"/>
      <c r="BC76" s="2128"/>
      <c r="BD76" s="1086"/>
      <c r="BE76" s="1082"/>
    </row>
    <row r="77" spans="1:65" ht="15.75" customHeight="1" thickBot="1">
      <c r="A77" s="1086"/>
      <c r="B77" s="1086"/>
      <c r="C77" s="1086"/>
      <c r="D77" s="1086"/>
      <c r="E77" s="1086"/>
      <c r="F77" s="1086"/>
      <c r="G77" s="1086"/>
      <c r="H77" s="1086"/>
      <c r="I77" s="1086"/>
      <c r="J77" s="1086"/>
      <c r="K77" s="1086"/>
      <c r="L77" s="1086"/>
      <c r="M77" s="1086"/>
      <c r="N77" s="1086"/>
      <c r="O77" s="1086"/>
      <c r="P77" s="1086"/>
      <c r="Q77" s="1086"/>
      <c r="R77" s="1086"/>
      <c r="S77" s="1086"/>
      <c r="T77" s="1086"/>
      <c r="U77" s="1086"/>
      <c r="V77" s="1086"/>
      <c r="W77" s="1086"/>
      <c r="X77" s="1086"/>
      <c r="Y77" s="1086"/>
      <c r="Z77" s="1086"/>
      <c r="AA77" s="1086"/>
      <c r="AB77" s="1086"/>
      <c r="AC77" s="2129"/>
      <c r="AD77" s="2130"/>
      <c r="AE77" s="2130"/>
      <c r="AF77" s="2130"/>
      <c r="AG77" s="2130"/>
      <c r="AH77" s="2130"/>
      <c r="AI77" s="2130"/>
      <c r="AJ77" s="2130"/>
      <c r="AK77" s="2130"/>
      <c r="AL77" s="2130"/>
      <c r="AM77" s="2130"/>
      <c r="AN77" s="2130"/>
      <c r="AO77" s="2130"/>
      <c r="AP77" s="2130"/>
      <c r="AQ77" s="2130"/>
      <c r="AR77" s="2130"/>
      <c r="AS77" s="2130"/>
      <c r="AT77" s="2130"/>
      <c r="AU77" s="2130"/>
      <c r="AV77" s="2130"/>
      <c r="AW77" s="2130"/>
      <c r="AX77" s="2130"/>
      <c r="AY77" s="2130"/>
      <c r="AZ77" s="2130"/>
      <c r="BA77" s="2130"/>
      <c r="BB77" s="2130"/>
      <c r="BC77" s="2131"/>
      <c r="BD77" s="1086"/>
      <c r="BE77" s="1082"/>
    </row>
    <row r="78" spans="1:65" ht="15.75" customHeight="1" thickBot="1">
      <c r="A78" s="1086"/>
      <c r="B78" s="1117" t="s">
        <v>2563</v>
      </c>
      <c r="C78" s="1123"/>
      <c r="D78" s="1123"/>
      <c r="E78" s="1123"/>
      <c r="F78" s="1123"/>
      <c r="G78" s="1123"/>
      <c r="H78" s="1123"/>
      <c r="I78" s="1123"/>
      <c r="J78" s="1123"/>
      <c r="K78" s="1123"/>
      <c r="L78" s="1123"/>
      <c r="M78" s="1123"/>
      <c r="N78" s="1123"/>
      <c r="O78" s="1123"/>
      <c r="P78" s="1123"/>
      <c r="Q78" s="1122"/>
      <c r="R78" s="1086"/>
      <c r="S78" s="1086"/>
      <c r="T78" s="1086"/>
      <c r="U78" s="1086"/>
      <c r="V78" s="1086"/>
      <c r="W78" s="1086"/>
      <c r="X78" s="1086"/>
      <c r="Y78" s="1086"/>
      <c r="Z78" s="1086"/>
      <c r="AA78" s="1086"/>
      <c r="AB78" s="1086"/>
      <c r="AC78" s="1086"/>
      <c r="AD78" s="1086"/>
      <c r="AE78" s="1086"/>
      <c r="AF78" s="1086"/>
      <c r="AG78" s="1086"/>
      <c r="AH78" s="1086"/>
      <c r="AI78" s="1086"/>
      <c r="AJ78" s="1086"/>
      <c r="AK78" s="1086"/>
      <c r="AL78" s="1086"/>
      <c r="AM78" s="1086"/>
      <c r="AN78" s="1086"/>
      <c r="AO78" s="1086"/>
      <c r="AP78" s="1086"/>
      <c r="AQ78" s="1086"/>
      <c r="AR78" s="1086"/>
      <c r="AS78" s="1086"/>
      <c r="AT78" s="1086"/>
      <c r="AU78" s="1086"/>
      <c r="AV78" s="1086"/>
      <c r="AW78" s="1086"/>
      <c r="AX78" s="1086"/>
      <c r="AY78" s="1086"/>
      <c r="AZ78" s="1086"/>
      <c r="BA78" s="1086"/>
      <c r="BB78" s="1086"/>
      <c r="BC78" s="1086"/>
      <c r="BD78" s="1086"/>
      <c r="BE78" s="1082"/>
    </row>
    <row r="79" spans="1:65" ht="15.75" customHeight="1">
      <c r="A79" s="1086"/>
      <c r="B79" s="1117" t="s">
        <v>2564</v>
      </c>
      <c r="C79" s="1116"/>
      <c r="D79" s="1116"/>
      <c r="E79" s="1128"/>
      <c r="F79" s="1961" t="s">
        <v>1131</v>
      </c>
      <c r="G79" s="1962"/>
      <c r="H79" s="1962"/>
      <c r="I79" s="1962"/>
      <c r="J79" s="1962"/>
      <c r="K79" s="1962"/>
      <c r="L79" s="1962"/>
      <c r="M79" s="1929"/>
      <c r="N79" s="1929"/>
      <c r="O79" s="1929"/>
      <c r="P79" s="1929"/>
      <c r="Q79" s="1930"/>
      <c r="R79" s="1086"/>
      <c r="S79" s="1086"/>
      <c r="T79" s="1086"/>
      <c r="U79" s="1086"/>
      <c r="V79" s="1086"/>
      <c r="W79" s="1086"/>
      <c r="X79" s="1086"/>
      <c r="Y79" s="1086"/>
      <c r="Z79" s="1086"/>
      <c r="AA79" s="1086"/>
      <c r="AB79" s="1086"/>
      <c r="AC79" s="1086"/>
      <c r="AD79" s="1086"/>
      <c r="AE79" s="1086"/>
      <c r="AF79" s="1086"/>
      <c r="AG79" s="1086"/>
      <c r="AH79" s="1086"/>
      <c r="AI79" s="1086"/>
      <c r="AJ79" s="1086"/>
      <c r="AK79" s="1086"/>
      <c r="AL79" s="1086"/>
      <c r="AM79" s="1086"/>
      <c r="AN79" s="1086"/>
      <c r="AO79" s="1086"/>
      <c r="AP79" s="1086"/>
      <c r="AQ79" s="1086"/>
      <c r="AR79" s="1086"/>
      <c r="AS79" s="1086"/>
      <c r="AT79" s="1086"/>
      <c r="AU79" s="1086"/>
      <c r="AV79" s="1086"/>
      <c r="AW79" s="1086"/>
      <c r="AX79" s="1086"/>
      <c r="AY79" s="1086"/>
      <c r="AZ79" s="1086"/>
      <c r="BA79" s="1086"/>
      <c r="BB79" s="1086"/>
      <c r="BC79" s="1086"/>
      <c r="BD79" s="1086"/>
      <c r="BE79" s="1082"/>
    </row>
    <row r="80" spans="1:65" ht="15.75" customHeight="1" thickBot="1">
      <c r="A80" s="1086"/>
      <c r="B80" s="1121" t="s">
        <v>2565</v>
      </c>
      <c r="C80" s="1120"/>
      <c r="D80" s="1119"/>
      <c r="E80" s="1119"/>
      <c r="F80" s="1119"/>
      <c r="G80" s="1119"/>
      <c r="H80" s="1119"/>
      <c r="I80" s="1119"/>
      <c r="J80" s="1119"/>
      <c r="K80" s="1119"/>
      <c r="L80" s="1118"/>
      <c r="M80" s="1119"/>
      <c r="N80" s="1118"/>
      <c r="O80" s="1934" t="e">
        <f>BR96/SUM($BR$96:$BR$98)</f>
        <v>#DIV/0!</v>
      </c>
      <c r="P80" s="1935"/>
      <c r="Q80" s="1936"/>
      <c r="R80" s="1086"/>
      <c r="S80" s="1086"/>
      <c r="T80" s="1086"/>
      <c r="U80" s="1086"/>
      <c r="V80" s="1086"/>
      <c r="W80" s="1086"/>
      <c r="X80" s="1086"/>
      <c r="Y80" s="1086"/>
      <c r="Z80" s="1086"/>
      <c r="AA80" s="1086"/>
      <c r="AB80" s="1086"/>
      <c r="AC80" s="1086"/>
      <c r="AD80" s="1086"/>
      <c r="AE80" s="1086"/>
      <c r="AF80" s="1086"/>
      <c r="AG80" s="1086"/>
      <c r="AH80" s="1086"/>
      <c r="AI80" s="1086"/>
      <c r="AJ80" s="1086"/>
      <c r="AK80" s="1086"/>
      <c r="AL80" s="1086"/>
      <c r="AM80" s="1086"/>
      <c r="AN80" s="1086"/>
      <c r="AO80" s="1086"/>
      <c r="AP80" s="1086"/>
      <c r="AQ80" s="1086"/>
      <c r="AR80" s="1086"/>
      <c r="AS80" s="1086"/>
      <c r="AT80" s="1086"/>
      <c r="AU80" s="1086"/>
      <c r="AV80" s="1086"/>
      <c r="AW80" s="1086"/>
      <c r="AX80" s="1086"/>
      <c r="AY80" s="1086"/>
      <c r="AZ80" s="1086"/>
      <c r="BA80" s="1086"/>
      <c r="BB80" s="1086"/>
      <c r="BC80" s="1086"/>
      <c r="BD80" s="1086"/>
      <c r="BE80" s="1082"/>
    </row>
    <row r="81" spans="1:70" ht="15.75" customHeight="1" thickBot="1">
      <c r="A81" s="1086"/>
      <c r="B81" s="1121" t="s">
        <v>2566</v>
      </c>
      <c r="C81" s="1124"/>
      <c r="D81" s="1106"/>
      <c r="E81" s="1106"/>
      <c r="F81" s="1106"/>
      <c r="G81" s="1106"/>
      <c r="H81" s="1106"/>
      <c r="I81" s="1106"/>
      <c r="J81" s="1106"/>
      <c r="K81" s="1106"/>
      <c r="L81" s="1106"/>
      <c r="M81" s="1106"/>
      <c r="N81" s="1126"/>
      <c r="O81" s="1925" t="s">
        <v>2347</v>
      </c>
      <c r="P81" s="1926"/>
      <c r="Q81" s="1927"/>
      <c r="R81" s="1086"/>
      <c r="S81" s="1086"/>
      <c r="T81" s="1086"/>
      <c r="U81" s="1086"/>
      <c r="V81" s="1086"/>
      <c r="W81" s="1086"/>
      <c r="X81" s="1086"/>
      <c r="Y81" s="1086"/>
      <c r="Z81" s="1086"/>
      <c r="AA81" s="1086"/>
      <c r="AB81" s="1086"/>
      <c r="AC81" s="1086"/>
      <c r="AD81" s="1086"/>
      <c r="AE81" s="1086"/>
      <c r="AF81" s="1086"/>
      <c r="AG81" s="1086"/>
      <c r="AH81" s="1086"/>
      <c r="AI81" s="1086"/>
      <c r="AJ81" s="1086"/>
      <c r="AK81" s="1086"/>
      <c r="AL81" s="1086"/>
      <c r="AM81" s="1086"/>
      <c r="AN81" s="1086"/>
      <c r="AO81" s="1086"/>
      <c r="AP81" s="1086"/>
      <c r="AQ81" s="1086"/>
      <c r="AR81" s="1086"/>
      <c r="AS81" s="1086"/>
      <c r="AT81" s="1086"/>
      <c r="AU81" s="1086"/>
      <c r="AV81" s="1086"/>
      <c r="AW81" s="1086"/>
      <c r="AX81" s="1086"/>
      <c r="AY81" s="1086"/>
      <c r="AZ81" s="1086"/>
      <c r="BA81" s="1086"/>
      <c r="BB81" s="1086"/>
      <c r="BC81" s="1086"/>
      <c r="BD81" s="1086"/>
      <c r="BE81" s="1082"/>
    </row>
    <row r="82" spans="1:70" ht="15.75" customHeight="1" thickBot="1">
      <c r="A82" s="1086"/>
      <c r="B82" s="1086"/>
      <c r="C82" s="1086"/>
      <c r="D82" s="1086"/>
      <c r="E82" s="1086"/>
      <c r="F82" s="1086"/>
      <c r="G82" s="1086"/>
      <c r="H82" s="1086"/>
      <c r="I82" s="1086"/>
      <c r="J82" s="1086"/>
      <c r="K82" s="1086"/>
      <c r="L82" s="1086"/>
      <c r="M82" s="1086"/>
      <c r="N82" s="1086"/>
      <c r="O82" s="1086"/>
      <c r="P82" s="1086"/>
      <c r="Q82" s="1086"/>
      <c r="R82" s="1086"/>
      <c r="S82" s="1086"/>
      <c r="T82" s="1086"/>
      <c r="U82" s="1086"/>
      <c r="V82" s="1086"/>
      <c r="W82" s="1086"/>
      <c r="X82" s="1086"/>
      <c r="Y82" s="1086"/>
      <c r="Z82" s="1086"/>
      <c r="AA82" s="1086"/>
      <c r="AB82" s="1086"/>
      <c r="AC82" s="1086"/>
      <c r="AD82" s="1086"/>
      <c r="AE82" s="1086"/>
      <c r="AF82" s="1086"/>
      <c r="AG82" s="1086"/>
      <c r="AH82" s="1086"/>
      <c r="AI82" s="1086"/>
      <c r="AJ82" s="1086"/>
      <c r="AK82" s="1086"/>
      <c r="AL82" s="1086"/>
      <c r="AM82" s="1086"/>
      <c r="AN82" s="1086"/>
      <c r="AO82" s="1086"/>
      <c r="AP82" s="1086"/>
      <c r="AQ82" s="1086"/>
      <c r="AR82" s="1086"/>
      <c r="AS82" s="1086"/>
      <c r="AT82" s="1086"/>
      <c r="AU82" s="1086"/>
      <c r="AV82" s="1086"/>
      <c r="AW82" s="1086"/>
      <c r="AX82" s="1086"/>
      <c r="AY82" s="1086"/>
      <c r="AZ82" s="1086"/>
      <c r="BA82" s="1086"/>
      <c r="BB82" s="1086"/>
      <c r="BC82" s="1086"/>
      <c r="BD82" s="1086"/>
      <c r="BE82" s="1082"/>
    </row>
    <row r="83" spans="1:70" ht="15.75" customHeight="1">
      <c r="A83" s="1086"/>
      <c r="B83" s="2308" t="s">
        <v>2567</v>
      </c>
      <c r="C83" s="2309"/>
      <c r="D83" s="2309"/>
      <c r="E83" s="2309"/>
      <c r="F83" s="2309"/>
      <c r="G83" s="2309"/>
      <c r="H83" s="2309"/>
      <c r="I83" s="2309"/>
      <c r="J83" s="2309"/>
      <c r="K83" s="2309"/>
      <c r="L83" s="2309"/>
      <c r="M83" s="2309"/>
      <c r="N83" s="2309"/>
      <c r="O83" s="2309"/>
      <c r="P83" s="2309"/>
      <c r="Q83" s="2309"/>
      <c r="R83" s="2309"/>
      <c r="S83" s="2309"/>
      <c r="T83" s="2309"/>
      <c r="U83" s="2309"/>
      <c r="V83" s="2309"/>
      <c r="W83" s="2309"/>
      <c r="X83" s="2309"/>
      <c r="Y83" s="2309"/>
      <c r="Z83" s="2309"/>
      <c r="AA83" s="2309"/>
      <c r="AB83" s="2309"/>
      <c r="AC83" s="2309"/>
      <c r="AD83" s="2309"/>
      <c r="AE83" s="2309"/>
      <c r="AF83" s="2309"/>
      <c r="AG83" s="2309"/>
      <c r="AH83" s="2310"/>
      <c r="AI83" s="1086"/>
      <c r="AJ83" s="1915" t="s">
        <v>2568</v>
      </c>
      <c r="AK83" s="1916"/>
      <c r="AL83" s="1916"/>
      <c r="AM83" s="1916"/>
      <c r="AN83" s="1916"/>
      <c r="AO83" s="1916"/>
      <c r="AP83" s="1916"/>
      <c r="AQ83" s="1916"/>
      <c r="AR83" s="1916"/>
      <c r="AS83" s="1916"/>
      <c r="AT83" s="1916"/>
      <c r="AU83" s="1916"/>
      <c r="AV83" s="1916"/>
      <c r="AW83" s="1916"/>
      <c r="AX83" s="1916"/>
      <c r="AY83" s="1937" t="s">
        <v>837</v>
      </c>
      <c r="AZ83" s="1937"/>
      <c r="BA83" s="1937"/>
      <c r="BB83" s="1938"/>
      <c r="BC83" s="1086"/>
      <c r="BD83" s="1086"/>
      <c r="BE83" s="1082"/>
    </row>
    <row r="84" spans="1:70" ht="15.75" customHeight="1">
      <c r="A84" s="1086"/>
      <c r="B84" s="1907"/>
      <c r="C84" s="1908"/>
      <c r="D84" s="1908"/>
      <c r="E84" s="1908"/>
      <c r="F84" s="1908"/>
      <c r="G84" s="1908"/>
      <c r="H84" s="1908"/>
      <c r="I84" s="1908" t="s">
        <v>2569</v>
      </c>
      <c r="J84" s="1908"/>
      <c r="K84" s="1908"/>
      <c r="L84" s="1908"/>
      <c r="M84" s="1908"/>
      <c r="N84" s="1908"/>
      <c r="O84" s="1908" t="s">
        <v>2570</v>
      </c>
      <c r="P84" s="1908"/>
      <c r="Q84" s="1908"/>
      <c r="R84" s="1908"/>
      <c r="S84" s="1908"/>
      <c r="T84" s="1908"/>
      <c r="U84" s="1908"/>
      <c r="V84" s="1909" t="s">
        <v>2571</v>
      </c>
      <c r="W84" s="1909"/>
      <c r="X84" s="1909"/>
      <c r="Y84" s="1909"/>
      <c r="Z84" s="1909"/>
      <c r="AA84" s="1909"/>
      <c r="AB84" s="1910" t="s">
        <v>2572</v>
      </c>
      <c r="AC84" s="1910"/>
      <c r="AD84" s="1910"/>
      <c r="AE84" s="1910"/>
      <c r="AF84" s="1910"/>
      <c r="AG84" s="1910"/>
      <c r="AH84" s="1911"/>
      <c r="AI84" s="1086"/>
      <c r="AJ84" s="1917"/>
      <c r="AK84" s="1918"/>
      <c r="AL84" s="1918"/>
      <c r="AM84" s="1918"/>
      <c r="AN84" s="1918"/>
      <c r="AO84" s="1918"/>
      <c r="AP84" s="1918"/>
      <c r="AQ84" s="1918"/>
      <c r="AR84" s="1918"/>
      <c r="AS84" s="1918"/>
      <c r="AT84" s="1918"/>
      <c r="AU84" s="1918"/>
      <c r="AV84" s="1918"/>
      <c r="AW84" s="1918"/>
      <c r="AX84" s="1918"/>
      <c r="AY84" s="1939"/>
      <c r="AZ84" s="1939"/>
      <c r="BA84" s="1939"/>
      <c r="BB84" s="1940"/>
      <c r="BC84" s="1086"/>
      <c r="BD84" s="1086"/>
      <c r="BE84" s="1082"/>
    </row>
    <row r="85" spans="1:70" ht="15.75" customHeight="1">
      <c r="A85" s="1086"/>
      <c r="B85" s="1907"/>
      <c r="C85" s="1908"/>
      <c r="D85" s="1908"/>
      <c r="E85" s="1908"/>
      <c r="F85" s="1908"/>
      <c r="G85" s="1908"/>
      <c r="H85" s="1908"/>
      <c r="I85" s="1908"/>
      <c r="J85" s="1908"/>
      <c r="K85" s="1908"/>
      <c r="L85" s="1908"/>
      <c r="M85" s="1908"/>
      <c r="N85" s="1908"/>
      <c r="O85" s="1908"/>
      <c r="P85" s="1908"/>
      <c r="Q85" s="1908"/>
      <c r="R85" s="1908"/>
      <c r="S85" s="1908"/>
      <c r="T85" s="1908"/>
      <c r="U85" s="1908"/>
      <c r="V85" s="1909"/>
      <c r="W85" s="1909"/>
      <c r="X85" s="1909"/>
      <c r="Y85" s="1909"/>
      <c r="Z85" s="1909"/>
      <c r="AA85" s="1909"/>
      <c r="AB85" s="1910"/>
      <c r="AC85" s="1910"/>
      <c r="AD85" s="1910"/>
      <c r="AE85" s="1910"/>
      <c r="AF85" s="1910"/>
      <c r="AG85" s="1910"/>
      <c r="AH85" s="1911"/>
      <c r="AI85" s="1086"/>
      <c r="AJ85" s="1917"/>
      <c r="AK85" s="1918"/>
      <c r="AL85" s="1918"/>
      <c r="AM85" s="1918"/>
      <c r="AN85" s="1918"/>
      <c r="AO85" s="1918"/>
      <c r="AP85" s="1918"/>
      <c r="AQ85" s="1918"/>
      <c r="AR85" s="1918"/>
      <c r="AS85" s="1918"/>
      <c r="AT85" s="1918"/>
      <c r="AU85" s="1918"/>
      <c r="AV85" s="1918"/>
      <c r="AW85" s="1918"/>
      <c r="AX85" s="1918"/>
      <c r="AY85" s="1939"/>
      <c r="AZ85" s="1939"/>
      <c r="BA85" s="1939"/>
      <c r="BB85" s="1940"/>
      <c r="BC85" s="1086"/>
      <c r="BD85" s="1086"/>
      <c r="BE85" s="1082"/>
    </row>
    <row r="86" spans="1:70" ht="15.75" customHeight="1">
      <c r="A86" s="1086"/>
      <c r="B86" s="1907" t="s">
        <v>2573</v>
      </c>
      <c r="C86" s="1908"/>
      <c r="D86" s="1908"/>
      <c r="E86" s="1908"/>
      <c r="F86" s="1908"/>
      <c r="G86" s="1908"/>
      <c r="H86" s="1908"/>
      <c r="I86" s="1905">
        <v>1557</v>
      </c>
      <c r="J86" s="1905"/>
      <c r="K86" s="1905"/>
      <c r="L86" s="1905"/>
      <c r="M86" s="1905"/>
      <c r="N86" s="1905"/>
      <c r="O86" s="1905">
        <v>648</v>
      </c>
      <c r="P86" s="1905"/>
      <c r="Q86" s="1905"/>
      <c r="R86" s="1905"/>
      <c r="S86" s="1905"/>
      <c r="T86" s="1905"/>
      <c r="U86" s="1905"/>
      <c r="V86" s="1905">
        <v>528</v>
      </c>
      <c r="W86" s="1905"/>
      <c r="X86" s="1905"/>
      <c r="Y86" s="1905"/>
      <c r="Z86" s="1905"/>
      <c r="AA86" s="1905"/>
      <c r="AB86" s="1905">
        <v>138</v>
      </c>
      <c r="AC86" s="1905"/>
      <c r="AD86" s="1905"/>
      <c r="AE86" s="1905"/>
      <c r="AF86" s="1905"/>
      <c r="AG86" s="1905"/>
      <c r="AH86" s="1906"/>
      <c r="AI86" s="1086"/>
      <c r="AJ86" s="1917"/>
      <c r="AK86" s="1918"/>
      <c r="AL86" s="1918"/>
      <c r="AM86" s="1918"/>
      <c r="AN86" s="1918"/>
      <c r="AO86" s="1918"/>
      <c r="AP86" s="1918"/>
      <c r="AQ86" s="1918"/>
      <c r="AR86" s="1918"/>
      <c r="AS86" s="1918"/>
      <c r="AT86" s="1918"/>
      <c r="AU86" s="1918"/>
      <c r="AV86" s="1918"/>
      <c r="AW86" s="1918"/>
      <c r="AX86" s="1918"/>
      <c r="AY86" s="1939"/>
      <c r="AZ86" s="1939"/>
      <c r="BA86" s="1939"/>
      <c r="BB86" s="1940"/>
      <c r="BC86" s="1086"/>
      <c r="BD86" s="1086"/>
      <c r="BE86" s="1082"/>
    </row>
    <row r="87" spans="1:70" ht="15.75" customHeight="1">
      <c r="A87" s="1086"/>
      <c r="B87" s="1907" t="s">
        <v>2574</v>
      </c>
      <c r="C87" s="1908"/>
      <c r="D87" s="1908"/>
      <c r="E87" s="1908"/>
      <c r="F87" s="1908"/>
      <c r="G87" s="1908"/>
      <c r="H87" s="1908"/>
      <c r="I87" s="1905">
        <v>0</v>
      </c>
      <c r="J87" s="1905"/>
      <c r="K87" s="1905"/>
      <c r="L87" s="1905"/>
      <c r="M87" s="1905"/>
      <c r="N87" s="1905"/>
      <c r="O87" s="1905">
        <v>0</v>
      </c>
      <c r="P87" s="1905"/>
      <c r="Q87" s="1905"/>
      <c r="R87" s="1905"/>
      <c r="S87" s="1905"/>
      <c r="T87" s="1905"/>
      <c r="U87" s="1905"/>
      <c r="V87" s="1905">
        <v>0</v>
      </c>
      <c r="W87" s="1905"/>
      <c r="X87" s="1905"/>
      <c r="Y87" s="1905"/>
      <c r="Z87" s="1905"/>
      <c r="AA87" s="1905"/>
      <c r="AB87" s="1905">
        <v>0</v>
      </c>
      <c r="AC87" s="1905"/>
      <c r="AD87" s="1905"/>
      <c r="AE87" s="1905"/>
      <c r="AF87" s="1905"/>
      <c r="AG87" s="1905"/>
      <c r="AH87" s="1906"/>
      <c r="AI87" s="1086"/>
      <c r="AJ87" s="1919" t="s">
        <v>2575</v>
      </c>
      <c r="AK87" s="1920"/>
      <c r="AL87" s="1920"/>
      <c r="AM87" s="1920"/>
      <c r="AN87" s="1920"/>
      <c r="AO87" s="1920"/>
      <c r="AP87" s="1920"/>
      <c r="AQ87" s="1920"/>
      <c r="AR87" s="1920"/>
      <c r="AS87" s="1920"/>
      <c r="AT87" s="1920"/>
      <c r="AU87" s="1920"/>
      <c r="AV87" s="1920"/>
      <c r="AW87" s="1920"/>
      <c r="AX87" s="1920"/>
      <c r="AY87" s="1920"/>
      <c r="AZ87" s="1920"/>
      <c r="BA87" s="1920"/>
      <c r="BB87" s="1921"/>
      <c r="BC87" s="1086"/>
      <c r="BD87" s="1086"/>
      <c r="BE87" s="1082"/>
    </row>
    <row r="88" spans="1:70" ht="15.75" customHeight="1" thickBot="1">
      <c r="A88" s="1086"/>
      <c r="B88" s="1901" t="s">
        <v>2576</v>
      </c>
      <c r="C88" s="1902"/>
      <c r="D88" s="1902"/>
      <c r="E88" s="1902"/>
      <c r="F88" s="1902"/>
      <c r="G88" s="1902"/>
      <c r="H88" s="1902"/>
      <c r="I88" s="1903">
        <v>1557</v>
      </c>
      <c r="J88" s="1903"/>
      <c r="K88" s="1903"/>
      <c r="L88" s="1903"/>
      <c r="M88" s="1903"/>
      <c r="N88" s="1903"/>
      <c r="O88" s="1903">
        <v>648</v>
      </c>
      <c r="P88" s="1903"/>
      <c r="Q88" s="1903"/>
      <c r="R88" s="1903"/>
      <c r="S88" s="1903"/>
      <c r="T88" s="1903"/>
      <c r="U88" s="1903"/>
      <c r="V88" s="1903">
        <v>528</v>
      </c>
      <c r="W88" s="1903"/>
      <c r="X88" s="1903"/>
      <c r="Y88" s="1903"/>
      <c r="Z88" s="1903"/>
      <c r="AA88" s="1903"/>
      <c r="AB88" s="1903">
        <v>138</v>
      </c>
      <c r="AC88" s="1903"/>
      <c r="AD88" s="1903"/>
      <c r="AE88" s="1903"/>
      <c r="AF88" s="1903"/>
      <c r="AG88" s="1903"/>
      <c r="AH88" s="1904"/>
      <c r="AI88" s="1086"/>
      <c r="AJ88" s="1922"/>
      <c r="AK88" s="1923"/>
      <c r="AL88" s="1923"/>
      <c r="AM88" s="1923"/>
      <c r="AN88" s="1923"/>
      <c r="AO88" s="1923"/>
      <c r="AP88" s="1923"/>
      <c r="AQ88" s="1923"/>
      <c r="AR88" s="1923"/>
      <c r="AS88" s="1923"/>
      <c r="AT88" s="1923"/>
      <c r="AU88" s="1923"/>
      <c r="AV88" s="1923"/>
      <c r="AW88" s="1923"/>
      <c r="AX88" s="1923"/>
      <c r="AY88" s="1923"/>
      <c r="AZ88" s="1923"/>
      <c r="BA88" s="1923"/>
      <c r="BB88" s="1924"/>
      <c r="BC88" s="1086"/>
      <c r="BD88" s="1086"/>
      <c r="BE88" s="1082"/>
    </row>
    <row r="89" spans="1:70" ht="15.75" customHeight="1">
      <c r="A89" s="1086"/>
      <c r="B89" s="1086"/>
      <c r="C89" s="1086"/>
      <c r="D89" s="1086"/>
      <c r="E89" s="1086"/>
      <c r="F89" s="1086"/>
      <c r="G89" s="1086"/>
      <c r="H89" s="1086"/>
      <c r="I89" s="1086"/>
      <c r="J89" s="1086"/>
      <c r="K89" s="1086"/>
      <c r="L89" s="1086"/>
      <c r="M89" s="1086"/>
      <c r="N89" s="1086"/>
      <c r="O89" s="1086"/>
      <c r="P89" s="1086"/>
      <c r="Q89" s="1086"/>
      <c r="R89" s="1086"/>
      <c r="S89" s="1086"/>
      <c r="T89" s="1086"/>
      <c r="U89" s="1086"/>
      <c r="V89" s="1086"/>
      <c r="W89" s="1086"/>
      <c r="X89" s="1086"/>
      <c r="Y89" s="1086"/>
      <c r="Z89" s="1086"/>
      <c r="AA89" s="1086"/>
      <c r="AB89" s="1086"/>
      <c r="AC89" s="1086"/>
      <c r="AD89" s="1086"/>
      <c r="AE89" s="1086"/>
      <c r="AF89" s="1086"/>
      <c r="AG89" s="1086"/>
      <c r="AH89" s="1086"/>
      <c r="AI89" s="1086"/>
      <c r="AJ89" s="1086"/>
      <c r="AK89" s="1086"/>
      <c r="AL89" s="1086"/>
      <c r="AM89" s="1086"/>
      <c r="AN89" s="1086"/>
      <c r="AO89" s="1086"/>
      <c r="AP89" s="1086"/>
      <c r="AQ89" s="1086"/>
      <c r="AR89" s="1086"/>
      <c r="AS89" s="1086"/>
      <c r="AT89" s="1086"/>
      <c r="AU89" s="1086"/>
      <c r="AV89" s="1086"/>
      <c r="AW89" s="1086"/>
      <c r="AX89" s="1086"/>
      <c r="AY89" s="1086"/>
      <c r="AZ89" s="1086"/>
      <c r="BA89" s="1086"/>
      <c r="BB89" s="1086"/>
      <c r="BC89" s="1086"/>
      <c r="BD89" s="1086"/>
      <c r="BE89" s="1082"/>
    </row>
    <row r="90" spans="1:70" ht="15.75" customHeight="1" thickBot="1">
      <c r="A90" s="1086"/>
      <c r="B90" s="1086"/>
      <c r="C90" s="1086"/>
      <c r="D90" s="1086"/>
      <c r="E90" s="1086"/>
      <c r="F90" s="1086"/>
      <c r="G90" s="1086"/>
      <c r="H90" s="1086"/>
      <c r="I90" s="1086"/>
      <c r="J90" s="1086"/>
      <c r="K90" s="1086"/>
      <c r="L90" s="1086"/>
      <c r="M90" s="1086"/>
      <c r="N90" s="1086"/>
      <c r="O90" s="1086"/>
      <c r="P90" s="1086"/>
      <c r="Q90" s="1086"/>
      <c r="R90" s="1086"/>
      <c r="S90" s="1086"/>
      <c r="T90" s="1086"/>
      <c r="U90" s="1086"/>
      <c r="V90" s="1086"/>
      <c r="W90" s="1086"/>
      <c r="X90" s="1086"/>
      <c r="Y90" s="1086"/>
      <c r="Z90" s="1086"/>
      <c r="AA90" s="1086"/>
      <c r="AB90" s="1086"/>
      <c r="AC90" s="1086"/>
      <c r="AD90" s="1086"/>
      <c r="AE90" s="1086"/>
      <c r="AF90" s="1086"/>
      <c r="AG90" s="1086"/>
      <c r="AH90" s="1086"/>
      <c r="AI90" s="1086"/>
      <c r="AJ90" s="1086"/>
      <c r="AK90" s="1086"/>
      <c r="AL90" s="1086"/>
      <c r="AM90" s="1086"/>
      <c r="AN90" s="1086"/>
      <c r="AO90" s="1086"/>
      <c r="AP90" s="1086"/>
      <c r="AQ90" s="1086"/>
      <c r="AR90" s="1086"/>
      <c r="AS90" s="1086"/>
      <c r="AT90" s="1086"/>
      <c r="AU90" s="1086"/>
      <c r="AV90" s="1086"/>
      <c r="AW90" s="1086"/>
      <c r="AX90" s="1086"/>
      <c r="AY90" s="1086"/>
      <c r="AZ90" s="1086"/>
      <c r="BA90" s="1086"/>
      <c r="BB90" s="1086"/>
      <c r="BC90" s="1086"/>
      <c r="BD90" s="1086"/>
      <c r="BE90" s="1082"/>
    </row>
    <row r="91" spans="1:70" ht="15.75" customHeight="1" thickBot="1">
      <c r="A91" s="1086"/>
      <c r="B91" s="1117" t="s">
        <v>2577</v>
      </c>
      <c r="C91" s="1127"/>
      <c r="D91" s="1123"/>
      <c r="E91" s="1123"/>
      <c r="F91" s="1123"/>
      <c r="G91" s="1123"/>
      <c r="H91" s="1123"/>
      <c r="I91" s="1123"/>
      <c r="J91" s="1123"/>
      <c r="K91" s="1123"/>
      <c r="L91" s="1123"/>
      <c r="M91" s="1123"/>
      <c r="N91" s="1123"/>
      <c r="O91" s="1123"/>
      <c r="P91" s="1123"/>
      <c r="Q91" s="1122"/>
      <c r="R91" s="1086"/>
      <c r="S91" s="1086"/>
      <c r="T91" s="1086"/>
      <c r="U91" s="1086"/>
      <c r="V91" s="1086"/>
      <c r="W91" s="1086"/>
      <c r="X91" s="1086"/>
      <c r="Y91" s="1086"/>
      <c r="Z91" s="1086"/>
      <c r="AA91" s="1086"/>
      <c r="AB91" s="1086"/>
      <c r="AC91" s="1086"/>
      <c r="AD91" s="1086"/>
      <c r="AE91" s="1086"/>
      <c r="AF91" s="1086"/>
      <c r="AG91" s="1086"/>
      <c r="AH91" s="1086"/>
      <c r="AI91" s="1086"/>
      <c r="AJ91" s="1086"/>
      <c r="AK91" s="1086"/>
      <c r="AL91" s="1086"/>
      <c r="AM91" s="1086"/>
      <c r="AN91" s="1086"/>
      <c r="AO91" s="1086"/>
      <c r="AP91" s="1086"/>
      <c r="AQ91" s="1086"/>
      <c r="AR91" s="1086"/>
      <c r="AS91" s="1086"/>
      <c r="AT91" s="1086"/>
      <c r="AU91" s="1086"/>
      <c r="AV91" s="1086"/>
      <c r="AW91" s="1086"/>
      <c r="AX91" s="1086"/>
      <c r="AY91" s="1086"/>
      <c r="AZ91" s="1086"/>
      <c r="BA91" s="1086"/>
      <c r="BB91" s="1086"/>
      <c r="BC91" s="1086"/>
      <c r="BD91" s="1086"/>
      <c r="BE91" s="1082"/>
    </row>
    <row r="92" spans="1:70" ht="15.75" customHeight="1">
      <c r="A92" s="1086"/>
      <c r="B92" s="1114" t="s">
        <v>2564</v>
      </c>
      <c r="C92" s="1114"/>
      <c r="D92" s="1113"/>
      <c r="E92" s="1112"/>
      <c r="F92" s="1928"/>
      <c r="G92" s="1929"/>
      <c r="H92" s="1929"/>
      <c r="I92" s="1929"/>
      <c r="J92" s="1929"/>
      <c r="K92" s="1929"/>
      <c r="L92" s="1929"/>
      <c r="M92" s="1929"/>
      <c r="N92" s="1929"/>
      <c r="O92" s="1929"/>
      <c r="P92" s="1929"/>
      <c r="Q92" s="1930"/>
      <c r="R92" s="1086"/>
      <c r="S92" s="1086"/>
      <c r="T92" s="1086"/>
      <c r="U92" s="1086"/>
      <c r="V92" s="1086"/>
      <c r="W92" s="1086"/>
      <c r="X92" s="1086"/>
      <c r="Y92" s="1086"/>
      <c r="Z92" s="1086"/>
      <c r="AA92" s="1086"/>
      <c r="AB92" s="1086"/>
      <c r="AC92" s="1086"/>
      <c r="AD92" s="1086"/>
      <c r="AE92" s="1086"/>
      <c r="AF92" s="1086"/>
      <c r="AG92" s="1086"/>
      <c r="AH92" s="1086"/>
      <c r="AI92" s="1086"/>
      <c r="AJ92" s="1086"/>
      <c r="AK92" s="1086"/>
      <c r="AL92" s="1086"/>
      <c r="AM92" s="1086"/>
      <c r="AN92" s="1086"/>
      <c r="AO92" s="1086"/>
      <c r="AP92" s="1086"/>
      <c r="AQ92" s="1086"/>
      <c r="AR92" s="1086"/>
      <c r="AS92" s="1086"/>
      <c r="AT92" s="1086"/>
      <c r="AU92" s="1086"/>
      <c r="AV92" s="1086"/>
      <c r="AW92" s="1086"/>
      <c r="AX92" s="1086"/>
      <c r="AY92" s="1086"/>
      <c r="AZ92" s="1086"/>
      <c r="BA92" s="1086"/>
      <c r="BB92" s="1086"/>
      <c r="BC92" s="1086"/>
      <c r="BD92" s="1086"/>
      <c r="BE92" s="1082"/>
    </row>
    <row r="93" spans="1:70" ht="15.75" customHeight="1" thickBot="1">
      <c r="A93" s="1086"/>
      <c r="B93" s="1121" t="s">
        <v>2565</v>
      </c>
      <c r="C93" s="1120"/>
      <c r="D93" s="1119"/>
      <c r="E93" s="1119"/>
      <c r="F93" s="1119"/>
      <c r="G93" s="1119"/>
      <c r="H93" s="1119"/>
      <c r="I93" s="1119"/>
      <c r="J93" s="1119"/>
      <c r="K93" s="1119"/>
      <c r="L93" s="1118"/>
      <c r="M93" s="1119"/>
      <c r="N93" s="1118"/>
      <c r="O93" s="1934" t="e">
        <f>BR97/SUM($BR$96:$BR$98)</f>
        <v>#DIV/0!</v>
      </c>
      <c r="P93" s="1935"/>
      <c r="Q93" s="1936"/>
      <c r="R93" s="1086"/>
      <c r="S93" s="1086"/>
      <c r="T93" s="1086"/>
      <c r="U93" s="1086"/>
      <c r="V93" s="1086"/>
      <c r="W93" s="1086"/>
      <c r="X93" s="1086"/>
      <c r="Y93" s="1086"/>
      <c r="Z93" s="1086"/>
      <c r="AA93" s="1086"/>
      <c r="AB93" s="1086"/>
      <c r="AC93" s="1086"/>
      <c r="AD93" s="1086"/>
      <c r="AE93" s="1086"/>
      <c r="AF93" s="1086"/>
      <c r="AG93" s="1086"/>
      <c r="AH93" s="1086"/>
      <c r="AI93" s="1086"/>
      <c r="AJ93" s="1086"/>
      <c r="AK93" s="1086"/>
      <c r="AL93" s="1086"/>
      <c r="AM93" s="1086"/>
      <c r="AN93" s="1086"/>
      <c r="AO93" s="1086"/>
      <c r="AP93" s="1086"/>
      <c r="AQ93" s="1086"/>
      <c r="AR93" s="1086"/>
      <c r="AS93" s="1086"/>
      <c r="AT93" s="1086"/>
      <c r="AU93" s="1086"/>
      <c r="AV93" s="1086"/>
      <c r="AW93" s="1086"/>
      <c r="AX93" s="1086"/>
      <c r="AY93" s="1086"/>
      <c r="AZ93" s="1086"/>
      <c r="BA93" s="1086"/>
      <c r="BB93" s="1086"/>
      <c r="BC93" s="1086"/>
      <c r="BD93" s="1086"/>
      <c r="BE93" s="1082"/>
    </row>
    <row r="94" spans="1:70" ht="15.75" customHeight="1" thickBot="1">
      <c r="A94" s="1086"/>
      <c r="B94" s="1121" t="s">
        <v>2578</v>
      </c>
      <c r="C94" s="1124"/>
      <c r="D94" s="1106"/>
      <c r="E94" s="1106"/>
      <c r="F94" s="1106"/>
      <c r="G94" s="1106"/>
      <c r="H94" s="1106"/>
      <c r="I94" s="1106"/>
      <c r="J94" s="1106"/>
      <c r="K94" s="1106"/>
      <c r="L94" s="1106"/>
      <c r="M94" s="1106"/>
      <c r="N94" s="1126"/>
      <c r="O94" s="1925" t="s">
        <v>2347</v>
      </c>
      <c r="P94" s="1926"/>
      <c r="Q94" s="1927"/>
      <c r="R94" s="1086"/>
      <c r="S94" s="1086"/>
      <c r="T94" s="1086"/>
      <c r="U94" s="1086"/>
      <c r="V94" s="1086"/>
      <c r="W94" s="1086"/>
      <c r="X94" s="1086"/>
      <c r="Y94" s="1086"/>
      <c r="Z94" s="1086"/>
      <c r="AA94" s="1086"/>
      <c r="AB94" s="1086"/>
      <c r="AC94" s="1086"/>
      <c r="AD94" s="1086"/>
      <c r="AE94" s="1086"/>
      <c r="AF94" s="1086"/>
      <c r="AG94" s="1086"/>
      <c r="AH94" s="1086"/>
      <c r="AI94" s="1086"/>
      <c r="AJ94" s="1086"/>
      <c r="AK94" s="1086"/>
      <c r="AL94" s="1086"/>
      <c r="AM94" s="1086"/>
      <c r="AN94" s="1086"/>
      <c r="AO94" s="1086"/>
      <c r="AP94" s="1086"/>
      <c r="AQ94" s="1086"/>
      <c r="AR94" s="1086"/>
      <c r="AS94" s="1086"/>
      <c r="AT94" s="1086"/>
      <c r="AU94" s="1086"/>
      <c r="AV94" s="1086"/>
      <c r="AW94" s="1086"/>
      <c r="AX94" s="1086"/>
      <c r="AY94" s="1086"/>
      <c r="AZ94" s="1086"/>
      <c r="BA94" s="1086"/>
      <c r="BB94" s="1086"/>
      <c r="BC94" s="1086"/>
      <c r="BD94" s="1086"/>
      <c r="BE94" s="1082"/>
    </row>
    <row r="95" spans="1:70" ht="15.75" customHeight="1" thickBot="1">
      <c r="A95" s="1086"/>
      <c r="B95" s="1086"/>
      <c r="C95" s="1086"/>
      <c r="D95" s="1086"/>
      <c r="E95" s="1086"/>
      <c r="F95" s="1086"/>
      <c r="G95" s="1086"/>
      <c r="H95" s="1086"/>
      <c r="I95" s="1086"/>
      <c r="J95" s="1086"/>
      <c r="K95" s="1086"/>
      <c r="L95" s="1086"/>
      <c r="M95" s="1086"/>
      <c r="N95" s="1086"/>
      <c r="O95" s="1086"/>
      <c r="P95" s="1086"/>
      <c r="Q95" s="1086"/>
      <c r="R95" s="1086"/>
      <c r="S95" s="1086"/>
      <c r="T95" s="1086"/>
      <c r="U95" s="1086"/>
      <c r="V95" s="1086"/>
      <c r="W95" s="1086"/>
      <c r="X95" s="1086"/>
      <c r="Y95" s="1086"/>
      <c r="Z95" s="1086"/>
      <c r="AA95" s="1086"/>
      <c r="AB95" s="1086"/>
      <c r="AC95" s="1086"/>
      <c r="AD95" s="1086"/>
      <c r="AE95" s="1086"/>
      <c r="AF95" s="1086"/>
      <c r="AG95" s="1086"/>
      <c r="AH95" s="1086"/>
      <c r="AI95" s="1086"/>
      <c r="AJ95" s="1086"/>
      <c r="AK95" s="1086"/>
      <c r="AL95" s="1086"/>
      <c r="AM95" s="1086"/>
      <c r="AN95" s="1086"/>
      <c r="AO95" s="1086"/>
      <c r="AP95" s="1086"/>
      <c r="AQ95" s="1086"/>
      <c r="AR95" s="1086"/>
      <c r="AS95" s="1086"/>
      <c r="AT95" s="1086"/>
      <c r="AU95" s="1086"/>
      <c r="AV95" s="1086"/>
      <c r="AW95" s="1086"/>
      <c r="AX95" s="1086"/>
      <c r="AY95" s="1086"/>
      <c r="AZ95" s="1086"/>
      <c r="BA95" s="1086"/>
      <c r="BB95" s="1086"/>
      <c r="BC95" s="1086"/>
      <c r="BD95" s="1086"/>
      <c r="BE95" s="1082"/>
    </row>
    <row r="96" spans="1:70" ht="15.75" customHeight="1">
      <c r="A96" s="1086"/>
      <c r="B96" s="2308" t="s">
        <v>2579</v>
      </c>
      <c r="C96" s="2309"/>
      <c r="D96" s="2309"/>
      <c r="E96" s="2309"/>
      <c r="F96" s="2309"/>
      <c r="G96" s="2309"/>
      <c r="H96" s="2309"/>
      <c r="I96" s="2309"/>
      <c r="J96" s="2309"/>
      <c r="K96" s="2309"/>
      <c r="L96" s="2309"/>
      <c r="M96" s="2309"/>
      <c r="N96" s="2309"/>
      <c r="O96" s="2309"/>
      <c r="P96" s="2309"/>
      <c r="Q96" s="2309"/>
      <c r="R96" s="2309"/>
      <c r="S96" s="2309"/>
      <c r="T96" s="2309"/>
      <c r="U96" s="2309"/>
      <c r="V96" s="2309"/>
      <c r="W96" s="2309"/>
      <c r="X96" s="2309"/>
      <c r="Y96" s="2309"/>
      <c r="Z96" s="2309"/>
      <c r="AA96" s="2309"/>
      <c r="AB96" s="2309"/>
      <c r="AC96" s="2309"/>
      <c r="AD96" s="2309"/>
      <c r="AE96" s="2309"/>
      <c r="AF96" s="2309"/>
      <c r="AG96" s="2309"/>
      <c r="AH96" s="2310"/>
      <c r="AI96" s="1086"/>
      <c r="AJ96" s="1915" t="s">
        <v>2580</v>
      </c>
      <c r="AK96" s="1916"/>
      <c r="AL96" s="1916"/>
      <c r="AM96" s="1916"/>
      <c r="AN96" s="1916"/>
      <c r="AO96" s="1916"/>
      <c r="AP96" s="1916"/>
      <c r="AQ96" s="1916"/>
      <c r="AR96" s="1916"/>
      <c r="AS96" s="1916"/>
      <c r="AT96" s="1916"/>
      <c r="AU96" s="1916"/>
      <c r="AV96" s="1916"/>
      <c r="AW96" s="1916"/>
      <c r="AX96" s="1916"/>
      <c r="AY96" s="1937" t="s">
        <v>837</v>
      </c>
      <c r="AZ96" s="1937"/>
      <c r="BA96" s="1937"/>
      <c r="BB96" s="1938"/>
      <c r="BC96" s="1086"/>
      <c r="BD96" s="1086"/>
      <c r="BE96" s="1082"/>
      <c r="BQ96" s="1125" t="str">
        <f>Application!M243</f>
        <v xml:space="preserve">PSCDC The Grant LLC </v>
      </c>
      <c r="BR96" s="1125">
        <f>Application!AH245</f>
        <v>0</v>
      </c>
    </row>
    <row r="97" spans="1:70" ht="15.75" customHeight="1">
      <c r="A97" s="1086"/>
      <c r="B97" s="1907"/>
      <c r="C97" s="1908"/>
      <c r="D97" s="1908"/>
      <c r="E97" s="1908"/>
      <c r="F97" s="1908"/>
      <c r="G97" s="1908"/>
      <c r="H97" s="1908"/>
      <c r="I97" s="1908" t="s">
        <v>2569</v>
      </c>
      <c r="J97" s="1908"/>
      <c r="K97" s="1908"/>
      <c r="L97" s="1908"/>
      <c r="M97" s="1908"/>
      <c r="N97" s="1908"/>
      <c r="O97" s="1908" t="s">
        <v>2570</v>
      </c>
      <c r="P97" s="1908"/>
      <c r="Q97" s="1908"/>
      <c r="R97" s="1908"/>
      <c r="S97" s="1908"/>
      <c r="T97" s="1908"/>
      <c r="U97" s="1908"/>
      <c r="V97" s="1909" t="s">
        <v>2571</v>
      </c>
      <c r="W97" s="1909"/>
      <c r="X97" s="1909"/>
      <c r="Y97" s="1909"/>
      <c r="Z97" s="1909"/>
      <c r="AA97" s="1909"/>
      <c r="AB97" s="1910" t="s">
        <v>2572</v>
      </c>
      <c r="AC97" s="1910"/>
      <c r="AD97" s="1910"/>
      <c r="AE97" s="1910"/>
      <c r="AF97" s="1910"/>
      <c r="AG97" s="1910"/>
      <c r="AH97" s="1911"/>
      <c r="AI97" s="1086"/>
      <c r="AJ97" s="1917"/>
      <c r="AK97" s="1918"/>
      <c r="AL97" s="1918"/>
      <c r="AM97" s="1918"/>
      <c r="AN97" s="1918"/>
      <c r="AO97" s="1918"/>
      <c r="AP97" s="1918"/>
      <c r="AQ97" s="1918"/>
      <c r="AR97" s="1918"/>
      <c r="AS97" s="1918"/>
      <c r="AT97" s="1918"/>
      <c r="AU97" s="1918"/>
      <c r="AV97" s="1918"/>
      <c r="AW97" s="1918"/>
      <c r="AX97" s="1918"/>
      <c r="AY97" s="1939"/>
      <c r="AZ97" s="1939"/>
      <c r="BA97" s="1939"/>
      <c r="BB97" s="1940"/>
      <c r="BC97" s="1086"/>
      <c r="BD97" s="1086"/>
      <c r="BE97" s="1082"/>
      <c r="BQ97" s="1125" t="str">
        <f>Application!M251</f>
        <v>The Grant at Mission Trails AGP LLC</v>
      </c>
      <c r="BR97" s="1125">
        <f>Application!AH253</f>
        <v>0</v>
      </c>
    </row>
    <row r="98" spans="1:70" ht="15.75" customHeight="1">
      <c r="A98" s="1086"/>
      <c r="B98" s="1907"/>
      <c r="C98" s="1908"/>
      <c r="D98" s="1908"/>
      <c r="E98" s="1908"/>
      <c r="F98" s="1908"/>
      <c r="G98" s="1908"/>
      <c r="H98" s="1908"/>
      <c r="I98" s="1908"/>
      <c r="J98" s="1908"/>
      <c r="K98" s="1908"/>
      <c r="L98" s="1908"/>
      <c r="M98" s="1908"/>
      <c r="N98" s="1908"/>
      <c r="O98" s="1908"/>
      <c r="P98" s="1908"/>
      <c r="Q98" s="1908"/>
      <c r="R98" s="1908"/>
      <c r="S98" s="1908"/>
      <c r="T98" s="1908"/>
      <c r="U98" s="1908"/>
      <c r="V98" s="1909"/>
      <c r="W98" s="1909"/>
      <c r="X98" s="1909"/>
      <c r="Y98" s="1909"/>
      <c r="Z98" s="1909"/>
      <c r="AA98" s="1909"/>
      <c r="AB98" s="1910"/>
      <c r="AC98" s="1910"/>
      <c r="AD98" s="1910"/>
      <c r="AE98" s="1910"/>
      <c r="AF98" s="1910"/>
      <c r="AG98" s="1910"/>
      <c r="AH98" s="1911"/>
      <c r="AI98" s="1086"/>
      <c r="AJ98" s="1917"/>
      <c r="AK98" s="1918"/>
      <c r="AL98" s="1918"/>
      <c r="AM98" s="1918"/>
      <c r="AN98" s="1918"/>
      <c r="AO98" s="1918"/>
      <c r="AP98" s="1918"/>
      <c r="AQ98" s="1918"/>
      <c r="AR98" s="1918"/>
      <c r="AS98" s="1918"/>
      <c r="AT98" s="1918"/>
      <c r="AU98" s="1918"/>
      <c r="AV98" s="1918"/>
      <c r="AW98" s="1918"/>
      <c r="AX98" s="1918"/>
      <c r="AY98" s="1939"/>
      <c r="AZ98" s="1939"/>
      <c r="BA98" s="1939"/>
      <c r="BB98" s="1940"/>
      <c r="BC98" s="1086"/>
      <c r="BD98" s="1086"/>
      <c r="BE98" s="1082"/>
      <c r="BQ98" s="1125">
        <f>Application!M259</f>
        <v>0</v>
      </c>
      <c r="BR98" s="1125">
        <f>Application!AH261</f>
        <v>0</v>
      </c>
    </row>
    <row r="99" spans="1:70" ht="15.75" customHeight="1">
      <c r="A99" s="1086"/>
      <c r="B99" s="1907" t="s">
        <v>2573</v>
      </c>
      <c r="C99" s="1908"/>
      <c r="D99" s="1908"/>
      <c r="E99" s="1908"/>
      <c r="F99" s="1908"/>
      <c r="G99" s="1908"/>
      <c r="H99" s="1908"/>
      <c r="I99" s="1905">
        <v>945</v>
      </c>
      <c r="J99" s="1905"/>
      <c r="K99" s="1905"/>
      <c r="L99" s="1905"/>
      <c r="M99" s="1905"/>
      <c r="N99" s="1905"/>
      <c r="O99" s="1905">
        <v>1427</v>
      </c>
      <c r="P99" s="1905"/>
      <c r="Q99" s="1905"/>
      <c r="R99" s="1905"/>
      <c r="S99" s="1905"/>
      <c r="T99" s="1905"/>
      <c r="U99" s="1905"/>
      <c r="V99" s="1905">
        <v>1700</v>
      </c>
      <c r="W99" s="1905"/>
      <c r="X99" s="1905"/>
      <c r="Y99" s="1905"/>
      <c r="Z99" s="1905"/>
      <c r="AA99" s="1905"/>
      <c r="AB99" s="1905">
        <v>950</v>
      </c>
      <c r="AC99" s="1905"/>
      <c r="AD99" s="1905"/>
      <c r="AE99" s="1905"/>
      <c r="AF99" s="1905"/>
      <c r="AG99" s="1905"/>
      <c r="AH99" s="1906"/>
      <c r="AI99" s="1086"/>
      <c r="AJ99" s="1917"/>
      <c r="AK99" s="1918"/>
      <c r="AL99" s="1918"/>
      <c r="AM99" s="1918"/>
      <c r="AN99" s="1918"/>
      <c r="AO99" s="1918"/>
      <c r="AP99" s="1918"/>
      <c r="AQ99" s="1918"/>
      <c r="AR99" s="1918"/>
      <c r="AS99" s="1918"/>
      <c r="AT99" s="1918"/>
      <c r="AU99" s="1918"/>
      <c r="AV99" s="1918"/>
      <c r="AW99" s="1918"/>
      <c r="AX99" s="1918"/>
      <c r="AY99" s="1939"/>
      <c r="AZ99" s="1939"/>
      <c r="BA99" s="1939"/>
      <c r="BB99" s="1940"/>
      <c r="BC99" s="1086"/>
      <c r="BD99" s="1086"/>
      <c r="BE99" s="1082"/>
    </row>
    <row r="100" spans="1:70" ht="15.75" customHeight="1">
      <c r="A100" s="1086"/>
      <c r="B100" s="1907" t="s">
        <v>2574</v>
      </c>
      <c r="C100" s="1908"/>
      <c r="D100" s="1908"/>
      <c r="E100" s="1908"/>
      <c r="F100" s="1908"/>
      <c r="G100" s="1908"/>
      <c r="H100" s="1908"/>
      <c r="I100" s="1905">
        <v>0</v>
      </c>
      <c r="J100" s="1905"/>
      <c r="K100" s="1905"/>
      <c r="L100" s="1905"/>
      <c r="M100" s="1905"/>
      <c r="N100" s="1905"/>
      <c r="O100" s="1905">
        <v>0</v>
      </c>
      <c r="P100" s="1905"/>
      <c r="Q100" s="1905"/>
      <c r="R100" s="1905"/>
      <c r="S100" s="1905"/>
      <c r="T100" s="1905"/>
      <c r="U100" s="1905"/>
      <c r="V100" s="1905">
        <v>0</v>
      </c>
      <c r="W100" s="1905"/>
      <c r="X100" s="1905"/>
      <c r="Y100" s="1905"/>
      <c r="Z100" s="1905"/>
      <c r="AA100" s="1905"/>
      <c r="AB100" s="1905">
        <v>0</v>
      </c>
      <c r="AC100" s="1905"/>
      <c r="AD100" s="1905"/>
      <c r="AE100" s="1905"/>
      <c r="AF100" s="1905"/>
      <c r="AG100" s="1905"/>
      <c r="AH100" s="1906"/>
      <c r="AI100" s="1086"/>
      <c r="AJ100" s="1919" t="s">
        <v>2575</v>
      </c>
      <c r="AK100" s="1920"/>
      <c r="AL100" s="1920"/>
      <c r="AM100" s="1920"/>
      <c r="AN100" s="1920"/>
      <c r="AO100" s="1920"/>
      <c r="AP100" s="1920"/>
      <c r="AQ100" s="1920"/>
      <c r="AR100" s="1920"/>
      <c r="AS100" s="1920"/>
      <c r="AT100" s="1920"/>
      <c r="AU100" s="1920"/>
      <c r="AV100" s="1920"/>
      <c r="AW100" s="1920"/>
      <c r="AX100" s="1920"/>
      <c r="AY100" s="1920"/>
      <c r="AZ100" s="1920"/>
      <c r="BA100" s="1920"/>
      <c r="BB100" s="1921"/>
      <c r="BC100" s="1086"/>
      <c r="BD100" s="1086"/>
      <c r="BE100" s="1082"/>
    </row>
    <row r="101" spans="1:70" ht="15.75" customHeight="1" thickBot="1">
      <c r="A101" s="1086"/>
      <c r="B101" s="1901" t="s">
        <v>2576</v>
      </c>
      <c r="C101" s="1902"/>
      <c r="D101" s="1902"/>
      <c r="E101" s="1902"/>
      <c r="F101" s="1902"/>
      <c r="G101" s="1902"/>
      <c r="H101" s="1902"/>
      <c r="I101" s="1903">
        <v>945</v>
      </c>
      <c r="J101" s="1903"/>
      <c r="K101" s="1903"/>
      <c r="L101" s="1903"/>
      <c r="M101" s="1903"/>
      <c r="N101" s="1903"/>
      <c r="O101" s="1903">
        <v>1427</v>
      </c>
      <c r="P101" s="1903"/>
      <c r="Q101" s="1903"/>
      <c r="R101" s="1903"/>
      <c r="S101" s="1903"/>
      <c r="T101" s="1903"/>
      <c r="U101" s="1903"/>
      <c r="V101" s="1903">
        <v>1700</v>
      </c>
      <c r="W101" s="1903"/>
      <c r="X101" s="1903"/>
      <c r="Y101" s="1903"/>
      <c r="Z101" s="1903"/>
      <c r="AA101" s="1903"/>
      <c r="AB101" s="1903">
        <v>950</v>
      </c>
      <c r="AC101" s="1903"/>
      <c r="AD101" s="1903"/>
      <c r="AE101" s="1903"/>
      <c r="AF101" s="1903"/>
      <c r="AG101" s="1903"/>
      <c r="AH101" s="1904"/>
      <c r="AI101" s="1086"/>
      <c r="AJ101" s="1922"/>
      <c r="AK101" s="1923"/>
      <c r="AL101" s="1923"/>
      <c r="AM101" s="1923"/>
      <c r="AN101" s="1923"/>
      <c r="AO101" s="1923"/>
      <c r="AP101" s="1923"/>
      <c r="AQ101" s="1923"/>
      <c r="AR101" s="1923"/>
      <c r="AS101" s="1923"/>
      <c r="AT101" s="1923"/>
      <c r="AU101" s="1923"/>
      <c r="AV101" s="1923"/>
      <c r="AW101" s="1923"/>
      <c r="AX101" s="1923"/>
      <c r="AY101" s="1923"/>
      <c r="AZ101" s="1923"/>
      <c r="BA101" s="1923"/>
      <c r="BB101" s="1924"/>
      <c r="BC101" s="1086"/>
      <c r="BD101" s="1086"/>
      <c r="BE101" s="1082"/>
    </row>
    <row r="102" spans="1:70" ht="15.75" customHeight="1" thickBot="1">
      <c r="A102" s="1086"/>
      <c r="B102" s="1086"/>
      <c r="C102" s="1086"/>
      <c r="D102" s="1086"/>
      <c r="E102" s="1086"/>
      <c r="F102" s="1086"/>
      <c r="G102" s="1086"/>
      <c r="H102" s="1086"/>
      <c r="I102" s="1086"/>
      <c r="J102" s="1086"/>
      <c r="K102" s="1086"/>
      <c r="L102" s="1086"/>
      <c r="M102" s="1086"/>
      <c r="N102" s="1086"/>
      <c r="O102" s="1086"/>
      <c r="P102" s="1086"/>
      <c r="Q102" s="1086"/>
      <c r="R102" s="1086"/>
      <c r="S102" s="1086"/>
      <c r="T102" s="1086"/>
      <c r="U102" s="1086"/>
      <c r="V102" s="1086"/>
      <c r="W102" s="1086"/>
      <c r="X102" s="1086"/>
      <c r="Y102" s="1086"/>
      <c r="Z102" s="1086"/>
      <c r="AA102" s="1086"/>
      <c r="AB102" s="1086"/>
      <c r="AC102" s="1086"/>
      <c r="AD102" s="1086"/>
      <c r="AE102" s="1086"/>
      <c r="AF102" s="1086"/>
      <c r="AG102" s="1086"/>
      <c r="AH102" s="1086"/>
      <c r="AI102" s="1086"/>
      <c r="AJ102" s="1086"/>
      <c r="AK102" s="1086"/>
      <c r="AL102" s="1086"/>
      <c r="AM102" s="1086"/>
      <c r="AN102" s="1086"/>
      <c r="AO102" s="1086"/>
      <c r="AP102" s="1086"/>
      <c r="AQ102" s="1086"/>
      <c r="AR102" s="1086"/>
      <c r="AS102" s="1086"/>
      <c r="AT102" s="1086"/>
      <c r="AU102" s="1086"/>
      <c r="AV102" s="1086"/>
      <c r="AW102" s="1086"/>
      <c r="AX102" s="1086"/>
      <c r="AY102" s="1086"/>
      <c r="AZ102" s="1086"/>
      <c r="BA102" s="1086"/>
      <c r="BB102" s="1086"/>
      <c r="BC102" s="1086"/>
      <c r="BD102" s="1086"/>
      <c r="BE102" s="1082"/>
    </row>
    <row r="103" spans="1:70" ht="15.75" customHeight="1" thickBot="1">
      <c r="A103" s="1086"/>
      <c r="B103" s="1108" t="s">
        <v>2581</v>
      </c>
      <c r="C103" s="1124"/>
      <c r="D103" s="1106"/>
      <c r="E103" s="1106"/>
      <c r="F103" s="1123"/>
      <c r="G103" s="1123"/>
      <c r="H103" s="1123"/>
      <c r="I103" s="1123"/>
      <c r="J103" s="1123"/>
      <c r="K103" s="1123"/>
      <c r="L103" s="1123"/>
      <c r="M103" s="1123"/>
      <c r="N103" s="1123"/>
      <c r="O103" s="1122"/>
      <c r="P103" s="1123"/>
      <c r="Q103" s="1123"/>
      <c r="R103" s="1122"/>
      <c r="S103" s="1086" t="s">
        <v>253</v>
      </c>
      <c r="T103" s="1086"/>
      <c r="U103" s="1086"/>
      <c r="V103" s="1086"/>
      <c r="W103" s="1086"/>
      <c r="X103" s="1086"/>
      <c r="Y103" s="1086"/>
      <c r="Z103" s="1086"/>
      <c r="AA103" s="1086"/>
      <c r="AB103" s="1086"/>
      <c r="AC103" s="1086"/>
      <c r="AD103" s="1086"/>
      <c r="AE103" s="1086"/>
      <c r="AF103" s="1086"/>
      <c r="AG103" s="1086"/>
      <c r="AH103" s="1086"/>
      <c r="AI103" s="1086"/>
      <c r="AJ103" s="1086"/>
      <c r="AK103" s="1086"/>
      <c r="AL103" s="1086"/>
      <c r="AM103" s="1086"/>
      <c r="AN103" s="1086"/>
      <c r="AO103" s="1086"/>
      <c r="AP103" s="1086"/>
      <c r="AQ103" s="1086"/>
      <c r="AR103" s="1086"/>
      <c r="AS103" s="1086"/>
      <c r="AT103" s="1086"/>
      <c r="AU103" s="1086"/>
      <c r="AV103" s="1086"/>
      <c r="AW103" s="1086"/>
      <c r="AX103" s="1086"/>
      <c r="AY103" s="1086"/>
      <c r="AZ103" s="1086"/>
      <c r="BA103" s="1086"/>
      <c r="BB103" s="1086"/>
      <c r="BC103" s="1086"/>
      <c r="BD103" s="1086"/>
      <c r="BE103" s="1082"/>
    </row>
    <row r="104" spans="1:70" ht="15.75" customHeight="1">
      <c r="A104" s="1086"/>
      <c r="B104" s="1114" t="s">
        <v>2564</v>
      </c>
      <c r="C104" s="1114"/>
      <c r="D104" s="1113"/>
      <c r="E104" s="1112"/>
      <c r="F104" s="1931"/>
      <c r="G104" s="1932"/>
      <c r="H104" s="1932"/>
      <c r="I104" s="1932"/>
      <c r="J104" s="1932"/>
      <c r="K104" s="1932"/>
      <c r="L104" s="1932"/>
      <c r="M104" s="1932"/>
      <c r="N104" s="1932"/>
      <c r="O104" s="1932"/>
      <c r="P104" s="1932"/>
      <c r="Q104" s="1932"/>
      <c r="R104" s="1933"/>
      <c r="S104" s="1086"/>
      <c r="T104" s="1086"/>
      <c r="U104" s="1086"/>
      <c r="V104" s="1086"/>
      <c r="W104" s="1086"/>
      <c r="X104" s="1086"/>
      <c r="Y104" s="1086"/>
      <c r="Z104" s="1086"/>
      <c r="AA104" s="1086"/>
      <c r="AB104" s="1086"/>
      <c r="AC104" s="1086"/>
      <c r="AD104" s="1086"/>
      <c r="AE104" s="1086"/>
      <c r="AF104" s="1086"/>
      <c r="AG104" s="1086"/>
      <c r="AH104" s="1086"/>
      <c r="AI104" s="1086"/>
      <c r="AJ104" s="1086"/>
      <c r="AK104" s="1086"/>
      <c r="AL104" s="1086"/>
      <c r="AM104" s="1086"/>
      <c r="AN104" s="1086"/>
      <c r="AO104" s="1086"/>
      <c r="AP104" s="1086"/>
      <c r="AQ104" s="1086"/>
      <c r="AR104" s="1086"/>
      <c r="AS104" s="1086"/>
      <c r="AT104" s="1086"/>
      <c r="AU104" s="1086"/>
      <c r="AV104" s="1086"/>
      <c r="AW104" s="1086"/>
      <c r="AX104" s="1086"/>
      <c r="AY104" s="1086"/>
      <c r="AZ104" s="1086"/>
      <c r="BA104" s="1086"/>
      <c r="BB104" s="1086"/>
      <c r="BC104" s="1086"/>
      <c r="BD104" s="1086"/>
      <c r="BE104" s="1082"/>
    </row>
    <row r="105" spans="1:70" ht="15.75" customHeight="1" thickBot="1">
      <c r="A105" s="1086"/>
      <c r="B105" s="1121" t="s">
        <v>2565</v>
      </c>
      <c r="C105" s="1120"/>
      <c r="D105" s="1119"/>
      <c r="E105" s="1119"/>
      <c r="F105" s="1119"/>
      <c r="G105" s="1119"/>
      <c r="H105" s="1119"/>
      <c r="I105" s="1119"/>
      <c r="J105" s="1119"/>
      <c r="K105" s="1119"/>
      <c r="L105" s="1118"/>
      <c r="M105" s="1119"/>
      <c r="N105" s="1118"/>
      <c r="O105" s="1925" t="e">
        <f>BR98/SUM(BR96:BR98)</f>
        <v>#DIV/0!</v>
      </c>
      <c r="P105" s="1926"/>
      <c r="Q105" s="1926"/>
      <c r="R105" s="1927"/>
      <c r="S105" s="1086"/>
      <c r="T105" s="1086"/>
      <c r="U105" s="1086"/>
      <c r="V105" s="1086"/>
      <c r="W105" s="1086"/>
      <c r="X105" s="1086"/>
      <c r="Y105" s="1086"/>
      <c r="Z105" s="1086"/>
      <c r="AA105" s="1086"/>
      <c r="AB105" s="1086"/>
      <c r="AC105" s="1086"/>
      <c r="AD105" s="1086"/>
      <c r="AE105" s="1086"/>
      <c r="AF105" s="1086"/>
      <c r="AG105" s="1086"/>
      <c r="AH105" s="1086"/>
      <c r="AI105" s="1086"/>
      <c r="AJ105" s="1086"/>
      <c r="AK105" s="1086"/>
      <c r="AL105" s="1086"/>
      <c r="AM105" s="1086"/>
      <c r="AN105" s="1086"/>
      <c r="AO105" s="1086"/>
      <c r="AP105" s="1086"/>
      <c r="AQ105" s="1086"/>
      <c r="AR105" s="1086"/>
      <c r="AS105" s="1086"/>
      <c r="AT105" s="1086"/>
      <c r="AU105" s="1086"/>
      <c r="AV105" s="1086"/>
      <c r="AW105" s="1086"/>
      <c r="AX105" s="1086"/>
      <c r="AY105" s="1086"/>
      <c r="AZ105" s="1086"/>
      <c r="BA105" s="1086"/>
      <c r="BB105" s="1086"/>
      <c r="BC105" s="1086"/>
      <c r="BD105" s="1086"/>
      <c r="BE105" s="1082"/>
    </row>
    <row r="106" spans="1:70" ht="15.75" customHeight="1" thickBot="1">
      <c r="A106" s="1086"/>
      <c r="B106" s="1086"/>
      <c r="C106" s="1086"/>
      <c r="D106" s="1086"/>
      <c r="E106" s="1086"/>
      <c r="F106" s="1086"/>
      <c r="G106" s="1086"/>
      <c r="H106" s="1086"/>
      <c r="I106" s="1086"/>
      <c r="J106" s="1086"/>
      <c r="K106" s="1086"/>
      <c r="L106" s="1086"/>
      <c r="M106" s="1086"/>
      <c r="N106" s="1086"/>
      <c r="O106" s="1086"/>
      <c r="P106" s="1111"/>
      <c r="Q106" s="1086"/>
      <c r="R106" s="1086"/>
      <c r="S106" s="1086"/>
      <c r="T106" s="1086"/>
      <c r="U106" s="1086"/>
      <c r="V106" s="1086"/>
      <c r="W106" s="1086"/>
      <c r="X106" s="1086"/>
      <c r="Y106" s="1086"/>
      <c r="Z106" s="1086"/>
      <c r="AA106" s="1086"/>
      <c r="AB106" s="1086"/>
      <c r="AC106" s="1086"/>
      <c r="AD106" s="1086"/>
      <c r="AE106" s="1086"/>
      <c r="AF106" s="1086"/>
      <c r="AG106" s="1086"/>
      <c r="AH106" s="1086"/>
      <c r="AI106" s="1086"/>
      <c r="AJ106" s="1086"/>
      <c r="AK106" s="1086"/>
      <c r="AL106" s="1086"/>
      <c r="AM106" s="1086"/>
      <c r="AN106" s="1086"/>
      <c r="AO106" s="1086"/>
      <c r="AP106" s="1086"/>
      <c r="AQ106" s="1086"/>
      <c r="AR106" s="1086"/>
      <c r="AS106" s="1086"/>
      <c r="AT106" s="1086"/>
      <c r="AU106" s="1086"/>
      <c r="AV106" s="1086"/>
      <c r="AW106" s="1086"/>
      <c r="AX106" s="1086"/>
      <c r="AY106" s="1086"/>
      <c r="AZ106" s="1086"/>
      <c r="BA106" s="1086"/>
      <c r="BB106" s="1086"/>
      <c r="BC106" s="1086"/>
      <c r="BD106" s="1086"/>
      <c r="BE106" s="1082"/>
    </row>
    <row r="107" spans="1:70" ht="15.75" customHeight="1">
      <c r="A107" s="1086"/>
      <c r="B107" s="1912" t="s">
        <v>2582</v>
      </c>
      <c r="C107" s="1913"/>
      <c r="D107" s="1913"/>
      <c r="E107" s="1913"/>
      <c r="F107" s="1913"/>
      <c r="G107" s="1913"/>
      <c r="H107" s="1913"/>
      <c r="I107" s="1913"/>
      <c r="J107" s="1913"/>
      <c r="K107" s="1913"/>
      <c r="L107" s="1913"/>
      <c r="M107" s="1913"/>
      <c r="N107" s="1913"/>
      <c r="O107" s="1913"/>
      <c r="P107" s="1913"/>
      <c r="Q107" s="1913"/>
      <c r="R107" s="1913"/>
      <c r="S107" s="1913"/>
      <c r="T107" s="1913"/>
      <c r="U107" s="1913"/>
      <c r="V107" s="1913"/>
      <c r="W107" s="1913"/>
      <c r="X107" s="1913"/>
      <c r="Y107" s="1913"/>
      <c r="Z107" s="1913"/>
      <c r="AA107" s="1913"/>
      <c r="AB107" s="1913"/>
      <c r="AC107" s="1913"/>
      <c r="AD107" s="1913"/>
      <c r="AE107" s="1913"/>
      <c r="AF107" s="1913"/>
      <c r="AG107" s="1913"/>
      <c r="AH107" s="1914"/>
      <c r="AI107" s="1086"/>
      <c r="AJ107" s="1086"/>
      <c r="AK107" s="1086"/>
      <c r="AL107" s="1086"/>
      <c r="AM107" s="1086"/>
      <c r="AN107" s="1086"/>
      <c r="AO107" s="1086"/>
      <c r="AP107" s="1086"/>
      <c r="AQ107" s="1086"/>
      <c r="AR107" s="1086"/>
      <c r="AS107" s="1086"/>
      <c r="AT107" s="1086"/>
      <c r="AU107" s="1086"/>
      <c r="AV107" s="1086"/>
      <c r="AW107" s="1086"/>
      <c r="AX107" s="1086"/>
      <c r="AY107" s="1086"/>
      <c r="AZ107" s="1086"/>
      <c r="BA107" s="1086"/>
      <c r="BB107" s="1086"/>
      <c r="BC107" s="1086"/>
      <c r="BD107" s="1086"/>
      <c r="BE107" s="1082"/>
    </row>
    <row r="108" spans="1:70" ht="16.5" customHeight="1">
      <c r="A108" s="1086"/>
      <c r="B108" s="1907"/>
      <c r="C108" s="1908"/>
      <c r="D108" s="1908"/>
      <c r="E108" s="1908"/>
      <c r="F108" s="1908"/>
      <c r="G108" s="1908"/>
      <c r="H108" s="1908"/>
      <c r="I108" s="1908" t="s">
        <v>2569</v>
      </c>
      <c r="J108" s="1908"/>
      <c r="K108" s="1908"/>
      <c r="L108" s="1908"/>
      <c r="M108" s="1908"/>
      <c r="N108" s="1908"/>
      <c r="O108" s="1908" t="s">
        <v>2570</v>
      </c>
      <c r="P108" s="1908"/>
      <c r="Q108" s="1908"/>
      <c r="R108" s="1908"/>
      <c r="S108" s="1908"/>
      <c r="T108" s="1908"/>
      <c r="U108" s="1908"/>
      <c r="V108" s="1909" t="s">
        <v>2571</v>
      </c>
      <c r="W108" s="1909"/>
      <c r="X108" s="1909"/>
      <c r="Y108" s="1909"/>
      <c r="Z108" s="1909"/>
      <c r="AA108" s="1909"/>
      <c r="AB108" s="1910" t="s">
        <v>2572</v>
      </c>
      <c r="AC108" s="1910"/>
      <c r="AD108" s="1910"/>
      <c r="AE108" s="1910"/>
      <c r="AF108" s="1910"/>
      <c r="AG108" s="1910"/>
      <c r="AH108" s="1911"/>
      <c r="AI108" s="1086"/>
      <c r="AJ108" s="1086"/>
      <c r="AK108" s="1086"/>
      <c r="AL108" s="1086"/>
      <c r="AM108" s="1086"/>
      <c r="AN108" s="1086"/>
      <c r="AO108" s="1086"/>
      <c r="AP108" s="1086"/>
      <c r="AQ108" s="1086"/>
      <c r="AR108" s="1086"/>
      <c r="AS108" s="1086"/>
      <c r="AT108" s="1086"/>
      <c r="AU108" s="1086"/>
      <c r="AV108" s="1086"/>
      <c r="AW108" s="1086"/>
      <c r="AX108" s="1086"/>
      <c r="AY108" s="1086"/>
      <c r="AZ108" s="1086"/>
      <c r="BA108" s="1086"/>
      <c r="BB108" s="1086"/>
      <c r="BC108" s="1086"/>
      <c r="BD108" s="1086"/>
      <c r="BE108" s="1082"/>
    </row>
    <row r="109" spans="1:70" ht="16.5" customHeight="1">
      <c r="A109" s="1086"/>
      <c r="B109" s="1907"/>
      <c r="C109" s="1908"/>
      <c r="D109" s="1908"/>
      <c r="E109" s="1908"/>
      <c r="F109" s="1908"/>
      <c r="G109" s="1908"/>
      <c r="H109" s="1908"/>
      <c r="I109" s="1908"/>
      <c r="J109" s="1908"/>
      <c r="K109" s="1908"/>
      <c r="L109" s="1908"/>
      <c r="M109" s="1908"/>
      <c r="N109" s="1908"/>
      <c r="O109" s="1908"/>
      <c r="P109" s="1908"/>
      <c r="Q109" s="1908"/>
      <c r="R109" s="1908"/>
      <c r="S109" s="1908"/>
      <c r="T109" s="1908"/>
      <c r="U109" s="1908"/>
      <c r="V109" s="1909"/>
      <c r="W109" s="1909"/>
      <c r="X109" s="1909"/>
      <c r="Y109" s="1909"/>
      <c r="Z109" s="1909"/>
      <c r="AA109" s="1909"/>
      <c r="AB109" s="1910"/>
      <c r="AC109" s="1910"/>
      <c r="AD109" s="1910"/>
      <c r="AE109" s="1910"/>
      <c r="AF109" s="1910"/>
      <c r="AG109" s="1910"/>
      <c r="AH109" s="1911"/>
      <c r="AI109" s="1086"/>
      <c r="AJ109" s="1086"/>
      <c r="AK109" s="1086"/>
      <c r="AL109" s="1086"/>
      <c r="AM109" s="1086"/>
      <c r="AN109" s="1086"/>
      <c r="AO109" s="1086"/>
      <c r="AP109" s="1086"/>
      <c r="AQ109" s="1086"/>
      <c r="AR109" s="1086"/>
      <c r="AS109" s="1086"/>
      <c r="AT109" s="1086"/>
      <c r="AU109" s="1086"/>
      <c r="AV109" s="1086"/>
      <c r="AW109" s="1086"/>
      <c r="AX109" s="1086"/>
      <c r="AY109" s="1086"/>
      <c r="AZ109" s="1086"/>
      <c r="BA109" s="1086"/>
      <c r="BB109" s="1086"/>
      <c r="BC109" s="1086"/>
      <c r="BD109" s="1086"/>
      <c r="BE109" s="1082"/>
    </row>
    <row r="110" spans="1:70" ht="15.75" customHeight="1">
      <c r="A110" s="1086"/>
      <c r="B110" s="1907" t="s">
        <v>2573</v>
      </c>
      <c r="C110" s="1908"/>
      <c r="D110" s="1908"/>
      <c r="E110" s="1908"/>
      <c r="F110" s="1908"/>
      <c r="G110" s="1908"/>
      <c r="H110" s="1908"/>
      <c r="I110" s="1905">
        <v>0</v>
      </c>
      <c r="J110" s="1905"/>
      <c r="K110" s="1905"/>
      <c r="L110" s="1905"/>
      <c r="M110" s="1905"/>
      <c r="N110" s="1905"/>
      <c r="O110" s="1905">
        <v>0</v>
      </c>
      <c r="P110" s="1905"/>
      <c r="Q110" s="1905"/>
      <c r="R110" s="1905"/>
      <c r="S110" s="1905"/>
      <c r="T110" s="1905"/>
      <c r="U110" s="1905"/>
      <c r="V110" s="1905">
        <v>0</v>
      </c>
      <c r="W110" s="1905"/>
      <c r="X110" s="1905"/>
      <c r="Y110" s="1905"/>
      <c r="Z110" s="1905"/>
      <c r="AA110" s="1905"/>
      <c r="AB110" s="1905">
        <v>0</v>
      </c>
      <c r="AC110" s="1905"/>
      <c r="AD110" s="1905"/>
      <c r="AE110" s="1905"/>
      <c r="AF110" s="1905"/>
      <c r="AG110" s="1905"/>
      <c r="AH110" s="1906"/>
      <c r="AI110" s="1086"/>
      <c r="AJ110" s="1086"/>
      <c r="AK110" s="1086"/>
      <c r="AL110" s="1086"/>
      <c r="AM110" s="1086"/>
      <c r="AN110" s="1086"/>
      <c r="AO110" s="1086"/>
      <c r="AP110" s="1086"/>
      <c r="AQ110" s="1086"/>
      <c r="AR110" s="1086"/>
      <c r="AS110" s="1086"/>
      <c r="AT110" s="1086"/>
      <c r="AU110" s="1086"/>
      <c r="AV110" s="1086"/>
      <c r="AW110" s="1086"/>
      <c r="AX110" s="1086"/>
      <c r="AY110" s="1086"/>
      <c r="AZ110" s="1086"/>
      <c r="BA110" s="1086"/>
      <c r="BB110" s="1086"/>
      <c r="BC110" s="1086"/>
      <c r="BD110" s="1086"/>
      <c r="BE110" s="1082"/>
    </row>
    <row r="111" spans="1:70" ht="15.75" customHeight="1">
      <c r="A111" s="1086"/>
      <c r="B111" s="1907" t="s">
        <v>2574</v>
      </c>
      <c r="C111" s="1908"/>
      <c r="D111" s="1908"/>
      <c r="E111" s="1908"/>
      <c r="F111" s="1908"/>
      <c r="G111" s="1908"/>
      <c r="H111" s="1908"/>
      <c r="I111" s="1905">
        <v>0</v>
      </c>
      <c r="J111" s="1905"/>
      <c r="K111" s="1905"/>
      <c r="L111" s="1905"/>
      <c r="M111" s="1905"/>
      <c r="N111" s="1905"/>
      <c r="O111" s="1905">
        <v>0</v>
      </c>
      <c r="P111" s="1905"/>
      <c r="Q111" s="1905"/>
      <c r="R111" s="1905"/>
      <c r="S111" s="1905"/>
      <c r="T111" s="1905"/>
      <c r="U111" s="1905"/>
      <c r="V111" s="1905">
        <v>0</v>
      </c>
      <c r="W111" s="1905"/>
      <c r="X111" s="1905"/>
      <c r="Y111" s="1905"/>
      <c r="Z111" s="1905"/>
      <c r="AA111" s="1905"/>
      <c r="AB111" s="1905">
        <v>0</v>
      </c>
      <c r="AC111" s="1905"/>
      <c r="AD111" s="1905"/>
      <c r="AE111" s="1905"/>
      <c r="AF111" s="1905"/>
      <c r="AG111" s="1905"/>
      <c r="AH111" s="1906"/>
      <c r="AI111" s="1086"/>
      <c r="AJ111" s="1086"/>
      <c r="AK111" s="1086"/>
      <c r="AL111" s="1086"/>
      <c r="AM111" s="1086"/>
      <c r="AN111" s="1086"/>
      <c r="AO111" s="1086"/>
      <c r="AP111" s="1086"/>
      <c r="AQ111" s="1086"/>
      <c r="AR111" s="1086"/>
      <c r="AS111" s="1086"/>
      <c r="AT111" s="1086"/>
      <c r="AU111" s="1086"/>
      <c r="AV111" s="1086"/>
      <c r="AW111" s="1086"/>
      <c r="AX111" s="1086"/>
      <c r="AY111" s="1086"/>
      <c r="AZ111" s="1086"/>
      <c r="BA111" s="1086"/>
      <c r="BB111" s="1086"/>
      <c r="BC111" s="1086"/>
      <c r="BD111" s="1086"/>
      <c r="BE111" s="1082"/>
    </row>
    <row r="112" spans="1:70" ht="15.75" customHeight="1" thickBot="1">
      <c r="A112" s="1086"/>
      <c r="B112" s="1901" t="s">
        <v>2576</v>
      </c>
      <c r="C112" s="1902"/>
      <c r="D112" s="1902"/>
      <c r="E112" s="1902"/>
      <c r="F112" s="1902"/>
      <c r="G112" s="1902"/>
      <c r="H112" s="1902"/>
      <c r="I112" s="1903">
        <v>0</v>
      </c>
      <c r="J112" s="1903"/>
      <c r="K112" s="1903"/>
      <c r="L112" s="1903"/>
      <c r="M112" s="1903"/>
      <c r="N112" s="1903"/>
      <c r="O112" s="1903">
        <v>0</v>
      </c>
      <c r="P112" s="1903"/>
      <c r="Q112" s="1903"/>
      <c r="R112" s="1903"/>
      <c r="S112" s="1903"/>
      <c r="T112" s="1903"/>
      <c r="U112" s="1903"/>
      <c r="V112" s="1903">
        <v>0</v>
      </c>
      <c r="W112" s="1903"/>
      <c r="X112" s="1903"/>
      <c r="Y112" s="1903"/>
      <c r="Z112" s="1903"/>
      <c r="AA112" s="1903"/>
      <c r="AB112" s="1903">
        <v>0</v>
      </c>
      <c r="AC112" s="1903"/>
      <c r="AD112" s="1903"/>
      <c r="AE112" s="1903"/>
      <c r="AF112" s="1903"/>
      <c r="AG112" s="1903"/>
      <c r="AH112" s="1904"/>
      <c r="AI112" s="1086"/>
      <c r="AJ112" s="1086"/>
      <c r="AK112" s="1086"/>
      <c r="AL112" s="1086"/>
      <c r="AM112" s="1086"/>
      <c r="AN112" s="1086"/>
      <c r="AO112" s="1086"/>
      <c r="AP112" s="1086"/>
      <c r="AQ112" s="1086"/>
      <c r="AR112" s="1086"/>
      <c r="AS112" s="1086"/>
      <c r="AT112" s="1086"/>
      <c r="AU112" s="1086"/>
      <c r="AV112" s="1086"/>
      <c r="AW112" s="1086"/>
      <c r="AX112" s="1086"/>
      <c r="AY112" s="1086"/>
      <c r="AZ112" s="1086"/>
      <c r="BA112" s="1086"/>
      <c r="BB112" s="1086"/>
      <c r="BC112" s="1086"/>
      <c r="BD112" s="1086"/>
      <c r="BE112" s="1082"/>
    </row>
    <row r="113" spans="1:57" ht="15.75" customHeight="1" thickBot="1">
      <c r="A113" s="1086"/>
      <c r="B113" s="1086"/>
      <c r="C113" s="1086"/>
      <c r="D113" s="1086"/>
      <c r="E113" s="1086"/>
      <c r="F113" s="1086"/>
      <c r="G113" s="1086"/>
      <c r="H113" s="1086"/>
      <c r="I113" s="1086"/>
      <c r="J113" s="1086"/>
      <c r="K113" s="1086"/>
      <c r="L113" s="1086"/>
      <c r="M113" s="1086"/>
      <c r="N113" s="1086"/>
      <c r="O113" s="1086"/>
      <c r="P113" s="1086"/>
      <c r="Q113" s="1086"/>
      <c r="R113" s="1086"/>
      <c r="S113" s="1086"/>
      <c r="T113" s="1086"/>
      <c r="U113" s="1086" t="s">
        <v>253</v>
      </c>
      <c r="V113" s="1086"/>
      <c r="W113" s="1086"/>
      <c r="X113" s="1086"/>
      <c r="Y113" s="1086"/>
      <c r="Z113" s="1086"/>
      <c r="AA113" s="1086"/>
      <c r="AB113" s="1086"/>
      <c r="AC113" s="1086"/>
      <c r="AD113" s="1086"/>
      <c r="AE113" s="1086"/>
      <c r="AF113" s="1086"/>
      <c r="AG113" s="1086"/>
      <c r="AH113" s="1086"/>
      <c r="AI113" s="1086"/>
      <c r="AJ113" s="1086"/>
      <c r="AK113" s="1086"/>
      <c r="AL113" s="1086"/>
      <c r="AM113" s="1086"/>
      <c r="AN113" s="1086"/>
      <c r="AO113" s="1086"/>
      <c r="AP113" s="1086"/>
      <c r="AQ113" s="1086"/>
      <c r="AR113" s="1086"/>
      <c r="AS113" s="1086"/>
      <c r="AT113" s="1086"/>
      <c r="AU113" s="1086"/>
      <c r="AV113" s="1086"/>
      <c r="AW113" s="1086"/>
      <c r="AX113" s="1086"/>
      <c r="AY113" s="1086"/>
      <c r="AZ113" s="1086"/>
      <c r="BA113" s="1086"/>
      <c r="BB113" s="1086"/>
      <c r="BC113" s="1086"/>
      <c r="BD113" s="1086"/>
      <c r="BE113" s="1082"/>
    </row>
    <row r="114" spans="1:57" ht="15.75" customHeight="1" thickBot="1">
      <c r="A114" s="1086"/>
      <c r="B114" s="1117" t="s">
        <v>2583</v>
      </c>
      <c r="C114" s="1116"/>
      <c r="D114" s="1116"/>
      <c r="E114" s="1116"/>
      <c r="F114" s="1116"/>
      <c r="G114" s="1116"/>
      <c r="H114" s="1116"/>
      <c r="I114" s="1116"/>
      <c r="J114" s="1116"/>
      <c r="K114" s="1116"/>
      <c r="L114" s="1116"/>
      <c r="M114" s="1116"/>
      <c r="N114" s="1116"/>
      <c r="O114" s="1116"/>
      <c r="P114" s="1116"/>
      <c r="Q114" s="1116"/>
      <c r="R114" s="1115"/>
      <c r="S114" s="1086"/>
      <c r="T114" s="1086"/>
      <c r="U114" s="1086"/>
      <c r="V114" s="1086"/>
      <c r="W114" s="1086"/>
      <c r="X114" s="1086"/>
      <c r="Y114" s="1086"/>
      <c r="Z114" s="1086"/>
      <c r="AA114" s="1086"/>
      <c r="AB114" s="1086"/>
      <c r="AC114" s="1086"/>
      <c r="AD114" s="1086"/>
      <c r="AE114" s="1086"/>
      <c r="AF114" s="1086"/>
      <c r="AG114" s="1086"/>
      <c r="AH114" s="1086"/>
      <c r="AI114" s="1086"/>
      <c r="AJ114" s="1086"/>
      <c r="AK114" s="1086"/>
      <c r="AL114" s="1086"/>
      <c r="AM114" s="1086"/>
      <c r="AN114" s="1086"/>
      <c r="AO114" s="1086"/>
      <c r="AP114" s="1086"/>
      <c r="AQ114" s="1086"/>
      <c r="AR114" s="1086"/>
      <c r="AS114" s="1086"/>
      <c r="AT114" s="1086"/>
      <c r="AU114" s="1086"/>
      <c r="AV114" s="1086"/>
      <c r="AW114" s="1086"/>
      <c r="AX114" s="1086"/>
      <c r="AY114" s="1086"/>
      <c r="AZ114" s="1086"/>
      <c r="BA114" s="1086"/>
      <c r="BB114" s="1086"/>
      <c r="BC114" s="1086"/>
      <c r="BD114" s="1086"/>
      <c r="BE114" s="1082"/>
    </row>
    <row r="115" spans="1:57" ht="15.75" customHeight="1">
      <c r="A115" s="1086"/>
      <c r="B115" s="1114" t="s">
        <v>2564</v>
      </c>
      <c r="C115" s="1114"/>
      <c r="D115" s="1113"/>
      <c r="E115" s="1112"/>
      <c r="F115" s="1931"/>
      <c r="G115" s="1932"/>
      <c r="H115" s="1932"/>
      <c r="I115" s="1932"/>
      <c r="J115" s="1932"/>
      <c r="K115" s="1932"/>
      <c r="L115" s="1932"/>
      <c r="M115" s="1932"/>
      <c r="N115" s="1932"/>
      <c r="O115" s="1932"/>
      <c r="P115" s="1932"/>
      <c r="Q115" s="1932"/>
      <c r="R115" s="1933"/>
      <c r="S115" s="1086"/>
      <c r="T115" s="1086"/>
      <c r="U115" s="1086"/>
      <c r="V115" s="1086"/>
      <c r="W115" s="1086"/>
      <c r="X115" s="1086"/>
      <c r="Y115" s="1086"/>
      <c r="Z115" s="1086"/>
      <c r="AA115" s="1086"/>
      <c r="AB115" s="1086"/>
      <c r="AC115" s="1086"/>
      <c r="AD115" s="1086"/>
      <c r="AE115" s="1086"/>
      <c r="AF115" s="1086"/>
      <c r="AG115" s="1086"/>
      <c r="AH115" s="1086"/>
      <c r="AI115" s="1086"/>
      <c r="AJ115" s="1086"/>
      <c r="AK115" s="1086"/>
      <c r="AL115" s="1086"/>
      <c r="AM115" s="1086"/>
      <c r="AN115" s="1086"/>
      <c r="AO115" s="1086"/>
      <c r="AP115" s="1086"/>
      <c r="AQ115" s="1086"/>
      <c r="AR115" s="1086"/>
      <c r="AS115" s="1086"/>
      <c r="AT115" s="1086"/>
      <c r="AU115" s="1086"/>
      <c r="AV115" s="1086"/>
      <c r="AW115" s="1086"/>
      <c r="AX115" s="1086"/>
      <c r="AY115" s="1086"/>
      <c r="AZ115" s="1086"/>
      <c r="BA115" s="1086"/>
      <c r="BB115" s="1086"/>
      <c r="BC115" s="1086"/>
      <c r="BD115" s="1086"/>
      <c r="BE115" s="1082"/>
    </row>
    <row r="116" spans="1:57" ht="15.75" customHeight="1" thickBot="1">
      <c r="A116" s="1086"/>
      <c r="B116" s="1086"/>
      <c r="C116" s="1086"/>
      <c r="D116" s="1086"/>
      <c r="E116" s="1086"/>
      <c r="F116" s="1086"/>
      <c r="G116" s="1086"/>
      <c r="H116" s="1086"/>
      <c r="I116" s="1086"/>
      <c r="J116" s="1086"/>
      <c r="K116" s="1086"/>
      <c r="L116" s="1086"/>
      <c r="M116" s="1086"/>
      <c r="N116" s="1086"/>
      <c r="O116" s="1086"/>
      <c r="P116" s="1086"/>
      <c r="Q116" s="1086"/>
      <c r="R116" s="1086"/>
      <c r="S116" s="1086"/>
      <c r="T116" s="1086"/>
      <c r="U116" s="1086"/>
      <c r="V116" s="1086"/>
      <c r="W116" s="1086"/>
      <c r="X116" s="1086"/>
      <c r="Y116" s="1086"/>
      <c r="Z116" s="1086"/>
      <c r="AA116" s="1086"/>
      <c r="AB116" s="1086"/>
      <c r="AC116" s="1086"/>
      <c r="AD116" s="1086"/>
      <c r="AE116" s="1086"/>
      <c r="AF116" s="1086"/>
      <c r="AG116" s="1086"/>
      <c r="AH116" s="1086"/>
      <c r="AI116" s="1086"/>
      <c r="AJ116" s="1086"/>
      <c r="AK116" s="1086"/>
      <c r="AL116" s="1086"/>
      <c r="AM116" s="1086"/>
      <c r="AN116" s="1086"/>
      <c r="AO116" s="1086"/>
      <c r="AP116" s="1086"/>
      <c r="AQ116" s="1086"/>
      <c r="AR116" s="1086"/>
      <c r="AS116" s="1086"/>
      <c r="AT116" s="1086"/>
      <c r="AU116" s="1086"/>
      <c r="AV116" s="1086"/>
      <c r="AW116" s="1086"/>
      <c r="AX116" s="1086"/>
      <c r="AY116" s="1086"/>
      <c r="AZ116" s="1086"/>
      <c r="BA116" s="1086"/>
      <c r="BB116" s="1086"/>
      <c r="BC116" s="1086"/>
      <c r="BD116" s="1086"/>
      <c r="BE116" s="1082"/>
    </row>
    <row r="117" spans="1:57" ht="15.75" customHeight="1">
      <c r="A117" s="1086"/>
      <c r="B117" s="1915" t="s">
        <v>2584</v>
      </c>
      <c r="C117" s="1916"/>
      <c r="D117" s="1916"/>
      <c r="E117" s="1916"/>
      <c r="F117" s="1916"/>
      <c r="G117" s="1916"/>
      <c r="H117" s="1916"/>
      <c r="I117" s="1916"/>
      <c r="J117" s="1916"/>
      <c r="K117" s="1916"/>
      <c r="L117" s="1916"/>
      <c r="M117" s="1916"/>
      <c r="N117" s="1916"/>
      <c r="O117" s="1916"/>
      <c r="P117" s="1916"/>
      <c r="Q117" s="1937" t="s">
        <v>837</v>
      </c>
      <c r="R117" s="1937"/>
      <c r="S117" s="1937"/>
      <c r="T117" s="1938"/>
      <c r="U117" s="1086"/>
      <c r="V117" s="1086"/>
      <c r="W117" s="1086"/>
      <c r="X117" s="1086"/>
      <c r="Y117" s="1086"/>
      <c r="Z117" s="1086"/>
      <c r="AA117" s="1086"/>
      <c r="AB117" s="1086"/>
      <c r="AC117" s="1086"/>
      <c r="AD117" s="1086"/>
      <c r="AE117" s="1086"/>
      <c r="AF117" s="1086"/>
      <c r="AG117" s="1086"/>
      <c r="AH117" s="1086"/>
      <c r="AI117" s="1086"/>
      <c r="AJ117" s="1086"/>
      <c r="AK117" s="1086"/>
      <c r="AL117" s="1086"/>
      <c r="AM117" s="1086"/>
      <c r="AN117" s="1086"/>
      <c r="AO117" s="1086"/>
      <c r="AP117" s="1086"/>
      <c r="AQ117" s="1086"/>
      <c r="AR117" s="1086"/>
      <c r="AS117" s="1086"/>
      <c r="AT117" s="1086"/>
      <c r="AU117" s="1086"/>
      <c r="AV117" s="1086"/>
      <c r="AW117" s="1086"/>
      <c r="AX117" s="1086"/>
      <c r="AY117" s="1086"/>
      <c r="AZ117" s="1086"/>
      <c r="BA117" s="1086"/>
      <c r="BB117" s="1086"/>
      <c r="BC117" s="1086"/>
      <c r="BD117" s="1086"/>
      <c r="BE117" s="1082"/>
    </row>
    <row r="118" spans="1:57" ht="15.75" customHeight="1">
      <c r="A118" s="1086"/>
      <c r="B118" s="1917"/>
      <c r="C118" s="1918"/>
      <c r="D118" s="1918"/>
      <c r="E118" s="1918"/>
      <c r="F118" s="1918"/>
      <c r="G118" s="1918"/>
      <c r="H118" s="1918"/>
      <c r="I118" s="1918"/>
      <c r="J118" s="1918"/>
      <c r="K118" s="1918"/>
      <c r="L118" s="1918"/>
      <c r="M118" s="1918"/>
      <c r="N118" s="1918"/>
      <c r="O118" s="1918"/>
      <c r="P118" s="1918"/>
      <c r="Q118" s="1939"/>
      <c r="R118" s="1939"/>
      <c r="S118" s="1939"/>
      <c r="T118" s="1940"/>
      <c r="U118" s="1086"/>
      <c r="V118" s="1086"/>
      <c r="W118" s="1086"/>
      <c r="X118" s="1086"/>
      <c r="Y118" s="1086"/>
      <c r="Z118" s="1086"/>
      <c r="AA118" s="1086"/>
      <c r="AB118" s="1086"/>
      <c r="AC118" s="1086"/>
      <c r="AD118" s="1086"/>
      <c r="AE118" s="1086"/>
      <c r="AF118" s="1086"/>
      <c r="AG118" s="1086"/>
      <c r="AH118" s="1086"/>
      <c r="AI118" s="1086"/>
      <c r="AJ118" s="1086"/>
      <c r="AK118" s="1086"/>
      <c r="AL118" s="1086"/>
      <c r="AM118" s="1086"/>
      <c r="AN118" s="1086"/>
      <c r="AO118" s="1086"/>
      <c r="AP118" s="1086"/>
      <c r="AQ118" s="1086"/>
      <c r="AR118" s="1086"/>
      <c r="AS118" s="1086"/>
      <c r="AT118" s="1086"/>
      <c r="AU118" s="1086"/>
      <c r="AV118" s="1086"/>
      <c r="AW118" s="1086"/>
      <c r="AX118" s="1086"/>
      <c r="AY118" s="1086"/>
      <c r="AZ118" s="1086"/>
      <c r="BA118" s="1086"/>
      <c r="BB118" s="1086"/>
      <c r="BC118" s="1086"/>
      <c r="BD118" s="1086"/>
      <c r="BE118" s="1082"/>
    </row>
    <row r="119" spans="1:57" ht="15.75" customHeight="1">
      <c r="A119" s="1086"/>
      <c r="B119" s="1917"/>
      <c r="C119" s="1918"/>
      <c r="D119" s="1918"/>
      <c r="E119" s="1918"/>
      <c r="F119" s="1918"/>
      <c r="G119" s="1918"/>
      <c r="H119" s="1918"/>
      <c r="I119" s="1918"/>
      <c r="J119" s="1918"/>
      <c r="K119" s="1918"/>
      <c r="L119" s="1918"/>
      <c r="M119" s="1918"/>
      <c r="N119" s="1918"/>
      <c r="O119" s="1918"/>
      <c r="P119" s="1918"/>
      <c r="Q119" s="1939"/>
      <c r="R119" s="1939"/>
      <c r="S119" s="1939"/>
      <c r="T119" s="1940"/>
      <c r="U119" s="1086"/>
      <c r="V119" s="1086"/>
      <c r="W119" s="1086"/>
      <c r="X119" s="1086"/>
      <c r="Y119" s="1086"/>
      <c r="Z119" s="1086"/>
      <c r="AA119" s="1086"/>
      <c r="AB119" s="1086"/>
      <c r="AC119" s="1086"/>
      <c r="AD119" s="1086"/>
      <c r="AE119" s="1086"/>
      <c r="AF119" s="1086"/>
      <c r="AG119" s="1086"/>
      <c r="AH119" s="1086"/>
      <c r="AI119" s="1086"/>
      <c r="AJ119" s="1086"/>
      <c r="AK119" s="1086"/>
      <c r="AL119" s="1086"/>
      <c r="AM119" s="1086"/>
      <c r="AN119" s="1086"/>
      <c r="AO119" s="1086"/>
      <c r="AP119" s="1086"/>
      <c r="AQ119" s="1086"/>
      <c r="AR119" s="1086"/>
      <c r="AS119" s="1086"/>
      <c r="AT119" s="1086"/>
      <c r="AU119" s="1086"/>
      <c r="AV119" s="1086"/>
      <c r="AW119" s="1086"/>
      <c r="AX119" s="1086"/>
      <c r="AY119" s="1086"/>
      <c r="AZ119" s="1086"/>
      <c r="BA119" s="1086"/>
      <c r="BB119" s="1086"/>
      <c r="BC119" s="1086"/>
      <c r="BD119" s="1086"/>
      <c r="BE119" s="1082"/>
    </row>
    <row r="120" spans="1:57" ht="15.75" customHeight="1">
      <c r="A120" s="1086"/>
      <c r="B120" s="1917"/>
      <c r="C120" s="1918"/>
      <c r="D120" s="1918"/>
      <c r="E120" s="1918"/>
      <c r="F120" s="1918"/>
      <c r="G120" s="1918"/>
      <c r="H120" s="1918"/>
      <c r="I120" s="1918"/>
      <c r="J120" s="1918"/>
      <c r="K120" s="1918"/>
      <c r="L120" s="1918"/>
      <c r="M120" s="1918"/>
      <c r="N120" s="1918"/>
      <c r="O120" s="1918"/>
      <c r="P120" s="1918"/>
      <c r="Q120" s="1939"/>
      <c r="R120" s="1939"/>
      <c r="S120" s="1939"/>
      <c r="T120" s="1940"/>
      <c r="U120" s="1086"/>
      <c r="V120" s="1086"/>
      <c r="W120" s="1086"/>
      <c r="X120" s="1086"/>
      <c r="Y120" s="1086"/>
      <c r="Z120" s="1086"/>
      <c r="AA120" s="1086"/>
      <c r="AB120" s="1086"/>
      <c r="AC120" s="1086"/>
      <c r="AD120" s="1086"/>
      <c r="AE120" s="1086"/>
      <c r="AF120" s="1086"/>
      <c r="AG120" s="1086"/>
      <c r="AH120" s="1086"/>
      <c r="AI120" s="1086"/>
      <c r="AJ120" s="1086"/>
      <c r="AK120" s="1086"/>
      <c r="AL120" s="1086"/>
      <c r="AM120" s="1086"/>
      <c r="AN120" s="1086"/>
      <c r="AO120" s="1086"/>
      <c r="AP120" s="1086"/>
      <c r="AQ120" s="1086"/>
      <c r="AR120" s="1086"/>
      <c r="AS120" s="1086"/>
      <c r="AT120" s="1086"/>
      <c r="AU120" s="1086"/>
      <c r="AV120" s="1086"/>
      <c r="AW120" s="1086"/>
      <c r="AX120" s="1086"/>
      <c r="AY120" s="1086"/>
      <c r="AZ120" s="1086"/>
      <c r="BA120" s="1086"/>
      <c r="BB120" s="1086"/>
      <c r="BC120" s="1086"/>
      <c r="BD120" s="1086"/>
      <c r="BE120" s="1082"/>
    </row>
    <row r="121" spans="1:57" ht="15.75" customHeight="1">
      <c r="A121" s="1086"/>
      <c r="B121" s="1919" t="s">
        <v>2585</v>
      </c>
      <c r="C121" s="1920"/>
      <c r="D121" s="1920"/>
      <c r="E121" s="1920"/>
      <c r="F121" s="1920"/>
      <c r="G121" s="1920"/>
      <c r="H121" s="1920"/>
      <c r="I121" s="1920"/>
      <c r="J121" s="1920"/>
      <c r="K121" s="1920"/>
      <c r="L121" s="1920"/>
      <c r="M121" s="1920"/>
      <c r="N121" s="1920"/>
      <c r="O121" s="1920"/>
      <c r="P121" s="1920"/>
      <c r="Q121" s="1920"/>
      <c r="R121" s="1920"/>
      <c r="S121" s="1920"/>
      <c r="T121" s="1921"/>
      <c r="U121" s="1086"/>
      <c r="V121" s="1086"/>
      <c r="W121" s="1086"/>
      <c r="X121" s="1086"/>
      <c r="Y121" s="1086"/>
      <c r="Z121" s="1086"/>
      <c r="AA121" s="1086"/>
      <c r="AB121" s="1086"/>
      <c r="AC121" s="1086"/>
      <c r="AD121" s="1086"/>
      <c r="AE121" s="1086"/>
      <c r="AF121" s="1086"/>
      <c r="AG121" s="1086"/>
      <c r="AH121" s="1086"/>
      <c r="AI121" s="1086"/>
      <c r="AJ121" s="1086"/>
      <c r="AK121" s="1086"/>
      <c r="AL121" s="1086"/>
      <c r="AM121" s="1086"/>
      <c r="AN121" s="1086"/>
      <c r="AO121" s="1086"/>
      <c r="AP121" s="1086"/>
      <c r="AQ121" s="1086"/>
      <c r="AR121" s="1086"/>
      <c r="AS121" s="1086"/>
      <c r="AT121" s="1086"/>
      <c r="AU121" s="1086"/>
      <c r="AV121" s="1086"/>
      <c r="AW121" s="1086"/>
      <c r="AX121" s="1086"/>
      <c r="AY121" s="1086"/>
      <c r="AZ121" s="1086"/>
      <c r="BA121" s="1086"/>
      <c r="BB121" s="1086"/>
      <c r="BC121" s="1086"/>
      <c r="BD121" s="1086"/>
      <c r="BE121" s="1082"/>
    </row>
    <row r="122" spans="1:57" ht="15.75" customHeight="1" thickBot="1">
      <c r="A122" s="1086"/>
      <c r="B122" s="1922"/>
      <c r="C122" s="1923"/>
      <c r="D122" s="1923"/>
      <c r="E122" s="1923"/>
      <c r="F122" s="1923"/>
      <c r="G122" s="1923"/>
      <c r="H122" s="1923"/>
      <c r="I122" s="1923"/>
      <c r="J122" s="1923"/>
      <c r="K122" s="1923"/>
      <c r="L122" s="1923"/>
      <c r="M122" s="1923"/>
      <c r="N122" s="1923"/>
      <c r="O122" s="1923"/>
      <c r="P122" s="1923"/>
      <c r="Q122" s="1923"/>
      <c r="R122" s="1923"/>
      <c r="S122" s="1923"/>
      <c r="T122" s="1924"/>
      <c r="U122" s="1086"/>
      <c r="V122" s="1086"/>
      <c r="W122" s="1086"/>
      <c r="X122" s="1086"/>
      <c r="Y122" s="1086"/>
      <c r="Z122" s="1086"/>
      <c r="AA122" s="1086"/>
      <c r="AB122" s="1086"/>
      <c r="AC122" s="1086"/>
      <c r="AD122" s="1086"/>
      <c r="AE122" s="1086"/>
      <c r="AF122" s="1086"/>
      <c r="AG122" s="1086"/>
      <c r="AH122" s="1086"/>
      <c r="AI122" s="1086"/>
      <c r="AJ122" s="1086"/>
      <c r="AK122" s="1086"/>
      <c r="AL122" s="1086"/>
      <c r="AM122" s="1086"/>
      <c r="AN122" s="1086"/>
      <c r="AO122" s="1086"/>
      <c r="AP122" s="1086"/>
      <c r="AQ122" s="1086"/>
      <c r="AR122" s="1086"/>
      <c r="AS122" s="1086"/>
      <c r="AT122" s="1086"/>
      <c r="AU122" s="1086"/>
      <c r="AV122" s="1086"/>
      <c r="AW122" s="1086"/>
      <c r="AX122" s="1086"/>
      <c r="AY122" s="1086"/>
      <c r="AZ122" s="1086"/>
      <c r="BA122" s="1086"/>
      <c r="BB122" s="1086"/>
      <c r="BC122" s="1086"/>
      <c r="BD122" s="1086"/>
      <c r="BE122" s="1082"/>
    </row>
    <row r="123" spans="1:57" ht="15.75" customHeight="1" thickBot="1">
      <c r="A123" s="1086"/>
      <c r="B123" s="1086"/>
      <c r="C123" s="1086"/>
      <c r="D123" s="1086"/>
      <c r="E123" s="1086"/>
      <c r="F123" s="1086"/>
      <c r="G123" s="1086"/>
      <c r="H123" s="1086"/>
      <c r="I123" s="1086"/>
      <c r="J123" s="1086"/>
      <c r="K123" s="1086"/>
      <c r="L123" s="1086"/>
      <c r="M123" s="1086"/>
      <c r="N123" s="1086"/>
      <c r="O123" s="1086"/>
      <c r="P123" s="1086"/>
      <c r="Q123" s="1086"/>
      <c r="R123" s="1086"/>
      <c r="S123" s="1086"/>
      <c r="T123" s="1086"/>
      <c r="U123" s="1086"/>
      <c r="V123" s="1086"/>
      <c r="W123" s="1086"/>
      <c r="X123" s="1086"/>
      <c r="Y123" s="1086"/>
      <c r="Z123" s="1086"/>
      <c r="AA123" s="1086"/>
      <c r="AB123" s="1086"/>
      <c r="AC123" s="1086"/>
      <c r="AD123" s="1086"/>
      <c r="AE123" s="1086"/>
      <c r="AF123" s="1086"/>
      <c r="AG123" s="1086"/>
      <c r="AH123" s="1086"/>
      <c r="AI123" s="1086"/>
      <c r="AJ123" s="1086"/>
      <c r="AK123" s="1086"/>
      <c r="AL123" s="1086"/>
      <c r="AM123" s="1086"/>
      <c r="AN123" s="1086"/>
      <c r="AO123" s="1086"/>
      <c r="AP123" s="1086"/>
      <c r="AQ123" s="1086"/>
      <c r="AR123" s="1086"/>
      <c r="AS123" s="1086"/>
      <c r="AT123" s="1086"/>
      <c r="AU123" s="1086"/>
      <c r="AV123" s="1086"/>
      <c r="AW123" s="1086"/>
      <c r="AX123" s="1086"/>
      <c r="AY123" s="1086"/>
      <c r="AZ123" s="1086"/>
      <c r="BA123" s="1086"/>
      <c r="BB123" s="1086"/>
      <c r="BC123" s="1086"/>
      <c r="BD123" s="1086"/>
      <c r="BE123" s="1082"/>
    </row>
    <row r="124" spans="1:57" ht="15.75" customHeight="1" thickBot="1">
      <c r="A124" s="1086"/>
      <c r="B124" s="1108" t="s">
        <v>2586</v>
      </c>
      <c r="C124" s="1106"/>
      <c r="D124" s="1106"/>
      <c r="E124" s="1106"/>
      <c r="F124" s="1106"/>
      <c r="G124" s="1106"/>
      <c r="H124" s="1106"/>
      <c r="I124" s="1106"/>
      <c r="J124" s="1106"/>
      <c r="K124" s="1106"/>
      <c r="L124" s="1106"/>
      <c r="M124" s="1106"/>
      <c r="N124" s="1106"/>
      <c r="O124" s="1106"/>
      <c r="P124" s="1106"/>
      <c r="Q124" s="1106"/>
      <c r="R124" s="1105"/>
      <c r="S124" s="1086"/>
      <c r="T124" s="1086"/>
      <c r="U124" s="1086"/>
      <c r="V124" s="1086"/>
      <c r="W124" s="1086"/>
      <c r="X124" s="1086"/>
      <c r="Y124" s="1086"/>
      <c r="Z124" s="1086"/>
      <c r="AA124" s="1086"/>
      <c r="AB124" s="1086"/>
      <c r="AC124" s="1086"/>
      <c r="AD124" s="1086"/>
      <c r="AE124" s="1086"/>
      <c r="AF124" s="1086"/>
      <c r="AG124" s="1086"/>
      <c r="AH124" s="1086"/>
      <c r="AI124" s="1086"/>
      <c r="AJ124" s="1086"/>
      <c r="AK124" s="1086"/>
      <c r="AL124" s="1086"/>
      <c r="AM124" s="1086"/>
      <c r="AN124" s="1086"/>
      <c r="AO124" s="1086"/>
      <c r="AP124" s="1086"/>
      <c r="AQ124" s="1086"/>
      <c r="AR124" s="1086"/>
      <c r="AS124" s="1086"/>
      <c r="AT124" s="1086"/>
      <c r="AU124" s="1086"/>
      <c r="AV124" s="1086"/>
      <c r="AW124" s="1086"/>
      <c r="AX124" s="1086"/>
      <c r="AY124" s="1086"/>
      <c r="AZ124" s="1086"/>
      <c r="BA124" s="1086"/>
      <c r="BB124" s="1086"/>
      <c r="BC124" s="1086"/>
      <c r="BD124" s="1086"/>
      <c r="BE124" s="1082"/>
    </row>
    <row r="125" spans="1:57" ht="15.75" customHeight="1" thickBot="1">
      <c r="A125" s="1086"/>
      <c r="B125" s="1086"/>
      <c r="C125" s="1086"/>
      <c r="D125" s="1086"/>
      <c r="E125" s="1086"/>
      <c r="F125" s="1086"/>
      <c r="G125" s="1086"/>
      <c r="H125" s="1086"/>
      <c r="I125" s="1086"/>
      <c r="J125" s="1086"/>
      <c r="K125" s="1086"/>
      <c r="L125" s="1086"/>
      <c r="M125" s="1086"/>
      <c r="N125" s="1086"/>
      <c r="O125" s="1086"/>
      <c r="P125" s="1111"/>
      <c r="Q125" s="1086"/>
      <c r="R125" s="1086"/>
      <c r="S125" s="1086"/>
      <c r="T125" s="1086"/>
      <c r="U125" s="1086"/>
      <c r="V125" s="1086"/>
      <c r="W125" s="1086"/>
      <c r="X125" s="1915" t="s">
        <v>2587</v>
      </c>
      <c r="Y125" s="1916"/>
      <c r="Z125" s="1916"/>
      <c r="AA125" s="1916"/>
      <c r="AB125" s="1916"/>
      <c r="AC125" s="1916"/>
      <c r="AD125" s="1916"/>
      <c r="AE125" s="1916"/>
      <c r="AF125" s="1916"/>
      <c r="AG125" s="1916"/>
      <c r="AH125" s="1916"/>
      <c r="AI125" s="1916"/>
      <c r="AJ125" s="1916"/>
      <c r="AK125" s="1916"/>
      <c r="AL125" s="1916"/>
      <c r="AM125" s="1916"/>
      <c r="AN125" s="1916"/>
      <c r="AO125" s="1916"/>
      <c r="AP125" s="1916"/>
      <c r="AQ125" s="1916"/>
      <c r="AR125" s="1916"/>
      <c r="AS125" s="1916"/>
      <c r="AT125" s="1916"/>
      <c r="AU125" s="1916"/>
      <c r="AV125" s="1916"/>
      <c r="AW125" s="1916"/>
      <c r="AX125" s="1916"/>
      <c r="AY125" s="1916"/>
      <c r="AZ125" s="1916"/>
      <c r="BA125" s="1916"/>
      <c r="BB125" s="1916"/>
      <c r="BC125" s="1916"/>
      <c r="BD125" s="2159"/>
      <c r="BE125" s="1082"/>
    </row>
    <row r="126" spans="1:57" ht="15.75" customHeight="1">
      <c r="A126" s="1086"/>
      <c r="B126" s="2161" t="s">
        <v>2389</v>
      </c>
      <c r="C126" s="2162"/>
      <c r="D126" s="2162"/>
      <c r="E126" s="2162"/>
      <c r="F126" s="2162"/>
      <c r="G126" s="2162"/>
      <c r="H126" s="2162"/>
      <c r="I126" s="2162"/>
      <c r="J126" s="2162"/>
      <c r="K126" s="2162"/>
      <c r="L126" s="2162"/>
      <c r="M126" s="2162"/>
      <c r="N126" s="2162"/>
      <c r="O126" s="2162"/>
      <c r="P126" s="2162"/>
      <c r="Q126" s="2162"/>
      <c r="R126" s="2162"/>
      <c r="S126" s="2162"/>
      <c r="T126" s="2162"/>
      <c r="U126" s="2163"/>
      <c r="V126" s="1086"/>
      <c r="W126" s="1086"/>
      <c r="X126" s="1917"/>
      <c r="Y126" s="1918"/>
      <c r="Z126" s="1918"/>
      <c r="AA126" s="1918"/>
      <c r="AB126" s="1918"/>
      <c r="AC126" s="1918"/>
      <c r="AD126" s="1918"/>
      <c r="AE126" s="1918"/>
      <c r="AF126" s="1918"/>
      <c r="AG126" s="1918"/>
      <c r="AH126" s="1918"/>
      <c r="AI126" s="1918"/>
      <c r="AJ126" s="1918"/>
      <c r="AK126" s="1918"/>
      <c r="AL126" s="1918"/>
      <c r="AM126" s="1918"/>
      <c r="AN126" s="1918"/>
      <c r="AO126" s="1918"/>
      <c r="AP126" s="1918"/>
      <c r="AQ126" s="1918"/>
      <c r="AR126" s="1918"/>
      <c r="AS126" s="1918"/>
      <c r="AT126" s="1918"/>
      <c r="AU126" s="1918"/>
      <c r="AV126" s="1918"/>
      <c r="AW126" s="1918"/>
      <c r="AX126" s="1918"/>
      <c r="AY126" s="1918"/>
      <c r="AZ126" s="1918"/>
      <c r="BA126" s="1918"/>
      <c r="BB126" s="1918"/>
      <c r="BC126" s="1918"/>
      <c r="BD126" s="2160"/>
      <c r="BE126" s="1082"/>
    </row>
    <row r="127" spans="1:57" ht="15.75" customHeight="1">
      <c r="A127" s="1086"/>
      <c r="B127" s="2123"/>
      <c r="C127" s="2124"/>
      <c r="D127" s="2124"/>
      <c r="E127" s="2124"/>
      <c r="F127" s="2124"/>
      <c r="G127" s="2124"/>
      <c r="H127" s="2124"/>
      <c r="I127" s="1908" t="s">
        <v>2588</v>
      </c>
      <c r="J127" s="1908"/>
      <c r="K127" s="1908"/>
      <c r="L127" s="1908"/>
      <c r="M127" s="1908"/>
      <c r="N127" s="1908"/>
      <c r="O127" s="2164" t="s">
        <v>2589</v>
      </c>
      <c r="P127" s="2164"/>
      <c r="Q127" s="2164"/>
      <c r="R127" s="2164"/>
      <c r="S127" s="2164"/>
      <c r="T127" s="2164"/>
      <c r="U127" s="2165"/>
      <c r="V127" s="1086"/>
      <c r="W127" s="1086"/>
      <c r="X127" s="2166" t="s">
        <v>2590</v>
      </c>
      <c r="Y127" s="2127"/>
      <c r="Z127" s="2127"/>
      <c r="AA127" s="2127"/>
      <c r="AB127" s="2127"/>
      <c r="AC127" s="2127"/>
      <c r="AD127" s="2127"/>
      <c r="AE127" s="2127"/>
      <c r="AF127" s="2127"/>
      <c r="AG127" s="2127"/>
      <c r="AH127" s="2127"/>
      <c r="AI127" s="2127"/>
      <c r="AJ127" s="2127"/>
      <c r="AK127" s="2127"/>
      <c r="AL127" s="2127"/>
      <c r="AM127" s="2127"/>
      <c r="AN127" s="2127"/>
      <c r="AO127" s="2127"/>
      <c r="AP127" s="2127"/>
      <c r="AQ127" s="2127"/>
      <c r="AR127" s="2127"/>
      <c r="AS127" s="2127"/>
      <c r="AT127" s="2127"/>
      <c r="AU127" s="2127"/>
      <c r="AV127" s="2127"/>
      <c r="AW127" s="2127"/>
      <c r="AX127" s="2127"/>
      <c r="AY127" s="2127"/>
      <c r="AZ127" s="2127"/>
      <c r="BA127" s="2127"/>
      <c r="BB127" s="2127"/>
      <c r="BC127" s="2127"/>
      <c r="BD127" s="2128"/>
      <c r="BE127" s="1082"/>
    </row>
    <row r="128" spans="1:57" ht="15.75" customHeight="1">
      <c r="A128" s="1086"/>
      <c r="B128" s="2140" t="s">
        <v>2591</v>
      </c>
      <c r="C128" s="2141"/>
      <c r="D128" s="2141"/>
      <c r="E128" s="2141"/>
      <c r="F128" s="2141"/>
      <c r="G128" s="2141"/>
      <c r="H128" s="2141"/>
      <c r="I128" s="1905">
        <v>35</v>
      </c>
      <c r="J128" s="1905"/>
      <c r="K128" s="1905"/>
      <c r="L128" s="1905"/>
      <c r="M128" s="1905"/>
      <c r="N128" s="1905"/>
      <c r="O128" s="1905">
        <v>4</v>
      </c>
      <c r="P128" s="1905"/>
      <c r="Q128" s="1905"/>
      <c r="R128" s="1905"/>
      <c r="S128" s="1905"/>
      <c r="T128" s="1905"/>
      <c r="U128" s="1906"/>
      <c r="V128" s="1086"/>
      <c r="W128" s="1086"/>
      <c r="X128" s="2126"/>
      <c r="Y128" s="2127"/>
      <c r="Z128" s="2127"/>
      <c r="AA128" s="2127"/>
      <c r="AB128" s="2127"/>
      <c r="AC128" s="2127"/>
      <c r="AD128" s="2127"/>
      <c r="AE128" s="2127"/>
      <c r="AF128" s="2127"/>
      <c r="AG128" s="2127"/>
      <c r="AH128" s="2127"/>
      <c r="AI128" s="2127"/>
      <c r="AJ128" s="2127"/>
      <c r="AK128" s="2127"/>
      <c r="AL128" s="2127"/>
      <c r="AM128" s="2127"/>
      <c r="AN128" s="2127"/>
      <c r="AO128" s="2127"/>
      <c r="AP128" s="2127"/>
      <c r="AQ128" s="2127"/>
      <c r="AR128" s="2127"/>
      <c r="AS128" s="2127"/>
      <c r="AT128" s="2127"/>
      <c r="AU128" s="2127"/>
      <c r="AV128" s="2127"/>
      <c r="AW128" s="2127"/>
      <c r="AX128" s="2127"/>
      <c r="AY128" s="2127"/>
      <c r="AZ128" s="2127"/>
      <c r="BA128" s="2127"/>
      <c r="BB128" s="2127"/>
      <c r="BC128" s="2127"/>
      <c r="BD128" s="2128"/>
      <c r="BE128" s="1082"/>
    </row>
    <row r="129" spans="1:57" ht="15.75" customHeight="1" thickBot="1">
      <c r="A129" s="1086"/>
      <c r="B129" s="2142" t="s">
        <v>2592</v>
      </c>
      <c r="C129" s="2143"/>
      <c r="D129" s="2143"/>
      <c r="E129" s="2143"/>
      <c r="F129" s="2143"/>
      <c r="G129" s="2143"/>
      <c r="H129" s="2143"/>
      <c r="I129" s="1903">
        <v>2</v>
      </c>
      <c r="J129" s="1903"/>
      <c r="K129" s="1903"/>
      <c r="L129" s="1903"/>
      <c r="M129" s="1903"/>
      <c r="N129" s="1903"/>
      <c r="O129" s="2167"/>
      <c r="P129" s="2167"/>
      <c r="Q129" s="2167"/>
      <c r="R129" s="2167"/>
      <c r="S129" s="2167"/>
      <c r="T129" s="2167"/>
      <c r="U129" s="2168"/>
      <c r="V129" s="1086"/>
      <c r="W129" s="1086"/>
      <c r="X129" s="2126"/>
      <c r="Y129" s="2127"/>
      <c r="Z129" s="2127"/>
      <c r="AA129" s="2127"/>
      <c r="AB129" s="2127"/>
      <c r="AC129" s="2127"/>
      <c r="AD129" s="2127"/>
      <c r="AE129" s="2127"/>
      <c r="AF129" s="2127"/>
      <c r="AG129" s="2127"/>
      <c r="AH129" s="2127"/>
      <c r="AI129" s="2127"/>
      <c r="AJ129" s="2127"/>
      <c r="AK129" s="2127"/>
      <c r="AL129" s="2127"/>
      <c r="AM129" s="2127"/>
      <c r="AN129" s="2127"/>
      <c r="AO129" s="2127"/>
      <c r="AP129" s="2127"/>
      <c r="AQ129" s="2127"/>
      <c r="AR129" s="2127"/>
      <c r="AS129" s="2127"/>
      <c r="AT129" s="2127"/>
      <c r="AU129" s="2127"/>
      <c r="AV129" s="2127"/>
      <c r="AW129" s="2127"/>
      <c r="AX129" s="2127"/>
      <c r="AY129" s="2127"/>
      <c r="AZ129" s="2127"/>
      <c r="BA129" s="2127"/>
      <c r="BB129" s="2127"/>
      <c r="BC129" s="2127"/>
      <c r="BD129" s="2128"/>
      <c r="BE129" s="1082"/>
    </row>
    <row r="130" spans="1:57" ht="15.75" customHeight="1" thickBot="1">
      <c r="A130" s="1086"/>
      <c r="B130" s="1086"/>
      <c r="C130" s="1086"/>
      <c r="D130" s="1086"/>
      <c r="E130" s="1086"/>
      <c r="F130" s="1086"/>
      <c r="G130" s="1086"/>
      <c r="H130" s="1086"/>
      <c r="I130" s="1086"/>
      <c r="J130" s="1086"/>
      <c r="K130" s="1086"/>
      <c r="L130" s="1086"/>
      <c r="M130" s="1086"/>
      <c r="N130" s="1086"/>
      <c r="O130" s="1086"/>
      <c r="P130" s="1086"/>
      <c r="Q130" s="1086"/>
      <c r="R130" s="1086"/>
      <c r="S130" s="1086"/>
      <c r="T130" s="1086"/>
      <c r="U130" s="1086"/>
      <c r="V130" s="1086"/>
      <c r="W130" s="1086"/>
      <c r="X130" s="2126"/>
      <c r="Y130" s="2127"/>
      <c r="Z130" s="2127"/>
      <c r="AA130" s="2127"/>
      <c r="AB130" s="2127"/>
      <c r="AC130" s="2127"/>
      <c r="AD130" s="2127"/>
      <c r="AE130" s="2127"/>
      <c r="AF130" s="2127"/>
      <c r="AG130" s="2127"/>
      <c r="AH130" s="2127"/>
      <c r="AI130" s="2127"/>
      <c r="AJ130" s="2127"/>
      <c r="AK130" s="2127"/>
      <c r="AL130" s="2127"/>
      <c r="AM130" s="2127"/>
      <c r="AN130" s="2127"/>
      <c r="AO130" s="2127"/>
      <c r="AP130" s="2127"/>
      <c r="AQ130" s="2127"/>
      <c r="AR130" s="2127"/>
      <c r="AS130" s="2127"/>
      <c r="AT130" s="2127"/>
      <c r="AU130" s="2127"/>
      <c r="AV130" s="2127"/>
      <c r="AW130" s="2127"/>
      <c r="AX130" s="2127"/>
      <c r="AY130" s="2127"/>
      <c r="AZ130" s="2127"/>
      <c r="BA130" s="2127"/>
      <c r="BB130" s="2127"/>
      <c r="BC130" s="2127"/>
      <c r="BD130" s="2128"/>
      <c r="BE130" s="1082"/>
    </row>
    <row r="131" spans="1:57" ht="15.75" customHeight="1" thickBot="1">
      <c r="A131" s="1086"/>
      <c r="B131" s="1108" t="s">
        <v>2593</v>
      </c>
      <c r="C131" s="1107"/>
      <c r="D131" s="1107"/>
      <c r="E131" s="1107"/>
      <c r="F131" s="1107"/>
      <c r="G131" s="1107"/>
      <c r="H131" s="1107"/>
      <c r="I131" s="1107"/>
      <c r="J131" s="1107"/>
      <c r="K131" s="1107"/>
      <c r="L131" s="1107"/>
      <c r="M131" s="1107"/>
      <c r="N131" s="1107"/>
      <c r="O131" s="1107"/>
      <c r="P131" s="1109"/>
      <c r="Q131" s="1097" t="s">
        <v>253</v>
      </c>
      <c r="R131" s="1097" t="s">
        <v>253</v>
      </c>
      <c r="S131" s="1086"/>
      <c r="T131" s="1086"/>
      <c r="U131" s="1086"/>
      <c r="V131" s="1086" t="s">
        <v>253</v>
      </c>
      <c r="W131" s="1086"/>
      <c r="X131" s="2126"/>
      <c r="Y131" s="2127"/>
      <c r="Z131" s="2127"/>
      <c r="AA131" s="2127"/>
      <c r="AB131" s="2127"/>
      <c r="AC131" s="2127"/>
      <c r="AD131" s="2127"/>
      <c r="AE131" s="2127"/>
      <c r="AF131" s="2127"/>
      <c r="AG131" s="2127"/>
      <c r="AH131" s="2127"/>
      <c r="AI131" s="2127"/>
      <c r="AJ131" s="2127"/>
      <c r="AK131" s="2127"/>
      <c r="AL131" s="2127"/>
      <c r="AM131" s="2127"/>
      <c r="AN131" s="2127"/>
      <c r="AO131" s="2127"/>
      <c r="AP131" s="2127"/>
      <c r="AQ131" s="2127"/>
      <c r="AR131" s="2127"/>
      <c r="AS131" s="2127"/>
      <c r="AT131" s="2127"/>
      <c r="AU131" s="2127"/>
      <c r="AV131" s="2127"/>
      <c r="AW131" s="2127"/>
      <c r="AX131" s="2127"/>
      <c r="AY131" s="2127"/>
      <c r="AZ131" s="2127"/>
      <c r="BA131" s="2127"/>
      <c r="BB131" s="2127"/>
      <c r="BC131" s="2127"/>
      <c r="BD131" s="2128"/>
      <c r="BE131" s="1082"/>
    </row>
    <row r="132" spans="1:57" ht="15.75" customHeight="1" thickBot="1">
      <c r="A132" s="1086"/>
      <c r="B132" s="1086"/>
      <c r="C132" s="1086"/>
      <c r="D132" s="1086"/>
      <c r="E132" s="1086"/>
      <c r="F132" s="1086"/>
      <c r="G132" s="1086"/>
      <c r="H132" s="1086"/>
      <c r="I132" s="1086"/>
      <c r="J132" s="1086"/>
      <c r="K132" s="1086"/>
      <c r="L132" s="1086"/>
      <c r="M132" s="1086"/>
      <c r="N132" s="1086"/>
      <c r="O132" s="1086"/>
      <c r="P132" s="1086"/>
      <c r="Q132" s="1086"/>
      <c r="R132" s="1086"/>
      <c r="S132" s="1086"/>
      <c r="T132" s="1086"/>
      <c r="U132" s="1086"/>
      <c r="V132" s="1086"/>
      <c r="W132" s="1086"/>
      <c r="X132" s="2126"/>
      <c r="Y132" s="2127"/>
      <c r="Z132" s="2127"/>
      <c r="AA132" s="2127"/>
      <c r="AB132" s="2127"/>
      <c r="AC132" s="2127"/>
      <c r="AD132" s="2127"/>
      <c r="AE132" s="2127"/>
      <c r="AF132" s="2127"/>
      <c r="AG132" s="2127"/>
      <c r="AH132" s="2127"/>
      <c r="AI132" s="2127"/>
      <c r="AJ132" s="2127"/>
      <c r="AK132" s="2127"/>
      <c r="AL132" s="2127"/>
      <c r="AM132" s="2127"/>
      <c r="AN132" s="2127"/>
      <c r="AO132" s="2127"/>
      <c r="AP132" s="2127"/>
      <c r="AQ132" s="2127"/>
      <c r="AR132" s="2127"/>
      <c r="AS132" s="2127"/>
      <c r="AT132" s="2127"/>
      <c r="AU132" s="2127"/>
      <c r="AV132" s="2127"/>
      <c r="AW132" s="2127"/>
      <c r="AX132" s="2127"/>
      <c r="AY132" s="2127"/>
      <c r="AZ132" s="2127"/>
      <c r="BA132" s="2127"/>
      <c r="BB132" s="2127"/>
      <c r="BC132" s="2127"/>
      <c r="BD132" s="2128"/>
      <c r="BE132" s="1082"/>
    </row>
    <row r="133" spans="1:57" ht="15.75" customHeight="1">
      <c r="A133" s="1086"/>
      <c r="B133" s="2156" t="s">
        <v>2594</v>
      </c>
      <c r="C133" s="2157"/>
      <c r="D133" s="2157"/>
      <c r="E133" s="2157"/>
      <c r="F133" s="2157"/>
      <c r="G133" s="2157"/>
      <c r="H133" s="2157"/>
      <c r="I133" s="2157"/>
      <c r="J133" s="2157"/>
      <c r="K133" s="2157"/>
      <c r="L133" s="2157"/>
      <c r="M133" s="2157"/>
      <c r="N133" s="2157"/>
      <c r="O133" s="2157"/>
      <c r="P133" s="2157"/>
      <c r="Q133" s="2157"/>
      <c r="R133" s="2157"/>
      <c r="S133" s="2157"/>
      <c r="T133" s="2157"/>
      <c r="U133" s="2158"/>
      <c r="V133" s="1086"/>
      <c r="W133" s="1086"/>
      <c r="X133" s="2126"/>
      <c r="Y133" s="2127"/>
      <c r="Z133" s="2127"/>
      <c r="AA133" s="2127"/>
      <c r="AB133" s="2127"/>
      <c r="AC133" s="2127"/>
      <c r="AD133" s="2127"/>
      <c r="AE133" s="2127"/>
      <c r="AF133" s="2127"/>
      <c r="AG133" s="2127"/>
      <c r="AH133" s="2127"/>
      <c r="AI133" s="2127"/>
      <c r="AJ133" s="2127"/>
      <c r="AK133" s="2127"/>
      <c r="AL133" s="2127"/>
      <c r="AM133" s="2127"/>
      <c r="AN133" s="2127"/>
      <c r="AO133" s="2127"/>
      <c r="AP133" s="2127"/>
      <c r="AQ133" s="2127"/>
      <c r="AR133" s="2127"/>
      <c r="AS133" s="2127"/>
      <c r="AT133" s="2127"/>
      <c r="AU133" s="2127"/>
      <c r="AV133" s="2127"/>
      <c r="AW133" s="2127"/>
      <c r="AX133" s="2127"/>
      <c r="AY133" s="2127"/>
      <c r="AZ133" s="2127"/>
      <c r="BA133" s="2127"/>
      <c r="BB133" s="2127"/>
      <c r="BC133" s="2127"/>
      <c r="BD133" s="2128"/>
      <c r="BE133" s="1082"/>
    </row>
    <row r="134" spans="1:57" ht="15.75" customHeight="1">
      <c r="A134" s="1086"/>
      <c r="B134" s="2123"/>
      <c r="C134" s="2124"/>
      <c r="D134" s="2124"/>
      <c r="E134" s="2124"/>
      <c r="F134" s="2124"/>
      <c r="G134" s="2124"/>
      <c r="H134" s="2124"/>
      <c r="I134" s="2138" t="s">
        <v>2570</v>
      </c>
      <c r="J134" s="2138"/>
      <c r="K134" s="2138"/>
      <c r="L134" s="2138"/>
      <c r="M134" s="2138"/>
      <c r="N134" s="2138"/>
      <c r="O134" s="2138"/>
      <c r="P134" s="2138" t="s">
        <v>2571</v>
      </c>
      <c r="Q134" s="2138"/>
      <c r="R134" s="2138"/>
      <c r="S134" s="2138"/>
      <c r="T134" s="2138"/>
      <c r="U134" s="2139"/>
      <c r="V134" s="1086"/>
      <c r="W134" s="1086"/>
      <c r="X134" s="2126"/>
      <c r="Y134" s="2127"/>
      <c r="Z134" s="2127"/>
      <c r="AA134" s="2127"/>
      <c r="AB134" s="2127"/>
      <c r="AC134" s="2127"/>
      <c r="AD134" s="2127"/>
      <c r="AE134" s="2127"/>
      <c r="AF134" s="2127"/>
      <c r="AG134" s="2127"/>
      <c r="AH134" s="2127"/>
      <c r="AI134" s="2127"/>
      <c r="AJ134" s="2127"/>
      <c r="AK134" s="2127"/>
      <c r="AL134" s="2127"/>
      <c r="AM134" s="2127"/>
      <c r="AN134" s="2127"/>
      <c r="AO134" s="2127"/>
      <c r="AP134" s="2127"/>
      <c r="AQ134" s="2127"/>
      <c r="AR134" s="2127"/>
      <c r="AS134" s="2127"/>
      <c r="AT134" s="2127"/>
      <c r="AU134" s="2127"/>
      <c r="AV134" s="2127"/>
      <c r="AW134" s="2127"/>
      <c r="AX134" s="2127"/>
      <c r="AY134" s="2127"/>
      <c r="AZ134" s="2127"/>
      <c r="BA134" s="2127"/>
      <c r="BB134" s="2127"/>
      <c r="BC134" s="2127"/>
      <c r="BD134" s="2128"/>
      <c r="BE134" s="1082"/>
    </row>
    <row r="135" spans="1:57" ht="15.75" customHeight="1">
      <c r="A135" s="1086"/>
      <c r="B135" s="2123"/>
      <c r="C135" s="2124"/>
      <c r="D135" s="2124"/>
      <c r="E135" s="2124"/>
      <c r="F135" s="2124"/>
      <c r="G135" s="2124"/>
      <c r="H135" s="2124"/>
      <c r="I135" s="2138"/>
      <c r="J135" s="2138"/>
      <c r="K135" s="2138"/>
      <c r="L135" s="2138"/>
      <c r="M135" s="2138"/>
      <c r="N135" s="2138"/>
      <c r="O135" s="2138"/>
      <c r="P135" s="2138"/>
      <c r="Q135" s="2138"/>
      <c r="R135" s="2138"/>
      <c r="S135" s="2138"/>
      <c r="T135" s="2138"/>
      <c r="U135" s="2139"/>
      <c r="V135" s="1086"/>
      <c r="W135" s="1086"/>
      <c r="X135" s="2126"/>
      <c r="Y135" s="2127"/>
      <c r="Z135" s="2127"/>
      <c r="AA135" s="2127"/>
      <c r="AB135" s="2127"/>
      <c r="AC135" s="2127"/>
      <c r="AD135" s="2127"/>
      <c r="AE135" s="2127"/>
      <c r="AF135" s="2127"/>
      <c r="AG135" s="2127"/>
      <c r="AH135" s="2127"/>
      <c r="AI135" s="2127"/>
      <c r="AJ135" s="2127"/>
      <c r="AK135" s="2127"/>
      <c r="AL135" s="2127"/>
      <c r="AM135" s="2127"/>
      <c r="AN135" s="2127"/>
      <c r="AO135" s="2127"/>
      <c r="AP135" s="2127"/>
      <c r="AQ135" s="2127"/>
      <c r="AR135" s="2127"/>
      <c r="AS135" s="2127"/>
      <c r="AT135" s="2127"/>
      <c r="AU135" s="2127"/>
      <c r="AV135" s="2127"/>
      <c r="AW135" s="2127"/>
      <c r="AX135" s="2127"/>
      <c r="AY135" s="2127"/>
      <c r="AZ135" s="2127"/>
      <c r="BA135" s="2127"/>
      <c r="BB135" s="2127"/>
      <c r="BC135" s="2127"/>
      <c r="BD135" s="2128"/>
      <c r="BE135" s="1082"/>
    </row>
    <row r="136" spans="1:57" ht="15.75" customHeight="1">
      <c r="A136" s="1086"/>
      <c r="B136" s="2140" t="s">
        <v>2591</v>
      </c>
      <c r="C136" s="2141"/>
      <c r="D136" s="2141"/>
      <c r="E136" s="2141"/>
      <c r="F136" s="2141"/>
      <c r="G136" s="2141"/>
      <c r="H136" s="2141"/>
      <c r="I136" s="1905">
        <v>6</v>
      </c>
      <c r="J136" s="1905"/>
      <c r="K136" s="1905"/>
      <c r="L136" s="1905"/>
      <c r="M136" s="1905"/>
      <c r="N136" s="1905"/>
      <c r="O136" s="1905"/>
      <c r="P136" s="1905">
        <v>3</v>
      </c>
      <c r="Q136" s="1905"/>
      <c r="R136" s="1905"/>
      <c r="S136" s="1905"/>
      <c r="T136" s="1905"/>
      <c r="U136" s="1906"/>
      <c r="V136" s="1086"/>
      <c r="W136" s="1086"/>
      <c r="X136" s="2126"/>
      <c r="Y136" s="2127"/>
      <c r="Z136" s="2127"/>
      <c r="AA136" s="2127"/>
      <c r="AB136" s="2127"/>
      <c r="AC136" s="2127"/>
      <c r="AD136" s="2127"/>
      <c r="AE136" s="2127"/>
      <c r="AF136" s="2127"/>
      <c r="AG136" s="2127"/>
      <c r="AH136" s="2127"/>
      <c r="AI136" s="2127"/>
      <c r="AJ136" s="2127"/>
      <c r="AK136" s="2127"/>
      <c r="AL136" s="2127"/>
      <c r="AM136" s="2127"/>
      <c r="AN136" s="2127"/>
      <c r="AO136" s="2127"/>
      <c r="AP136" s="2127"/>
      <c r="AQ136" s="2127"/>
      <c r="AR136" s="2127"/>
      <c r="AS136" s="2127"/>
      <c r="AT136" s="2127"/>
      <c r="AU136" s="2127"/>
      <c r="AV136" s="2127"/>
      <c r="AW136" s="2127"/>
      <c r="AX136" s="2127"/>
      <c r="AY136" s="2127"/>
      <c r="AZ136" s="2127"/>
      <c r="BA136" s="2127"/>
      <c r="BB136" s="2127"/>
      <c r="BC136" s="2127"/>
      <c r="BD136" s="2128"/>
      <c r="BE136" s="1082"/>
    </row>
    <row r="137" spans="1:57" ht="15.75" customHeight="1" thickBot="1">
      <c r="A137" s="1086"/>
      <c r="B137" s="2142" t="s">
        <v>2592</v>
      </c>
      <c r="C137" s="2143"/>
      <c r="D137" s="2143"/>
      <c r="E137" s="2143"/>
      <c r="F137" s="2143"/>
      <c r="G137" s="2143"/>
      <c r="H137" s="2143"/>
      <c r="I137" s="1903">
        <v>0</v>
      </c>
      <c r="J137" s="1903"/>
      <c r="K137" s="1903"/>
      <c r="L137" s="1903"/>
      <c r="M137" s="1903"/>
      <c r="N137" s="1903"/>
      <c r="O137" s="1903"/>
      <c r="P137" s="1903">
        <v>0</v>
      </c>
      <c r="Q137" s="1903"/>
      <c r="R137" s="1903"/>
      <c r="S137" s="1903"/>
      <c r="T137" s="1903"/>
      <c r="U137" s="1904"/>
      <c r="V137" s="1086"/>
      <c r="W137" s="1086"/>
      <c r="X137" s="2129"/>
      <c r="Y137" s="2130"/>
      <c r="Z137" s="2130"/>
      <c r="AA137" s="2130"/>
      <c r="AB137" s="2130"/>
      <c r="AC137" s="2130"/>
      <c r="AD137" s="2130"/>
      <c r="AE137" s="2130"/>
      <c r="AF137" s="2130"/>
      <c r="AG137" s="2130"/>
      <c r="AH137" s="2130"/>
      <c r="AI137" s="2130"/>
      <c r="AJ137" s="2130"/>
      <c r="AK137" s="2130"/>
      <c r="AL137" s="2130"/>
      <c r="AM137" s="2130"/>
      <c r="AN137" s="2130"/>
      <c r="AO137" s="2130"/>
      <c r="AP137" s="2130"/>
      <c r="AQ137" s="2130"/>
      <c r="AR137" s="2130"/>
      <c r="AS137" s="2130"/>
      <c r="AT137" s="2130"/>
      <c r="AU137" s="2130"/>
      <c r="AV137" s="2130"/>
      <c r="AW137" s="2130"/>
      <c r="AX137" s="2130"/>
      <c r="AY137" s="2130"/>
      <c r="AZ137" s="2130"/>
      <c r="BA137" s="2130"/>
      <c r="BB137" s="2130"/>
      <c r="BC137" s="2130"/>
      <c r="BD137" s="2131"/>
      <c r="BE137" s="1082"/>
    </row>
    <row r="138" spans="1:57" ht="15.75" customHeight="1" thickBot="1">
      <c r="A138" s="1086"/>
      <c r="B138" s="1086"/>
      <c r="C138" s="1086"/>
      <c r="D138" s="1086"/>
      <c r="E138" s="1086"/>
      <c r="F138" s="1086"/>
      <c r="G138" s="1086"/>
      <c r="H138" s="1086"/>
      <c r="I138" s="1086"/>
      <c r="J138" s="1086"/>
      <c r="K138" s="1086"/>
      <c r="L138" s="1086"/>
      <c r="M138" s="1086"/>
      <c r="N138" s="1086"/>
      <c r="O138" s="1086"/>
      <c r="P138" s="1086"/>
      <c r="Q138" s="1110"/>
      <c r="R138" s="1086"/>
      <c r="S138" s="1086"/>
      <c r="T138" s="1086"/>
      <c r="U138" s="1086"/>
      <c r="V138" s="1086"/>
      <c r="W138" s="1086"/>
      <c r="X138" s="1086"/>
      <c r="Y138" s="1086"/>
      <c r="Z138" s="1086"/>
      <c r="AA138" s="1086"/>
      <c r="AB138" s="1086"/>
      <c r="AC138" s="1086"/>
      <c r="AD138" s="1086"/>
      <c r="AE138" s="1086"/>
      <c r="AF138" s="1086"/>
      <c r="AG138" s="1086"/>
      <c r="AH138" s="1086"/>
      <c r="AI138" s="1086"/>
      <c r="AJ138" s="1086"/>
      <c r="AK138" s="1086"/>
      <c r="AL138" s="1086"/>
      <c r="AM138" s="1086"/>
      <c r="AN138" s="1086"/>
      <c r="AO138" s="1086"/>
      <c r="AP138" s="1086"/>
      <c r="AQ138" s="1086"/>
      <c r="AR138" s="1086"/>
      <c r="AS138" s="1086"/>
      <c r="AT138" s="1086"/>
      <c r="AU138" s="1086"/>
      <c r="AV138" s="1086"/>
      <c r="AW138" s="1086"/>
      <c r="AX138" s="1086"/>
      <c r="AY138" s="1086"/>
      <c r="AZ138" s="1086"/>
      <c r="BA138" s="1086"/>
      <c r="BB138" s="1086"/>
      <c r="BC138" s="1086"/>
      <c r="BD138" s="1086"/>
      <c r="BE138" s="1082"/>
    </row>
    <row r="139" spans="1:57" ht="15.75" customHeight="1">
      <c r="A139" s="1086"/>
      <c r="B139" s="2120" t="s">
        <v>2595</v>
      </c>
      <c r="C139" s="2121"/>
      <c r="D139" s="2121"/>
      <c r="E139" s="2121"/>
      <c r="F139" s="2121"/>
      <c r="G139" s="2121"/>
      <c r="H139" s="2121"/>
      <c r="I139" s="2121"/>
      <c r="J139" s="2121"/>
      <c r="K139" s="2121"/>
      <c r="L139" s="2121"/>
      <c r="M139" s="2121"/>
      <c r="N139" s="2121"/>
      <c r="O139" s="2121"/>
      <c r="P139" s="2121"/>
      <c r="Q139" s="2121"/>
      <c r="R139" s="2121"/>
      <c r="S139" s="2121"/>
      <c r="T139" s="2121"/>
      <c r="U139" s="2121"/>
      <c r="V139" s="2121"/>
      <c r="W139" s="2121"/>
      <c r="X139" s="2121"/>
      <c r="Y139" s="2121"/>
      <c r="Z139" s="2121"/>
      <c r="AA139" s="2121"/>
      <c r="AB139" s="2121"/>
      <c r="AC139" s="2121"/>
      <c r="AD139" s="2121"/>
      <c r="AE139" s="2121"/>
      <c r="AF139" s="2121"/>
      <c r="AG139" s="2121"/>
      <c r="AH139" s="1964" t="s">
        <v>837</v>
      </c>
      <c r="AI139" s="1964"/>
      <c r="AJ139" s="1964"/>
      <c r="AK139" s="1964"/>
      <c r="AL139" s="1964"/>
      <c r="AM139" s="1964"/>
      <c r="AN139" s="1964"/>
      <c r="AO139" s="1964"/>
      <c r="AP139" s="1964"/>
      <c r="AQ139" s="1964"/>
      <c r="AR139" s="1964"/>
      <c r="AS139" s="1964"/>
      <c r="AT139" s="1964"/>
      <c r="AU139" s="1964"/>
      <c r="AV139" s="1964"/>
      <c r="AW139" s="1964"/>
      <c r="AX139" s="1965"/>
      <c r="AY139" s="1086"/>
      <c r="AZ139" s="1086"/>
      <c r="BA139" s="1086"/>
      <c r="BB139" s="1086"/>
      <c r="BC139" s="1086"/>
      <c r="BD139" s="1086"/>
      <c r="BE139" s="1082"/>
    </row>
    <row r="140" spans="1:57" ht="15.75" customHeight="1">
      <c r="A140" s="1086"/>
      <c r="B140" s="2145" t="s">
        <v>2596</v>
      </c>
      <c r="C140" s="2146"/>
      <c r="D140" s="2146"/>
      <c r="E140" s="2146"/>
      <c r="F140" s="2146"/>
      <c r="G140" s="2146"/>
      <c r="H140" s="2146"/>
      <c r="I140" s="2146"/>
      <c r="J140" s="2146"/>
      <c r="K140" s="2146"/>
      <c r="L140" s="2146"/>
      <c r="M140" s="2146"/>
      <c r="N140" s="2146"/>
      <c r="O140" s="2146"/>
      <c r="P140" s="2146"/>
      <c r="Q140" s="2146"/>
      <c r="R140" s="2147" t="s">
        <v>2597</v>
      </c>
      <c r="S140" s="2147"/>
      <c r="T140" s="2147"/>
      <c r="U140" s="2147"/>
      <c r="V140" s="2147"/>
      <c r="W140" s="2147"/>
      <c r="X140" s="2147"/>
      <c r="Y140" s="2147"/>
      <c r="Z140" s="2147"/>
      <c r="AA140" s="2147"/>
      <c r="AB140" s="2147"/>
      <c r="AC140" s="2147"/>
      <c r="AD140" s="2147"/>
      <c r="AE140" s="2147"/>
      <c r="AF140" s="2147"/>
      <c r="AG140" s="2147"/>
      <c r="AH140" s="2147"/>
      <c r="AI140" s="2147"/>
      <c r="AJ140" s="2147"/>
      <c r="AK140" s="2147"/>
      <c r="AL140" s="2147"/>
      <c r="AM140" s="2147"/>
      <c r="AN140" s="2147"/>
      <c r="AO140" s="2147"/>
      <c r="AP140" s="2147"/>
      <c r="AQ140" s="2147"/>
      <c r="AR140" s="2147"/>
      <c r="AS140" s="2147"/>
      <c r="AT140" s="2147"/>
      <c r="AU140" s="2147"/>
      <c r="AV140" s="2147"/>
      <c r="AW140" s="2147"/>
      <c r="AX140" s="2148"/>
      <c r="AY140" s="1086"/>
      <c r="AZ140" s="1086"/>
      <c r="BA140" s="1086"/>
      <c r="BB140" s="1086"/>
      <c r="BC140" s="1086" t="s">
        <v>253</v>
      </c>
      <c r="BD140" s="1086"/>
      <c r="BE140" s="1082"/>
    </row>
    <row r="141" spans="1:57" ht="15.75" customHeight="1">
      <c r="A141" s="1086"/>
      <c r="B141" s="2149" t="s">
        <v>2598</v>
      </c>
      <c r="C141" s="2150"/>
      <c r="D141" s="2150"/>
      <c r="E141" s="2150"/>
      <c r="F141" s="2150"/>
      <c r="G141" s="2150"/>
      <c r="H141" s="2150"/>
      <c r="I141" s="2150"/>
      <c r="J141" s="2150"/>
      <c r="K141" s="2150"/>
      <c r="L141" s="2150"/>
      <c r="M141" s="2150"/>
      <c r="N141" s="2150"/>
      <c r="O141" s="2150"/>
      <c r="P141" s="2150"/>
      <c r="Q141" s="2150"/>
      <c r="R141" s="2150"/>
      <c r="S141" s="2150"/>
      <c r="T141" s="2150"/>
      <c r="U141" s="2150"/>
      <c r="V141" s="2150"/>
      <c r="W141" s="2150"/>
      <c r="X141" s="2150"/>
      <c r="Y141" s="2150"/>
      <c r="Z141" s="2150"/>
      <c r="AA141" s="2150"/>
      <c r="AB141" s="2150"/>
      <c r="AC141" s="2150"/>
      <c r="AD141" s="2150"/>
      <c r="AE141" s="2150"/>
      <c r="AF141" s="2150"/>
      <c r="AG141" s="2150"/>
      <c r="AH141" s="2150"/>
      <c r="AI141" s="2150"/>
      <c r="AJ141" s="2150"/>
      <c r="AK141" s="2150"/>
      <c r="AL141" s="2150"/>
      <c r="AM141" s="2150"/>
      <c r="AN141" s="2150"/>
      <c r="AO141" s="2150"/>
      <c r="AP141" s="2150"/>
      <c r="AQ141" s="2150"/>
      <c r="AR141" s="2150"/>
      <c r="AS141" s="2150"/>
      <c r="AT141" s="2150"/>
      <c r="AU141" s="2150"/>
      <c r="AV141" s="2150"/>
      <c r="AW141" s="2150"/>
      <c r="AX141" s="2151"/>
      <c r="AY141" s="1086"/>
      <c r="AZ141" s="1086"/>
      <c r="BA141" s="1086"/>
      <c r="BB141" s="1086"/>
      <c r="BC141" s="1086"/>
      <c r="BD141" s="1086"/>
      <c r="BE141" s="1082"/>
    </row>
    <row r="142" spans="1:57" ht="15.75" customHeight="1">
      <c r="A142" s="1086"/>
      <c r="B142" s="2152"/>
      <c r="C142" s="2150"/>
      <c r="D142" s="2150"/>
      <c r="E142" s="2150"/>
      <c r="F142" s="2150"/>
      <c r="G142" s="2150"/>
      <c r="H142" s="2150"/>
      <c r="I142" s="2150"/>
      <c r="J142" s="2150"/>
      <c r="K142" s="2150"/>
      <c r="L142" s="2150"/>
      <c r="M142" s="2150"/>
      <c r="N142" s="2150"/>
      <c r="O142" s="2150"/>
      <c r="P142" s="2150"/>
      <c r="Q142" s="2150"/>
      <c r="R142" s="2150"/>
      <c r="S142" s="2150"/>
      <c r="T142" s="2150"/>
      <c r="U142" s="2150"/>
      <c r="V142" s="2150"/>
      <c r="W142" s="2150"/>
      <c r="X142" s="2150"/>
      <c r="Y142" s="2150"/>
      <c r="Z142" s="2150"/>
      <c r="AA142" s="2150"/>
      <c r="AB142" s="2150"/>
      <c r="AC142" s="2150"/>
      <c r="AD142" s="2150"/>
      <c r="AE142" s="2150"/>
      <c r="AF142" s="2150"/>
      <c r="AG142" s="2150"/>
      <c r="AH142" s="2150"/>
      <c r="AI142" s="2150"/>
      <c r="AJ142" s="2150"/>
      <c r="AK142" s="2150"/>
      <c r="AL142" s="2150"/>
      <c r="AM142" s="2150"/>
      <c r="AN142" s="2150"/>
      <c r="AO142" s="2150"/>
      <c r="AP142" s="2150"/>
      <c r="AQ142" s="2150"/>
      <c r="AR142" s="2150"/>
      <c r="AS142" s="2150"/>
      <c r="AT142" s="2150"/>
      <c r="AU142" s="2150"/>
      <c r="AV142" s="2150"/>
      <c r="AW142" s="2150"/>
      <c r="AX142" s="2151"/>
      <c r="AY142" s="1086"/>
      <c r="AZ142" s="1086"/>
      <c r="BA142" s="1086"/>
      <c r="BB142" s="1086"/>
      <c r="BC142" s="1086"/>
      <c r="BD142" s="1086"/>
      <c r="BE142" s="1082"/>
    </row>
    <row r="143" spans="1:57" ht="15.75" customHeight="1">
      <c r="A143" s="1086"/>
      <c r="B143" s="2152"/>
      <c r="C143" s="2150"/>
      <c r="D143" s="2150"/>
      <c r="E143" s="2150"/>
      <c r="F143" s="2150"/>
      <c r="G143" s="2150"/>
      <c r="H143" s="2150"/>
      <c r="I143" s="2150"/>
      <c r="J143" s="2150"/>
      <c r="K143" s="2150"/>
      <c r="L143" s="2150"/>
      <c r="M143" s="2150"/>
      <c r="N143" s="2150"/>
      <c r="O143" s="2150"/>
      <c r="P143" s="2150"/>
      <c r="Q143" s="2150"/>
      <c r="R143" s="2150"/>
      <c r="S143" s="2150"/>
      <c r="T143" s="2150"/>
      <c r="U143" s="2150"/>
      <c r="V143" s="2150"/>
      <c r="W143" s="2150"/>
      <c r="X143" s="2150"/>
      <c r="Y143" s="2150"/>
      <c r="Z143" s="2150"/>
      <c r="AA143" s="2150"/>
      <c r="AB143" s="2150"/>
      <c r="AC143" s="2150"/>
      <c r="AD143" s="2150"/>
      <c r="AE143" s="2150"/>
      <c r="AF143" s="2150"/>
      <c r="AG143" s="2150"/>
      <c r="AH143" s="2150"/>
      <c r="AI143" s="2150"/>
      <c r="AJ143" s="2150"/>
      <c r="AK143" s="2150"/>
      <c r="AL143" s="2150"/>
      <c r="AM143" s="2150"/>
      <c r="AN143" s="2150"/>
      <c r="AO143" s="2150"/>
      <c r="AP143" s="2150"/>
      <c r="AQ143" s="2150"/>
      <c r="AR143" s="2150"/>
      <c r="AS143" s="2150"/>
      <c r="AT143" s="2150"/>
      <c r="AU143" s="2150"/>
      <c r="AV143" s="2150"/>
      <c r="AW143" s="2150"/>
      <c r="AX143" s="2151"/>
      <c r="AY143" s="1086"/>
      <c r="AZ143" s="1086"/>
      <c r="BA143" s="1086"/>
      <c r="BB143" s="1086"/>
      <c r="BC143" s="1086"/>
      <c r="BD143" s="1086"/>
      <c r="BE143" s="1082"/>
    </row>
    <row r="144" spans="1:57" ht="15.75" customHeight="1">
      <c r="A144" s="1086"/>
      <c r="B144" s="2152"/>
      <c r="C144" s="2150"/>
      <c r="D144" s="2150"/>
      <c r="E144" s="2150"/>
      <c r="F144" s="2150"/>
      <c r="G144" s="2150"/>
      <c r="H144" s="2150"/>
      <c r="I144" s="2150"/>
      <c r="J144" s="2150"/>
      <c r="K144" s="2150"/>
      <c r="L144" s="2150"/>
      <c r="M144" s="2150"/>
      <c r="N144" s="2150"/>
      <c r="O144" s="2150"/>
      <c r="P144" s="2150"/>
      <c r="Q144" s="2150"/>
      <c r="R144" s="2150"/>
      <c r="S144" s="2150"/>
      <c r="T144" s="2150"/>
      <c r="U144" s="2150"/>
      <c r="V144" s="2150"/>
      <c r="W144" s="2150"/>
      <c r="X144" s="2150"/>
      <c r="Y144" s="2150"/>
      <c r="Z144" s="2150"/>
      <c r="AA144" s="2150"/>
      <c r="AB144" s="2150"/>
      <c r="AC144" s="2150"/>
      <c r="AD144" s="2150"/>
      <c r="AE144" s="2150"/>
      <c r="AF144" s="2150"/>
      <c r="AG144" s="2150"/>
      <c r="AH144" s="2150"/>
      <c r="AI144" s="2150"/>
      <c r="AJ144" s="2150"/>
      <c r="AK144" s="2150"/>
      <c r="AL144" s="2150"/>
      <c r="AM144" s="2150"/>
      <c r="AN144" s="2150"/>
      <c r="AO144" s="2150"/>
      <c r="AP144" s="2150"/>
      <c r="AQ144" s="2150"/>
      <c r="AR144" s="2150"/>
      <c r="AS144" s="2150"/>
      <c r="AT144" s="2150"/>
      <c r="AU144" s="2150"/>
      <c r="AV144" s="2150"/>
      <c r="AW144" s="2150"/>
      <c r="AX144" s="2151"/>
      <c r="AY144" s="1086"/>
      <c r="AZ144" s="1086"/>
      <c r="BA144" s="1086"/>
      <c r="BB144" s="1086"/>
      <c r="BC144" s="1086"/>
      <c r="BD144" s="1086"/>
      <c r="BE144" s="1082"/>
    </row>
    <row r="145" spans="1:57" ht="15.75" customHeight="1">
      <c r="A145" s="1086"/>
      <c r="B145" s="2152"/>
      <c r="C145" s="2150"/>
      <c r="D145" s="2150"/>
      <c r="E145" s="2150"/>
      <c r="F145" s="2150"/>
      <c r="G145" s="2150"/>
      <c r="H145" s="2150"/>
      <c r="I145" s="2150"/>
      <c r="J145" s="2150"/>
      <c r="K145" s="2150"/>
      <c r="L145" s="2150"/>
      <c r="M145" s="2150"/>
      <c r="N145" s="2150"/>
      <c r="O145" s="2150"/>
      <c r="P145" s="2150"/>
      <c r="Q145" s="2150"/>
      <c r="R145" s="2150"/>
      <c r="S145" s="2150"/>
      <c r="T145" s="2150"/>
      <c r="U145" s="2150"/>
      <c r="V145" s="2150"/>
      <c r="W145" s="2150"/>
      <c r="X145" s="2150"/>
      <c r="Y145" s="2150"/>
      <c r="Z145" s="2150"/>
      <c r="AA145" s="2150"/>
      <c r="AB145" s="2150"/>
      <c r="AC145" s="2150"/>
      <c r="AD145" s="2150"/>
      <c r="AE145" s="2150"/>
      <c r="AF145" s="2150"/>
      <c r="AG145" s="2150"/>
      <c r="AH145" s="2150"/>
      <c r="AI145" s="2150"/>
      <c r="AJ145" s="2150"/>
      <c r="AK145" s="2150"/>
      <c r="AL145" s="2150"/>
      <c r="AM145" s="2150"/>
      <c r="AN145" s="2150"/>
      <c r="AO145" s="2150"/>
      <c r="AP145" s="2150"/>
      <c r="AQ145" s="2150"/>
      <c r="AR145" s="2150"/>
      <c r="AS145" s="2150"/>
      <c r="AT145" s="2150"/>
      <c r="AU145" s="2150"/>
      <c r="AV145" s="2150"/>
      <c r="AW145" s="2150"/>
      <c r="AX145" s="2151"/>
      <c r="AY145" s="1086"/>
      <c r="AZ145" s="1086"/>
      <c r="BA145" s="1086"/>
      <c r="BB145" s="1086"/>
      <c r="BC145" s="1086"/>
      <c r="BD145" s="1086"/>
      <c r="BE145" s="1082"/>
    </row>
    <row r="146" spans="1:57" ht="15.75" customHeight="1">
      <c r="A146" s="1086"/>
      <c r="B146" s="2152"/>
      <c r="C146" s="2150"/>
      <c r="D146" s="2150"/>
      <c r="E146" s="2150"/>
      <c r="F146" s="2150"/>
      <c r="G146" s="2150"/>
      <c r="H146" s="2150"/>
      <c r="I146" s="2150"/>
      <c r="J146" s="2150"/>
      <c r="K146" s="2150"/>
      <c r="L146" s="2150"/>
      <c r="M146" s="2150"/>
      <c r="N146" s="2150"/>
      <c r="O146" s="2150"/>
      <c r="P146" s="2150"/>
      <c r="Q146" s="2150"/>
      <c r="R146" s="2150"/>
      <c r="S146" s="2150"/>
      <c r="T146" s="2150"/>
      <c r="U146" s="2150"/>
      <c r="V146" s="2150"/>
      <c r="W146" s="2150"/>
      <c r="X146" s="2150"/>
      <c r="Y146" s="2150"/>
      <c r="Z146" s="2150"/>
      <c r="AA146" s="2150"/>
      <c r="AB146" s="2150"/>
      <c r="AC146" s="2150"/>
      <c r="AD146" s="2150"/>
      <c r="AE146" s="2150"/>
      <c r="AF146" s="2150"/>
      <c r="AG146" s="2150"/>
      <c r="AH146" s="2150"/>
      <c r="AI146" s="2150"/>
      <c r="AJ146" s="2150"/>
      <c r="AK146" s="2150"/>
      <c r="AL146" s="2150"/>
      <c r="AM146" s="2150"/>
      <c r="AN146" s="2150"/>
      <c r="AO146" s="2150"/>
      <c r="AP146" s="2150"/>
      <c r="AQ146" s="2150"/>
      <c r="AR146" s="2150"/>
      <c r="AS146" s="2150"/>
      <c r="AT146" s="2150"/>
      <c r="AU146" s="2150"/>
      <c r="AV146" s="2150"/>
      <c r="AW146" s="2150"/>
      <c r="AX146" s="2151"/>
      <c r="AY146" s="1086"/>
      <c r="AZ146" s="1086"/>
      <c r="BA146" s="1086"/>
      <c r="BB146" s="1086"/>
      <c r="BC146" s="1086"/>
      <c r="BD146" s="1086"/>
      <c r="BE146" s="1082"/>
    </row>
    <row r="147" spans="1:57" ht="15.75" customHeight="1">
      <c r="A147" s="1086"/>
      <c r="B147" s="2152"/>
      <c r="C147" s="2150"/>
      <c r="D147" s="2150"/>
      <c r="E147" s="2150"/>
      <c r="F147" s="2150"/>
      <c r="G147" s="2150"/>
      <c r="H147" s="2150"/>
      <c r="I147" s="2150"/>
      <c r="J147" s="2150"/>
      <c r="K147" s="2150"/>
      <c r="L147" s="2150"/>
      <c r="M147" s="2150"/>
      <c r="N147" s="2150"/>
      <c r="O147" s="2150"/>
      <c r="P147" s="2150"/>
      <c r="Q147" s="2150"/>
      <c r="R147" s="2150"/>
      <c r="S147" s="2150"/>
      <c r="T147" s="2150"/>
      <c r="U147" s="2150"/>
      <c r="V147" s="2150"/>
      <c r="W147" s="2150"/>
      <c r="X147" s="2150"/>
      <c r="Y147" s="2150"/>
      <c r="Z147" s="2150"/>
      <c r="AA147" s="2150"/>
      <c r="AB147" s="2150"/>
      <c r="AC147" s="2150"/>
      <c r="AD147" s="2150"/>
      <c r="AE147" s="2150"/>
      <c r="AF147" s="2150"/>
      <c r="AG147" s="2150"/>
      <c r="AH147" s="2150"/>
      <c r="AI147" s="2150"/>
      <c r="AJ147" s="2150"/>
      <c r="AK147" s="2150"/>
      <c r="AL147" s="2150"/>
      <c r="AM147" s="2150"/>
      <c r="AN147" s="2150"/>
      <c r="AO147" s="2150"/>
      <c r="AP147" s="2150"/>
      <c r="AQ147" s="2150"/>
      <c r="AR147" s="2150"/>
      <c r="AS147" s="2150"/>
      <c r="AT147" s="2150"/>
      <c r="AU147" s="2150"/>
      <c r="AV147" s="2150"/>
      <c r="AW147" s="2150"/>
      <c r="AX147" s="2151"/>
      <c r="AY147" s="1086"/>
      <c r="AZ147" s="1086"/>
      <c r="BA147" s="1086"/>
      <c r="BB147" s="1086"/>
      <c r="BC147" s="1086"/>
      <c r="BD147" s="1086"/>
      <c r="BE147" s="1082"/>
    </row>
    <row r="148" spans="1:57" ht="15.75" customHeight="1">
      <c r="A148" s="1086"/>
      <c r="B148" s="2152"/>
      <c r="C148" s="2150"/>
      <c r="D148" s="2150"/>
      <c r="E148" s="2150"/>
      <c r="F148" s="2150"/>
      <c r="G148" s="2150"/>
      <c r="H148" s="2150"/>
      <c r="I148" s="2150"/>
      <c r="J148" s="2150"/>
      <c r="K148" s="2150"/>
      <c r="L148" s="2150"/>
      <c r="M148" s="2150"/>
      <c r="N148" s="2150"/>
      <c r="O148" s="2150"/>
      <c r="P148" s="2150"/>
      <c r="Q148" s="2150"/>
      <c r="R148" s="2150"/>
      <c r="S148" s="2150"/>
      <c r="T148" s="2150"/>
      <c r="U148" s="2150"/>
      <c r="V148" s="2150"/>
      <c r="W148" s="2150"/>
      <c r="X148" s="2150"/>
      <c r="Y148" s="2150"/>
      <c r="Z148" s="2150"/>
      <c r="AA148" s="2150"/>
      <c r="AB148" s="2150"/>
      <c r="AC148" s="2150"/>
      <c r="AD148" s="2150"/>
      <c r="AE148" s="2150"/>
      <c r="AF148" s="2150"/>
      <c r="AG148" s="2150"/>
      <c r="AH148" s="2150"/>
      <c r="AI148" s="2150"/>
      <c r="AJ148" s="2150"/>
      <c r="AK148" s="2150"/>
      <c r="AL148" s="2150"/>
      <c r="AM148" s="2150"/>
      <c r="AN148" s="2150"/>
      <c r="AO148" s="2150"/>
      <c r="AP148" s="2150"/>
      <c r="AQ148" s="2150"/>
      <c r="AR148" s="2150"/>
      <c r="AS148" s="2150"/>
      <c r="AT148" s="2150"/>
      <c r="AU148" s="2150"/>
      <c r="AV148" s="2150"/>
      <c r="AW148" s="2150"/>
      <c r="AX148" s="2151"/>
      <c r="AY148" s="1086"/>
      <c r="AZ148" s="1086"/>
      <c r="BA148" s="1086"/>
      <c r="BB148" s="1086"/>
      <c r="BC148" s="1086"/>
      <c r="BD148" s="1086"/>
      <c r="BE148" s="1082"/>
    </row>
    <row r="149" spans="1:57" ht="15.75" customHeight="1">
      <c r="A149" s="1086"/>
      <c r="B149" s="2152"/>
      <c r="C149" s="2150"/>
      <c r="D149" s="2150"/>
      <c r="E149" s="2150"/>
      <c r="F149" s="2150"/>
      <c r="G149" s="2150"/>
      <c r="H149" s="2150"/>
      <c r="I149" s="2150"/>
      <c r="J149" s="2150"/>
      <c r="K149" s="2150"/>
      <c r="L149" s="2150"/>
      <c r="M149" s="2150"/>
      <c r="N149" s="2150"/>
      <c r="O149" s="2150"/>
      <c r="P149" s="2150"/>
      <c r="Q149" s="2150"/>
      <c r="R149" s="2150"/>
      <c r="S149" s="2150"/>
      <c r="T149" s="2150"/>
      <c r="U149" s="2150"/>
      <c r="V149" s="2150"/>
      <c r="W149" s="2150"/>
      <c r="X149" s="2150"/>
      <c r="Y149" s="2150"/>
      <c r="Z149" s="2150"/>
      <c r="AA149" s="2150"/>
      <c r="AB149" s="2150"/>
      <c r="AC149" s="2150"/>
      <c r="AD149" s="2150"/>
      <c r="AE149" s="2150"/>
      <c r="AF149" s="2150"/>
      <c r="AG149" s="2150"/>
      <c r="AH149" s="2150"/>
      <c r="AI149" s="2150"/>
      <c r="AJ149" s="2150"/>
      <c r="AK149" s="2150"/>
      <c r="AL149" s="2150"/>
      <c r="AM149" s="2150"/>
      <c r="AN149" s="2150"/>
      <c r="AO149" s="2150"/>
      <c r="AP149" s="2150"/>
      <c r="AQ149" s="2150"/>
      <c r="AR149" s="2150"/>
      <c r="AS149" s="2150"/>
      <c r="AT149" s="2150"/>
      <c r="AU149" s="2150"/>
      <c r="AV149" s="2150"/>
      <c r="AW149" s="2150"/>
      <c r="AX149" s="2151"/>
      <c r="AY149" s="1086"/>
      <c r="AZ149" s="1086"/>
      <c r="BA149" s="1086"/>
      <c r="BB149" s="1086"/>
      <c r="BC149" s="1086"/>
      <c r="BD149" s="1086"/>
      <c r="BE149" s="1082"/>
    </row>
    <row r="150" spans="1:57" ht="15.75" customHeight="1" thickBot="1">
      <c r="A150" s="1086"/>
      <c r="B150" s="2153"/>
      <c r="C150" s="2154"/>
      <c r="D150" s="2154"/>
      <c r="E150" s="2154"/>
      <c r="F150" s="2154"/>
      <c r="G150" s="2154"/>
      <c r="H150" s="2154"/>
      <c r="I150" s="2154"/>
      <c r="J150" s="2154"/>
      <c r="K150" s="2154"/>
      <c r="L150" s="2154"/>
      <c r="M150" s="2154"/>
      <c r="N150" s="2154"/>
      <c r="O150" s="2154"/>
      <c r="P150" s="2154"/>
      <c r="Q150" s="2154"/>
      <c r="R150" s="2154"/>
      <c r="S150" s="2154"/>
      <c r="T150" s="2154"/>
      <c r="U150" s="2154"/>
      <c r="V150" s="2154"/>
      <c r="W150" s="2154"/>
      <c r="X150" s="2154"/>
      <c r="Y150" s="2154"/>
      <c r="Z150" s="2154"/>
      <c r="AA150" s="2154"/>
      <c r="AB150" s="2154"/>
      <c r="AC150" s="2154"/>
      <c r="AD150" s="2154"/>
      <c r="AE150" s="2154"/>
      <c r="AF150" s="2154"/>
      <c r="AG150" s="2154"/>
      <c r="AH150" s="2154"/>
      <c r="AI150" s="2154"/>
      <c r="AJ150" s="2154"/>
      <c r="AK150" s="2154"/>
      <c r="AL150" s="2154"/>
      <c r="AM150" s="2154"/>
      <c r="AN150" s="2154"/>
      <c r="AO150" s="2154"/>
      <c r="AP150" s="2154"/>
      <c r="AQ150" s="2154"/>
      <c r="AR150" s="2154"/>
      <c r="AS150" s="2154"/>
      <c r="AT150" s="2154"/>
      <c r="AU150" s="2154"/>
      <c r="AV150" s="2154"/>
      <c r="AW150" s="2154"/>
      <c r="AX150" s="2155"/>
      <c r="AY150" s="1086"/>
      <c r="AZ150" s="1086"/>
      <c r="BA150" s="1086"/>
      <c r="BB150" s="1086"/>
      <c r="BC150" s="1086"/>
      <c r="BD150" s="1086"/>
      <c r="BE150" s="1082"/>
    </row>
    <row r="151" spans="1:57" ht="15.75" customHeight="1" thickBot="1">
      <c r="A151" s="1086"/>
      <c r="B151" s="1086"/>
      <c r="C151" s="1086"/>
      <c r="D151" s="1086"/>
      <c r="E151" s="1086"/>
      <c r="F151" s="1086"/>
      <c r="G151" s="1086"/>
      <c r="H151" s="1086"/>
      <c r="I151" s="1086"/>
      <c r="J151" s="1086"/>
      <c r="K151" s="1086"/>
      <c r="L151" s="1086"/>
      <c r="M151" s="1086"/>
      <c r="N151" s="1086"/>
      <c r="O151" s="1086"/>
      <c r="P151" s="1086"/>
      <c r="Q151" s="1086"/>
      <c r="R151" s="1086"/>
      <c r="S151" s="1086"/>
      <c r="T151" s="1086"/>
      <c r="U151" s="1086"/>
      <c r="V151" s="1086"/>
      <c r="W151" s="1086"/>
      <c r="X151" s="1086"/>
      <c r="Y151" s="1086"/>
      <c r="Z151" s="1086"/>
      <c r="AA151" s="1086"/>
      <c r="AB151" s="1086"/>
      <c r="AC151" s="1086"/>
      <c r="AD151" s="1086"/>
      <c r="AE151" s="1086"/>
      <c r="AF151" s="1086"/>
      <c r="AG151" s="1086"/>
      <c r="AH151" s="1086"/>
      <c r="AI151" s="1086"/>
      <c r="AJ151" s="1086"/>
      <c r="AK151" s="1086"/>
      <c r="AL151" s="1086"/>
      <c r="AM151" s="1086"/>
      <c r="AN151" s="1086"/>
      <c r="AO151" s="1086"/>
      <c r="AP151" s="1086"/>
      <c r="AQ151" s="1086"/>
      <c r="AR151" s="1086"/>
      <c r="AS151" s="1086"/>
      <c r="AT151" s="1086"/>
      <c r="AU151" s="1086"/>
      <c r="AV151" s="1086"/>
      <c r="AW151" s="1086"/>
      <c r="AX151" s="1086"/>
      <c r="AY151" s="1086"/>
      <c r="AZ151" s="1086"/>
      <c r="BA151" s="1086"/>
      <c r="BB151" s="1086"/>
      <c r="BC151" s="1086"/>
      <c r="BD151" s="1086"/>
      <c r="BE151" s="1082"/>
    </row>
    <row r="152" spans="1:57" ht="15.75" customHeight="1" thickBot="1">
      <c r="A152" s="1086"/>
      <c r="B152" s="1108" t="s">
        <v>2599</v>
      </c>
      <c r="C152" s="1107"/>
      <c r="D152" s="1107"/>
      <c r="E152" s="1107"/>
      <c r="F152" s="1107"/>
      <c r="G152" s="1107"/>
      <c r="H152" s="1107"/>
      <c r="I152" s="1107"/>
      <c r="J152" s="1107"/>
      <c r="K152" s="1107"/>
      <c r="L152" s="1107"/>
      <c r="M152" s="1109"/>
      <c r="N152" s="1097"/>
      <c r="O152" s="1097"/>
      <c r="P152" s="1086"/>
      <c r="Q152" s="1086"/>
      <c r="R152" s="1086"/>
      <c r="S152" s="1086"/>
      <c r="T152" s="1086"/>
      <c r="U152" s="1086" t="s">
        <v>253</v>
      </c>
      <c r="V152" s="1086"/>
      <c r="W152" s="1086"/>
      <c r="X152" s="1108" t="s">
        <v>2600</v>
      </c>
      <c r="Y152" s="1107"/>
      <c r="Z152" s="1107"/>
      <c r="AA152" s="1107"/>
      <c r="AB152" s="1107"/>
      <c r="AC152" s="1107"/>
      <c r="AD152" s="1107"/>
      <c r="AE152" s="1107"/>
      <c r="AF152" s="1107"/>
      <c r="AG152" s="1107"/>
      <c r="AH152" s="1107"/>
      <c r="AI152" s="1107"/>
      <c r="AJ152" s="1107"/>
      <c r="AK152" s="1106"/>
      <c r="AL152" s="1106"/>
      <c r="AM152" s="1105"/>
      <c r="AN152" s="1086"/>
      <c r="AO152" s="1086"/>
      <c r="AP152" s="1086"/>
      <c r="AQ152" s="1086"/>
      <c r="AR152" s="1086"/>
      <c r="AS152" s="1086"/>
      <c r="AT152" s="1086"/>
      <c r="AU152" s="1086"/>
      <c r="AV152" s="1086"/>
      <c r="AW152" s="1086"/>
      <c r="AX152" s="1086"/>
      <c r="AY152" s="1086"/>
      <c r="AZ152" s="1086"/>
      <c r="BA152" s="1086"/>
      <c r="BB152" s="1086"/>
      <c r="BC152" s="1086"/>
      <c r="BD152" s="1086"/>
      <c r="BE152" s="1082"/>
    </row>
    <row r="153" spans="1:57" ht="15.75" customHeight="1" thickBot="1">
      <c r="A153" s="1086"/>
      <c r="B153" s="1086"/>
      <c r="C153" s="1086"/>
      <c r="D153" s="1086"/>
      <c r="E153" s="1086"/>
      <c r="F153" s="1086"/>
      <c r="G153" s="1086"/>
      <c r="H153" s="1086"/>
      <c r="I153" s="1086"/>
      <c r="J153" s="1086"/>
      <c r="K153" s="1086"/>
      <c r="L153" s="1086"/>
      <c r="M153" s="1086"/>
      <c r="N153" s="1086"/>
      <c r="O153" s="1086"/>
      <c r="P153" s="1097"/>
      <c r="Q153" s="1086"/>
      <c r="R153" s="1086"/>
      <c r="S153" s="1086"/>
      <c r="T153" s="1086"/>
      <c r="U153" s="1086"/>
      <c r="V153" s="1086"/>
      <c r="W153" s="1086"/>
      <c r="X153" s="1086"/>
      <c r="Y153" s="1086"/>
      <c r="Z153" s="1086"/>
      <c r="AA153" s="1086"/>
      <c r="AB153" s="1086"/>
      <c r="AC153" s="1086"/>
      <c r="AD153" s="1086"/>
      <c r="AE153" s="1086"/>
      <c r="AF153" s="1086"/>
      <c r="AG153" s="1086"/>
      <c r="AH153" s="1086"/>
      <c r="AI153" s="1086"/>
      <c r="AJ153" s="1086"/>
      <c r="AK153" s="1086"/>
      <c r="AL153" s="1086"/>
      <c r="AM153" s="1086"/>
      <c r="AN153" s="1086"/>
      <c r="AO153" s="1086"/>
      <c r="AP153" s="1086"/>
      <c r="AQ153" s="1086"/>
      <c r="AR153" s="1086"/>
      <c r="AS153" s="1086"/>
      <c r="AT153" s="1086"/>
      <c r="AU153" s="1086"/>
      <c r="AV153" s="1086"/>
      <c r="AW153" s="1086"/>
      <c r="AX153" s="1086"/>
      <c r="AY153" s="1086"/>
      <c r="AZ153" s="1086"/>
      <c r="BA153" s="1086"/>
      <c r="BB153" s="1086"/>
      <c r="BC153" s="1086"/>
      <c r="BD153" s="1086"/>
      <c r="BE153" s="1082"/>
    </row>
    <row r="154" spans="1:57" ht="15.75" customHeight="1">
      <c r="A154" s="1086"/>
      <c r="B154" s="2144" t="s">
        <v>2601</v>
      </c>
      <c r="C154" s="1945"/>
      <c r="D154" s="1945"/>
      <c r="E154" s="1945"/>
      <c r="F154" s="1945"/>
      <c r="G154" s="1945"/>
      <c r="H154" s="1945"/>
      <c r="I154" s="1945"/>
      <c r="J154" s="1945"/>
      <c r="K154" s="1945"/>
      <c r="L154" s="1945"/>
      <c r="M154" s="1945"/>
      <c r="N154" s="1945"/>
      <c r="O154" s="1945"/>
      <c r="P154" s="1945"/>
      <c r="Q154" s="1945"/>
      <c r="R154" s="1945"/>
      <c r="S154" s="1945"/>
      <c r="T154" s="1945"/>
      <c r="U154" s="1946"/>
      <c r="V154" s="1086"/>
      <c r="W154" s="1094"/>
      <c r="X154" s="2144" t="s">
        <v>2602</v>
      </c>
      <c r="Y154" s="1945"/>
      <c r="Z154" s="1945"/>
      <c r="AA154" s="1945"/>
      <c r="AB154" s="1945"/>
      <c r="AC154" s="1945"/>
      <c r="AD154" s="1945"/>
      <c r="AE154" s="1945"/>
      <c r="AF154" s="1945"/>
      <c r="AG154" s="1945"/>
      <c r="AH154" s="1945"/>
      <c r="AI154" s="1945"/>
      <c r="AJ154" s="1945"/>
      <c r="AK154" s="1945"/>
      <c r="AL154" s="1945"/>
      <c r="AM154" s="1945"/>
      <c r="AN154" s="1945"/>
      <c r="AO154" s="1945"/>
      <c r="AP154" s="1945"/>
      <c r="AQ154" s="1946"/>
      <c r="AR154" s="1086"/>
      <c r="AS154" s="1086"/>
      <c r="AT154" s="1086"/>
      <c r="AU154" s="1086"/>
      <c r="AV154" s="1086"/>
      <c r="AW154" s="1086"/>
      <c r="AX154" s="1086"/>
      <c r="AY154" s="1086"/>
      <c r="AZ154" s="1086"/>
      <c r="BA154" s="1086"/>
      <c r="BB154" s="1086"/>
      <c r="BC154" s="1086"/>
      <c r="BD154" s="1086"/>
      <c r="BE154" s="1082"/>
    </row>
    <row r="155" spans="1:57" ht="15.75" customHeight="1">
      <c r="A155" s="1086"/>
      <c r="B155" s="2123"/>
      <c r="C155" s="2124"/>
      <c r="D155" s="2124"/>
      <c r="E155" s="2124"/>
      <c r="F155" s="2124"/>
      <c r="G155" s="2124"/>
      <c r="H155" s="2124"/>
      <c r="I155" s="2138" t="s">
        <v>2570</v>
      </c>
      <c r="J155" s="2138"/>
      <c r="K155" s="2138"/>
      <c r="L155" s="2138"/>
      <c r="M155" s="2138"/>
      <c r="N155" s="2138"/>
      <c r="O155" s="2138"/>
      <c r="P155" s="2138" t="s">
        <v>2603</v>
      </c>
      <c r="Q155" s="2138"/>
      <c r="R155" s="2138"/>
      <c r="S155" s="2138"/>
      <c r="T155" s="2138"/>
      <c r="U155" s="2139"/>
      <c r="V155" s="1086"/>
      <c r="W155" s="1086"/>
      <c r="X155" s="2123"/>
      <c r="Y155" s="2124"/>
      <c r="Z155" s="2124"/>
      <c r="AA155" s="2124"/>
      <c r="AB155" s="2124"/>
      <c r="AC155" s="2124"/>
      <c r="AD155" s="2124"/>
      <c r="AE155" s="2138" t="s">
        <v>2570</v>
      </c>
      <c r="AF155" s="2138"/>
      <c r="AG155" s="2138"/>
      <c r="AH155" s="2138"/>
      <c r="AI155" s="2138"/>
      <c r="AJ155" s="2138"/>
      <c r="AK155" s="2138"/>
      <c r="AL155" s="2138" t="s">
        <v>2571</v>
      </c>
      <c r="AM155" s="2138"/>
      <c r="AN155" s="2138"/>
      <c r="AO155" s="2138"/>
      <c r="AP155" s="2138"/>
      <c r="AQ155" s="2139"/>
      <c r="AR155" s="1086"/>
      <c r="AS155" s="1086"/>
      <c r="AT155" s="1086"/>
      <c r="AU155" s="1086"/>
      <c r="AV155" s="1086"/>
      <c r="AW155" s="1086"/>
      <c r="AX155" s="1086"/>
      <c r="AY155" s="1086"/>
      <c r="AZ155" s="1086"/>
      <c r="BA155" s="1086"/>
      <c r="BB155" s="1086"/>
      <c r="BC155" s="1086"/>
      <c r="BD155" s="1086"/>
      <c r="BE155" s="1082"/>
    </row>
    <row r="156" spans="1:57" ht="15.75" customHeight="1">
      <c r="A156" s="1086"/>
      <c r="B156" s="2123"/>
      <c r="C156" s="2124"/>
      <c r="D156" s="2124"/>
      <c r="E156" s="2124"/>
      <c r="F156" s="2124"/>
      <c r="G156" s="2124"/>
      <c r="H156" s="2124"/>
      <c r="I156" s="2138"/>
      <c r="J156" s="2138"/>
      <c r="K156" s="2138"/>
      <c r="L156" s="2138"/>
      <c r="M156" s="2138"/>
      <c r="N156" s="2138"/>
      <c r="O156" s="2138"/>
      <c r="P156" s="2138"/>
      <c r="Q156" s="2138"/>
      <c r="R156" s="2138"/>
      <c r="S156" s="2138"/>
      <c r="T156" s="2138"/>
      <c r="U156" s="2139"/>
      <c r="V156" s="1086"/>
      <c r="W156" s="1086"/>
      <c r="X156" s="2123"/>
      <c r="Y156" s="2124"/>
      <c r="Z156" s="2124"/>
      <c r="AA156" s="2124"/>
      <c r="AB156" s="2124"/>
      <c r="AC156" s="2124"/>
      <c r="AD156" s="2124"/>
      <c r="AE156" s="2138"/>
      <c r="AF156" s="2138"/>
      <c r="AG156" s="2138"/>
      <c r="AH156" s="2138"/>
      <c r="AI156" s="2138"/>
      <c r="AJ156" s="2138"/>
      <c r="AK156" s="2138"/>
      <c r="AL156" s="2138"/>
      <c r="AM156" s="2138"/>
      <c r="AN156" s="2138"/>
      <c r="AO156" s="2138"/>
      <c r="AP156" s="2138"/>
      <c r="AQ156" s="2139"/>
      <c r="AR156" s="1086"/>
      <c r="AS156" s="1086"/>
      <c r="AT156" s="1086"/>
      <c r="AU156" s="1086"/>
      <c r="AV156" s="1086"/>
      <c r="AW156" s="1086"/>
      <c r="AX156" s="1086"/>
      <c r="AY156" s="1086"/>
      <c r="AZ156" s="1086"/>
      <c r="BA156" s="1086"/>
      <c r="BB156" s="1086"/>
      <c r="BC156" s="1086"/>
      <c r="BD156" s="1086"/>
      <c r="BE156" s="1082"/>
    </row>
    <row r="157" spans="1:57" ht="15.75" customHeight="1" thickBot="1">
      <c r="A157" s="1086"/>
      <c r="B157" s="2140" t="s">
        <v>2591</v>
      </c>
      <c r="C157" s="2141"/>
      <c r="D157" s="2141"/>
      <c r="E157" s="2141"/>
      <c r="F157" s="2141"/>
      <c r="G157" s="2141"/>
      <c r="H157" s="2141"/>
      <c r="I157" s="1905">
        <v>12</v>
      </c>
      <c r="J157" s="1905"/>
      <c r="K157" s="1905"/>
      <c r="L157" s="1905"/>
      <c r="M157" s="1905"/>
      <c r="N157" s="1905"/>
      <c r="O157" s="1905"/>
      <c r="P157" s="1905">
        <v>10</v>
      </c>
      <c r="Q157" s="1905"/>
      <c r="R157" s="1905"/>
      <c r="S157" s="1905"/>
      <c r="T157" s="1905"/>
      <c r="U157" s="1906"/>
      <c r="V157" s="1086"/>
      <c r="W157" s="1086"/>
      <c r="X157" s="2142" t="s">
        <v>2591</v>
      </c>
      <c r="Y157" s="2143"/>
      <c r="Z157" s="2143"/>
      <c r="AA157" s="2143"/>
      <c r="AB157" s="2143"/>
      <c r="AC157" s="2143"/>
      <c r="AD157" s="2143"/>
      <c r="AE157" s="1903">
        <v>0</v>
      </c>
      <c r="AF157" s="1903"/>
      <c r="AG157" s="1903"/>
      <c r="AH157" s="1903"/>
      <c r="AI157" s="1903"/>
      <c r="AJ157" s="1903"/>
      <c r="AK157" s="1903"/>
      <c r="AL157" s="1903">
        <v>0</v>
      </c>
      <c r="AM157" s="1903"/>
      <c r="AN157" s="1903"/>
      <c r="AO157" s="1903"/>
      <c r="AP157" s="1903"/>
      <c r="AQ157" s="1904"/>
      <c r="AR157" s="1086"/>
      <c r="AS157" s="1086"/>
      <c r="AT157" s="1086"/>
      <c r="AU157" s="1086"/>
      <c r="AV157" s="1086"/>
      <c r="AW157" s="1086"/>
      <c r="AX157" s="1086"/>
      <c r="AY157" s="1086"/>
      <c r="AZ157" s="1086"/>
      <c r="BA157" s="1086"/>
      <c r="BB157" s="1086"/>
      <c r="BC157" s="1086"/>
      <c r="BD157" s="1086"/>
      <c r="BE157" s="1082"/>
    </row>
    <row r="158" spans="1:57" ht="15.75" customHeight="1" thickBot="1">
      <c r="A158" s="1086"/>
      <c r="B158" s="2142" t="s">
        <v>2592</v>
      </c>
      <c r="C158" s="2143"/>
      <c r="D158" s="2143"/>
      <c r="E158" s="2143"/>
      <c r="F158" s="2143"/>
      <c r="G158" s="2143"/>
      <c r="H158" s="2143"/>
      <c r="I158" s="1903">
        <v>7</v>
      </c>
      <c r="J158" s="1903"/>
      <c r="K158" s="1903"/>
      <c r="L158" s="1903"/>
      <c r="M158" s="1903"/>
      <c r="N158" s="1903"/>
      <c r="O158" s="1903"/>
      <c r="P158" s="1903">
        <v>15</v>
      </c>
      <c r="Q158" s="1903"/>
      <c r="R158" s="1903"/>
      <c r="S158" s="1903"/>
      <c r="T158" s="1903"/>
      <c r="U158" s="1904"/>
      <c r="V158" s="1086"/>
      <c r="W158" s="1086"/>
      <c r="X158" s="1086"/>
      <c r="Y158" s="1086"/>
      <c r="Z158" s="1086"/>
      <c r="AA158" s="1086"/>
      <c r="AB158" s="1086"/>
      <c r="AC158" s="1086"/>
      <c r="AD158" s="1086"/>
      <c r="AE158" s="1086"/>
      <c r="AF158" s="1086"/>
      <c r="AG158" s="1086"/>
      <c r="AH158" s="1086"/>
      <c r="AI158" s="1086"/>
      <c r="AJ158" s="1086"/>
      <c r="AK158" s="1086"/>
      <c r="AL158" s="1086"/>
      <c r="AM158" s="1086"/>
      <c r="AN158" s="1086"/>
      <c r="AO158" s="1086"/>
      <c r="AP158" s="1086"/>
      <c r="AQ158" s="1086"/>
      <c r="AR158" s="1086"/>
      <c r="AS158" s="1086"/>
      <c r="AT158" s="1086"/>
      <c r="AU158" s="1086"/>
      <c r="AV158" s="1086"/>
      <c r="AW158" s="1086"/>
      <c r="AX158" s="1086"/>
      <c r="AY158" s="1086"/>
      <c r="AZ158" s="1086"/>
      <c r="BA158" s="1086"/>
      <c r="BB158" s="1086"/>
      <c r="BC158" s="1086"/>
      <c r="BD158" s="1086"/>
      <c r="BE158" s="1082"/>
    </row>
    <row r="159" spans="1:57" ht="15.75" customHeight="1" thickBot="1">
      <c r="A159" s="1086"/>
      <c r="B159" s="1086"/>
      <c r="C159" s="1086"/>
      <c r="D159" s="1086"/>
      <c r="E159" s="1086"/>
      <c r="F159" s="1086"/>
      <c r="G159" s="1086"/>
      <c r="H159" s="1086"/>
      <c r="I159" s="1086"/>
      <c r="J159" s="1086"/>
      <c r="K159" s="1086"/>
      <c r="L159" s="1086"/>
      <c r="M159" s="1086"/>
      <c r="N159" s="1086"/>
      <c r="O159" s="1086"/>
      <c r="P159" s="1086"/>
      <c r="Q159" s="1086"/>
      <c r="R159" s="1086"/>
      <c r="S159" s="1086"/>
      <c r="T159" s="1086"/>
      <c r="U159" s="1086"/>
      <c r="V159" s="1086"/>
      <c r="W159" s="1086"/>
      <c r="X159" s="1086"/>
      <c r="Y159" s="1086"/>
      <c r="Z159" s="1086"/>
      <c r="AA159" s="1086"/>
      <c r="AB159" s="1086"/>
      <c r="AC159" s="1086"/>
      <c r="AD159" s="1086"/>
      <c r="AE159" s="1086"/>
      <c r="AF159" s="1086"/>
      <c r="AG159" s="1086"/>
      <c r="AH159" s="1086"/>
      <c r="AI159" s="1086"/>
      <c r="AJ159" s="1086"/>
      <c r="AK159" s="1086"/>
      <c r="AL159" s="1086"/>
      <c r="AM159" s="1086"/>
      <c r="AN159" s="1086"/>
      <c r="AO159" s="1086"/>
      <c r="AP159" s="1086"/>
      <c r="AQ159" s="1086"/>
      <c r="AR159" s="1086"/>
      <c r="AS159" s="1086"/>
      <c r="AT159" s="1086"/>
      <c r="AU159" s="1086"/>
      <c r="AV159" s="1086"/>
      <c r="AW159" s="1086"/>
      <c r="AX159" s="1086"/>
      <c r="AY159" s="1086"/>
      <c r="AZ159" s="1086"/>
      <c r="BA159" s="1086"/>
      <c r="BB159" s="1086"/>
      <c r="BC159" s="1086"/>
      <c r="BD159" s="1086"/>
      <c r="BE159" s="1082"/>
    </row>
    <row r="160" spans="1:57" ht="15.75" customHeight="1">
      <c r="A160" s="1086"/>
      <c r="B160" s="1086"/>
      <c r="C160" s="2144" t="s">
        <v>2604</v>
      </c>
      <c r="D160" s="1945"/>
      <c r="E160" s="1945"/>
      <c r="F160" s="1945"/>
      <c r="G160" s="1945"/>
      <c r="H160" s="1945"/>
      <c r="I160" s="1945"/>
      <c r="J160" s="1945"/>
      <c r="K160" s="1945"/>
      <c r="L160" s="1945"/>
      <c r="M160" s="1945"/>
      <c r="N160" s="1945"/>
      <c r="O160" s="1945"/>
      <c r="P160" s="1945"/>
      <c r="Q160" s="1945"/>
      <c r="R160" s="1945"/>
      <c r="S160" s="1945"/>
      <c r="T160" s="1945"/>
      <c r="U160" s="1945"/>
      <c r="V160" s="1945"/>
      <c r="W160" s="1945"/>
      <c r="X160" s="1945"/>
      <c r="Y160" s="1945"/>
      <c r="Z160" s="1945"/>
      <c r="AA160" s="1945"/>
      <c r="AB160" s="1945"/>
      <c r="AC160" s="1945"/>
      <c r="AD160" s="1945"/>
      <c r="AE160" s="1945"/>
      <c r="AF160" s="1945"/>
      <c r="AG160" s="1946"/>
      <c r="AH160" s="1086"/>
      <c r="AI160" s="1086"/>
      <c r="AJ160" s="1086"/>
      <c r="AK160" s="1086"/>
      <c r="AL160" s="1086"/>
      <c r="AM160" s="1086"/>
      <c r="AN160" s="1086"/>
      <c r="AO160" s="1086"/>
      <c r="AP160" s="1086"/>
      <c r="AQ160" s="1086"/>
      <c r="AR160" s="1086"/>
      <c r="AS160" s="1086"/>
      <c r="AT160" s="1086"/>
      <c r="AU160" s="1086"/>
      <c r="AV160" s="1086"/>
      <c r="AW160" s="1086"/>
      <c r="AX160" s="1086"/>
      <c r="AY160" s="1086"/>
      <c r="AZ160" s="1086"/>
      <c r="BA160" s="1086"/>
      <c r="BB160" s="1086"/>
      <c r="BC160" s="1086"/>
      <c r="BD160" s="1086"/>
      <c r="BE160" s="1082"/>
    </row>
    <row r="161" spans="1:57" ht="15.75" customHeight="1">
      <c r="A161" s="1086"/>
      <c r="B161" s="1086"/>
      <c r="C161" s="2123" t="s">
        <v>2605</v>
      </c>
      <c r="D161" s="2124"/>
      <c r="E161" s="2124"/>
      <c r="F161" s="2124"/>
      <c r="G161" s="2124"/>
      <c r="H161" s="2124"/>
      <c r="I161" s="2124"/>
      <c r="J161" s="2124"/>
      <c r="K161" s="2124"/>
      <c r="L161" s="2124"/>
      <c r="M161" s="2124"/>
      <c r="N161" s="2124"/>
      <c r="O161" s="2124"/>
      <c r="P161" s="2124"/>
      <c r="Q161" s="2124" t="s">
        <v>2606</v>
      </c>
      <c r="R161" s="2124"/>
      <c r="S161" s="2124"/>
      <c r="T161" s="1910" t="s">
        <v>2607</v>
      </c>
      <c r="U161" s="1910"/>
      <c r="V161" s="1910"/>
      <c r="W161" s="1910"/>
      <c r="X161" s="1910"/>
      <c r="Y161" s="1910"/>
      <c r="Z161" s="1910"/>
      <c r="AA161" s="1910"/>
      <c r="AB161" s="2124" t="s">
        <v>2608</v>
      </c>
      <c r="AC161" s="2124"/>
      <c r="AD161" s="2124"/>
      <c r="AE161" s="2124"/>
      <c r="AF161" s="2124"/>
      <c r="AG161" s="2125"/>
      <c r="AH161" s="1086"/>
      <c r="AI161" s="1086"/>
      <c r="AJ161" s="1086"/>
      <c r="AK161" s="1086"/>
      <c r="AL161" s="1086"/>
      <c r="AM161" s="1086"/>
      <c r="AN161" s="1086"/>
      <c r="AO161" s="1086"/>
      <c r="AP161" s="1086"/>
      <c r="AQ161" s="1086"/>
      <c r="AR161" s="1086"/>
      <c r="AS161" s="1086"/>
      <c r="AT161" s="1086"/>
      <c r="AU161" s="1086"/>
      <c r="AV161" s="1086"/>
      <c r="AW161" s="1086"/>
      <c r="AX161" s="1086"/>
      <c r="AY161" s="1086"/>
      <c r="AZ161" s="1086"/>
      <c r="BA161" s="1086"/>
      <c r="BB161" s="1086"/>
      <c r="BC161" s="1086"/>
      <c r="BD161" s="1086"/>
      <c r="BE161" s="1082"/>
    </row>
    <row r="162" spans="1:57" ht="15.75" customHeight="1">
      <c r="A162" s="1086"/>
      <c r="B162" s="1086"/>
      <c r="C162" s="2132" t="s">
        <v>2609</v>
      </c>
      <c r="D162" s="2133"/>
      <c r="E162" s="2133"/>
      <c r="F162" s="2133"/>
      <c r="G162" s="2133"/>
      <c r="H162" s="2133"/>
      <c r="I162" s="2133"/>
      <c r="J162" s="2133"/>
      <c r="K162" s="2133"/>
      <c r="L162" s="2133"/>
      <c r="M162" s="2133"/>
      <c r="N162" s="2133"/>
      <c r="O162" s="2133"/>
      <c r="P162" s="2133"/>
      <c r="Q162" s="2084">
        <v>55</v>
      </c>
      <c r="R162" s="2084"/>
      <c r="S162" s="2084"/>
      <c r="T162" s="2096"/>
      <c r="U162" s="2096"/>
      <c r="V162" s="2096"/>
      <c r="W162" s="2096"/>
      <c r="X162" s="2096"/>
      <c r="Y162" s="2096"/>
      <c r="Z162" s="2096"/>
      <c r="AA162" s="2096"/>
      <c r="AB162" s="1104"/>
      <c r="AC162" s="1104"/>
      <c r="AD162" s="1104"/>
      <c r="AE162" s="1104"/>
      <c r="AF162" s="1104"/>
      <c r="AG162" s="1103"/>
      <c r="AH162" s="1086"/>
      <c r="AI162" s="1086"/>
      <c r="AJ162" s="1086"/>
      <c r="AK162" s="1086"/>
      <c r="AL162" s="1086"/>
      <c r="AM162" s="1086"/>
      <c r="AN162" s="1086"/>
      <c r="AO162" s="1086"/>
      <c r="AP162" s="1086" t="s">
        <v>253</v>
      </c>
      <c r="AQ162" s="1086"/>
      <c r="AR162" s="1086"/>
      <c r="AS162" s="1086"/>
      <c r="AT162" s="1086"/>
      <c r="AU162" s="1086"/>
      <c r="AV162" s="1086"/>
      <c r="AW162" s="1086"/>
      <c r="AX162" s="1086"/>
      <c r="AY162" s="1086"/>
      <c r="AZ162" s="1086"/>
      <c r="BA162" s="1086"/>
      <c r="BB162" s="1086"/>
      <c r="BC162" s="1086"/>
      <c r="BD162" s="1086"/>
      <c r="BE162" s="1082"/>
    </row>
    <row r="163" spans="1:57" ht="15.75" customHeight="1">
      <c r="A163" s="1086"/>
      <c r="B163" s="1086"/>
      <c r="C163" s="2132" t="s">
        <v>2610</v>
      </c>
      <c r="D163" s="2133"/>
      <c r="E163" s="2133"/>
      <c r="F163" s="2133"/>
      <c r="G163" s="2133"/>
      <c r="H163" s="2133"/>
      <c r="I163" s="2133"/>
      <c r="J163" s="2133"/>
      <c r="K163" s="2133"/>
      <c r="L163" s="2133"/>
      <c r="M163" s="2133"/>
      <c r="N163" s="2133"/>
      <c r="O163" s="2133"/>
      <c r="P163" s="2133"/>
      <c r="Q163" s="2084">
        <v>55</v>
      </c>
      <c r="R163" s="2084"/>
      <c r="S163" s="2084"/>
      <c r="T163" s="2135"/>
      <c r="U163" s="2135"/>
      <c r="V163" s="2135"/>
      <c r="W163" s="2135"/>
      <c r="X163" s="2135"/>
      <c r="Y163" s="2135"/>
      <c r="Z163" s="2135"/>
      <c r="AA163" s="2135"/>
      <c r="AB163" s="1104"/>
      <c r="AC163" s="1104"/>
      <c r="AD163" s="1104"/>
      <c r="AE163" s="1104"/>
      <c r="AF163" s="1104"/>
      <c r="AG163" s="1103"/>
      <c r="AH163" s="1086"/>
      <c r="AI163" s="1086"/>
      <c r="AJ163" s="1086"/>
      <c r="AK163" s="1086"/>
      <c r="AL163" s="1086"/>
      <c r="AM163" s="1086"/>
      <c r="AN163" s="1086"/>
      <c r="AO163" s="1086"/>
      <c r="AP163" s="1086"/>
      <c r="AQ163" s="1086"/>
      <c r="AR163" s="1086"/>
      <c r="AS163" s="1086"/>
      <c r="AT163" s="1086"/>
      <c r="AU163" s="1086"/>
      <c r="AV163" s="1086"/>
      <c r="AW163" s="1086"/>
      <c r="AX163" s="1086"/>
      <c r="AY163" s="1086"/>
      <c r="AZ163" s="1086"/>
      <c r="BA163" s="1086"/>
      <c r="BB163" s="1086"/>
      <c r="BC163" s="1086"/>
      <c r="BD163" s="1086"/>
      <c r="BE163" s="1082"/>
    </row>
    <row r="164" spans="1:57" ht="15.75" customHeight="1">
      <c r="A164" s="1086"/>
      <c r="B164" s="1086"/>
      <c r="C164" s="2132" t="s">
        <v>2611</v>
      </c>
      <c r="D164" s="2133"/>
      <c r="E164" s="2133"/>
      <c r="F164" s="2133"/>
      <c r="G164" s="2133"/>
      <c r="H164" s="2133"/>
      <c r="I164" s="2133"/>
      <c r="J164" s="2133"/>
      <c r="K164" s="2133"/>
      <c r="L164" s="2133"/>
      <c r="M164" s="2133"/>
      <c r="N164" s="2133"/>
      <c r="O164" s="2133"/>
      <c r="P164" s="2133"/>
      <c r="Q164" s="2084">
        <v>55</v>
      </c>
      <c r="R164" s="2084"/>
      <c r="S164" s="2084"/>
      <c r="T164" s="2096"/>
      <c r="U164" s="2096"/>
      <c r="V164" s="2096"/>
      <c r="W164" s="2096"/>
      <c r="X164" s="2096"/>
      <c r="Y164" s="2096"/>
      <c r="Z164" s="2096"/>
      <c r="AA164" s="2096"/>
      <c r="AB164" s="1104"/>
      <c r="AC164" s="1104"/>
      <c r="AD164" s="1104"/>
      <c r="AE164" s="1104"/>
      <c r="AF164" s="1104"/>
      <c r="AG164" s="1103"/>
      <c r="AH164" s="1086"/>
      <c r="AI164" s="1086"/>
      <c r="AJ164" s="1086"/>
      <c r="AK164" s="1086"/>
      <c r="AL164" s="1086"/>
      <c r="AM164" s="1086"/>
      <c r="AN164" s="1086"/>
      <c r="AO164" s="1086"/>
      <c r="AP164" s="1086"/>
      <c r="AQ164" s="1086"/>
      <c r="AR164" s="1086"/>
      <c r="AS164" s="1086"/>
      <c r="AT164" s="1086"/>
      <c r="AU164" s="1086"/>
      <c r="AV164" s="1086"/>
      <c r="AW164" s="1086"/>
      <c r="AX164" s="1086"/>
      <c r="AY164" s="1086"/>
      <c r="AZ164" s="1086"/>
      <c r="BA164" s="1086"/>
      <c r="BB164" s="1086"/>
      <c r="BC164" s="1086"/>
      <c r="BD164" s="1086"/>
      <c r="BE164" s="1082"/>
    </row>
    <row r="165" spans="1:57" ht="15.75" customHeight="1">
      <c r="A165" s="1086"/>
      <c r="B165" s="1086"/>
      <c r="C165" s="2132" t="s">
        <v>2527</v>
      </c>
      <c r="D165" s="2133"/>
      <c r="E165" s="2133"/>
      <c r="F165" s="2133"/>
      <c r="G165" s="2133"/>
      <c r="H165" s="2133"/>
      <c r="I165" s="2133"/>
      <c r="J165" s="2133"/>
      <c r="K165" s="2133"/>
      <c r="L165" s="2133"/>
      <c r="M165" s="2133"/>
      <c r="N165" s="2133"/>
      <c r="O165" s="2133"/>
      <c r="P165" s="2133"/>
      <c r="Q165" s="2084">
        <v>55</v>
      </c>
      <c r="R165" s="2084"/>
      <c r="S165" s="2084"/>
      <c r="T165" s="2096"/>
      <c r="U165" s="2096"/>
      <c r="V165" s="2096"/>
      <c r="W165" s="2096"/>
      <c r="X165" s="2096"/>
      <c r="Y165" s="2096"/>
      <c r="Z165" s="2096"/>
      <c r="AA165" s="2096"/>
      <c r="AB165" s="2136">
        <v>0</v>
      </c>
      <c r="AC165" s="2136"/>
      <c r="AD165" s="2136"/>
      <c r="AE165" s="2136"/>
      <c r="AF165" s="2136"/>
      <c r="AG165" s="2137"/>
      <c r="AH165" s="1086"/>
      <c r="AI165" s="1086"/>
      <c r="AJ165" s="1086"/>
      <c r="AK165" s="1086"/>
      <c r="AL165" s="1086"/>
      <c r="AM165" s="1086"/>
      <c r="AN165" s="1086"/>
      <c r="AO165" s="1086"/>
      <c r="AP165" s="1086"/>
      <c r="AQ165" s="1086"/>
      <c r="AR165" s="1086"/>
      <c r="AS165" s="1086"/>
      <c r="AT165" s="1086"/>
      <c r="AU165" s="1086"/>
      <c r="AV165" s="1086"/>
      <c r="AW165" s="1086"/>
      <c r="AX165" s="1086"/>
      <c r="AY165" s="1086"/>
      <c r="AZ165" s="1086"/>
      <c r="BA165" s="1086"/>
      <c r="BB165" s="1086"/>
      <c r="BC165" s="1086"/>
      <c r="BD165" s="1086"/>
      <c r="BE165" s="1082"/>
    </row>
    <row r="166" spans="1:57" ht="15.75" customHeight="1">
      <c r="A166" s="1086"/>
      <c r="B166" s="1086"/>
      <c r="C166" s="2132" t="s">
        <v>232</v>
      </c>
      <c r="D166" s="2133"/>
      <c r="E166" s="2133"/>
      <c r="F166" s="2134" t="s">
        <v>2612</v>
      </c>
      <c r="G166" s="2134"/>
      <c r="H166" s="2134"/>
      <c r="I166" s="2134"/>
      <c r="J166" s="2134"/>
      <c r="K166" s="2134"/>
      <c r="L166" s="2134"/>
      <c r="M166" s="2134"/>
      <c r="N166" s="2134"/>
      <c r="O166" s="2134"/>
      <c r="P166" s="2134"/>
      <c r="Q166" s="2084">
        <v>55</v>
      </c>
      <c r="R166" s="2084"/>
      <c r="S166" s="2084"/>
      <c r="T166" s="2135"/>
      <c r="U166" s="2135"/>
      <c r="V166" s="2135"/>
      <c r="W166" s="2135"/>
      <c r="X166" s="2135"/>
      <c r="Y166" s="2135"/>
      <c r="Z166" s="2135"/>
      <c r="AA166" s="2135"/>
      <c r="AB166" s="2136">
        <v>0</v>
      </c>
      <c r="AC166" s="2136"/>
      <c r="AD166" s="2136"/>
      <c r="AE166" s="2136"/>
      <c r="AF166" s="2136"/>
      <c r="AG166" s="2137"/>
      <c r="AH166" s="1086"/>
      <c r="AI166" s="1086"/>
      <c r="AJ166" s="1086"/>
      <c r="AK166" s="1086"/>
      <c r="AL166" s="1086"/>
      <c r="AM166" s="1086"/>
      <c r="AN166" s="1086"/>
      <c r="AO166" s="1086"/>
      <c r="AP166" s="1086"/>
      <c r="AQ166" s="1086"/>
      <c r="AR166" s="1086"/>
      <c r="AS166" s="1086"/>
      <c r="AT166" s="1086"/>
      <c r="AU166" s="1086"/>
      <c r="AV166" s="1086"/>
      <c r="AW166" s="1086"/>
      <c r="AX166" s="1086"/>
      <c r="AY166" s="1086"/>
      <c r="AZ166" s="1086"/>
      <c r="BA166" s="1086"/>
      <c r="BB166" s="1086"/>
      <c r="BC166" s="1086"/>
      <c r="BD166" s="1086"/>
      <c r="BE166" s="1082"/>
    </row>
    <row r="167" spans="1:57" ht="15.75" customHeight="1">
      <c r="A167" s="1086"/>
      <c r="B167" s="1086"/>
      <c r="C167" s="2132" t="s">
        <v>232</v>
      </c>
      <c r="D167" s="2133"/>
      <c r="E167" s="2133"/>
      <c r="F167" s="2134" t="s">
        <v>2612</v>
      </c>
      <c r="G167" s="2134"/>
      <c r="H167" s="2134"/>
      <c r="I167" s="2134"/>
      <c r="J167" s="2134"/>
      <c r="K167" s="2134"/>
      <c r="L167" s="2134"/>
      <c r="M167" s="2134"/>
      <c r="N167" s="2134"/>
      <c r="O167" s="2134"/>
      <c r="P167" s="2134"/>
      <c r="Q167" s="2084">
        <v>55</v>
      </c>
      <c r="R167" s="2084"/>
      <c r="S167" s="2084"/>
      <c r="T167" s="2135"/>
      <c r="U167" s="2135"/>
      <c r="V167" s="2135"/>
      <c r="W167" s="2135"/>
      <c r="X167" s="2135"/>
      <c r="Y167" s="2135"/>
      <c r="Z167" s="2135"/>
      <c r="AA167" s="2135"/>
      <c r="AB167" s="2136">
        <v>0</v>
      </c>
      <c r="AC167" s="2136"/>
      <c r="AD167" s="2136"/>
      <c r="AE167" s="2136"/>
      <c r="AF167" s="2136"/>
      <c r="AG167" s="2137"/>
      <c r="AH167" s="1086"/>
      <c r="AI167" s="1086"/>
      <c r="AJ167" s="1086"/>
      <c r="AK167" s="1086" t="s">
        <v>253</v>
      </c>
      <c r="AL167" s="1086"/>
      <c r="AM167" s="1086"/>
      <c r="AN167" s="1086"/>
      <c r="AO167" s="1086"/>
      <c r="AP167" s="1086"/>
      <c r="AQ167" s="1086"/>
      <c r="AR167" s="1086"/>
      <c r="AS167" s="1086"/>
      <c r="AT167" s="1086"/>
      <c r="AU167" s="1086"/>
      <c r="AV167" s="1086"/>
      <c r="AW167" s="1086"/>
      <c r="AX167" s="1086"/>
      <c r="AY167" s="1086"/>
      <c r="AZ167" s="1086"/>
      <c r="BA167" s="1086"/>
      <c r="BB167" s="1086"/>
      <c r="BC167" s="1086"/>
      <c r="BD167" s="1086"/>
      <c r="BE167" s="1082"/>
    </row>
    <row r="168" spans="1:57" ht="15.75" customHeight="1" thickBot="1">
      <c r="A168" s="1086"/>
      <c r="B168" s="1086"/>
      <c r="C168" s="2103" t="s">
        <v>232</v>
      </c>
      <c r="D168" s="2104"/>
      <c r="E168" s="2104"/>
      <c r="F168" s="2105" t="s">
        <v>2612</v>
      </c>
      <c r="G168" s="2105"/>
      <c r="H168" s="2105"/>
      <c r="I168" s="2105"/>
      <c r="J168" s="2105"/>
      <c r="K168" s="2105"/>
      <c r="L168" s="2105"/>
      <c r="M168" s="2105"/>
      <c r="N168" s="2105"/>
      <c r="O168" s="2105"/>
      <c r="P168" s="2105"/>
      <c r="Q168" s="2106">
        <v>55</v>
      </c>
      <c r="R168" s="2106"/>
      <c r="S168" s="2106"/>
      <c r="T168" s="2107"/>
      <c r="U168" s="2107"/>
      <c r="V168" s="2107"/>
      <c r="W168" s="2107"/>
      <c r="X168" s="2107"/>
      <c r="Y168" s="2107"/>
      <c r="Z168" s="2107"/>
      <c r="AA168" s="2107"/>
      <c r="AB168" s="2108">
        <v>0</v>
      </c>
      <c r="AC168" s="2108"/>
      <c r="AD168" s="2108"/>
      <c r="AE168" s="2108"/>
      <c r="AF168" s="2108"/>
      <c r="AG168" s="2109"/>
      <c r="AH168" s="1086"/>
      <c r="AI168" s="1086"/>
      <c r="AJ168" s="1086"/>
      <c r="AK168" s="1086"/>
      <c r="AL168" s="1086"/>
      <c r="AM168" s="1086"/>
      <c r="AN168" s="1086"/>
      <c r="AO168" s="1086"/>
      <c r="AP168" s="1086"/>
      <c r="AQ168" s="1086"/>
      <c r="AR168" s="1086"/>
      <c r="AS168" s="1086"/>
      <c r="AT168" s="1086"/>
      <c r="AU168" s="1086"/>
      <c r="AV168" s="1086"/>
      <c r="AW168" s="1086"/>
      <c r="AX168" s="1086"/>
      <c r="AY168" s="1086"/>
      <c r="AZ168" s="1086"/>
      <c r="BA168" s="1086"/>
      <c r="BB168" s="1086"/>
      <c r="BC168" s="1086"/>
      <c r="BD168" s="1086"/>
      <c r="BE168" s="1082"/>
    </row>
    <row r="169" spans="1:57" ht="15.75" customHeight="1" thickBot="1">
      <c r="A169" s="1086"/>
      <c r="B169" s="1086"/>
      <c r="C169" s="1086"/>
      <c r="D169" s="1086"/>
      <c r="E169" s="1086"/>
      <c r="F169" s="1086"/>
      <c r="G169" s="1086"/>
      <c r="H169" s="1086"/>
      <c r="I169" s="1086"/>
      <c r="J169" s="1086"/>
      <c r="K169" s="1086"/>
      <c r="L169" s="1086"/>
      <c r="M169" s="1086"/>
      <c r="N169" s="1086"/>
      <c r="O169" s="1086"/>
      <c r="P169" s="1086"/>
      <c r="Q169" s="1086"/>
      <c r="R169" s="1086"/>
      <c r="S169" s="1086"/>
      <c r="T169" s="1086"/>
      <c r="U169" s="1086"/>
      <c r="V169" s="1086"/>
      <c r="W169" s="1086"/>
      <c r="X169" s="1086"/>
      <c r="Y169" s="1086"/>
      <c r="Z169" s="1086"/>
      <c r="AA169" s="1086"/>
      <c r="AB169" s="1086"/>
      <c r="AC169" s="1086"/>
      <c r="AD169" s="1086"/>
      <c r="AE169" s="1086"/>
      <c r="AF169" s="1086"/>
      <c r="AG169" s="1086"/>
      <c r="AH169" s="1086"/>
      <c r="AI169" s="1086"/>
      <c r="AJ169" s="1086"/>
      <c r="AK169" s="1086"/>
      <c r="AL169" s="1086"/>
      <c r="AM169" s="1086"/>
      <c r="AN169" s="1086"/>
      <c r="AO169" s="1086"/>
      <c r="AP169" s="1086"/>
      <c r="AQ169" s="1086"/>
      <c r="AR169" s="1086"/>
      <c r="AS169" s="1086"/>
      <c r="AT169" s="1086"/>
      <c r="AU169" s="1086"/>
      <c r="AV169" s="1086"/>
      <c r="AW169" s="1086"/>
      <c r="AX169" s="1086"/>
      <c r="AY169" s="1086"/>
      <c r="AZ169" s="1086"/>
      <c r="BA169" s="1086"/>
      <c r="BB169" s="1086"/>
      <c r="BC169" s="1086"/>
      <c r="BD169" s="1086"/>
      <c r="BE169" s="1082"/>
    </row>
    <row r="170" spans="1:57" ht="15.75" customHeight="1">
      <c r="A170" s="1086"/>
      <c r="B170" s="1086"/>
      <c r="C170" s="1912" t="s">
        <v>2613</v>
      </c>
      <c r="D170" s="1913"/>
      <c r="E170" s="1913"/>
      <c r="F170" s="1913"/>
      <c r="G170" s="1913"/>
      <c r="H170" s="1913"/>
      <c r="I170" s="1913"/>
      <c r="J170" s="1913"/>
      <c r="K170" s="1913"/>
      <c r="L170" s="1913"/>
      <c r="M170" s="1913"/>
      <c r="N170" s="1914"/>
      <c r="O170" s="1086"/>
      <c r="P170" s="2120" t="s">
        <v>2614</v>
      </c>
      <c r="Q170" s="2121"/>
      <c r="R170" s="2121"/>
      <c r="S170" s="2121"/>
      <c r="T170" s="2121"/>
      <c r="U170" s="2121"/>
      <c r="V170" s="2121"/>
      <c r="W170" s="2121"/>
      <c r="X170" s="2121"/>
      <c r="Y170" s="2121"/>
      <c r="Z170" s="2121"/>
      <c r="AA170" s="2121"/>
      <c r="AB170" s="2121"/>
      <c r="AC170" s="2121"/>
      <c r="AD170" s="2121"/>
      <c r="AE170" s="2121"/>
      <c r="AF170" s="2121"/>
      <c r="AG170" s="2121"/>
      <c r="AH170" s="2121"/>
      <c r="AI170" s="2121"/>
      <c r="AJ170" s="2121"/>
      <c r="AK170" s="2121"/>
      <c r="AL170" s="2121"/>
      <c r="AM170" s="2121"/>
      <c r="AN170" s="2121"/>
      <c r="AO170" s="2122"/>
      <c r="AP170" s="1086"/>
      <c r="AQ170" s="1086"/>
      <c r="AR170" s="1086"/>
      <c r="AS170" s="1086"/>
      <c r="AT170" s="1086"/>
      <c r="AU170" s="1086"/>
      <c r="AV170" s="1086"/>
      <c r="AW170" s="1086"/>
      <c r="AX170" s="1086"/>
      <c r="AY170" s="1086"/>
      <c r="AZ170" s="1086"/>
      <c r="BA170" s="1086"/>
      <c r="BB170" s="1086"/>
      <c r="BC170" s="1086"/>
      <c r="BD170" s="1086"/>
      <c r="BE170" s="1082"/>
    </row>
    <row r="171" spans="1:57" ht="15.75" customHeight="1">
      <c r="A171" s="1086"/>
      <c r="B171" s="1086"/>
      <c r="C171" s="2123" t="s">
        <v>2615</v>
      </c>
      <c r="D171" s="2124"/>
      <c r="E171" s="2124"/>
      <c r="F171" s="2124"/>
      <c r="G171" s="2124"/>
      <c r="H171" s="2124"/>
      <c r="I171" s="2124" t="s">
        <v>2616</v>
      </c>
      <c r="J171" s="2124"/>
      <c r="K171" s="2124"/>
      <c r="L171" s="2124"/>
      <c r="M171" s="2124"/>
      <c r="N171" s="2125"/>
      <c r="O171" s="1086"/>
      <c r="P171" s="2126" t="s">
        <v>2617</v>
      </c>
      <c r="Q171" s="2127"/>
      <c r="R171" s="2127"/>
      <c r="S171" s="2127"/>
      <c r="T171" s="2127"/>
      <c r="U171" s="2127"/>
      <c r="V171" s="2127"/>
      <c r="W171" s="2127"/>
      <c r="X171" s="2127"/>
      <c r="Y171" s="2127"/>
      <c r="Z171" s="2127"/>
      <c r="AA171" s="2127"/>
      <c r="AB171" s="2127"/>
      <c r="AC171" s="2127"/>
      <c r="AD171" s="2127"/>
      <c r="AE171" s="2127"/>
      <c r="AF171" s="2127"/>
      <c r="AG171" s="2127"/>
      <c r="AH171" s="2127"/>
      <c r="AI171" s="2127"/>
      <c r="AJ171" s="2127"/>
      <c r="AK171" s="2127"/>
      <c r="AL171" s="2127"/>
      <c r="AM171" s="2127"/>
      <c r="AN171" s="2127"/>
      <c r="AO171" s="2128"/>
      <c r="AP171" s="1086"/>
      <c r="AQ171" s="1086"/>
      <c r="AR171" s="1086"/>
      <c r="AS171" s="1086"/>
      <c r="AT171" s="1086"/>
      <c r="AU171" s="1086"/>
      <c r="AV171" s="1086"/>
      <c r="AW171" s="1086"/>
      <c r="AX171" s="1086"/>
      <c r="AY171" s="1086"/>
      <c r="AZ171" s="1086"/>
      <c r="BA171" s="1086"/>
      <c r="BB171" s="1086"/>
      <c r="BC171" s="1086"/>
      <c r="BD171" s="1086"/>
      <c r="BE171" s="1082"/>
    </row>
    <row r="172" spans="1:57" ht="15.75" customHeight="1">
      <c r="A172" s="1086"/>
      <c r="B172" s="1086"/>
      <c r="C172" s="2077" t="s">
        <v>2618</v>
      </c>
      <c r="D172" s="2078"/>
      <c r="E172" s="2078"/>
      <c r="F172" s="2078"/>
      <c r="G172" s="2078"/>
      <c r="H172" s="2078"/>
      <c r="I172" s="2096">
        <v>44950</v>
      </c>
      <c r="J172" s="2096"/>
      <c r="K172" s="2096"/>
      <c r="L172" s="2096"/>
      <c r="M172" s="2096"/>
      <c r="N172" s="2097"/>
      <c r="O172" s="1086"/>
      <c r="P172" s="2126"/>
      <c r="Q172" s="2127"/>
      <c r="R172" s="2127"/>
      <c r="S172" s="2127"/>
      <c r="T172" s="2127"/>
      <c r="U172" s="2127"/>
      <c r="V172" s="2127"/>
      <c r="W172" s="2127"/>
      <c r="X172" s="2127"/>
      <c r="Y172" s="2127"/>
      <c r="Z172" s="2127"/>
      <c r="AA172" s="2127"/>
      <c r="AB172" s="2127"/>
      <c r="AC172" s="2127"/>
      <c r="AD172" s="2127"/>
      <c r="AE172" s="2127"/>
      <c r="AF172" s="2127"/>
      <c r="AG172" s="2127"/>
      <c r="AH172" s="2127"/>
      <c r="AI172" s="2127"/>
      <c r="AJ172" s="2127"/>
      <c r="AK172" s="2127"/>
      <c r="AL172" s="2127"/>
      <c r="AM172" s="2127"/>
      <c r="AN172" s="2127"/>
      <c r="AO172" s="2128"/>
      <c r="AP172" s="1086"/>
      <c r="AQ172" s="1086"/>
      <c r="AR172" s="1086"/>
      <c r="AS172" s="1086"/>
      <c r="AT172" s="1086"/>
      <c r="AU172" s="1086"/>
      <c r="AV172" s="1086"/>
      <c r="AW172" s="1086"/>
      <c r="AX172" s="1086"/>
      <c r="AY172" s="1086"/>
      <c r="AZ172" s="1086"/>
      <c r="BA172" s="1086"/>
      <c r="BB172" s="1086"/>
      <c r="BC172" s="1086"/>
      <c r="BD172" s="1086"/>
      <c r="BE172" s="1082"/>
    </row>
    <row r="173" spans="1:57" ht="15.75" customHeight="1">
      <c r="A173" s="1086"/>
      <c r="B173" s="1086"/>
      <c r="C173" s="2077"/>
      <c r="D173" s="2078"/>
      <c r="E173" s="2078"/>
      <c r="F173" s="2078"/>
      <c r="G173" s="2078"/>
      <c r="H173" s="2078"/>
      <c r="I173" s="2096"/>
      <c r="J173" s="2096"/>
      <c r="K173" s="2096"/>
      <c r="L173" s="2096"/>
      <c r="M173" s="2096"/>
      <c r="N173" s="2097"/>
      <c r="O173" s="1086"/>
      <c r="P173" s="2126"/>
      <c r="Q173" s="2127"/>
      <c r="R173" s="2127"/>
      <c r="S173" s="2127"/>
      <c r="T173" s="2127"/>
      <c r="U173" s="2127"/>
      <c r="V173" s="2127"/>
      <c r="W173" s="2127"/>
      <c r="X173" s="2127"/>
      <c r="Y173" s="2127"/>
      <c r="Z173" s="2127"/>
      <c r="AA173" s="2127"/>
      <c r="AB173" s="2127"/>
      <c r="AC173" s="2127"/>
      <c r="AD173" s="2127"/>
      <c r="AE173" s="2127"/>
      <c r="AF173" s="2127"/>
      <c r="AG173" s="2127"/>
      <c r="AH173" s="2127"/>
      <c r="AI173" s="2127"/>
      <c r="AJ173" s="2127"/>
      <c r="AK173" s="2127"/>
      <c r="AL173" s="2127"/>
      <c r="AM173" s="2127"/>
      <c r="AN173" s="2127"/>
      <c r="AO173" s="2128"/>
      <c r="AP173" s="1086"/>
      <c r="AQ173" s="1086"/>
      <c r="AR173" s="1086"/>
      <c r="AS173" s="1086"/>
      <c r="AT173" s="1086"/>
      <c r="AU173" s="1086"/>
      <c r="AV173" s="1086"/>
      <c r="AW173" s="1086"/>
      <c r="AX173" s="1086"/>
      <c r="AY173" s="1086"/>
      <c r="AZ173" s="1086"/>
      <c r="BA173" s="1086"/>
      <c r="BB173" s="1086"/>
      <c r="BC173" s="1086"/>
      <c r="BD173" s="1086"/>
      <c r="BE173" s="1082"/>
    </row>
    <row r="174" spans="1:57" ht="15.75" customHeight="1">
      <c r="A174" s="1086"/>
      <c r="B174" s="1086"/>
      <c r="C174" s="2077"/>
      <c r="D174" s="2078"/>
      <c r="E174" s="2078"/>
      <c r="F174" s="2078"/>
      <c r="G174" s="2078"/>
      <c r="H174" s="2078"/>
      <c r="I174" s="2096"/>
      <c r="J174" s="2096"/>
      <c r="K174" s="2096"/>
      <c r="L174" s="2096"/>
      <c r="M174" s="2096"/>
      <c r="N174" s="2097"/>
      <c r="O174" s="1086"/>
      <c r="P174" s="2126"/>
      <c r="Q174" s="2127"/>
      <c r="R174" s="2127"/>
      <c r="S174" s="2127"/>
      <c r="T174" s="2127"/>
      <c r="U174" s="2127"/>
      <c r="V174" s="2127"/>
      <c r="W174" s="2127"/>
      <c r="X174" s="2127"/>
      <c r="Y174" s="2127"/>
      <c r="Z174" s="2127"/>
      <c r="AA174" s="2127"/>
      <c r="AB174" s="2127"/>
      <c r="AC174" s="2127"/>
      <c r="AD174" s="2127"/>
      <c r="AE174" s="2127"/>
      <c r="AF174" s="2127"/>
      <c r="AG174" s="2127"/>
      <c r="AH174" s="2127"/>
      <c r="AI174" s="2127"/>
      <c r="AJ174" s="2127"/>
      <c r="AK174" s="2127"/>
      <c r="AL174" s="2127"/>
      <c r="AM174" s="2127"/>
      <c r="AN174" s="2127"/>
      <c r="AO174" s="2128"/>
      <c r="AP174" s="1086"/>
      <c r="AQ174" s="1086"/>
      <c r="AR174" s="1086"/>
      <c r="AS174" s="1086"/>
      <c r="AT174" s="1086"/>
      <c r="AU174" s="1086"/>
      <c r="AV174" s="1086"/>
      <c r="AW174" s="1086"/>
      <c r="AX174" s="1086"/>
      <c r="AY174" s="1086"/>
      <c r="AZ174" s="1086"/>
      <c r="BA174" s="1086"/>
      <c r="BB174" s="1086"/>
      <c r="BC174" s="1086"/>
      <c r="BD174" s="1086"/>
      <c r="BE174" s="1082"/>
    </row>
    <row r="175" spans="1:57" ht="15.75" customHeight="1">
      <c r="A175" s="1086"/>
      <c r="B175" s="1086"/>
      <c r="C175" s="2077"/>
      <c r="D175" s="2078"/>
      <c r="E175" s="2078"/>
      <c r="F175" s="2078"/>
      <c r="G175" s="2078"/>
      <c r="H175" s="2078"/>
      <c r="I175" s="2096"/>
      <c r="J175" s="2096"/>
      <c r="K175" s="2096"/>
      <c r="L175" s="2096"/>
      <c r="M175" s="2096"/>
      <c r="N175" s="2097"/>
      <c r="O175" s="1086"/>
      <c r="P175" s="2126"/>
      <c r="Q175" s="2127"/>
      <c r="R175" s="2127"/>
      <c r="S175" s="2127"/>
      <c r="T175" s="2127"/>
      <c r="U175" s="2127"/>
      <c r="V175" s="2127"/>
      <c r="W175" s="2127"/>
      <c r="X175" s="2127"/>
      <c r="Y175" s="2127"/>
      <c r="Z175" s="2127"/>
      <c r="AA175" s="2127"/>
      <c r="AB175" s="2127"/>
      <c r="AC175" s="2127"/>
      <c r="AD175" s="2127"/>
      <c r="AE175" s="2127"/>
      <c r="AF175" s="2127"/>
      <c r="AG175" s="2127"/>
      <c r="AH175" s="2127"/>
      <c r="AI175" s="2127"/>
      <c r="AJ175" s="2127"/>
      <c r="AK175" s="2127"/>
      <c r="AL175" s="2127"/>
      <c r="AM175" s="2127"/>
      <c r="AN175" s="2127"/>
      <c r="AO175" s="2128"/>
      <c r="AP175" s="1086"/>
      <c r="AQ175" s="1086"/>
      <c r="AR175" s="1086"/>
      <c r="AS175" s="1086"/>
      <c r="AT175" s="1086"/>
      <c r="AU175" s="1086"/>
      <c r="AV175" s="1086"/>
      <c r="AW175" s="1086"/>
      <c r="AX175" s="1086"/>
      <c r="AY175" s="1086"/>
      <c r="AZ175" s="1086"/>
      <c r="BA175" s="1086"/>
      <c r="BB175" s="1086"/>
      <c r="BC175" s="1086"/>
      <c r="BD175" s="1086"/>
      <c r="BE175" s="1082"/>
    </row>
    <row r="176" spans="1:57" ht="15.75" customHeight="1">
      <c r="A176" s="1086"/>
      <c r="B176" s="1086"/>
      <c r="C176" s="2077"/>
      <c r="D176" s="2078"/>
      <c r="E176" s="2078"/>
      <c r="F176" s="2078"/>
      <c r="G176" s="2078"/>
      <c r="H176" s="2078"/>
      <c r="I176" s="2096"/>
      <c r="J176" s="2096"/>
      <c r="K176" s="2096"/>
      <c r="L176" s="2096"/>
      <c r="M176" s="2096"/>
      <c r="N176" s="2097"/>
      <c r="O176" s="1086"/>
      <c r="P176" s="2126"/>
      <c r="Q176" s="2127"/>
      <c r="R176" s="2127"/>
      <c r="S176" s="2127"/>
      <c r="T176" s="2127"/>
      <c r="U176" s="2127"/>
      <c r="V176" s="2127"/>
      <c r="W176" s="2127"/>
      <c r="X176" s="2127"/>
      <c r="Y176" s="2127"/>
      <c r="Z176" s="2127"/>
      <c r="AA176" s="2127"/>
      <c r="AB176" s="2127"/>
      <c r="AC176" s="2127"/>
      <c r="AD176" s="2127"/>
      <c r="AE176" s="2127"/>
      <c r="AF176" s="2127"/>
      <c r="AG176" s="2127"/>
      <c r="AH176" s="2127"/>
      <c r="AI176" s="2127"/>
      <c r="AJ176" s="2127"/>
      <c r="AK176" s="2127"/>
      <c r="AL176" s="2127"/>
      <c r="AM176" s="2127"/>
      <c r="AN176" s="2127"/>
      <c r="AO176" s="2128"/>
      <c r="AP176" s="1086"/>
      <c r="AQ176" s="1086"/>
      <c r="AR176" s="1086"/>
      <c r="AS176" s="1086"/>
      <c r="AT176" s="1086"/>
      <c r="AU176" s="1086"/>
      <c r="AV176" s="1086"/>
      <c r="AW176" s="1086"/>
      <c r="AX176" s="1086"/>
      <c r="AY176" s="1086"/>
      <c r="AZ176" s="1086"/>
      <c r="BA176" s="1086"/>
      <c r="BB176" s="1086"/>
      <c r="BC176" s="1086"/>
      <c r="BD176" s="1086"/>
      <c r="BE176" s="1082"/>
    </row>
    <row r="177" spans="1:57" ht="15.75" customHeight="1">
      <c r="A177" s="1086"/>
      <c r="B177" s="1086"/>
      <c r="C177" s="2077"/>
      <c r="D177" s="2078"/>
      <c r="E177" s="2078"/>
      <c r="F177" s="2078"/>
      <c r="G177" s="2078"/>
      <c r="H177" s="2078"/>
      <c r="I177" s="2096"/>
      <c r="J177" s="2096"/>
      <c r="K177" s="2096"/>
      <c r="L177" s="2096"/>
      <c r="M177" s="2096"/>
      <c r="N177" s="2097"/>
      <c r="O177" s="1086"/>
      <c r="P177" s="2126"/>
      <c r="Q177" s="2127"/>
      <c r="R177" s="2127"/>
      <c r="S177" s="2127"/>
      <c r="T177" s="2127"/>
      <c r="U177" s="2127"/>
      <c r="V177" s="2127"/>
      <c r="W177" s="2127"/>
      <c r="X177" s="2127"/>
      <c r="Y177" s="2127"/>
      <c r="Z177" s="2127"/>
      <c r="AA177" s="2127"/>
      <c r="AB177" s="2127"/>
      <c r="AC177" s="2127"/>
      <c r="AD177" s="2127"/>
      <c r="AE177" s="2127"/>
      <c r="AF177" s="2127"/>
      <c r="AG177" s="2127"/>
      <c r="AH177" s="2127"/>
      <c r="AI177" s="2127"/>
      <c r="AJ177" s="2127"/>
      <c r="AK177" s="2127"/>
      <c r="AL177" s="2127"/>
      <c r="AM177" s="2127"/>
      <c r="AN177" s="2127"/>
      <c r="AO177" s="2128"/>
      <c r="AP177" s="1086"/>
      <c r="AQ177" s="1086"/>
      <c r="AR177" s="1086"/>
      <c r="AS177" s="1086"/>
      <c r="AT177" s="1086"/>
      <c r="AU177" s="1086"/>
      <c r="AV177" s="1086"/>
      <c r="AW177" s="1086"/>
      <c r="AX177" s="1086"/>
      <c r="AY177" s="1086"/>
      <c r="AZ177" s="1086"/>
      <c r="BA177" s="1086"/>
      <c r="BB177" s="1086"/>
      <c r="BC177" s="1086"/>
      <c r="BD177" s="1086"/>
      <c r="BE177" s="1082"/>
    </row>
    <row r="178" spans="1:57" ht="15.75" customHeight="1" thickBot="1">
      <c r="A178" s="1086"/>
      <c r="B178" s="1086"/>
      <c r="C178" s="2110"/>
      <c r="D178" s="2111"/>
      <c r="E178" s="2111"/>
      <c r="F178" s="2111"/>
      <c r="G178" s="2111"/>
      <c r="H178" s="2111"/>
      <c r="I178" s="2112"/>
      <c r="J178" s="2112"/>
      <c r="K178" s="2112"/>
      <c r="L178" s="2112"/>
      <c r="M178" s="2112"/>
      <c r="N178" s="2113"/>
      <c r="O178" s="1086"/>
      <c r="P178" s="2129"/>
      <c r="Q178" s="2130"/>
      <c r="R178" s="2130"/>
      <c r="S178" s="2130"/>
      <c r="T178" s="2130"/>
      <c r="U178" s="2130"/>
      <c r="V178" s="2130"/>
      <c r="W178" s="2130"/>
      <c r="X178" s="2130"/>
      <c r="Y178" s="2130"/>
      <c r="Z178" s="2130"/>
      <c r="AA178" s="2130"/>
      <c r="AB178" s="2130"/>
      <c r="AC178" s="2130"/>
      <c r="AD178" s="2130"/>
      <c r="AE178" s="2130"/>
      <c r="AF178" s="2130"/>
      <c r="AG178" s="2130"/>
      <c r="AH178" s="2130"/>
      <c r="AI178" s="2130"/>
      <c r="AJ178" s="2130"/>
      <c r="AK178" s="2130"/>
      <c r="AL178" s="2130"/>
      <c r="AM178" s="2130"/>
      <c r="AN178" s="2130"/>
      <c r="AO178" s="2131"/>
      <c r="AP178" s="1086"/>
      <c r="AQ178" s="1086"/>
      <c r="AR178" s="1086"/>
      <c r="AS178" s="1086"/>
      <c r="AT178" s="1086"/>
      <c r="AU178" s="1086"/>
      <c r="AV178" s="1086"/>
      <c r="AW178" s="1086"/>
      <c r="AX178" s="1086"/>
      <c r="AY178" s="1086"/>
      <c r="AZ178" s="1086"/>
      <c r="BA178" s="1086"/>
      <c r="BB178" s="1086"/>
      <c r="BC178" s="1086"/>
      <c r="BD178" s="1086"/>
      <c r="BE178" s="1082"/>
    </row>
    <row r="179" spans="1:57" ht="15.75" customHeight="1" thickBot="1">
      <c r="A179" s="1086"/>
      <c r="B179" s="1086"/>
      <c r="C179" s="1086"/>
      <c r="D179" s="1086"/>
      <c r="E179" s="1086"/>
      <c r="F179" s="1086"/>
      <c r="G179" s="1086"/>
      <c r="H179" s="1086"/>
      <c r="I179" s="1086"/>
      <c r="J179" s="1086"/>
      <c r="K179" s="1086"/>
      <c r="L179" s="1086"/>
      <c r="M179" s="1086"/>
      <c r="N179" s="1086"/>
      <c r="O179" s="1086"/>
      <c r="P179" s="1086"/>
      <c r="Q179" s="1086"/>
      <c r="R179" s="1086"/>
      <c r="S179" s="1086"/>
      <c r="T179" s="1086"/>
      <c r="U179" s="1086"/>
      <c r="V179" s="1086"/>
      <c r="W179" s="1086"/>
      <c r="X179" s="1086"/>
      <c r="Y179" s="1086"/>
      <c r="Z179" s="1086"/>
      <c r="AA179" s="1086"/>
      <c r="AB179" s="1086"/>
      <c r="AC179" s="1086"/>
      <c r="AD179" s="1086"/>
      <c r="AE179" s="1086"/>
      <c r="AF179" s="1086"/>
      <c r="AG179" s="1086"/>
      <c r="AH179" s="1086"/>
      <c r="AI179" s="1086"/>
      <c r="AJ179" s="1086"/>
      <c r="AK179" s="1086"/>
      <c r="AL179" s="1086"/>
      <c r="AM179" s="1086"/>
      <c r="AN179" s="1086"/>
      <c r="AO179" s="1086"/>
      <c r="AP179" s="1086"/>
      <c r="AQ179" s="1086"/>
      <c r="AR179" s="1086"/>
      <c r="AS179" s="1086"/>
      <c r="AT179" s="1086"/>
      <c r="AU179" s="1086"/>
      <c r="AV179" s="1086"/>
      <c r="AW179" s="1086"/>
      <c r="AX179" s="1086"/>
      <c r="AY179" s="1086"/>
      <c r="AZ179" s="1086"/>
      <c r="BA179" s="1086"/>
      <c r="BB179" s="1086"/>
      <c r="BC179" s="1086"/>
      <c r="BD179" s="1086"/>
      <c r="BE179" s="1082"/>
    </row>
    <row r="180" spans="1:57" ht="15.75" customHeight="1" thickBot="1">
      <c r="A180" s="1086"/>
      <c r="B180" s="1086"/>
      <c r="C180" s="2114" t="s">
        <v>2619</v>
      </c>
      <c r="D180" s="2115"/>
      <c r="E180" s="2115"/>
      <c r="F180" s="2115"/>
      <c r="G180" s="2115"/>
      <c r="H180" s="2115"/>
      <c r="I180" s="2115"/>
      <c r="J180" s="2115"/>
      <c r="K180" s="2115"/>
      <c r="L180" s="2115"/>
      <c r="M180" s="2115"/>
      <c r="N180" s="2115"/>
      <c r="O180" s="2115"/>
      <c r="P180" s="2115"/>
      <c r="Q180" s="2115"/>
      <c r="R180" s="2115"/>
      <c r="S180" s="2115"/>
      <c r="T180" s="2115"/>
      <c r="U180" s="2115"/>
      <c r="V180" s="2115"/>
      <c r="W180" s="2115"/>
      <c r="X180" s="2115"/>
      <c r="Y180" s="2115"/>
      <c r="Z180" s="2115"/>
      <c r="AA180" s="2115"/>
      <c r="AB180" s="2115"/>
      <c r="AC180" s="2115"/>
      <c r="AD180" s="2115"/>
      <c r="AE180" s="2116"/>
      <c r="AF180" s="1086"/>
      <c r="AG180" s="1086"/>
      <c r="AH180" s="2311" t="s">
        <v>2620</v>
      </c>
      <c r="AI180" s="2312"/>
      <c r="AJ180" s="2312"/>
      <c r="AK180" s="2312"/>
      <c r="AL180" s="2312"/>
      <c r="AM180" s="2312"/>
      <c r="AN180" s="2312"/>
      <c r="AO180" s="2312"/>
      <c r="AP180" s="2312"/>
      <c r="AQ180" s="2312"/>
      <c r="AR180" s="2312"/>
      <c r="AS180" s="2312"/>
      <c r="AT180" s="2312"/>
      <c r="AU180" s="2312"/>
      <c r="AV180" s="2312"/>
      <c r="AW180" s="2312"/>
      <c r="AX180" s="2312"/>
      <c r="AY180" s="2312"/>
      <c r="AZ180" s="2312"/>
      <c r="BA180" s="2312"/>
      <c r="BB180" s="2312"/>
      <c r="BC180" s="2312"/>
      <c r="BD180" s="2312"/>
      <c r="BE180" s="2313"/>
    </row>
    <row r="181" spans="1:57" ht="15.75" customHeight="1" thickBot="1">
      <c r="A181" s="1086"/>
      <c r="B181" s="1086"/>
      <c r="C181" s="2117"/>
      <c r="D181" s="2118"/>
      <c r="E181" s="2118"/>
      <c r="F181" s="2118"/>
      <c r="G181" s="2118"/>
      <c r="H181" s="2118"/>
      <c r="I181" s="2118"/>
      <c r="J181" s="2118"/>
      <c r="K181" s="2118"/>
      <c r="L181" s="2118"/>
      <c r="M181" s="2118"/>
      <c r="N181" s="2118"/>
      <c r="O181" s="2118"/>
      <c r="P181" s="2118"/>
      <c r="Q181" s="2118"/>
      <c r="R181" s="2118"/>
      <c r="S181" s="2118"/>
      <c r="T181" s="2118"/>
      <c r="U181" s="2118"/>
      <c r="V181" s="2118"/>
      <c r="W181" s="2118"/>
      <c r="X181" s="2118"/>
      <c r="Y181" s="2118"/>
      <c r="Z181" s="2118"/>
      <c r="AA181" s="2118"/>
      <c r="AB181" s="2118"/>
      <c r="AC181" s="2118"/>
      <c r="AD181" s="2118"/>
      <c r="AE181" s="2119"/>
      <c r="AF181" s="1086"/>
      <c r="AG181" s="1086"/>
      <c r="AH181" s="2314" t="s">
        <v>2621</v>
      </c>
      <c r="AI181" s="2314"/>
      <c r="AJ181" s="2314"/>
      <c r="AK181" s="2314"/>
      <c r="AL181" s="2314"/>
      <c r="AM181" s="2314"/>
      <c r="AN181" s="2314"/>
      <c r="AO181" s="2314"/>
      <c r="AP181" s="2314"/>
      <c r="AQ181" s="2314"/>
      <c r="AR181" s="2314"/>
      <c r="AS181" s="2314"/>
      <c r="AT181" s="2314"/>
      <c r="AU181" s="2314"/>
      <c r="AV181" s="2314"/>
      <c r="AW181" s="2314"/>
      <c r="AX181" s="2314"/>
      <c r="AY181" s="2314"/>
      <c r="AZ181" s="2314"/>
      <c r="BA181" s="2314"/>
      <c r="BB181" s="2314"/>
      <c r="BC181" s="2314"/>
      <c r="BD181" s="2314"/>
      <c r="BE181" s="2314"/>
    </row>
    <row r="182" spans="1:57" ht="15.75" customHeight="1">
      <c r="A182" s="1086"/>
      <c r="B182" s="1086"/>
      <c r="C182" s="1912" t="s">
        <v>2605</v>
      </c>
      <c r="D182" s="1913"/>
      <c r="E182" s="1913"/>
      <c r="F182" s="1913"/>
      <c r="G182" s="1913"/>
      <c r="H182" s="1913"/>
      <c r="I182" s="1913"/>
      <c r="J182" s="1913"/>
      <c r="K182" s="1913"/>
      <c r="L182" s="1913"/>
      <c r="M182" s="1913"/>
      <c r="N182" s="1913" t="s">
        <v>2622</v>
      </c>
      <c r="O182" s="1913"/>
      <c r="P182" s="1913"/>
      <c r="Q182" s="1913"/>
      <c r="R182" s="1913"/>
      <c r="S182" s="1913"/>
      <c r="T182" s="1913"/>
      <c r="U182" s="1945" t="s">
        <v>2605</v>
      </c>
      <c r="V182" s="1945"/>
      <c r="W182" s="1945"/>
      <c r="X182" s="1945"/>
      <c r="Y182" s="1945"/>
      <c r="Z182" s="1945"/>
      <c r="AA182" s="1945"/>
      <c r="AB182" s="1945"/>
      <c r="AC182" s="1945"/>
      <c r="AD182" s="1945"/>
      <c r="AE182" s="1946"/>
      <c r="AF182" s="1086"/>
      <c r="AG182" s="1086"/>
      <c r="AH182" s="2095" t="s">
        <v>2623</v>
      </c>
      <c r="AI182" s="2095"/>
      <c r="AJ182" s="2095"/>
      <c r="AK182" s="2095"/>
      <c r="AL182" s="2095"/>
      <c r="AM182" s="2095"/>
      <c r="AN182" s="2095"/>
      <c r="AO182" s="2095"/>
      <c r="AP182" s="2095"/>
      <c r="AQ182" s="2095"/>
      <c r="AR182" s="2095"/>
      <c r="AS182" s="2095"/>
      <c r="AT182" s="2095"/>
      <c r="AU182" s="2590">
        <v>2500000</v>
      </c>
      <c r="AV182" s="2590"/>
      <c r="AW182" s="2590"/>
      <c r="AX182" s="2590"/>
      <c r="AY182" s="2590"/>
      <c r="AZ182" s="2590"/>
      <c r="BA182" s="2590"/>
      <c r="BB182" s="2590"/>
      <c r="BC182" s="2324"/>
      <c r="BD182" s="2325"/>
      <c r="BE182" s="2326"/>
    </row>
    <row r="183" spans="1:57" ht="15.75" customHeight="1">
      <c r="A183" s="1086"/>
      <c r="B183" s="1086"/>
      <c r="C183" s="2085" t="s">
        <v>2624</v>
      </c>
      <c r="D183" s="2086"/>
      <c r="E183" s="2086"/>
      <c r="F183" s="2086"/>
      <c r="G183" s="2086"/>
      <c r="H183" s="2086"/>
      <c r="I183" s="2086"/>
      <c r="J183" s="2086"/>
      <c r="K183" s="2086"/>
      <c r="L183" s="2086"/>
      <c r="M183" s="2086"/>
      <c r="N183" s="2098">
        <f>'Sources and Uses Budget'!B105</f>
        <v>35418549.276178665</v>
      </c>
      <c r="O183" s="2098"/>
      <c r="P183" s="2098"/>
      <c r="Q183" s="2098"/>
      <c r="R183" s="2098"/>
      <c r="S183" s="2098"/>
      <c r="T183" s="2098"/>
      <c r="U183" s="2099"/>
      <c r="V183" s="2099"/>
      <c r="W183" s="2099"/>
      <c r="X183" s="2099"/>
      <c r="Y183" s="2099"/>
      <c r="Z183" s="2099"/>
      <c r="AA183" s="2099"/>
      <c r="AB183" s="2099"/>
      <c r="AC183" s="2099"/>
      <c r="AD183" s="2099"/>
      <c r="AE183" s="2100"/>
      <c r="AF183" s="1086"/>
      <c r="AG183" s="1086"/>
      <c r="AH183" s="2095" t="s">
        <v>2625</v>
      </c>
      <c r="AI183" s="2095"/>
      <c r="AJ183" s="2095"/>
      <c r="AK183" s="2095"/>
      <c r="AL183" s="2095"/>
      <c r="AM183" s="2095"/>
      <c r="AN183" s="2095"/>
      <c r="AO183" s="2095"/>
      <c r="AP183" s="2095"/>
      <c r="AQ183" s="2095"/>
      <c r="AR183" s="2095"/>
      <c r="AS183" s="2095"/>
      <c r="AT183" s="2095"/>
      <c r="AU183" s="2591">
        <f>MAX(0,Application!AG439-100)*20000</f>
        <v>0</v>
      </c>
      <c r="AV183" s="2591"/>
      <c r="AW183" s="2591"/>
      <c r="AX183" s="2591"/>
      <c r="AY183" s="2591"/>
      <c r="AZ183" s="2591"/>
      <c r="BA183" s="2591"/>
      <c r="BB183" s="2591"/>
      <c r="BC183" s="2056"/>
      <c r="BD183" s="2057"/>
      <c r="BE183" s="2058"/>
    </row>
    <row r="184" spans="1:57" ht="15.75" customHeight="1">
      <c r="A184" s="1086"/>
      <c r="B184" s="1086"/>
      <c r="C184" s="2085" t="s">
        <v>2626</v>
      </c>
      <c r="D184" s="2086"/>
      <c r="E184" s="2086"/>
      <c r="F184" s="2086"/>
      <c r="G184" s="2086"/>
      <c r="H184" s="2086"/>
      <c r="I184" s="2086"/>
      <c r="J184" s="2086"/>
      <c r="K184" s="2086"/>
      <c r="L184" s="2086"/>
      <c r="M184" s="2086"/>
      <c r="N184" s="2098">
        <f>N183/J29</f>
        <v>753586.15481231199</v>
      </c>
      <c r="O184" s="2098"/>
      <c r="P184" s="2098"/>
      <c r="Q184" s="2098"/>
      <c r="R184" s="2098"/>
      <c r="S184" s="2098"/>
      <c r="T184" s="2098"/>
      <c r="U184" s="1102"/>
      <c r="V184" s="1102"/>
      <c r="W184" s="1102"/>
      <c r="X184" s="1102"/>
      <c r="Y184" s="1102"/>
      <c r="Z184" s="1102"/>
      <c r="AA184" s="1102"/>
      <c r="AB184" s="1102"/>
      <c r="AC184" s="1102"/>
      <c r="AD184" s="1102"/>
      <c r="AE184" s="1101"/>
      <c r="AF184" s="1086"/>
      <c r="AG184" s="1086"/>
      <c r="AH184" s="2315" t="s">
        <v>2627</v>
      </c>
      <c r="AI184" s="2315"/>
      <c r="AJ184" s="2315"/>
      <c r="AK184" s="2315"/>
      <c r="AL184" s="2315"/>
      <c r="AM184" s="2315"/>
      <c r="AN184" s="2315"/>
      <c r="AO184" s="2315"/>
      <c r="AP184" s="2315"/>
      <c r="AQ184" s="2315"/>
      <c r="AR184" s="2315"/>
      <c r="AS184" s="2315"/>
      <c r="AT184" s="2315"/>
      <c r="AU184" s="2592">
        <f>AU182+AU183</f>
        <v>2500000</v>
      </c>
      <c r="AV184" s="2592"/>
      <c r="AW184" s="2592"/>
      <c r="AX184" s="2592"/>
      <c r="AY184" s="2592"/>
      <c r="AZ184" s="2592"/>
      <c r="BA184" s="2592"/>
      <c r="BB184" s="2592"/>
      <c r="BC184" s="2056"/>
      <c r="BD184" s="2057"/>
      <c r="BE184" s="2058"/>
    </row>
    <row r="185" spans="1:57" ht="15.75" customHeight="1">
      <c r="A185" s="1086"/>
      <c r="B185" s="1086"/>
      <c r="C185" s="2101" t="s">
        <v>2628</v>
      </c>
      <c r="D185" s="2102"/>
      <c r="E185" s="2102"/>
      <c r="F185" s="2102"/>
      <c r="G185" s="2102"/>
      <c r="H185" s="2102"/>
      <c r="I185" s="2102"/>
      <c r="J185" s="2102"/>
      <c r="K185" s="2102"/>
      <c r="L185" s="2102"/>
      <c r="M185" s="2102"/>
      <c r="N185" s="1941">
        <v>0</v>
      </c>
      <c r="O185" s="1941"/>
      <c r="P185" s="1941"/>
      <c r="Q185" s="1941"/>
      <c r="R185" s="1941"/>
      <c r="S185" s="1941"/>
      <c r="T185" s="1941"/>
      <c r="U185" s="2081"/>
      <c r="V185" s="2081"/>
      <c r="W185" s="2081"/>
      <c r="X185" s="2081"/>
      <c r="Y185" s="2081"/>
      <c r="Z185" s="2081"/>
      <c r="AA185" s="2081"/>
      <c r="AB185" s="2081"/>
      <c r="AC185" s="2081"/>
      <c r="AD185" s="2081"/>
      <c r="AE185" s="2082"/>
      <c r="AF185" s="1086"/>
      <c r="AG185" s="1086"/>
      <c r="AH185" s="2323" t="s">
        <v>2629</v>
      </c>
      <c r="AI185" s="2323"/>
      <c r="AJ185" s="2323"/>
      <c r="AK185" s="2323"/>
      <c r="AL185" s="2323"/>
      <c r="AM185" s="2323"/>
      <c r="AN185" s="2323"/>
      <c r="AO185" s="2323"/>
      <c r="AP185" s="2323"/>
      <c r="AQ185" s="2323"/>
      <c r="AR185" s="2323"/>
      <c r="AS185" s="2323"/>
      <c r="AT185" s="2323"/>
      <c r="AU185" s="2322" t="str">
        <f>IF(AU189-AU192&lt;=AU184,"Y","N")</f>
        <v>Y</v>
      </c>
      <c r="AV185" s="2322"/>
      <c r="AW185" s="2322"/>
      <c r="AX185" s="2322"/>
      <c r="AY185" s="2322"/>
      <c r="AZ185" s="2322"/>
      <c r="BA185" s="2322"/>
      <c r="BB185" s="2322"/>
      <c r="BC185" s="2056"/>
      <c r="BD185" s="2057"/>
      <c r="BE185" s="2058"/>
    </row>
    <row r="186" spans="1:57" ht="15.75" customHeight="1" thickBot="1">
      <c r="A186" s="1086"/>
      <c r="B186" s="1086"/>
      <c r="C186" s="2085" t="s">
        <v>2630</v>
      </c>
      <c r="D186" s="2086"/>
      <c r="E186" s="2086"/>
      <c r="F186" s="2086"/>
      <c r="G186" s="2086"/>
      <c r="H186" s="2086"/>
      <c r="I186" s="2086"/>
      <c r="J186" s="2086"/>
      <c r="K186" s="2086"/>
      <c r="L186" s="2086"/>
      <c r="M186" s="2086"/>
      <c r="N186" s="2087">
        <f>SUM('Sources and Uses Budget'!B85:B86)</f>
        <v>1287409</v>
      </c>
      <c r="O186" s="2087"/>
      <c r="P186" s="2087"/>
      <c r="Q186" s="2087"/>
      <c r="R186" s="2087"/>
      <c r="S186" s="2087"/>
      <c r="T186" s="2087"/>
      <c r="U186" s="2081"/>
      <c r="V186" s="2081"/>
      <c r="W186" s="2081"/>
      <c r="X186" s="2081"/>
      <c r="Y186" s="2081"/>
      <c r="Z186" s="2081"/>
      <c r="AA186" s="2081"/>
      <c r="AB186" s="2081"/>
      <c r="AC186" s="2081"/>
      <c r="AD186" s="2081"/>
      <c r="AE186" s="2082"/>
      <c r="AF186" s="1086"/>
      <c r="AG186" s="1086"/>
      <c r="AH186" s="1100"/>
      <c r="AI186" s="1086"/>
      <c r="AJ186" s="1086"/>
      <c r="AK186" s="1086"/>
      <c r="AL186" s="1086"/>
      <c r="AM186" s="1086"/>
      <c r="AN186" s="1086"/>
      <c r="AO186" s="1086"/>
      <c r="AP186" s="1086"/>
      <c r="AQ186" s="1086"/>
      <c r="AR186" s="1086"/>
      <c r="AS186" s="1086"/>
      <c r="AT186" s="1086"/>
      <c r="AU186" s="1086"/>
      <c r="AV186" s="1086"/>
      <c r="AW186" s="1086"/>
      <c r="AX186" s="1086"/>
      <c r="AY186" s="1086"/>
      <c r="AZ186" s="1086"/>
      <c r="BA186" s="1086"/>
      <c r="BB186" s="1086"/>
      <c r="BC186" s="1086"/>
      <c r="BD186" s="1086"/>
      <c r="BE186" s="1082"/>
    </row>
    <row r="187" spans="1:57" ht="15.75" customHeight="1" thickBot="1">
      <c r="A187" s="1086"/>
      <c r="B187" s="1086"/>
      <c r="C187" s="2085" t="s">
        <v>2631</v>
      </c>
      <c r="D187" s="2086"/>
      <c r="E187" s="2086"/>
      <c r="F187" s="2086"/>
      <c r="G187" s="2086"/>
      <c r="H187" s="2086"/>
      <c r="I187" s="2086"/>
      <c r="J187" s="2086"/>
      <c r="K187" s="2086"/>
      <c r="L187" s="2086"/>
      <c r="M187" s="2086"/>
      <c r="N187" s="2087">
        <f>'Sources and Uses Budget'!B8</f>
        <v>2800000</v>
      </c>
      <c r="O187" s="2087"/>
      <c r="P187" s="2087"/>
      <c r="Q187" s="2087"/>
      <c r="R187" s="2087"/>
      <c r="S187" s="2087"/>
      <c r="T187" s="2087"/>
      <c r="U187" s="2081"/>
      <c r="V187" s="2081"/>
      <c r="W187" s="2081"/>
      <c r="X187" s="2081"/>
      <c r="Y187" s="2081"/>
      <c r="Z187" s="2081"/>
      <c r="AA187" s="2081"/>
      <c r="AB187" s="2081"/>
      <c r="AC187" s="2081"/>
      <c r="AD187" s="2081"/>
      <c r="AE187" s="2082"/>
      <c r="AF187" s="1086"/>
      <c r="AG187" s="1086"/>
      <c r="AH187" s="2088" t="s">
        <v>1514</v>
      </c>
      <c r="AI187" s="2089"/>
      <c r="AJ187" s="2089"/>
      <c r="AK187" s="2089"/>
      <c r="AL187" s="2089"/>
      <c r="AM187" s="2089"/>
      <c r="AN187" s="2089"/>
      <c r="AO187" s="2089"/>
      <c r="AP187" s="2089"/>
      <c r="AQ187" s="2089"/>
      <c r="AR187" s="2089"/>
      <c r="AS187" s="2089"/>
      <c r="AT187" s="2089"/>
      <c r="AU187" s="2089"/>
      <c r="AV187" s="2089"/>
      <c r="AW187" s="2089"/>
      <c r="AX187" s="2089"/>
      <c r="AY187" s="2089"/>
      <c r="AZ187" s="2089"/>
      <c r="BA187" s="2089"/>
      <c r="BB187" s="2089"/>
      <c r="BC187" s="2089"/>
      <c r="BD187" s="2089"/>
      <c r="BE187" s="2090"/>
    </row>
    <row r="188" spans="1:57" ht="15.75" customHeight="1">
      <c r="A188" s="1086"/>
      <c r="B188" s="1086"/>
      <c r="C188" s="2085" t="s">
        <v>2632</v>
      </c>
      <c r="D188" s="2086"/>
      <c r="E188" s="2086"/>
      <c r="F188" s="2086"/>
      <c r="G188" s="2086"/>
      <c r="H188" s="2086"/>
      <c r="I188" s="2086"/>
      <c r="J188" s="2086"/>
      <c r="K188" s="2086"/>
      <c r="L188" s="2086"/>
      <c r="M188" s="2086"/>
      <c r="N188" s="2080">
        <v>0</v>
      </c>
      <c r="O188" s="2080"/>
      <c r="P188" s="2080"/>
      <c r="Q188" s="2080"/>
      <c r="R188" s="2080"/>
      <c r="S188" s="2080"/>
      <c r="T188" s="2080"/>
      <c r="U188" s="2081"/>
      <c r="V188" s="2081"/>
      <c r="W188" s="2081"/>
      <c r="X188" s="2081"/>
      <c r="Y188" s="2081"/>
      <c r="Z188" s="2081"/>
      <c r="AA188" s="2081"/>
      <c r="AB188" s="2081"/>
      <c r="AC188" s="2081"/>
      <c r="AD188" s="2081"/>
      <c r="AE188" s="2082"/>
      <c r="AF188" s="1086"/>
      <c r="AG188" s="1086"/>
      <c r="AH188" s="2091" t="s">
        <v>1514</v>
      </c>
      <c r="AI188" s="2091"/>
      <c r="AJ188" s="2091"/>
      <c r="AK188" s="2091"/>
      <c r="AL188" s="2091"/>
      <c r="AM188" s="2091"/>
      <c r="AN188" s="2091"/>
      <c r="AO188" s="2091"/>
      <c r="AP188" s="2091"/>
      <c r="AQ188" s="2091"/>
      <c r="AR188" s="2091"/>
      <c r="AS188" s="2091"/>
      <c r="AT188" s="2091"/>
      <c r="AU188" s="2593">
        <v>0</v>
      </c>
      <c r="AV188" s="2593"/>
      <c r="AW188" s="2593"/>
      <c r="AX188" s="2593"/>
      <c r="AY188" s="2593"/>
      <c r="AZ188" s="2593"/>
      <c r="BA188" s="2593"/>
      <c r="BB188" s="2593"/>
      <c r="BC188" s="2092"/>
      <c r="BD188" s="2093"/>
      <c r="BE188" s="2094"/>
    </row>
    <row r="189" spans="1:57" ht="15.75" customHeight="1">
      <c r="A189" s="1086"/>
      <c r="B189" s="1086"/>
      <c r="C189" s="2085" t="s">
        <v>2633</v>
      </c>
      <c r="D189" s="2086"/>
      <c r="E189" s="2086"/>
      <c r="F189" s="2086"/>
      <c r="G189" s="2086"/>
      <c r="H189" s="2086"/>
      <c r="I189" s="2086"/>
      <c r="J189" s="2086"/>
      <c r="K189" s="2086"/>
      <c r="L189" s="2086"/>
      <c r="M189" s="2086"/>
      <c r="N189" s="2080">
        <v>0</v>
      </c>
      <c r="O189" s="2080"/>
      <c r="P189" s="2080"/>
      <c r="Q189" s="2080"/>
      <c r="R189" s="2080"/>
      <c r="S189" s="2080"/>
      <c r="T189" s="2080"/>
      <c r="U189" s="2081"/>
      <c r="V189" s="2081"/>
      <c r="W189" s="2081"/>
      <c r="X189" s="2081"/>
      <c r="Y189" s="2081"/>
      <c r="Z189" s="2081"/>
      <c r="AA189" s="2081"/>
      <c r="AB189" s="2081"/>
      <c r="AC189" s="2081"/>
      <c r="AD189" s="2081"/>
      <c r="AE189" s="2082"/>
      <c r="AF189" s="1086"/>
      <c r="AG189" s="1086"/>
      <c r="AH189" s="2095" t="s">
        <v>2634</v>
      </c>
      <c r="AI189" s="2095"/>
      <c r="AJ189" s="2095"/>
      <c r="AK189" s="2095"/>
      <c r="AL189" s="2095"/>
      <c r="AM189" s="2095"/>
      <c r="AN189" s="2095"/>
      <c r="AO189" s="2095"/>
      <c r="AP189" s="2095"/>
      <c r="AQ189" s="2095"/>
      <c r="AR189" s="2095"/>
      <c r="AS189" s="2095"/>
      <c r="AT189" s="2095"/>
      <c r="AU189" s="2594"/>
      <c r="AV189" s="2594"/>
      <c r="AW189" s="2594"/>
      <c r="AX189" s="2594"/>
      <c r="AY189" s="2594"/>
      <c r="AZ189" s="2594"/>
      <c r="BA189" s="2594"/>
      <c r="BB189" s="2594"/>
      <c r="BC189" s="2056"/>
      <c r="BD189" s="2057"/>
      <c r="BE189" s="2058"/>
    </row>
    <row r="190" spans="1:57" ht="15.75" customHeight="1">
      <c r="A190" s="1086"/>
      <c r="B190" s="1086"/>
      <c r="C190" s="2083" t="s">
        <v>1100</v>
      </c>
      <c r="D190" s="2084"/>
      <c r="E190" s="2079" t="s">
        <v>2612</v>
      </c>
      <c r="F190" s="2079"/>
      <c r="G190" s="2079"/>
      <c r="H190" s="2079"/>
      <c r="I190" s="2079"/>
      <c r="J190" s="2079"/>
      <c r="K190" s="2079"/>
      <c r="L190" s="2079"/>
      <c r="M190" s="2079"/>
      <c r="N190" s="2080">
        <v>0</v>
      </c>
      <c r="O190" s="2080"/>
      <c r="P190" s="2080"/>
      <c r="Q190" s="2080"/>
      <c r="R190" s="2080"/>
      <c r="S190" s="2080"/>
      <c r="T190" s="2080"/>
      <c r="U190" s="2081"/>
      <c r="V190" s="2081"/>
      <c r="W190" s="2081"/>
      <c r="X190" s="2081"/>
      <c r="Y190" s="2081"/>
      <c r="Z190" s="2081"/>
      <c r="AA190" s="2081"/>
      <c r="AB190" s="2081"/>
      <c r="AC190" s="2081"/>
      <c r="AD190" s="2081"/>
      <c r="AE190" s="2082"/>
      <c r="AF190" s="1086"/>
      <c r="AG190" s="1086"/>
      <c r="AH190" s="2315" t="s">
        <v>2620</v>
      </c>
      <c r="AI190" s="2315"/>
      <c r="AJ190" s="2315"/>
      <c r="AK190" s="2315"/>
      <c r="AL190" s="2315"/>
      <c r="AM190" s="2315"/>
      <c r="AN190" s="2315"/>
      <c r="AO190" s="2315"/>
      <c r="AP190" s="2315"/>
      <c r="AQ190" s="2315"/>
      <c r="AR190" s="2315"/>
      <c r="AS190" s="2315"/>
      <c r="AT190" s="2315"/>
      <c r="AU190" s="2592">
        <f>SUM(AU188:BB189)</f>
        <v>0</v>
      </c>
      <c r="AV190" s="2592"/>
      <c r="AW190" s="2592"/>
      <c r="AX190" s="2592"/>
      <c r="AY190" s="2592"/>
      <c r="AZ190" s="2592"/>
      <c r="BA190" s="2592"/>
      <c r="BB190" s="2592"/>
      <c r="BC190" s="2056"/>
      <c r="BD190" s="2057"/>
      <c r="BE190" s="2058"/>
    </row>
    <row r="191" spans="1:57" ht="15.75" customHeight="1" thickBot="1">
      <c r="A191" s="1086"/>
      <c r="B191" s="1086"/>
      <c r="C191" s="2077" t="s">
        <v>1100</v>
      </c>
      <c r="D191" s="2078"/>
      <c r="E191" s="2079" t="s">
        <v>2612</v>
      </c>
      <c r="F191" s="2079"/>
      <c r="G191" s="2079"/>
      <c r="H191" s="2079"/>
      <c r="I191" s="2079"/>
      <c r="J191" s="2079"/>
      <c r="K191" s="2079"/>
      <c r="L191" s="2079"/>
      <c r="M191" s="2079"/>
      <c r="N191" s="2080">
        <v>0</v>
      </c>
      <c r="O191" s="2080"/>
      <c r="P191" s="2080"/>
      <c r="Q191" s="2080"/>
      <c r="R191" s="2080"/>
      <c r="S191" s="2080"/>
      <c r="T191" s="2080"/>
      <c r="U191" s="2081"/>
      <c r="V191" s="2081"/>
      <c r="W191" s="2081"/>
      <c r="X191" s="2081"/>
      <c r="Y191" s="2081"/>
      <c r="Z191" s="2081"/>
      <c r="AA191" s="2081"/>
      <c r="AB191" s="2081"/>
      <c r="AC191" s="2081"/>
      <c r="AD191" s="2081"/>
      <c r="AE191" s="2082"/>
      <c r="AF191" s="1086"/>
      <c r="AG191" s="1086"/>
      <c r="AH191" s="1086"/>
      <c r="AI191" s="1086"/>
      <c r="AJ191" s="1086"/>
      <c r="AK191" s="1086"/>
      <c r="AL191" s="1086"/>
      <c r="AM191" s="1086"/>
      <c r="AN191" s="1086"/>
      <c r="AO191" s="1086"/>
      <c r="AP191" s="1086"/>
      <c r="AQ191" s="1086"/>
      <c r="AR191" s="1086"/>
      <c r="AS191" s="1086"/>
      <c r="AT191" s="1086"/>
      <c r="AU191" s="1086"/>
      <c r="AV191" s="1086"/>
      <c r="AW191" s="1086"/>
      <c r="AX191" s="1086"/>
      <c r="AY191" s="1086"/>
      <c r="AZ191" s="1086"/>
      <c r="BA191" s="1086"/>
      <c r="BB191" s="1086"/>
      <c r="BC191" s="2059"/>
      <c r="BD191" s="2060"/>
      <c r="BE191" s="2061"/>
    </row>
    <row r="192" spans="1:57" ht="15.75" customHeight="1" thickBot="1">
      <c r="A192" s="1086"/>
      <c r="B192" s="1086"/>
      <c r="C192" s="2066" t="s">
        <v>1100</v>
      </c>
      <c r="D192" s="2067"/>
      <c r="E192" s="2068" t="s">
        <v>2612</v>
      </c>
      <c r="F192" s="2068"/>
      <c r="G192" s="2068"/>
      <c r="H192" s="2068"/>
      <c r="I192" s="2068"/>
      <c r="J192" s="2068"/>
      <c r="K192" s="2068"/>
      <c r="L192" s="2068"/>
      <c r="M192" s="2069"/>
      <c r="N192" s="2070">
        <v>0</v>
      </c>
      <c r="O192" s="2070"/>
      <c r="P192" s="2070"/>
      <c r="Q192" s="2070"/>
      <c r="R192" s="2070"/>
      <c r="S192" s="2070"/>
      <c r="T192" s="2071"/>
      <c r="U192" s="2072"/>
      <c r="V192" s="2073"/>
      <c r="W192" s="2073"/>
      <c r="X192" s="2073"/>
      <c r="Y192" s="2073"/>
      <c r="Z192" s="2073"/>
      <c r="AA192" s="2073"/>
      <c r="AB192" s="2073"/>
      <c r="AC192" s="2073"/>
      <c r="AD192" s="2073"/>
      <c r="AE192" s="2074"/>
      <c r="AF192" s="1086"/>
      <c r="AG192" s="1086"/>
      <c r="AH192" s="2043" t="s">
        <v>2635</v>
      </c>
      <c r="AI192" s="2044"/>
      <c r="AJ192" s="2044"/>
      <c r="AK192" s="2044"/>
      <c r="AL192" s="2044"/>
      <c r="AM192" s="2044"/>
      <c r="AN192" s="2044"/>
      <c r="AO192" s="2044"/>
      <c r="AP192" s="2044"/>
      <c r="AQ192" s="2044"/>
      <c r="AR192" s="2044"/>
      <c r="AS192" s="2044"/>
      <c r="AT192" s="2044"/>
      <c r="AU192" s="2595"/>
      <c r="AV192" s="2595"/>
      <c r="AW192" s="2595"/>
      <c r="AX192" s="2595"/>
      <c r="AY192" s="2595"/>
      <c r="AZ192" s="2595"/>
      <c r="BA192" s="2595"/>
      <c r="BB192" s="2595"/>
      <c r="BC192" s="1099"/>
      <c r="BD192" s="1099"/>
      <c r="BE192" s="1098"/>
    </row>
    <row r="193" spans="1:57" ht="15.75" customHeight="1">
      <c r="A193" s="1086"/>
      <c r="B193" s="1086"/>
      <c r="C193" s="2062" t="s">
        <v>2636</v>
      </c>
      <c r="D193" s="2063"/>
      <c r="E193" s="2063"/>
      <c r="F193" s="2063"/>
      <c r="G193" s="2063"/>
      <c r="H193" s="2063"/>
      <c r="I193" s="2063"/>
      <c r="J193" s="2063"/>
      <c r="K193" s="2063"/>
      <c r="L193" s="2063"/>
      <c r="M193" s="2063"/>
      <c r="N193" s="2064">
        <f>SUM(N185:T192)</f>
        <v>4087409</v>
      </c>
      <c r="O193" s="2064"/>
      <c r="P193" s="2064"/>
      <c r="Q193" s="2064"/>
      <c r="R193" s="2064"/>
      <c r="S193" s="2064"/>
      <c r="T193" s="2065"/>
      <c r="U193" s="1086"/>
      <c r="V193" s="1086"/>
      <c r="W193" s="1086"/>
      <c r="X193" s="1086"/>
      <c r="Y193" s="1086"/>
      <c r="Z193" s="1086"/>
      <c r="AA193" s="1086"/>
      <c r="AB193" s="1086"/>
      <c r="AC193" s="1086"/>
      <c r="AD193" s="1086"/>
      <c r="AE193" s="1086"/>
      <c r="AF193" s="1086"/>
      <c r="AG193" s="1086"/>
      <c r="AH193" s="2075" t="s">
        <v>2637</v>
      </c>
      <c r="AI193" s="2075"/>
      <c r="AJ193" s="2075"/>
      <c r="AK193" s="2075"/>
      <c r="AL193" s="2075"/>
      <c r="AM193" s="2075"/>
      <c r="AN193" s="2075"/>
      <c r="AO193" s="2075"/>
      <c r="AP193" s="2075"/>
      <c r="AQ193" s="2075"/>
      <c r="AR193" s="2075"/>
      <c r="AS193" s="2075"/>
      <c r="AT193" s="2075"/>
      <c r="AU193" s="2075"/>
      <c r="AV193" s="2075"/>
      <c r="AW193" s="2075"/>
      <c r="AX193" s="2075"/>
      <c r="AY193" s="2075"/>
      <c r="AZ193" s="2075"/>
      <c r="BA193" s="2075"/>
      <c r="BB193" s="2075"/>
      <c r="BC193" s="2075"/>
      <c r="BD193" s="2075"/>
      <c r="BE193" s="2076"/>
    </row>
    <row r="194" spans="1:57" ht="15.75" customHeight="1" thickBot="1">
      <c r="A194" s="1086"/>
      <c r="B194" s="1086"/>
      <c r="C194" s="2045" t="s">
        <v>2638</v>
      </c>
      <c r="D194" s="2046"/>
      <c r="E194" s="2046"/>
      <c r="F194" s="2046"/>
      <c r="G194" s="2046"/>
      <c r="H194" s="2046"/>
      <c r="I194" s="2046"/>
      <c r="J194" s="2046"/>
      <c r="K194" s="2046"/>
      <c r="L194" s="2046"/>
      <c r="M194" s="2046"/>
      <c r="N194" s="2047">
        <f>(N183-N193)/J29</f>
        <v>666620.00587614183</v>
      </c>
      <c r="O194" s="2048"/>
      <c r="P194" s="2048"/>
      <c r="Q194" s="2048"/>
      <c r="R194" s="2048"/>
      <c r="S194" s="2048"/>
      <c r="T194" s="2049"/>
      <c r="U194" s="1097"/>
      <c r="V194" s="1086"/>
      <c r="W194" s="1086"/>
      <c r="X194" s="1086"/>
      <c r="Y194" s="1086"/>
      <c r="Z194" s="1086"/>
      <c r="AA194" s="1086"/>
      <c r="AB194" s="1086"/>
      <c r="AC194" s="1086"/>
      <c r="AD194" s="1086"/>
      <c r="AE194" s="1086"/>
      <c r="AF194" s="1086"/>
      <c r="AG194" s="1086"/>
      <c r="AH194" s="2075"/>
      <c r="AI194" s="2075"/>
      <c r="AJ194" s="2075"/>
      <c r="AK194" s="2075"/>
      <c r="AL194" s="2075"/>
      <c r="AM194" s="2075"/>
      <c r="AN194" s="2075"/>
      <c r="AO194" s="2075"/>
      <c r="AP194" s="2075"/>
      <c r="AQ194" s="2075"/>
      <c r="AR194" s="2075"/>
      <c r="AS194" s="2075"/>
      <c r="AT194" s="2075"/>
      <c r="AU194" s="2075"/>
      <c r="AV194" s="2075"/>
      <c r="AW194" s="2075"/>
      <c r="AX194" s="2075"/>
      <c r="AY194" s="2075"/>
      <c r="AZ194" s="2075"/>
      <c r="BA194" s="2075"/>
      <c r="BB194" s="2075"/>
      <c r="BC194" s="2075"/>
      <c r="BD194" s="2075"/>
      <c r="BE194" s="2076"/>
    </row>
    <row r="195" spans="1:57" ht="15.75" customHeight="1">
      <c r="A195" s="1086"/>
      <c r="B195" s="1086"/>
      <c r="C195" s="1086"/>
      <c r="D195" s="1086"/>
      <c r="E195" s="1086"/>
      <c r="F195" s="1086"/>
      <c r="G195" s="1086"/>
      <c r="H195" s="1086"/>
      <c r="I195" s="1086"/>
      <c r="J195" s="1086"/>
      <c r="K195" s="1086"/>
      <c r="L195" s="1086"/>
      <c r="M195" s="1086"/>
      <c r="N195" s="1086"/>
      <c r="O195" s="1086"/>
      <c r="P195" s="1086"/>
      <c r="Q195" s="1086"/>
      <c r="R195" s="1086"/>
      <c r="S195" s="1086"/>
      <c r="T195" s="1086"/>
      <c r="U195" s="1086"/>
      <c r="V195" s="1086"/>
      <c r="W195" s="1086"/>
      <c r="X195" s="1086"/>
      <c r="Y195" s="1086"/>
      <c r="Z195" s="1086"/>
      <c r="AA195" s="1086"/>
      <c r="AB195" s="1086"/>
      <c r="AC195" s="1086"/>
      <c r="AD195" s="1086"/>
      <c r="AE195" s="1086"/>
      <c r="AF195" s="1086"/>
      <c r="AG195" s="1086"/>
      <c r="AH195" s="2050"/>
      <c r="AI195" s="2050"/>
      <c r="AJ195" s="2050"/>
      <c r="AK195" s="2050"/>
      <c r="AL195" s="2050"/>
      <c r="AM195" s="2050"/>
      <c r="AN195" s="2050"/>
      <c r="AO195" s="2050"/>
      <c r="AP195" s="2050"/>
      <c r="AQ195" s="2050"/>
      <c r="AR195" s="2050"/>
      <c r="AS195" s="2052"/>
      <c r="AT195" s="2052"/>
      <c r="AU195" s="2052"/>
      <c r="AV195" s="2052"/>
      <c r="AW195" s="2052"/>
      <c r="AX195" s="2052"/>
      <c r="AY195" s="2052"/>
      <c r="AZ195" s="2052"/>
      <c r="BA195" s="2052"/>
      <c r="BB195" s="2052"/>
      <c r="BC195" s="2052"/>
      <c r="BD195" s="2052"/>
      <c r="BE195" s="1082"/>
    </row>
    <row r="196" spans="1:57" ht="15.75" customHeight="1" thickBot="1">
      <c r="A196" s="1086"/>
      <c r="B196" s="1086"/>
      <c r="C196" s="1086"/>
      <c r="D196" s="1086"/>
      <c r="E196" s="1086"/>
      <c r="F196" s="1086"/>
      <c r="G196" s="1086"/>
      <c r="H196" s="1086"/>
      <c r="I196" s="1086"/>
      <c r="J196" s="1086"/>
      <c r="K196" s="1086"/>
      <c r="L196" s="1086"/>
      <c r="M196" s="1086"/>
      <c r="N196" s="1086"/>
      <c r="O196" s="1086"/>
      <c r="P196" s="1086"/>
      <c r="Q196" s="1086"/>
      <c r="R196" s="1086"/>
      <c r="S196" s="1086"/>
      <c r="T196" s="1086"/>
      <c r="U196" s="1086"/>
      <c r="V196" s="1086"/>
      <c r="W196" s="1086"/>
      <c r="X196" s="1086"/>
      <c r="Y196" s="1086"/>
      <c r="Z196" s="1086"/>
      <c r="AA196" s="1086"/>
      <c r="AB196" s="1086"/>
      <c r="AC196" s="1086"/>
      <c r="AD196" s="1086"/>
      <c r="AE196" s="1086"/>
      <c r="AF196" s="1086"/>
      <c r="AG196" s="1086"/>
      <c r="AH196" s="1086"/>
      <c r="AI196" s="1086"/>
      <c r="AJ196" s="1086"/>
      <c r="AK196" s="1086"/>
      <c r="AL196" s="1086"/>
      <c r="AM196" s="1086"/>
      <c r="AN196" s="1086"/>
      <c r="AO196" s="1086"/>
      <c r="AP196" s="1086"/>
      <c r="AQ196" s="1086"/>
      <c r="AR196" s="1086"/>
      <c r="AS196" s="1086"/>
      <c r="AT196" s="1086"/>
      <c r="AU196" s="1086"/>
      <c r="AV196" s="1086"/>
      <c r="AW196" s="1086"/>
      <c r="AX196" s="1086"/>
      <c r="AY196" s="1086"/>
      <c r="AZ196" s="1086"/>
      <c r="BA196" s="1086"/>
      <c r="BB196" s="1086"/>
      <c r="BC196" s="1086"/>
      <c r="BD196" s="1086"/>
      <c r="BE196" s="1082"/>
    </row>
    <row r="197" spans="1:57" ht="15.75" customHeight="1" thickBot="1">
      <c r="A197" s="1086"/>
      <c r="B197" s="1086"/>
      <c r="C197" s="2053" t="s">
        <v>2639</v>
      </c>
      <c r="D197" s="2054"/>
      <c r="E197" s="2054"/>
      <c r="F197" s="2054"/>
      <c r="G197" s="2054"/>
      <c r="H197" s="2054"/>
      <c r="I197" s="2054"/>
      <c r="J197" s="2054"/>
      <c r="K197" s="2054"/>
      <c r="L197" s="2054"/>
      <c r="M197" s="2054"/>
      <c r="N197" s="2054"/>
      <c r="O197" s="2054"/>
      <c r="P197" s="2054"/>
      <c r="Q197" s="2054"/>
      <c r="R197" s="2054"/>
      <c r="S197" s="2054"/>
      <c r="T197" s="2054"/>
      <c r="U197" s="2054"/>
      <c r="V197" s="2054"/>
      <c r="W197" s="2054"/>
      <c r="X197" s="2054"/>
      <c r="Y197" s="2054"/>
      <c r="Z197" s="2054"/>
      <c r="AA197" s="2054"/>
      <c r="AB197" s="2054"/>
      <c r="AC197" s="2054"/>
      <c r="AD197" s="2054"/>
      <c r="AE197" s="2055"/>
      <c r="AF197" s="1086"/>
      <c r="AG197" s="1086"/>
      <c r="AH197" s="1086"/>
      <c r="AI197" s="1086"/>
      <c r="AJ197" s="1086"/>
      <c r="AK197" s="1086"/>
      <c r="AL197" s="1086"/>
      <c r="AM197" s="1086"/>
      <c r="AN197" s="1086"/>
      <c r="AO197" s="1086"/>
      <c r="AP197" s="1086"/>
      <c r="AQ197" s="1086"/>
      <c r="AR197" s="1086"/>
      <c r="AS197" s="1086"/>
      <c r="AT197" s="1086"/>
      <c r="AU197" s="1086"/>
      <c r="AV197" s="1086"/>
      <c r="AW197" s="1086"/>
      <c r="AX197" s="1086"/>
      <c r="AY197" s="1086"/>
      <c r="AZ197" s="1086"/>
      <c r="BA197" s="1086"/>
      <c r="BB197" s="1086"/>
      <c r="BC197" s="1086"/>
      <c r="BD197" s="1086"/>
      <c r="BE197" s="1082"/>
    </row>
    <row r="198" spans="1:57" ht="15.75" customHeight="1">
      <c r="A198" s="1086"/>
      <c r="B198" s="1086"/>
      <c r="C198" s="2318" t="s">
        <v>2640</v>
      </c>
      <c r="D198" s="2318"/>
      <c r="E198" s="2318"/>
      <c r="F198" s="2318"/>
      <c r="G198" s="2318"/>
      <c r="H198" s="2318"/>
      <c r="I198" s="2318"/>
      <c r="J198" s="2318"/>
      <c r="K198" s="2318"/>
      <c r="L198" s="2318"/>
      <c r="M198" s="2318"/>
      <c r="N198" s="2318"/>
      <c r="O198" s="2319" t="s">
        <v>2641</v>
      </c>
      <c r="P198" s="2319"/>
      <c r="Q198" s="2319"/>
      <c r="R198" s="2319"/>
      <c r="S198" s="2319"/>
      <c r="T198" s="2319"/>
      <c r="U198" s="2319"/>
      <c r="V198" s="2319"/>
      <c r="W198" s="2319"/>
      <c r="X198" s="2319" t="s">
        <v>2642</v>
      </c>
      <c r="Y198" s="2319"/>
      <c r="Z198" s="2319"/>
      <c r="AA198" s="2319"/>
      <c r="AB198" s="2319"/>
      <c r="AC198" s="2319"/>
      <c r="AD198" s="2319"/>
      <c r="AE198" s="2319"/>
      <c r="AF198" s="1086"/>
      <c r="AG198" s="1086"/>
      <c r="AH198" s="1086"/>
      <c r="AI198" s="1086"/>
      <c r="AJ198" s="1086"/>
      <c r="AK198" s="1086"/>
      <c r="AL198" s="1086"/>
      <c r="AM198" s="1086"/>
      <c r="AN198" s="1086"/>
      <c r="AO198" s="1086"/>
      <c r="AP198" s="1086"/>
      <c r="AQ198" s="1086"/>
      <c r="AR198" s="1086"/>
      <c r="AS198" s="1086"/>
      <c r="AT198" s="1086"/>
      <c r="AU198" s="1086"/>
      <c r="AV198" s="1086"/>
      <c r="AW198" s="1086"/>
      <c r="AX198" s="1086"/>
      <c r="AY198" s="1086"/>
      <c r="AZ198" s="1086"/>
      <c r="BA198" s="1086"/>
      <c r="BB198" s="1086"/>
      <c r="BC198" s="1086"/>
      <c r="BD198" s="1086"/>
      <c r="BE198" s="1082"/>
    </row>
    <row r="199" spans="1:57" ht="15.75" customHeight="1">
      <c r="A199" s="1086"/>
      <c r="B199" s="1086"/>
      <c r="C199" s="2316" t="s">
        <v>2643</v>
      </c>
      <c r="D199" s="2316"/>
      <c r="E199" s="2316"/>
      <c r="F199" s="2316"/>
      <c r="G199" s="2316"/>
      <c r="H199" s="2316"/>
      <c r="I199" s="2316"/>
      <c r="J199" s="2316"/>
      <c r="K199" s="2316"/>
      <c r="L199" s="2316"/>
      <c r="M199" s="2316"/>
      <c r="N199" s="2316"/>
      <c r="O199" s="2596">
        <v>5000</v>
      </c>
      <c r="P199" s="2596"/>
      <c r="Q199" s="2596"/>
      <c r="R199" s="2596"/>
      <c r="S199" s="2596"/>
      <c r="T199" s="2596"/>
      <c r="U199" s="2596"/>
      <c r="V199" s="2596"/>
      <c r="W199" s="2596"/>
      <c r="X199" s="2051">
        <v>3.5000000000000003E-2</v>
      </c>
      <c r="Y199" s="2051"/>
      <c r="Z199" s="2051"/>
      <c r="AA199" s="2051"/>
      <c r="AB199" s="2051"/>
      <c r="AC199" s="2051"/>
      <c r="AD199" s="2051"/>
      <c r="AE199" s="2051"/>
      <c r="AF199" s="1086"/>
      <c r="AG199" s="1086"/>
      <c r="AH199" s="1086"/>
      <c r="AI199" s="1086"/>
      <c r="AJ199" s="1086"/>
      <c r="AK199" s="1086"/>
      <c r="AL199" s="1086"/>
      <c r="AM199" s="1086"/>
      <c r="AN199" s="1086"/>
      <c r="AO199" s="1086"/>
      <c r="AP199" s="1086"/>
      <c r="AQ199" s="1086"/>
      <c r="AR199" s="1086"/>
      <c r="AS199" s="1086"/>
      <c r="AT199" s="1086"/>
      <c r="AU199" s="1086"/>
      <c r="AV199" s="1086"/>
      <c r="AW199" s="1086"/>
      <c r="AX199" s="1086"/>
      <c r="AY199" s="1086"/>
      <c r="AZ199" s="1086"/>
      <c r="BA199" s="1086"/>
      <c r="BB199" s="1086"/>
      <c r="BC199" s="1086"/>
      <c r="BD199" s="1086"/>
      <c r="BE199" s="1082"/>
    </row>
    <row r="200" spans="1:57" ht="15.75" customHeight="1">
      <c r="A200" s="1086"/>
      <c r="B200" s="1086"/>
      <c r="C200" s="2316" t="s">
        <v>2644</v>
      </c>
      <c r="D200" s="2316"/>
      <c r="E200" s="2316"/>
      <c r="F200" s="2316"/>
      <c r="G200" s="2316"/>
      <c r="H200" s="2316"/>
      <c r="I200" s="2316"/>
      <c r="J200" s="2316"/>
      <c r="K200" s="2316"/>
      <c r="L200" s="2316"/>
      <c r="M200" s="2316"/>
      <c r="N200" s="2316"/>
      <c r="O200" s="2596">
        <v>10800</v>
      </c>
      <c r="P200" s="2596"/>
      <c r="Q200" s="2596"/>
      <c r="R200" s="2596"/>
      <c r="S200" s="2596"/>
      <c r="T200" s="2596"/>
      <c r="U200" s="2596"/>
      <c r="V200" s="2596"/>
      <c r="W200" s="2596"/>
      <c r="X200" s="2051">
        <v>3.5000000000000003E-2</v>
      </c>
      <c r="Y200" s="2051"/>
      <c r="Z200" s="2051"/>
      <c r="AA200" s="2051"/>
      <c r="AB200" s="2051"/>
      <c r="AC200" s="2051"/>
      <c r="AD200" s="2051"/>
      <c r="AE200" s="2051"/>
      <c r="AF200" s="1086"/>
      <c r="AG200" s="1086"/>
      <c r="AH200" s="1086"/>
      <c r="AI200" s="1086"/>
      <c r="AJ200" s="1086"/>
      <c r="AK200" s="1086"/>
      <c r="AL200" s="1086"/>
      <c r="AM200" s="1086"/>
      <c r="AN200" s="1086"/>
      <c r="AO200" s="1086"/>
      <c r="AP200" s="1086"/>
      <c r="AQ200" s="1086"/>
      <c r="AR200" s="1086"/>
      <c r="AS200" s="1086"/>
      <c r="AT200" s="1086"/>
      <c r="AU200" s="1086"/>
      <c r="AV200" s="1086"/>
      <c r="AW200" s="1086"/>
      <c r="AX200" s="1086"/>
      <c r="AY200" s="1086"/>
      <c r="AZ200" s="1086"/>
      <c r="BA200" s="1086"/>
      <c r="BB200" s="1086"/>
      <c r="BC200" s="1086"/>
      <c r="BD200" s="1086"/>
      <c r="BE200" s="1082"/>
    </row>
    <row r="201" spans="1:57" ht="15.75" customHeight="1">
      <c r="A201" s="1086"/>
      <c r="B201" s="1086"/>
      <c r="C201" s="2316" t="s">
        <v>2645</v>
      </c>
      <c r="D201" s="2316"/>
      <c r="E201" s="2316"/>
      <c r="F201" s="2316"/>
      <c r="G201" s="2316"/>
      <c r="H201" s="2316"/>
      <c r="I201" s="2316"/>
      <c r="J201" s="2316"/>
      <c r="K201" s="2316"/>
      <c r="L201" s="2316"/>
      <c r="M201" s="2316"/>
      <c r="N201" s="2316"/>
      <c r="O201" s="2320">
        <f>SUM(O199:W200)</f>
        <v>15800</v>
      </c>
      <c r="P201" s="2321"/>
      <c r="Q201" s="2321"/>
      <c r="R201" s="2321"/>
      <c r="S201" s="2321"/>
      <c r="T201" s="2321"/>
      <c r="U201" s="2321"/>
      <c r="V201" s="2321"/>
      <c r="W201" s="2321"/>
      <c r="X201" s="2321" t="s">
        <v>2646</v>
      </c>
      <c r="Y201" s="2321"/>
      <c r="Z201" s="2321"/>
      <c r="AA201" s="2321"/>
      <c r="AB201" s="2321"/>
      <c r="AC201" s="2321"/>
      <c r="AD201" s="2321"/>
      <c r="AE201" s="2321"/>
      <c r="AF201" s="1086"/>
      <c r="AG201" s="1086"/>
      <c r="AH201" s="1086"/>
      <c r="AI201" s="1086"/>
      <c r="AJ201" s="1086"/>
      <c r="AK201" s="1086"/>
      <c r="AL201" s="1086"/>
      <c r="AM201" s="1086"/>
      <c r="AN201" s="1086"/>
      <c r="AO201" s="1086"/>
      <c r="AP201" s="1086"/>
      <c r="AQ201" s="1086"/>
      <c r="AR201" s="1086"/>
      <c r="AS201" s="1086"/>
      <c r="AT201" s="1086"/>
      <c r="AU201" s="1086"/>
      <c r="AV201" s="1086"/>
      <c r="AW201" s="1086"/>
      <c r="AX201" s="1086"/>
      <c r="AY201" s="1086"/>
      <c r="AZ201" s="1086"/>
      <c r="BA201" s="1086"/>
      <c r="BB201" s="1086"/>
      <c r="BC201" s="1086"/>
      <c r="BD201" s="1086"/>
      <c r="BE201" s="1082"/>
    </row>
    <row r="202" spans="1:57" ht="15.75" customHeight="1">
      <c r="A202" s="1086"/>
      <c r="B202" s="1086"/>
      <c r="C202" s="2317" t="s">
        <v>2647</v>
      </c>
      <c r="D202" s="2317"/>
      <c r="E202" s="2317"/>
      <c r="F202" s="2317"/>
      <c r="G202" s="2317"/>
      <c r="H202" s="2317"/>
      <c r="I202" s="2317"/>
      <c r="J202" s="2317"/>
      <c r="K202" s="2317"/>
      <c r="L202" s="2317"/>
      <c r="M202" s="2317"/>
      <c r="N202" s="2317"/>
      <c r="O202" s="2317"/>
      <c r="P202" s="2317"/>
      <c r="Q202" s="2317"/>
      <c r="R202" s="2317"/>
      <c r="S202" s="2317"/>
      <c r="T202" s="2317"/>
      <c r="U202" s="2317"/>
      <c r="V202" s="2317"/>
      <c r="W202" s="2317"/>
      <c r="X202" s="2317"/>
      <c r="Y202" s="2317"/>
      <c r="Z202" s="2317"/>
      <c r="AA202" s="2317"/>
      <c r="AB202" s="2317"/>
      <c r="AC202" s="2317"/>
      <c r="AD202" s="2317"/>
      <c r="AE202" s="2317"/>
      <c r="AF202" s="1086"/>
      <c r="AG202" s="1086"/>
      <c r="AH202" s="1086"/>
      <c r="AI202" s="1086"/>
      <c r="AJ202" s="1086"/>
      <c r="AK202" s="1086"/>
      <c r="AL202" s="1086"/>
      <c r="AM202" s="1086"/>
      <c r="AN202" s="1086"/>
      <c r="AO202" s="1086"/>
      <c r="AP202" s="1086"/>
      <c r="AQ202" s="1086"/>
      <c r="AR202" s="1086"/>
      <c r="AS202" s="1086"/>
      <c r="AT202" s="1086"/>
      <c r="AU202" s="1086"/>
      <c r="AV202" s="1086"/>
      <c r="AW202" s="1086"/>
      <c r="AX202" s="1086"/>
      <c r="AY202" s="1086"/>
      <c r="AZ202" s="1086"/>
      <c r="BA202" s="1086"/>
      <c r="BB202" s="1086"/>
      <c r="BC202" s="1086"/>
      <c r="BD202" s="1086"/>
      <c r="BE202" s="1082"/>
    </row>
    <row r="203" spans="1:57" ht="15.75" customHeight="1" thickBot="1">
      <c r="A203" s="1086"/>
      <c r="B203" s="1086"/>
      <c r="C203" s="1086"/>
      <c r="D203" s="1086"/>
      <c r="E203" s="1086"/>
      <c r="F203" s="1086"/>
      <c r="G203" s="1086"/>
      <c r="H203" s="1086"/>
      <c r="I203" s="1086"/>
      <c r="J203" s="1086"/>
      <c r="K203" s="1086"/>
      <c r="L203" s="1086"/>
      <c r="M203" s="1086"/>
      <c r="N203" s="1086"/>
      <c r="O203" s="1086"/>
      <c r="P203" s="1086"/>
      <c r="Q203" s="1086"/>
      <c r="R203" s="1086"/>
      <c r="S203" s="1086"/>
      <c r="T203" s="1086"/>
      <c r="U203" s="1086"/>
      <c r="V203" s="1086"/>
      <c r="W203" s="1086"/>
      <c r="X203" s="1086"/>
      <c r="Y203" s="1086"/>
      <c r="Z203" s="1086"/>
      <c r="AA203" s="1086"/>
      <c r="AB203" s="1086"/>
      <c r="AC203" s="1086"/>
      <c r="AD203" s="1086"/>
      <c r="AE203" s="1086"/>
      <c r="AF203" s="1086"/>
      <c r="AG203" s="1086"/>
      <c r="AH203" s="1086"/>
      <c r="AI203" s="1086"/>
      <c r="AJ203" s="1086"/>
      <c r="AK203" s="1086"/>
      <c r="AL203" s="1086"/>
      <c r="AM203" s="1086"/>
      <c r="AN203" s="1086"/>
      <c r="AO203" s="1086"/>
      <c r="AP203" s="1086"/>
      <c r="AQ203" s="1086"/>
      <c r="AR203" s="1086"/>
      <c r="AS203" s="1086"/>
      <c r="AT203" s="1086"/>
      <c r="AU203" s="1086"/>
      <c r="AV203" s="1086"/>
      <c r="AW203" s="1086"/>
      <c r="AX203" s="1086"/>
      <c r="AY203" s="1086"/>
      <c r="AZ203" s="1086"/>
      <c r="BA203" s="1086"/>
      <c r="BB203" s="1086"/>
      <c r="BC203" s="1086"/>
      <c r="BD203" s="1086"/>
      <c r="BE203" s="1082"/>
    </row>
    <row r="204" spans="1:57" ht="15.75" customHeight="1" thickBot="1">
      <c r="A204" s="1086"/>
      <c r="B204" s="1086"/>
      <c r="C204" s="2030" t="s">
        <v>2648</v>
      </c>
      <c r="D204" s="2031"/>
      <c r="E204" s="2031"/>
      <c r="F204" s="2031"/>
      <c r="G204" s="2031"/>
      <c r="H204" s="2031"/>
      <c r="I204" s="2031"/>
      <c r="J204" s="2031"/>
      <c r="K204" s="2031"/>
      <c r="L204" s="2031"/>
      <c r="M204" s="2031"/>
      <c r="N204" s="2031"/>
      <c r="O204" s="2031"/>
      <c r="P204" s="2031"/>
      <c r="Q204" s="2031"/>
      <c r="R204" s="2031"/>
      <c r="S204" s="2031"/>
      <c r="T204" s="2031"/>
      <c r="U204" s="2031"/>
      <c r="V204" s="2031"/>
      <c r="W204" s="2031"/>
      <c r="X204" s="2031"/>
      <c r="Y204" s="2031"/>
      <c r="Z204" s="2031"/>
      <c r="AA204" s="2031"/>
      <c r="AB204" s="2031"/>
      <c r="AC204" s="2031"/>
      <c r="AD204" s="2031"/>
      <c r="AE204" s="2031"/>
      <c r="AF204" s="2031"/>
      <c r="AG204" s="2031"/>
      <c r="AH204" s="2031"/>
      <c r="AI204" s="2031"/>
      <c r="AJ204" s="2031"/>
      <c r="AK204" s="2032"/>
      <c r="AL204" s="1086"/>
      <c r="AM204" s="1086"/>
      <c r="AN204" s="1086"/>
      <c r="AO204" s="1086"/>
      <c r="AP204" s="1086"/>
      <c r="AQ204" s="1086"/>
      <c r="AR204" s="1086"/>
      <c r="AS204" s="1086"/>
      <c r="AT204" s="1086"/>
      <c r="AU204" s="1086"/>
      <c r="AV204" s="1086"/>
      <c r="AW204" s="1086"/>
      <c r="AX204" s="1086"/>
      <c r="AY204" s="1086"/>
      <c r="AZ204" s="1086"/>
      <c r="BA204" s="1086"/>
      <c r="BB204" s="1086"/>
      <c r="BC204" s="1086"/>
      <c r="BD204" s="1086"/>
      <c r="BE204" s="1082"/>
    </row>
    <row r="205" spans="1:57" ht="15.75" customHeight="1">
      <c r="A205" s="1086"/>
      <c r="B205" s="1086"/>
      <c r="C205" s="2033" t="s">
        <v>2649</v>
      </c>
      <c r="D205" s="1991"/>
      <c r="E205" s="1991"/>
      <c r="F205" s="2034"/>
      <c r="G205" s="1990" t="s">
        <v>2650</v>
      </c>
      <c r="H205" s="1991"/>
      <c r="I205" s="1991"/>
      <c r="J205" s="1991"/>
      <c r="K205" s="1991"/>
      <c r="L205" s="1991"/>
      <c r="M205" s="1991"/>
      <c r="N205" s="1991"/>
      <c r="O205" s="2034"/>
      <c r="P205" s="2037" t="s">
        <v>2651</v>
      </c>
      <c r="Q205" s="2038"/>
      <c r="R205" s="2038"/>
      <c r="S205" s="2038"/>
      <c r="T205" s="2039"/>
      <c r="U205" s="1984" t="s">
        <v>2652</v>
      </c>
      <c r="V205" s="1985"/>
      <c r="W205" s="1985"/>
      <c r="X205" s="1986"/>
      <c r="Y205" s="1984" t="s">
        <v>2653</v>
      </c>
      <c r="Z205" s="1985"/>
      <c r="AA205" s="1985"/>
      <c r="AB205" s="1986"/>
      <c r="AC205" s="1984" t="s">
        <v>2654</v>
      </c>
      <c r="AD205" s="1985"/>
      <c r="AE205" s="1985"/>
      <c r="AF205" s="1986"/>
      <c r="AG205" s="1990" t="s">
        <v>2655</v>
      </c>
      <c r="AH205" s="1991"/>
      <c r="AI205" s="1991"/>
      <c r="AJ205" s="1991"/>
      <c r="AK205" s="1992"/>
      <c r="AL205" s="1086"/>
      <c r="AM205" s="1086"/>
      <c r="AN205" s="1086"/>
      <c r="AO205" s="1086"/>
      <c r="AP205" s="1086"/>
      <c r="AQ205" s="1086"/>
      <c r="AR205" s="1086"/>
      <c r="AS205" s="1086"/>
      <c r="AT205" s="1086"/>
      <c r="AU205" s="1086"/>
      <c r="AV205" s="1086"/>
      <c r="AW205" s="1086"/>
      <c r="AX205" s="1086"/>
      <c r="AY205" s="1086"/>
      <c r="AZ205" s="1086"/>
      <c r="BA205" s="1086"/>
      <c r="BB205" s="1086"/>
      <c r="BC205" s="1086"/>
      <c r="BD205" s="1086"/>
      <c r="BE205" s="1082"/>
    </row>
    <row r="206" spans="1:57" ht="15.75" customHeight="1">
      <c r="A206" s="1086"/>
      <c r="B206" s="1086"/>
      <c r="C206" s="2035"/>
      <c r="D206" s="1994"/>
      <c r="E206" s="1994"/>
      <c r="F206" s="2036"/>
      <c r="G206" s="1993"/>
      <c r="H206" s="1994"/>
      <c r="I206" s="1994"/>
      <c r="J206" s="1994"/>
      <c r="K206" s="1994"/>
      <c r="L206" s="1994"/>
      <c r="M206" s="1994"/>
      <c r="N206" s="1994"/>
      <c r="O206" s="2036"/>
      <c r="P206" s="2040"/>
      <c r="Q206" s="2041"/>
      <c r="R206" s="2041"/>
      <c r="S206" s="2041"/>
      <c r="T206" s="2042"/>
      <c r="U206" s="1987"/>
      <c r="V206" s="1988"/>
      <c r="W206" s="1988"/>
      <c r="X206" s="1989"/>
      <c r="Y206" s="1987"/>
      <c r="Z206" s="1988"/>
      <c r="AA206" s="1988"/>
      <c r="AB206" s="1989"/>
      <c r="AC206" s="1987"/>
      <c r="AD206" s="1988"/>
      <c r="AE206" s="1988"/>
      <c r="AF206" s="1989"/>
      <c r="AG206" s="1993"/>
      <c r="AH206" s="1994"/>
      <c r="AI206" s="1994"/>
      <c r="AJ206" s="1994"/>
      <c r="AK206" s="1995"/>
      <c r="AL206" s="1086"/>
      <c r="AM206" s="1086"/>
      <c r="AN206" s="1086"/>
      <c r="AO206" s="1086"/>
      <c r="AP206" s="1086"/>
      <c r="AQ206" s="1086"/>
      <c r="AR206" s="1086"/>
      <c r="AS206" s="1086"/>
      <c r="AT206" s="1086"/>
      <c r="AU206" s="1086"/>
      <c r="AV206" s="1086"/>
      <c r="AW206" s="1086"/>
      <c r="AX206" s="1086"/>
      <c r="AY206" s="1086"/>
      <c r="AZ206" s="1086"/>
      <c r="BA206" s="1086"/>
      <c r="BB206" s="1086"/>
      <c r="BC206" s="1086"/>
      <c r="BD206" s="1086"/>
      <c r="BE206" s="1082"/>
    </row>
    <row r="207" spans="1:57" ht="15.75" customHeight="1">
      <c r="A207" s="1086"/>
      <c r="B207" s="1086"/>
      <c r="C207" s="1996">
        <v>1</v>
      </c>
      <c r="D207" s="1997"/>
      <c r="E207" s="1997"/>
      <c r="F207" s="1997"/>
      <c r="G207" s="1998" t="s">
        <v>663</v>
      </c>
      <c r="H207" s="1998"/>
      <c r="I207" s="1998"/>
      <c r="J207" s="1998"/>
      <c r="K207" s="1998"/>
      <c r="L207" s="1998"/>
      <c r="M207" s="1998"/>
      <c r="N207" s="1998"/>
      <c r="O207" s="1998"/>
      <c r="P207" s="1999"/>
      <c r="Q207" s="2000"/>
      <c r="R207" s="2000"/>
      <c r="S207" s="2000"/>
      <c r="T207" s="2000"/>
      <c r="U207" s="2001" t="s">
        <v>663</v>
      </c>
      <c r="V207" s="2001"/>
      <c r="W207" s="2001"/>
      <c r="X207" s="2001"/>
      <c r="Y207" s="2001" t="s">
        <v>663</v>
      </c>
      <c r="Z207" s="2001"/>
      <c r="AA207" s="2001"/>
      <c r="AB207" s="2001"/>
      <c r="AC207" s="2002" t="s">
        <v>663</v>
      </c>
      <c r="AD207" s="2002"/>
      <c r="AE207" s="2002"/>
      <c r="AF207" s="2002"/>
      <c r="AG207" s="1981"/>
      <c r="AH207" s="1982"/>
      <c r="AI207" s="1982"/>
      <c r="AJ207" s="1982"/>
      <c r="AK207" s="1983"/>
      <c r="AL207" s="1086"/>
      <c r="AM207" s="1086"/>
      <c r="AN207" s="1086"/>
      <c r="AO207" s="1086"/>
      <c r="AP207" s="1086"/>
      <c r="AQ207" s="1086"/>
      <c r="AR207" s="1086"/>
      <c r="AS207" s="1086"/>
      <c r="AT207" s="1086"/>
      <c r="AU207" s="1086"/>
      <c r="AV207" s="1086"/>
      <c r="AW207" s="1086"/>
      <c r="AX207" s="1086"/>
      <c r="AY207" s="1086"/>
      <c r="AZ207" s="1086"/>
      <c r="BA207" s="1086"/>
      <c r="BB207" s="1086"/>
      <c r="BC207" s="1086"/>
      <c r="BD207" s="1086"/>
      <c r="BE207" s="1082"/>
    </row>
    <row r="208" spans="1:57" ht="15.75" customHeight="1">
      <c r="A208" s="1086"/>
      <c r="B208" s="1086"/>
      <c r="C208" s="1996">
        <v>2</v>
      </c>
      <c r="D208" s="1997"/>
      <c r="E208" s="1997"/>
      <c r="F208" s="1997"/>
      <c r="G208" s="1998" t="s">
        <v>663</v>
      </c>
      <c r="H208" s="1998"/>
      <c r="I208" s="1998"/>
      <c r="J208" s="1998"/>
      <c r="K208" s="1998"/>
      <c r="L208" s="1998"/>
      <c r="M208" s="1998"/>
      <c r="N208" s="1998"/>
      <c r="O208" s="1998"/>
      <c r="P208" s="1999"/>
      <c r="Q208" s="1999"/>
      <c r="R208" s="1999"/>
      <c r="S208" s="1999"/>
      <c r="T208" s="1999"/>
      <c r="U208" s="2001" t="s">
        <v>663</v>
      </c>
      <c r="V208" s="2001"/>
      <c r="W208" s="2001"/>
      <c r="X208" s="2001"/>
      <c r="Y208" s="2001" t="s">
        <v>663</v>
      </c>
      <c r="Z208" s="2001"/>
      <c r="AA208" s="2001"/>
      <c r="AB208" s="2001"/>
      <c r="AC208" s="2002" t="s">
        <v>663</v>
      </c>
      <c r="AD208" s="2002"/>
      <c r="AE208" s="2002"/>
      <c r="AF208" s="2002"/>
      <c r="AG208" s="1981"/>
      <c r="AH208" s="1982"/>
      <c r="AI208" s="1982"/>
      <c r="AJ208" s="1982"/>
      <c r="AK208" s="1983"/>
      <c r="AL208" s="1086"/>
      <c r="AM208" s="1086"/>
      <c r="AN208" s="1086"/>
      <c r="AO208" s="1086"/>
      <c r="AP208" s="1086"/>
      <c r="AQ208" s="1086"/>
      <c r="AR208" s="1086"/>
      <c r="AS208" s="1086"/>
      <c r="AT208" s="1086"/>
      <c r="AU208" s="1086"/>
      <c r="AV208" s="1086"/>
      <c r="AW208" s="1086"/>
      <c r="AX208" s="1086"/>
      <c r="AY208" s="1086"/>
      <c r="AZ208" s="1086"/>
      <c r="BA208" s="1086"/>
      <c r="BB208" s="1086"/>
      <c r="BC208" s="1086"/>
      <c r="BD208" s="1086"/>
      <c r="BE208" s="1082"/>
    </row>
    <row r="209" spans="1:57" ht="15.75" customHeight="1">
      <c r="A209" s="1086"/>
      <c r="B209" s="1086"/>
      <c r="C209" s="1996">
        <v>3</v>
      </c>
      <c r="D209" s="1997"/>
      <c r="E209" s="1997"/>
      <c r="F209" s="1997"/>
      <c r="G209" s="1998" t="s">
        <v>663</v>
      </c>
      <c r="H209" s="1998"/>
      <c r="I209" s="1998"/>
      <c r="J209" s="1998"/>
      <c r="K209" s="1998"/>
      <c r="L209" s="1998"/>
      <c r="M209" s="1998"/>
      <c r="N209" s="1998"/>
      <c r="O209" s="1998"/>
      <c r="P209" s="1999"/>
      <c r="Q209" s="1999"/>
      <c r="R209" s="1999"/>
      <c r="S209" s="1999"/>
      <c r="T209" s="1999"/>
      <c r="U209" s="2001" t="s">
        <v>663</v>
      </c>
      <c r="V209" s="2001"/>
      <c r="W209" s="2001"/>
      <c r="X209" s="2001"/>
      <c r="Y209" s="2001" t="s">
        <v>663</v>
      </c>
      <c r="Z209" s="2001"/>
      <c r="AA209" s="2001"/>
      <c r="AB209" s="2001"/>
      <c r="AC209" s="2002" t="s">
        <v>663</v>
      </c>
      <c r="AD209" s="2002"/>
      <c r="AE209" s="2002"/>
      <c r="AF209" s="2002"/>
      <c r="AG209" s="1981"/>
      <c r="AH209" s="1982"/>
      <c r="AI209" s="1982"/>
      <c r="AJ209" s="1982"/>
      <c r="AK209" s="1983"/>
      <c r="AL209" s="1086"/>
      <c r="AM209" s="1086"/>
      <c r="AN209" s="1086"/>
      <c r="AO209" s="1086"/>
      <c r="AP209" s="1086"/>
      <c r="AQ209" s="1086"/>
      <c r="AR209" s="1086"/>
      <c r="AS209" s="1086"/>
      <c r="AT209" s="1086"/>
      <c r="AU209" s="1086"/>
      <c r="AV209" s="1086"/>
      <c r="AW209" s="1086"/>
      <c r="AX209" s="1086"/>
      <c r="AY209" s="1086"/>
      <c r="AZ209" s="1086"/>
      <c r="BA209" s="1086"/>
      <c r="BB209" s="1086"/>
      <c r="BC209" s="1086"/>
      <c r="BD209" s="1086"/>
      <c r="BE209" s="1082"/>
    </row>
    <row r="210" spans="1:57" ht="15.75" customHeight="1">
      <c r="A210" s="1086"/>
      <c r="B210" s="1086"/>
      <c r="C210" s="1996">
        <v>4</v>
      </c>
      <c r="D210" s="1997"/>
      <c r="E210" s="1997"/>
      <c r="F210" s="1997"/>
      <c r="G210" s="1998" t="s">
        <v>663</v>
      </c>
      <c r="H210" s="1998"/>
      <c r="I210" s="1998"/>
      <c r="J210" s="1998"/>
      <c r="K210" s="1998"/>
      <c r="L210" s="1998"/>
      <c r="M210" s="1998"/>
      <c r="N210" s="1998"/>
      <c r="O210" s="1998"/>
      <c r="P210" s="1999"/>
      <c r="Q210" s="1999"/>
      <c r="R210" s="1999"/>
      <c r="S210" s="1999"/>
      <c r="T210" s="1999"/>
      <c r="U210" s="2001" t="s">
        <v>663</v>
      </c>
      <c r="V210" s="2001"/>
      <c r="W210" s="2001"/>
      <c r="X210" s="2001"/>
      <c r="Y210" s="2001" t="s">
        <v>663</v>
      </c>
      <c r="Z210" s="2001"/>
      <c r="AA210" s="2001"/>
      <c r="AB210" s="2001"/>
      <c r="AC210" s="2002" t="s">
        <v>663</v>
      </c>
      <c r="AD210" s="2002"/>
      <c r="AE210" s="2002"/>
      <c r="AF210" s="2002"/>
      <c r="AG210" s="1981"/>
      <c r="AH210" s="1982"/>
      <c r="AI210" s="1982"/>
      <c r="AJ210" s="1982"/>
      <c r="AK210" s="1983"/>
      <c r="AL210" s="1086"/>
      <c r="AM210" s="1086"/>
      <c r="AN210" s="1086"/>
      <c r="AO210" s="1086"/>
      <c r="AP210" s="1086"/>
      <c r="AQ210" s="1086"/>
      <c r="AR210" s="1086"/>
      <c r="AS210" s="1086"/>
      <c r="AT210" s="1086"/>
      <c r="AU210" s="1086"/>
      <c r="AV210" s="1086"/>
      <c r="AW210" s="1086"/>
      <c r="AX210" s="1086"/>
      <c r="AY210" s="1086"/>
      <c r="AZ210" s="1086"/>
      <c r="BA210" s="1086"/>
      <c r="BB210" s="1086"/>
      <c r="BC210" s="1086"/>
      <c r="BD210" s="1086"/>
      <c r="BE210" s="1082"/>
    </row>
    <row r="211" spans="1:57" ht="15.75" customHeight="1">
      <c r="A211" s="1086"/>
      <c r="B211" s="1086"/>
      <c r="C211" s="1996">
        <v>5</v>
      </c>
      <c r="D211" s="1997"/>
      <c r="E211" s="1997"/>
      <c r="F211" s="1997"/>
      <c r="G211" s="1998"/>
      <c r="H211" s="1998"/>
      <c r="I211" s="1998"/>
      <c r="J211" s="1998"/>
      <c r="K211" s="1998"/>
      <c r="L211" s="1998"/>
      <c r="M211" s="1998"/>
      <c r="N211" s="1998"/>
      <c r="O211" s="1998"/>
      <c r="P211" s="1999"/>
      <c r="Q211" s="1999"/>
      <c r="R211" s="1999"/>
      <c r="S211" s="1999"/>
      <c r="T211" s="1999"/>
      <c r="U211" s="2001" t="s">
        <v>663</v>
      </c>
      <c r="V211" s="2001"/>
      <c r="W211" s="2001"/>
      <c r="X211" s="2001"/>
      <c r="Y211" s="2001" t="s">
        <v>663</v>
      </c>
      <c r="Z211" s="2001"/>
      <c r="AA211" s="2001"/>
      <c r="AB211" s="2001"/>
      <c r="AC211" s="2002" t="s">
        <v>663</v>
      </c>
      <c r="AD211" s="2002"/>
      <c r="AE211" s="2002"/>
      <c r="AF211" s="2002"/>
      <c r="AG211" s="1981"/>
      <c r="AH211" s="1982"/>
      <c r="AI211" s="1982"/>
      <c r="AJ211" s="1982"/>
      <c r="AK211" s="1983"/>
      <c r="AL211" s="1086"/>
      <c r="AM211" s="1086"/>
      <c r="AN211" s="1086"/>
      <c r="AO211" s="1086"/>
      <c r="AP211" s="1086"/>
      <c r="AQ211" s="1086"/>
      <c r="AR211" s="1086"/>
      <c r="AS211" s="1086"/>
      <c r="AT211" s="1086"/>
      <c r="AU211" s="1086"/>
      <c r="AV211" s="1086"/>
      <c r="AW211" s="1086"/>
      <c r="AX211" s="1086"/>
      <c r="AY211" s="1086"/>
      <c r="AZ211" s="1086"/>
      <c r="BA211" s="1086"/>
      <c r="BB211" s="1086"/>
      <c r="BC211" s="1086"/>
      <c r="BD211" s="1086"/>
      <c r="BE211" s="1082"/>
    </row>
    <row r="212" spans="1:57" ht="15.75" customHeight="1">
      <c r="A212" s="1086"/>
      <c r="B212" s="1086"/>
      <c r="C212" s="1996">
        <v>6</v>
      </c>
      <c r="D212" s="1997"/>
      <c r="E212" s="1997"/>
      <c r="F212" s="1997"/>
      <c r="G212" s="1998" t="s">
        <v>663</v>
      </c>
      <c r="H212" s="1998"/>
      <c r="I212" s="1998"/>
      <c r="J212" s="1998"/>
      <c r="K212" s="1998"/>
      <c r="L212" s="1998"/>
      <c r="M212" s="1998"/>
      <c r="N212" s="1998"/>
      <c r="O212" s="1998"/>
      <c r="P212" s="1999"/>
      <c r="Q212" s="1999"/>
      <c r="R212" s="1999"/>
      <c r="S212" s="1999"/>
      <c r="T212" s="1999"/>
      <c r="U212" s="2001"/>
      <c r="V212" s="2001"/>
      <c r="W212" s="2001"/>
      <c r="X212" s="2001"/>
      <c r="Y212" s="2001"/>
      <c r="Z212" s="2001"/>
      <c r="AA212" s="2001"/>
      <c r="AB212" s="2001"/>
      <c r="AC212" s="2002" t="s">
        <v>663</v>
      </c>
      <c r="AD212" s="2002"/>
      <c r="AE212" s="2002"/>
      <c r="AF212" s="2002"/>
      <c r="AG212" s="1981"/>
      <c r="AH212" s="1982"/>
      <c r="AI212" s="1982"/>
      <c r="AJ212" s="1982"/>
      <c r="AK212" s="1983"/>
      <c r="AL212" s="1086"/>
      <c r="AM212" s="1086"/>
      <c r="AN212" s="1086"/>
      <c r="AO212" s="1086"/>
      <c r="AP212" s="1086"/>
      <c r="AQ212" s="1086"/>
      <c r="AR212" s="1086"/>
      <c r="AS212" s="1086"/>
      <c r="AT212" s="1086"/>
      <c r="AU212" s="1086"/>
      <c r="AV212" s="1086"/>
      <c r="AW212" s="1086"/>
      <c r="AX212" s="1086"/>
      <c r="AY212" s="1086"/>
      <c r="AZ212" s="1086"/>
      <c r="BA212" s="1086"/>
      <c r="BB212" s="1086"/>
      <c r="BC212" s="1086"/>
      <c r="BD212" s="1086"/>
      <c r="BE212" s="1082"/>
    </row>
    <row r="213" spans="1:57" ht="15.75" customHeight="1">
      <c r="A213" s="1086"/>
      <c r="B213" s="1086"/>
      <c r="C213" s="1996">
        <v>7</v>
      </c>
      <c r="D213" s="1997"/>
      <c r="E213" s="1997"/>
      <c r="F213" s="1997"/>
      <c r="G213" s="2327"/>
      <c r="H213" s="2328"/>
      <c r="I213" s="2328"/>
      <c r="J213" s="2328"/>
      <c r="K213" s="2328"/>
      <c r="L213" s="2328"/>
      <c r="M213" s="2328"/>
      <c r="N213" s="2328"/>
      <c r="O213" s="2329"/>
      <c r="P213" s="1999"/>
      <c r="Q213" s="1999"/>
      <c r="R213" s="1999"/>
      <c r="S213" s="1999"/>
      <c r="T213" s="1999"/>
      <c r="U213" s="2001"/>
      <c r="V213" s="2001"/>
      <c r="W213" s="2001"/>
      <c r="X213" s="2001"/>
      <c r="Y213" s="2001"/>
      <c r="Z213" s="2001"/>
      <c r="AA213" s="2001"/>
      <c r="AB213" s="2001"/>
      <c r="AC213" s="2002" t="s">
        <v>663</v>
      </c>
      <c r="AD213" s="2002"/>
      <c r="AE213" s="2002"/>
      <c r="AF213" s="2002"/>
      <c r="AG213" s="1981"/>
      <c r="AH213" s="1982"/>
      <c r="AI213" s="1982"/>
      <c r="AJ213" s="1982"/>
      <c r="AK213" s="1983"/>
      <c r="AL213" s="1086"/>
      <c r="AM213" s="1086"/>
      <c r="AN213" s="1086"/>
      <c r="AO213" s="1086"/>
      <c r="AP213" s="1086"/>
      <c r="AQ213" s="1086"/>
      <c r="AR213" s="1086"/>
      <c r="AS213" s="1086"/>
      <c r="AT213" s="1086"/>
      <c r="AU213" s="1086"/>
      <c r="AV213" s="1086"/>
      <c r="AW213" s="1086"/>
      <c r="AX213" s="1086"/>
      <c r="AY213" s="1086"/>
      <c r="AZ213" s="1086"/>
      <c r="BA213" s="1086"/>
      <c r="BB213" s="1086"/>
      <c r="BC213" s="1086"/>
      <c r="BD213" s="1086"/>
      <c r="BE213" s="1082"/>
    </row>
    <row r="214" spans="1:57" ht="15.75" customHeight="1">
      <c r="A214" s="1086"/>
      <c r="B214" s="1086"/>
      <c r="C214" s="2330" t="s">
        <v>2656</v>
      </c>
      <c r="D214" s="2331"/>
      <c r="E214" s="2331"/>
      <c r="F214" s="2331"/>
      <c r="G214" s="2331"/>
      <c r="H214" s="2331"/>
      <c r="I214" s="2331"/>
      <c r="J214" s="2331"/>
      <c r="K214" s="2331"/>
      <c r="L214" s="2331"/>
      <c r="M214" s="2331"/>
      <c r="N214" s="2331"/>
      <c r="O214" s="2331"/>
      <c r="P214" s="2332"/>
      <c r="Q214" s="2332"/>
      <c r="R214" s="2332"/>
      <c r="S214" s="2332"/>
      <c r="T214" s="2332"/>
      <c r="U214" s="2333">
        <v>0</v>
      </c>
      <c r="V214" s="2333"/>
      <c r="W214" s="2333"/>
      <c r="X214" s="2333"/>
      <c r="Y214" s="2333">
        <v>0</v>
      </c>
      <c r="Z214" s="2333"/>
      <c r="AA214" s="2333"/>
      <c r="AB214" s="2333"/>
      <c r="AC214" s="2334">
        <v>0</v>
      </c>
      <c r="AD214" s="2334"/>
      <c r="AE214" s="2334"/>
      <c r="AF214" s="2334"/>
      <c r="AG214" s="1978"/>
      <c r="AH214" s="1979"/>
      <c r="AI214" s="1979"/>
      <c r="AJ214" s="1979"/>
      <c r="AK214" s="1980"/>
      <c r="AL214" s="1086"/>
      <c r="AM214" s="1086"/>
      <c r="AN214" s="1086"/>
      <c r="AO214" s="1086"/>
      <c r="AP214" s="1086"/>
      <c r="AQ214" s="1086"/>
      <c r="AR214" s="1086"/>
      <c r="AS214" s="1086"/>
      <c r="AT214" s="1086"/>
      <c r="AU214" s="1086"/>
      <c r="AV214" s="1086"/>
      <c r="AW214" s="1086"/>
      <c r="AX214" s="1086"/>
      <c r="AY214" s="1086"/>
      <c r="AZ214" s="1086"/>
      <c r="BA214" s="1086"/>
      <c r="BB214" s="1086"/>
      <c r="BC214" s="1086"/>
      <c r="BD214" s="1086"/>
      <c r="BE214" s="1082"/>
    </row>
    <row r="215" spans="1:57" ht="15.75" customHeight="1">
      <c r="A215" s="1086"/>
      <c r="B215" s="1086"/>
      <c r="C215" s="1086" t="s">
        <v>2657</v>
      </c>
      <c r="D215" s="1086"/>
      <c r="E215" s="1086"/>
      <c r="F215" s="1086"/>
      <c r="G215" s="1086"/>
      <c r="H215" s="1086"/>
      <c r="I215" s="1086"/>
      <c r="J215" s="1086"/>
      <c r="K215" s="1086"/>
      <c r="L215" s="1086"/>
      <c r="M215" s="1086"/>
      <c r="N215" s="1086"/>
      <c r="O215" s="1086"/>
      <c r="P215" s="1086"/>
      <c r="Q215" s="1086"/>
      <c r="R215" s="1086"/>
      <c r="S215" s="1086"/>
      <c r="T215" s="1086"/>
      <c r="U215" s="1086"/>
      <c r="V215" s="1086"/>
      <c r="W215" s="1086"/>
      <c r="X215" s="1086"/>
      <c r="Y215" s="1086"/>
      <c r="Z215" s="1086"/>
      <c r="AA215" s="1086"/>
      <c r="AB215" s="1086"/>
      <c r="AC215" s="1086"/>
      <c r="AD215" s="1086"/>
      <c r="AE215" s="1086"/>
      <c r="AF215" s="1086"/>
      <c r="AG215" s="1086"/>
      <c r="AH215" s="1086"/>
      <c r="AI215" s="1086"/>
      <c r="AJ215" s="1086"/>
      <c r="AK215" s="1086"/>
      <c r="AL215" s="1086"/>
      <c r="AM215" s="1086"/>
      <c r="AN215" s="1086"/>
      <c r="AO215" s="1086"/>
      <c r="AP215" s="1086"/>
      <c r="AQ215" s="1086"/>
      <c r="AR215" s="1086"/>
      <c r="AS215" s="1086"/>
      <c r="AT215" s="1086"/>
      <c r="AU215" s="1086"/>
      <c r="AV215" s="1086"/>
      <c r="AW215" s="1086"/>
      <c r="AX215" s="1086"/>
      <c r="AY215" s="1086"/>
      <c r="AZ215" s="1086"/>
      <c r="BA215" s="1086"/>
      <c r="BB215" s="1086"/>
      <c r="BC215" s="1086"/>
      <c r="BD215" s="1086"/>
      <c r="BE215" s="1082"/>
    </row>
    <row r="216" spans="1:57" ht="15.75" customHeight="1">
      <c r="A216" s="1086"/>
      <c r="B216" s="1086"/>
      <c r="C216" s="1086"/>
      <c r="D216" s="1086"/>
      <c r="E216" s="1086"/>
      <c r="F216" s="1086"/>
      <c r="G216" s="1086"/>
      <c r="H216" s="1086"/>
      <c r="I216" s="1086"/>
      <c r="J216" s="1086"/>
      <c r="K216" s="1086"/>
      <c r="L216" s="1086"/>
      <c r="M216" s="1086"/>
      <c r="N216" s="1086"/>
      <c r="O216" s="1086"/>
      <c r="P216" s="1086"/>
      <c r="Q216" s="1086"/>
      <c r="R216" s="1086"/>
      <c r="S216" s="1086"/>
      <c r="T216" s="1086"/>
      <c r="U216" s="1086"/>
      <c r="V216" s="1086"/>
      <c r="W216" s="1086"/>
      <c r="X216" s="1086"/>
      <c r="Y216" s="1086"/>
      <c r="Z216" s="1086"/>
      <c r="AA216" s="1086"/>
      <c r="AB216" s="1086"/>
      <c r="AC216" s="1086"/>
      <c r="AD216" s="1086"/>
      <c r="AE216" s="1086"/>
      <c r="AF216" s="1086"/>
      <c r="AG216" s="1086"/>
      <c r="AH216" s="1086"/>
      <c r="AI216" s="1086"/>
      <c r="AJ216" s="1086"/>
      <c r="AK216" s="1086"/>
      <c r="AL216" s="1086"/>
      <c r="AM216" s="1086"/>
      <c r="AN216" s="1086"/>
      <c r="AO216" s="1086"/>
      <c r="AP216" s="1086"/>
      <c r="AQ216" s="1086"/>
      <c r="AR216" s="1086"/>
      <c r="AS216" s="1086"/>
      <c r="AT216" s="1086"/>
      <c r="AU216" s="1086"/>
      <c r="AV216" s="1086"/>
      <c r="AW216" s="1086"/>
      <c r="AX216" s="1086"/>
      <c r="AY216" s="1086"/>
      <c r="AZ216" s="1086"/>
      <c r="BA216" s="1086"/>
      <c r="BB216" s="1086"/>
      <c r="BC216" s="1086"/>
      <c r="BD216" s="1086"/>
      <c r="BE216" s="1082"/>
    </row>
    <row r="217" spans="1:57" ht="15.75" customHeight="1">
      <c r="A217" s="1086"/>
      <c r="B217" s="1086"/>
      <c r="C217" s="1086"/>
      <c r="D217" s="1086"/>
      <c r="E217" s="1086"/>
      <c r="F217" s="1086"/>
      <c r="G217" s="1086"/>
      <c r="H217" s="1086"/>
      <c r="I217" s="1086"/>
      <c r="J217" s="1086"/>
      <c r="K217" s="1086"/>
      <c r="L217" s="1086"/>
      <c r="M217" s="1086"/>
      <c r="N217" s="1086"/>
      <c r="O217" s="1086"/>
      <c r="P217" s="1086"/>
      <c r="Q217" s="1086"/>
      <c r="R217" s="1086"/>
      <c r="S217" s="1086"/>
      <c r="T217" s="1086"/>
      <c r="U217" s="1086"/>
      <c r="V217" s="1086"/>
      <c r="W217" s="1086"/>
      <c r="X217" s="1086"/>
      <c r="Y217" s="1086"/>
      <c r="Z217" s="1086"/>
      <c r="AA217" s="1086"/>
      <c r="AB217" s="1086"/>
      <c r="AC217" s="1086"/>
      <c r="AD217" s="1086"/>
      <c r="AE217" s="1086"/>
      <c r="AF217" s="1086"/>
      <c r="AG217" s="1086"/>
      <c r="AH217" s="1086"/>
      <c r="AI217" s="1086"/>
      <c r="AJ217" s="1086"/>
      <c r="AK217" s="1086"/>
      <c r="AL217" s="1086"/>
      <c r="AM217" s="1086"/>
      <c r="AN217" s="1086"/>
      <c r="AO217" s="1086"/>
      <c r="AP217" s="1086"/>
      <c r="AQ217" s="1086"/>
      <c r="AR217" s="1086"/>
      <c r="AS217" s="1086"/>
      <c r="AT217" s="1086"/>
      <c r="AU217" s="1086"/>
      <c r="AV217" s="1086"/>
      <c r="AW217" s="1086"/>
      <c r="AX217" s="1086"/>
      <c r="AY217" s="1086"/>
      <c r="AZ217" s="1086"/>
      <c r="BA217" s="1086"/>
      <c r="BB217" s="1086"/>
      <c r="BC217" s="1086"/>
      <c r="BD217" s="1086"/>
      <c r="BE217" s="1082"/>
    </row>
    <row r="218" spans="1:57" ht="15.75" customHeight="1" thickBot="1">
      <c r="A218" s="1086"/>
      <c r="B218" s="1086"/>
      <c r="C218" s="1086"/>
      <c r="D218" s="1086"/>
      <c r="E218" s="1086"/>
      <c r="F218" s="1086"/>
      <c r="G218" s="1086"/>
      <c r="H218" s="1086"/>
      <c r="I218" s="1086"/>
      <c r="J218" s="1086"/>
      <c r="K218" s="1086"/>
      <c r="L218" s="1086"/>
      <c r="M218" s="1086"/>
      <c r="N218" s="1086"/>
      <c r="O218" s="1086"/>
      <c r="P218" s="1086"/>
      <c r="Q218" s="1086"/>
      <c r="R218" s="1086"/>
      <c r="S218" s="1086"/>
      <c r="T218" s="1086"/>
      <c r="U218" s="1086"/>
      <c r="V218" s="1086"/>
      <c r="W218" s="1086"/>
      <c r="X218" s="1086"/>
      <c r="Y218" s="1086"/>
      <c r="Z218" s="1086"/>
      <c r="AA218" s="1086"/>
      <c r="AB218" s="1086"/>
      <c r="AC218" s="1086"/>
      <c r="AD218" s="1086"/>
      <c r="AE218" s="1086"/>
      <c r="AF218" s="1086"/>
      <c r="AG218" s="1086"/>
      <c r="AH218" s="1086"/>
      <c r="AI218" s="1086"/>
      <c r="AJ218" s="1086"/>
      <c r="AK218" s="1086"/>
      <c r="AL218" s="1086"/>
      <c r="AM218" s="1086"/>
      <c r="AN218" s="1086"/>
      <c r="AO218" s="1086"/>
      <c r="AP218" s="1086"/>
      <c r="AQ218" s="1086"/>
      <c r="AR218" s="1086"/>
      <c r="AS218" s="1086"/>
      <c r="AT218" s="1086"/>
      <c r="AU218" s="1086"/>
      <c r="AV218" s="1086"/>
      <c r="AW218" s="1086"/>
      <c r="AX218" s="1086"/>
      <c r="AY218" s="1086"/>
      <c r="AZ218" s="1086"/>
      <c r="BA218" s="1086"/>
      <c r="BB218" s="1086"/>
      <c r="BC218" s="1086"/>
      <c r="BD218" s="1086"/>
      <c r="BE218" s="1082"/>
    </row>
    <row r="219" spans="1:57" ht="15.75" customHeight="1">
      <c r="A219" s="1086"/>
      <c r="B219" s="2006" t="s">
        <v>2658</v>
      </c>
      <c r="C219" s="2007"/>
      <c r="D219" s="2007"/>
      <c r="E219" s="2007"/>
      <c r="F219" s="2007"/>
      <c r="G219" s="2007"/>
      <c r="H219" s="2007"/>
      <c r="I219" s="2007"/>
      <c r="J219" s="2007"/>
      <c r="K219" s="2007"/>
      <c r="L219" s="2007"/>
      <c r="M219" s="2007"/>
      <c r="N219" s="2007"/>
      <c r="O219" s="2007"/>
      <c r="P219" s="2007"/>
      <c r="Q219" s="2007"/>
      <c r="R219" s="2007"/>
      <c r="S219" s="2007"/>
      <c r="T219" s="2007"/>
      <c r="U219" s="2007"/>
      <c r="V219" s="2007"/>
      <c r="W219" s="2007"/>
      <c r="X219" s="2007"/>
      <c r="Y219" s="2007"/>
      <c r="Z219" s="2007"/>
      <c r="AA219" s="2007"/>
      <c r="AB219" s="2007"/>
      <c r="AC219" s="2007"/>
      <c r="AD219" s="2007"/>
      <c r="AE219" s="2007"/>
      <c r="AF219" s="2007"/>
      <c r="AG219" s="2007"/>
      <c r="AH219" s="2007"/>
      <c r="AI219" s="2007"/>
      <c r="AJ219" s="2007"/>
      <c r="AK219" s="2007"/>
      <c r="AL219" s="2007"/>
      <c r="AM219" s="2007"/>
      <c r="AN219" s="2007"/>
      <c r="AO219" s="2007"/>
      <c r="AP219" s="2007"/>
      <c r="AQ219" s="2007"/>
      <c r="AR219" s="2007"/>
      <c r="AS219" s="2007"/>
      <c r="AT219" s="2007"/>
      <c r="AU219" s="2007"/>
      <c r="AV219" s="2007"/>
      <c r="AW219" s="2007"/>
      <c r="AX219" s="2007"/>
      <c r="AY219" s="2007"/>
      <c r="AZ219" s="2007"/>
      <c r="BA219" s="2007"/>
      <c r="BB219" s="2007"/>
      <c r="BC219" s="2007"/>
      <c r="BD219" s="2008"/>
      <c r="BE219" s="1082"/>
    </row>
    <row r="220" spans="1:57" ht="15.75" customHeight="1">
      <c r="A220" s="1086"/>
      <c r="B220" s="2009"/>
      <c r="C220" s="2010"/>
      <c r="D220" s="2010"/>
      <c r="E220" s="2010"/>
      <c r="F220" s="2010"/>
      <c r="G220" s="2010"/>
      <c r="H220" s="2010"/>
      <c r="I220" s="2010"/>
      <c r="J220" s="2010"/>
      <c r="K220" s="2010"/>
      <c r="L220" s="2010"/>
      <c r="M220" s="2010"/>
      <c r="N220" s="2010"/>
      <c r="O220" s="2010"/>
      <c r="P220" s="2010"/>
      <c r="Q220" s="2010"/>
      <c r="R220" s="2010"/>
      <c r="S220" s="2010"/>
      <c r="T220" s="2010"/>
      <c r="U220" s="2010"/>
      <c r="V220" s="2010"/>
      <c r="W220" s="2010"/>
      <c r="X220" s="2010"/>
      <c r="Y220" s="2010"/>
      <c r="Z220" s="2010"/>
      <c r="AA220" s="2010"/>
      <c r="AB220" s="2010"/>
      <c r="AC220" s="2010"/>
      <c r="AD220" s="2010"/>
      <c r="AE220" s="2010"/>
      <c r="AF220" s="2010"/>
      <c r="AG220" s="2010"/>
      <c r="AH220" s="2010"/>
      <c r="AI220" s="2010"/>
      <c r="AJ220" s="2010"/>
      <c r="AK220" s="2010"/>
      <c r="AL220" s="2010"/>
      <c r="AM220" s="2010"/>
      <c r="AN220" s="2010"/>
      <c r="AO220" s="2010"/>
      <c r="AP220" s="2010"/>
      <c r="AQ220" s="2010"/>
      <c r="AR220" s="2010"/>
      <c r="AS220" s="2010"/>
      <c r="AT220" s="2010"/>
      <c r="AU220" s="2010"/>
      <c r="AV220" s="2010"/>
      <c r="AW220" s="2010"/>
      <c r="AX220" s="2010"/>
      <c r="AY220" s="2010"/>
      <c r="AZ220" s="2010"/>
      <c r="BA220" s="2010"/>
      <c r="BB220" s="2010"/>
      <c r="BC220" s="2010"/>
      <c r="BD220" s="2011"/>
      <c r="BE220" s="1082"/>
    </row>
    <row r="221" spans="1:57" ht="15.75" customHeight="1">
      <c r="A221" s="1086"/>
      <c r="B221" s="2012" t="s">
        <v>2659</v>
      </c>
      <c r="C221" s="2013"/>
      <c r="D221" s="2013"/>
      <c r="E221" s="2013"/>
      <c r="F221" s="2013"/>
      <c r="G221" s="2013"/>
      <c r="H221" s="2013"/>
      <c r="I221" s="2013"/>
      <c r="J221" s="2013"/>
      <c r="K221" s="2013"/>
      <c r="L221" s="2013"/>
      <c r="M221" s="2013"/>
      <c r="N221" s="2013"/>
      <c r="O221" s="2013"/>
      <c r="P221" s="2013"/>
      <c r="Q221" s="2013"/>
      <c r="R221" s="2013"/>
      <c r="S221" s="2013"/>
      <c r="T221" s="2013"/>
      <c r="U221" s="2013"/>
      <c r="V221" s="2013"/>
      <c r="W221" s="2013"/>
      <c r="X221" s="2013"/>
      <c r="Y221" s="2013"/>
      <c r="Z221" s="2013"/>
      <c r="AA221" s="2013"/>
      <c r="AB221" s="2013"/>
      <c r="AC221" s="2013"/>
      <c r="AD221" s="2013"/>
      <c r="AE221" s="2013"/>
      <c r="AF221" s="2013"/>
      <c r="AG221" s="2013"/>
      <c r="AH221" s="2013"/>
      <c r="AI221" s="2013"/>
      <c r="AJ221" s="2013"/>
      <c r="AK221" s="2013"/>
      <c r="AL221" s="2013"/>
      <c r="AM221" s="2013"/>
      <c r="AN221" s="2013"/>
      <c r="AO221" s="2013"/>
      <c r="AP221" s="2013"/>
      <c r="AQ221" s="2013"/>
      <c r="AR221" s="2013"/>
      <c r="AS221" s="2013"/>
      <c r="AT221" s="2013"/>
      <c r="AU221" s="2013"/>
      <c r="AV221" s="2013"/>
      <c r="AW221" s="2013"/>
      <c r="AX221" s="2013"/>
      <c r="AY221" s="2013"/>
      <c r="AZ221" s="2013"/>
      <c r="BA221" s="2013"/>
      <c r="BB221" s="2013"/>
      <c r="BC221" s="2013"/>
      <c r="BD221" s="2014"/>
      <c r="BE221" s="1082"/>
    </row>
    <row r="222" spans="1:57" ht="15.75" customHeight="1">
      <c r="A222" s="1086"/>
      <c r="B222" s="2012" t="s">
        <v>2660</v>
      </c>
      <c r="C222" s="2013"/>
      <c r="D222" s="2013"/>
      <c r="E222" s="2013"/>
      <c r="F222" s="2013"/>
      <c r="G222" s="2013"/>
      <c r="H222" s="2013"/>
      <c r="I222" s="2013"/>
      <c r="J222" s="2013"/>
      <c r="K222" s="2013"/>
      <c r="L222" s="2013"/>
      <c r="M222" s="2013"/>
      <c r="N222" s="2013"/>
      <c r="O222" s="2013"/>
      <c r="P222" s="2013"/>
      <c r="Q222" s="2013"/>
      <c r="R222" s="2013"/>
      <c r="S222" s="2013"/>
      <c r="T222" s="2013"/>
      <c r="U222" s="2013"/>
      <c r="V222" s="2013"/>
      <c r="W222" s="2013"/>
      <c r="X222" s="2013"/>
      <c r="Y222" s="2013"/>
      <c r="Z222" s="2013"/>
      <c r="AA222" s="2013"/>
      <c r="AB222" s="2013"/>
      <c r="AC222" s="2013"/>
      <c r="AD222" s="2013"/>
      <c r="AE222" s="2013"/>
      <c r="AF222" s="2013"/>
      <c r="AG222" s="2013"/>
      <c r="AH222" s="2013"/>
      <c r="AI222" s="2013"/>
      <c r="AJ222" s="2013"/>
      <c r="AK222" s="2013"/>
      <c r="AL222" s="2013"/>
      <c r="AM222" s="2013"/>
      <c r="AN222" s="2013"/>
      <c r="AO222" s="2013"/>
      <c r="AP222" s="2013"/>
      <c r="AQ222" s="2013"/>
      <c r="AR222" s="2013"/>
      <c r="AS222" s="2013"/>
      <c r="AT222" s="2013"/>
      <c r="AU222" s="2013"/>
      <c r="AV222" s="2013"/>
      <c r="AW222" s="2013"/>
      <c r="AX222" s="2013"/>
      <c r="AY222" s="2013"/>
      <c r="AZ222" s="2013"/>
      <c r="BA222" s="2013"/>
      <c r="BB222" s="2013"/>
      <c r="BC222" s="2013"/>
      <c r="BD222" s="2014"/>
      <c r="BE222" s="1082"/>
    </row>
    <row r="223" spans="1:57" ht="15.75" customHeight="1">
      <c r="A223" s="1086"/>
      <c r="B223" s="1092"/>
      <c r="C223" s="1086"/>
      <c r="D223" s="1086"/>
      <c r="E223" s="1086"/>
      <c r="F223" s="1086"/>
      <c r="G223" s="1086"/>
      <c r="H223" s="1086"/>
      <c r="I223" s="1086"/>
      <c r="J223" s="1086"/>
      <c r="K223" s="1086"/>
      <c r="L223" s="1086"/>
      <c r="M223" s="1086"/>
      <c r="N223" s="1086"/>
      <c r="O223" s="1086"/>
      <c r="P223" s="1086"/>
      <c r="Q223" s="1086"/>
      <c r="R223" s="1086"/>
      <c r="S223" s="1086"/>
      <c r="T223" s="1086"/>
      <c r="U223" s="1086"/>
      <c r="V223" s="1086"/>
      <c r="W223" s="1086"/>
      <c r="X223" s="1086"/>
      <c r="Y223" s="1086"/>
      <c r="Z223" s="1086"/>
      <c r="AA223" s="1086"/>
      <c r="AB223" s="1086"/>
      <c r="AC223" s="1086"/>
      <c r="AD223" s="1086"/>
      <c r="AE223" s="1086"/>
      <c r="AF223" s="1086"/>
      <c r="AG223" s="1086"/>
      <c r="AH223" s="1086"/>
      <c r="AI223" s="1086"/>
      <c r="AJ223" s="1086"/>
      <c r="AK223" s="1086"/>
      <c r="AL223" s="1086"/>
      <c r="AM223" s="1086"/>
      <c r="AN223" s="1086"/>
      <c r="AO223" s="1086"/>
      <c r="AP223" s="1086"/>
      <c r="AQ223" s="1086"/>
      <c r="AR223" s="1086"/>
      <c r="AS223" s="1086"/>
      <c r="AT223" s="1086"/>
      <c r="AU223" s="1086"/>
      <c r="AV223" s="1086"/>
      <c r="AW223" s="1086"/>
      <c r="AX223" s="1086"/>
      <c r="AY223" s="1086"/>
      <c r="AZ223" s="1086"/>
      <c r="BA223" s="1086"/>
      <c r="BB223" s="1086"/>
      <c r="BC223" s="1086"/>
      <c r="BD223" s="1082"/>
      <c r="BE223" s="1082"/>
    </row>
    <row r="224" spans="1:57" ht="15.75" customHeight="1">
      <c r="A224" s="1086"/>
      <c r="B224" s="2015" t="s">
        <v>2661</v>
      </c>
      <c r="C224" s="2016"/>
      <c r="D224" s="2016"/>
      <c r="E224" s="2016"/>
      <c r="F224" s="2016"/>
      <c r="G224" s="2016"/>
      <c r="H224" s="2016"/>
      <c r="I224" s="2016"/>
      <c r="J224" s="2016"/>
      <c r="K224" s="2016"/>
      <c r="L224" s="2016"/>
      <c r="M224" s="2016"/>
      <c r="N224" s="2016"/>
      <c r="O224" s="2016"/>
      <c r="P224" s="2016"/>
      <c r="Q224" s="2016"/>
      <c r="R224" s="2016"/>
      <c r="S224" s="2016"/>
      <c r="T224" s="2016"/>
      <c r="U224" s="2016"/>
      <c r="V224" s="2016"/>
      <c r="W224" s="2016"/>
      <c r="X224" s="2016"/>
      <c r="Y224" s="2016"/>
      <c r="Z224" s="2016"/>
      <c r="AA224" s="2016"/>
      <c r="AB224" s="2016"/>
      <c r="AC224" s="2016"/>
      <c r="AD224" s="2016"/>
      <c r="AE224" s="2016"/>
      <c r="AF224" s="2016"/>
      <c r="AG224" s="2016"/>
      <c r="AH224" s="2016"/>
      <c r="AI224" s="2016"/>
      <c r="AJ224" s="2016"/>
      <c r="AK224" s="2016"/>
      <c r="AL224" s="2016"/>
      <c r="AM224" s="2016"/>
      <c r="AN224" s="2016"/>
      <c r="AO224" s="2016"/>
      <c r="AP224" s="2016"/>
      <c r="AQ224" s="2016"/>
      <c r="AR224" s="2016"/>
      <c r="AS224" s="2016"/>
      <c r="AT224" s="2016"/>
      <c r="AU224" s="2016"/>
      <c r="AV224" s="2016"/>
      <c r="AW224" s="2016"/>
      <c r="AX224" s="2016"/>
      <c r="AY224" s="2016"/>
      <c r="AZ224" s="2016"/>
      <c r="BA224" s="2016"/>
      <c r="BB224" s="2016"/>
      <c r="BC224" s="2016"/>
      <c r="BD224" s="2017"/>
      <c r="BE224" s="1082"/>
    </row>
    <row r="225" spans="1:57" ht="15.75" customHeight="1">
      <c r="A225" s="1086"/>
      <c r="B225" s="1095"/>
      <c r="C225" s="1086"/>
      <c r="D225" s="1086"/>
      <c r="E225" s="1086"/>
      <c r="F225" s="1086"/>
      <c r="G225" s="1086"/>
      <c r="H225" s="1086"/>
      <c r="I225" s="1086"/>
      <c r="J225" s="1086"/>
      <c r="K225" s="1086"/>
      <c r="L225" s="1086"/>
      <c r="M225" s="1086"/>
      <c r="N225" s="1086"/>
      <c r="O225" s="1086"/>
      <c r="P225" s="1086"/>
      <c r="Q225" s="1086"/>
      <c r="R225" s="1086"/>
      <c r="S225" s="1086"/>
      <c r="T225" s="1086"/>
      <c r="U225" s="1086"/>
      <c r="V225" s="1086"/>
      <c r="W225" s="1086"/>
      <c r="X225" s="1086"/>
      <c r="Y225" s="1086"/>
      <c r="Z225" s="1086"/>
      <c r="AA225" s="1086"/>
      <c r="AB225" s="1086"/>
      <c r="AC225" s="1086"/>
      <c r="AD225" s="1086"/>
      <c r="AE225" s="1086"/>
      <c r="AF225" s="1086"/>
      <c r="AG225" s="1086"/>
      <c r="AH225" s="1086"/>
      <c r="AI225" s="1086"/>
      <c r="AJ225" s="1086"/>
      <c r="AK225" s="1086"/>
      <c r="AL225" s="1086"/>
      <c r="AM225" s="1086"/>
      <c r="AN225" s="1086"/>
      <c r="AO225" s="1086"/>
      <c r="AP225" s="1086"/>
      <c r="AQ225" s="1086"/>
      <c r="AR225" s="1086"/>
      <c r="AS225" s="1086"/>
      <c r="AT225" s="1086"/>
      <c r="AU225" s="1086"/>
      <c r="AV225" s="1086"/>
      <c r="AW225" s="1086"/>
      <c r="AX225" s="1086"/>
      <c r="AY225" s="1086"/>
      <c r="AZ225" s="1086"/>
      <c r="BA225" s="1086"/>
      <c r="BB225" s="1086"/>
      <c r="BC225" s="1086"/>
      <c r="BD225" s="1082"/>
      <c r="BE225" s="1082"/>
    </row>
    <row r="226" spans="1:57" ht="15.75" customHeight="1">
      <c r="A226" s="1086"/>
      <c r="B226" s="1093"/>
      <c r="C226" s="1086"/>
      <c r="D226" s="1086"/>
      <c r="E226" s="1086"/>
      <c r="F226" s="1086"/>
      <c r="G226" s="1086"/>
      <c r="H226" s="1094" t="s">
        <v>2662</v>
      </c>
      <c r="I226" s="1086"/>
      <c r="J226" s="1086"/>
      <c r="K226" s="1086"/>
      <c r="L226" s="1086"/>
      <c r="M226" s="1086"/>
      <c r="N226" s="1086"/>
      <c r="O226" s="1086"/>
      <c r="P226" s="1086"/>
      <c r="Q226" s="1086"/>
      <c r="R226" s="1086"/>
      <c r="S226" s="1086"/>
      <c r="T226" s="1086"/>
      <c r="U226" s="1086"/>
      <c r="V226" s="1086"/>
      <c r="W226" s="1086"/>
      <c r="X226" s="1086"/>
      <c r="Y226" s="1086"/>
      <c r="Z226" s="1086"/>
      <c r="AA226" s="1086"/>
      <c r="AB226" s="1086"/>
      <c r="AC226" s="1086"/>
      <c r="AD226" s="1086"/>
      <c r="AE226" s="1086"/>
      <c r="AF226" s="1086"/>
      <c r="AG226" s="1086"/>
      <c r="AH226" s="1086"/>
      <c r="AI226" s="1086"/>
      <c r="AJ226" s="1086"/>
      <c r="AK226" s="1086"/>
      <c r="AL226" s="1086"/>
      <c r="AM226" s="1086"/>
      <c r="AN226" s="1086"/>
      <c r="AO226" s="1086"/>
      <c r="AP226" s="1086"/>
      <c r="AQ226" s="1086"/>
      <c r="AR226" s="1086"/>
      <c r="AS226" s="1086"/>
      <c r="AT226" s="1086"/>
      <c r="AU226" s="1086"/>
      <c r="AV226" s="1086"/>
      <c r="AW226" s="1086"/>
      <c r="AX226" s="1086"/>
      <c r="AY226" s="1086"/>
      <c r="AZ226" s="1086"/>
      <c r="BA226" s="1086"/>
      <c r="BB226" s="1086"/>
      <c r="BC226" s="1086"/>
      <c r="BD226" s="1082"/>
      <c r="BE226" s="1082"/>
    </row>
    <row r="227" spans="1:57" ht="15.75" customHeight="1">
      <c r="A227" s="1086"/>
      <c r="B227" s="1093"/>
      <c r="C227" s="1086"/>
      <c r="D227" s="1086"/>
      <c r="E227" s="1086"/>
      <c r="F227" s="1086"/>
      <c r="G227" s="1086"/>
      <c r="H227" s="1086"/>
      <c r="I227" s="1086"/>
      <c r="J227" s="1086"/>
      <c r="K227" s="1086"/>
      <c r="L227" s="1086"/>
      <c r="M227" s="1086"/>
      <c r="N227" s="1086"/>
      <c r="O227" s="1086"/>
      <c r="P227" s="1086"/>
      <c r="Q227" s="1086"/>
      <c r="R227" s="1086"/>
      <c r="S227" s="1086"/>
      <c r="T227" s="1086"/>
      <c r="U227" s="1086"/>
      <c r="V227" s="1086"/>
      <c r="W227" s="1086"/>
      <c r="X227" s="1086"/>
      <c r="Y227" s="1086"/>
      <c r="Z227" s="1086"/>
      <c r="AA227" s="1086"/>
      <c r="AB227" s="1086"/>
      <c r="AC227" s="1086"/>
      <c r="AD227" s="1086"/>
      <c r="AE227" s="1086"/>
      <c r="AF227" s="1086"/>
      <c r="AG227" s="1086"/>
      <c r="AH227" s="1086"/>
      <c r="AI227" s="1086"/>
      <c r="AJ227" s="1086"/>
      <c r="AK227" s="1086"/>
      <c r="AL227" s="1086"/>
      <c r="AM227" s="1086"/>
      <c r="AN227" s="1086"/>
      <c r="AO227" s="1086"/>
      <c r="AP227" s="1086"/>
      <c r="AQ227" s="1086"/>
      <c r="AR227" s="1086"/>
      <c r="AS227" s="1086"/>
      <c r="AT227" s="1086"/>
      <c r="AU227" s="1086"/>
      <c r="AV227" s="1086"/>
      <c r="AW227" s="1086"/>
      <c r="AX227" s="1086"/>
      <c r="AY227" s="1086"/>
      <c r="AZ227" s="1086"/>
      <c r="BA227" s="1086"/>
      <c r="BB227" s="1086"/>
      <c r="BC227" s="1086"/>
      <c r="BD227" s="1082"/>
      <c r="BE227" s="1082"/>
    </row>
    <row r="228" spans="1:57" ht="15.75" customHeight="1">
      <c r="A228" s="1086"/>
      <c r="B228" s="1093"/>
      <c r="C228" s="1086"/>
      <c r="D228" s="1086"/>
      <c r="E228" s="1086"/>
      <c r="F228" s="1086"/>
      <c r="G228" s="1086"/>
      <c r="H228" s="2029" t="s">
        <v>2663</v>
      </c>
      <c r="I228" s="2029"/>
      <c r="J228" s="2029"/>
      <c r="K228" s="2029"/>
      <c r="L228" s="2029"/>
      <c r="M228" s="2029"/>
      <c r="N228" s="2029"/>
      <c r="O228" s="2029"/>
      <c r="P228" s="2029"/>
      <c r="Q228" s="2029"/>
      <c r="R228" s="2029"/>
      <c r="S228" s="2029"/>
      <c r="T228" s="2029"/>
      <c r="U228" s="2029"/>
      <c r="V228" s="2029"/>
      <c r="W228" s="2029"/>
      <c r="X228" s="2029"/>
      <c r="Y228" s="2029"/>
      <c r="Z228" s="2029"/>
      <c r="AA228" s="2029"/>
      <c r="AB228" s="2029"/>
      <c r="AC228" s="2029"/>
      <c r="AD228" s="2029"/>
      <c r="AE228" s="2029"/>
      <c r="AF228" s="2029"/>
      <c r="AG228" s="2029"/>
      <c r="AH228" s="2029"/>
      <c r="AI228" s="2029"/>
      <c r="AJ228" s="2029"/>
      <c r="AK228" s="2029"/>
      <c r="AL228" s="2029"/>
      <c r="AM228" s="2029"/>
      <c r="AN228" s="2029"/>
      <c r="AO228" s="2029"/>
      <c r="AP228" s="2029"/>
      <c r="AQ228" s="2029"/>
      <c r="AR228" s="2029"/>
      <c r="AS228" s="2029"/>
      <c r="AT228" s="2029"/>
      <c r="AU228" s="2029"/>
      <c r="AV228" s="2029"/>
      <c r="AW228" s="2029"/>
      <c r="AX228" s="2029"/>
      <c r="AY228" s="2029"/>
      <c r="AZ228" s="1086"/>
      <c r="BA228" s="1086"/>
      <c r="BB228" s="1086"/>
      <c r="BC228" s="1086"/>
      <c r="BD228" s="1082"/>
      <c r="BE228" s="1082"/>
    </row>
    <row r="229" spans="1:57" ht="15.75" customHeight="1">
      <c r="A229" s="1086"/>
      <c r="B229" s="1093"/>
      <c r="C229" s="1086"/>
      <c r="D229" s="1086"/>
      <c r="E229" s="1086"/>
      <c r="F229" s="1086"/>
      <c r="G229" s="1086"/>
      <c r="H229" s="1086"/>
      <c r="I229" s="1086"/>
      <c r="J229" s="1086"/>
      <c r="K229" s="1086"/>
      <c r="L229" s="1086"/>
      <c r="M229" s="1086"/>
      <c r="N229" s="1086"/>
      <c r="O229" s="1086"/>
      <c r="P229" s="1086"/>
      <c r="Q229" s="1086"/>
      <c r="R229" s="1086"/>
      <c r="S229" s="1086"/>
      <c r="T229" s="1086"/>
      <c r="U229" s="1086"/>
      <c r="V229" s="1086"/>
      <c r="W229" s="1086"/>
      <c r="X229" s="1086"/>
      <c r="Y229" s="1086"/>
      <c r="Z229" s="1086"/>
      <c r="AA229" s="1086"/>
      <c r="AB229" s="1086"/>
      <c r="AC229" s="1086"/>
      <c r="AD229" s="1086"/>
      <c r="AE229" s="1086"/>
      <c r="AF229" s="1086"/>
      <c r="AG229" s="1086"/>
      <c r="AH229" s="1086"/>
      <c r="AI229" s="1086"/>
      <c r="AJ229" s="1086"/>
      <c r="AK229" s="1086"/>
      <c r="AL229" s="1086"/>
      <c r="AM229" s="1086"/>
      <c r="AN229" s="1086"/>
      <c r="AO229" s="1086"/>
      <c r="AP229" s="1086"/>
      <c r="AQ229" s="1086"/>
      <c r="AR229" s="1086"/>
      <c r="AS229" s="1086"/>
      <c r="AT229" s="1086"/>
      <c r="AU229" s="1086"/>
      <c r="AV229" s="1086"/>
      <c r="AW229" s="1086"/>
      <c r="AX229" s="1086"/>
      <c r="AY229" s="1086"/>
      <c r="AZ229" s="1086"/>
      <c r="BA229" s="1086"/>
      <c r="BB229" s="1086"/>
      <c r="BC229" s="1086"/>
      <c r="BD229" s="1082"/>
      <c r="BE229" s="1082"/>
    </row>
    <row r="230" spans="1:57" ht="15.75" customHeight="1">
      <c r="A230" s="1086"/>
      <c r="B230" s="1093"/>
      <c r="C230" s="1086"/>
      <c r="D230" s="1086"/>
      <c r="E230" s="1086"/>
      <c r="F230" s="1086"/>
      <c r="G230" s="1086"/>
      <c r="H230" s="2028" t="s">
        <v>2664</v>
      </c>
      <c r="I230" s="2028"/>
      <c r="J230" s="2028"/>
      <c r="K230" s="2028"/>
      <c r="L230" s="2028"/>
      <c r="M230" s="2028"/>
      <c r="N230" s="2028"/>
      <c r="O230" s="2028"/>
      <c r="P230" s="2028"/>
      <c r="Q230" s="2028"/>
      <c r="R230" s="2028"/>
      <c r="S230" s="2028"/>
      <c r="T230" s="2028"/>
      <c r="U230" s="2028"/>
      <c r="V230" s="2028"/>
      <c r="W230" s="2028"/>
      <c r="X230" s="2028"/>
      <c r="Y230" s="2028"/>
      <c r="Z230" s="2028"/>
      <c r="AA230" s="2028"/>
      <c r="AB230" s="2028"/>
      <c r="AC230" s="2028"/>
      <c r="AD230" s="2028"/>
      <c r="AE230" s="2028"/>
      <c r="AF230" s="2028"/>
      <c r="AG230" s="2028"/>
      <c r="AH230" s="2028"/>
      <c r="AI230" s="2028"/>
      <c r="AJ230" s="2028"/>
      <c r="AK230" s="2028"/>
      <c r="AL230" s="2028"/>
      <c r="AM230" s="2028"/>
      <c r="AN230" s="2028"/>
      <c r="AO230" s="2028"/>
      <c r="AP230" s="2028"/>
      <c r="AQ230" s="2028"/>
      <c r="AR230" s="2028"/>
      <c r="AS230" s="2028"/>
      <c r="AT230" s="2028"/>
      <c r="AU230" s="2028"/>
      <c r="AV230" s="2028"/>
      <c r="AW230" s="2028"/>
      <c r="AX230" s="2028"/>
      <c r="AY230" s="2028"/>
      <c r="AZ230" s="2028"/>
      <c r="BA230" s="1086"/>
      <c r="BB230" s="1086"/>
      <c r="BC230" s="1086"/>
      <c r="BD230" s="1082"/>
      <c r="BE230" s="1082"/>
    </row>
    <row r="231" spans="1:57" ht="15.75" customHeight="1">
      <c r="A231" s="1086"/>
      <c r="B231" s="1092"/>
      <c r="C231" s="1086"/>
      <c r="D231" s="1086"/>
      <c r="E231" s="1086"/>
      <c r="F231" s="1086"/>
      <c r="G231" s="1086"/>
      <c r="H231" s="2028"/>
      <c r="I231" s="2028"/>
      <c r="J231" s="2028"/>
      <c r="K231" s="2028"/>
      <c r="L231" s="2028"/>
      <c r="M231" s="2028"/>
      <c r="N231" s="2028"/>
      <c r="O231" s="2028"/>
      <c r="P231" s="2028"/>
      <c r="Q231" s="2028"/>
      <c r="R231" s="2028"/>
      <c r="S231" s="2028"/>
      <c r="T231" s="2028"/>
      <c r="U231" s="2028"/>
      <c r="V231" s="2028"/>
      <c r="W231" s="2028"/>
      <c r="X231" s="2028"/>
      <c r="Y231" s="2028"/>
      <c r="Z231" s="2028"/>
      <c r="AA231" s="2028"/>
      <c r="AB231" s="2028"/>
      <c r="AC231" s="2028"/>
      <c r="AD231" s="2028"/>
      <c r="AE231" s="2028"/>
      <c r="AF231" s="2028"/>
      <c r="AG231" s="2028"/>
      <c r="AH231" s="2028"/>
      <c r="AI231" s="2028"/>
      <c r="AJ231" s="2028"/>
      <c r="AK231" s="2028"/>
      <c r="AL231" s="2028"/>
      <c r="AM231" s="2028"/>
      <c r="AN231" s="2028"/>
      <c r="AO231" s="2028"/>
      <c r="AP231" s="2028"/>
      <c r="AQ231" s="2028"/>
      <c r="AR231" s="2028"/>
      <c r="AS231" s="2028"/>
      <c r="AT231" s="2028"/>
      <c r="AU231" s="2028"/>
      <c r="AV231" s="2028"/>
      <c r="AW231" s="2028"/>
      <c r="AX231" s="2028"/>
      <c r="AY231" s="2028"/>
      <c r="AZ231" s="2028"/>
      <c r="BA231" s="1086"/>
      <c r="BB231" s="1086"/>
      <c r="BC231" s="1086"/>
      <c r="BD231" s="1082"/>
      <c r="BE231" s="1082"/>
    </row>
    <row r="232" spans="1:57" ht="15.75" customHeight="1">
      <c r="A232" s="1086"/>
      <c r="B232" s="1092"/>
      <c r="C232" s="1086"/>
      <c r="D232" s="1086"/>
      <c r="E232" s="1086"/>
      <c r="F232" s="1086"/>
      <c r="G232" s="1086"/>
      <c r="H232" s="2028"/>
      <c r="I232" s="2028"/>
      <c r="J232" s="2028"/>
      <c r="K232" s="2028"/>
      <c r="L232" s="2028"/>
      <c r="M232" s="2028"/>
      <c r="N232" s="2028"/>
      <c r="O232" s="2028"/>
      <c r="P232" s="2028"/>
      <c r="Q232" s="2028"/>
      <c r="R232" s="2028"/>
      <c r="S232" s="2028"/>
      <c r="T232" s="2028"/>
      <c r="U232" s="2028"/>
      <c r="V232" s="2028"/>
      <c r="W232" s="2028"/>
      <c r="X232" s="2028"/>
      <c r="Y232" s="2028"/>
      <c r="Z232" s="2028"/>
      <c r="AA232" s="2028"/>
      <c r="AB232" s="2028"/>
      <c r="AC232" s="2028"/>
      <c r="AD232" s="2028"/>
      <c r="AE232" s="2028"/>
      <c r="AF232" s="2028"/>
      <c r="AG232" s="2028"/>
      <c r="AH232" s="2028"/>
      <c r="AI232" s="2028"/>
      <c r="AJ232" s="2028"/>
      <c r="AK232" s="2028"/>
      <c r="AL232" s="2028"/>
      <c r="AM232" s="2028"/>
      <c r="AN232" s="2028"/>
      <c r="AO232" s="2028"/>
      <c r="AP232" s="2028"/>
      <c r="AQ232" s="2028"/>
      <c r="AR232" s="2028"/>
      <c r="AS232" s="2028"/>
      <c r="AT232" s="2028"/>
      <c r="AU232" s="2028"/>
      <c r="AV232" s="2028"/>
      <c r="AW232" s="2028"/>
      <c r="AX232" s="2028"/>
      <c r="AY232" s="2028"/>
      <c r="AZ232" s="2028"/>
      <c r="BA232" s="1086"/>
      <c r="BB232" s="1086"/>
      <c r="BC232" s="1086"/>
      <c r="BD232" s="1082"/>
      <c r="BE232" s="1082"/>
    </row>
    <row r="233" spans="1:57" ht="15.75" customHeight="1">
      <c r="A233" s="1086"/>
      <c r="B233" s="1092"/>
      <c r="C233" s="1086"/>
      <c r="D233" s="1086"/>
      <c r="E233" s="1086"/>
      <c r="F233" s="1086"/>
      <c r="G233" s="1086"/>
      <c r="H233" s="2028"/>
      <c r="I233" s="2028"/>
      <c r="J233" s="2028"/>
      <c r="K233" s="2028"/>
      <c r="L233" s="2028"/>
      <c r="M233" s="2028"/>
      <c r="N233" s="2028"/>
      <c r="O233" s="2028"/>
      <c r="P233" s="2028"/>
      <c r="Q233" s="2028"/>
      <c r="R233" s="2028"/>
      <c r="S233" s="2028"/>
      <c r="T233" s="2028"/>
      <c r="U233" s="2028"/>
      <c r="V233" s="2028"/>
      <c r="W233" s="2028"/>
      <c r="X233" s="2028"/>
      <c r="Y233" s="2028"/>
      <c r="Z233" s="2028"/>
      <c r="AA233" s="2028"/>
      <c r="AB233" s="2028"/>
      <c r="AC233" s="2028"/>
      <c r="AD233" s="2028"/>
      <c r="AE233" s="2028"/>
      <c r="AF233" s="2028"/>
      <c r="AG233" s="2028"/>
      <c r="AH233" s="2028"/>
      <c r="AI233" s="2028"/>
      <c r="AJ233" s="2028"/>
      <c r="AK233" s="2028"/>
      <c r="AL233" s="2028"/>
      <c r="AM233" s="2028"/>
      <c r="AN233" s="2028"/>
      <c r="AO233" s="2028"/>
      <c r="AP233" s="2028"/>
      <c r="AQ233" s="2028"/>
      <c r="AR233" s="2028"/>
      <c r="AS233" s="2028"/>
      <c r="AT233" s="2028"/>
      <c r="AU233" s="2028"/>
      <c r="AV233" s="2028"/>
      <c r="AW233" s="2028"/>
      <c r="AX233" s="2028"/>
      <c r="AY233" s="2028"/>
      <c r="AZ233" s="2028"/>
      <c r="BA233" s="1086"/>
      <c r="BB233" s="1086"/>
      <c r="BC233" s="1086"/>
      <c r="BD233" s="1082"/>
      <c r="BE233" s="1082"/>
    </row>
    <row r="234" spans="1:57" ht="15.75" customHeight="1">
      <c r="A234" s="1086"/>
      <c r="B234" s="1092"/>
      <c r="C234" s="1086"/>
      <c r="D234" s="1086"/>
      <c r="E234" s="1086"/>
      <c r="F234" s="1086"/>
      <c r="G234" s="1086"/>
      <c r="H234" s="1086"/>
      <c r="I234" s="1086"/>
      <c r="J234" s="1086"/>
      <c r="K234" s="1086"/>
      <c r="L234" s="1086"/>
      <c r="M234" s="1086"/>
      <c r="N234" s="1086"/>
      <c r="O234" s="1086"/>
      <c r="P234" s="1086"/>
      <c r="Q234" s="1086"/>
      <c r="R234" s="1086"/>
      <c r="S234" s="1086"/>
      <c r="T234" s="1086"/>
      <c r="U234" s="1086"/>
      <c r="V234" s="1086"/>
      <c r="W234" s="1086"/>
      <c r="X234" s="1086"/>
      <c r="Y234" s="1086"/>
      <c r="Z234" s="1086"/>
      <c r="AA234" s="1086"/>
      <c r="AB234" s="1086"/>
      <c r="AC234" s="1086"/>
      <c r="AD234" s="1086"/>
      <c r="AE234" s="1086"/>
      <c r="AF234" s="1086"/>
      <c r="AG234" s="1086"/>
      <c r="AH234" s="1086"/>
      <c r="AI234" s="1086"/>
      <c r="AJ234" s="1086"/>
      <c r="AK234" s="1086"/>
      <c r="AL234" s="1086"/>
      <c r="AM234" s="1086"/>
      <c r="AN234" s="1086"/>
      <c r="AO234" s="1086"/>
      <c r="AP234" s="1086"/>
      <c r="AQ234" s="1086"/>
      <c r="AR234" s="1086"/>
      <c r="AS234" s="1086"/>
      <c r="AT234" s="1086"/>
      <c r="AU234" s="1086"/>
      <c r="AV234" s="1086"/>
      <c r="AW234" s="1086"/>
      <c r="AX234" s="1086"/>
      <c r="AY234" s="1086"/>
      <c r="AZ234" s="1086"/>
      <c r="BA234" s="1086"/>
      <c r="BB234" s="1086"/>
      <c r="BC234" s="1086"/>
      <c r="BD234" s="1082"/>
      <c r="BE234" s="1082"/>
    </row>
    <row r="235" spans="1:57" ht="15.75" customHeight="1" thickBot="1">
      <c r="A235" s="1086"/>
      <c r="B235" s="1091"/>
      <c r="C235" s="1081"/>
      <c r="D235" s="1081"/>
      <c r="E235" s="1081"/>
      <c r="F235" s="1081"/>
      <c r="G235" s="1081"/>
      <c r="H235" s="2027" t="s">
        <v>2665</v>
      </c>
      <c r="I235" s="2027"/>
      <c r="J235" s="2027"/>
      <c r="K235" s="2027"/>
      <c r="L235" s="2027"/>
      <c r="M235" s="2027"/>
      <c r="N235" s="2027"/>
      <c r="O235" s="2027"/>
      <c r="P235" s="2027"/>
      <c r="Q235" s="2027"/>
      <c r="R235" s="2027"/>
      <c r="S235" s="2027"/>
      <c r="T235" s="2027"/>
      <c r="U235" s="2027"/>
      <c r="V235" s="2027"/>
      <c r="W235" s="2027"/>
      <c r="X235" s="2027"/>
      <c r="Y235" s="2027"/>
      <c r="Z235" s="2027"/>
      <c r="AA235" s="2027"/>
      <c r="AB235" s="2027"/>
      <c r="AC235" s="2027"/>
      <c r="AD235" s="2027"/>
      <c r="AE235" s="2027"/>
      <c r="AF235" s="2027"/>
      <c r="AG235" s="2027"/>
      <c r="AH235" s="2027"/>
      <c r="AI235" s="2027"/>
      <c r="AJ235" s="2027"/>
      <c r="AK235" s="2027"/>
      <c r="AL235" s="2027"/>
      <c r="AM235" s="2027"/>
      <c r="AN235" s="2027"/>
      <c r="AO235" s="2027"/>
      <c r="AP235" s="2027"/>
      <c r="AQ235" s="2027"/>
      <c r="AR235" s="2027"/>
      <c r="AS235" s="2027"/>
      <c r="AT235" s="2027"/>
      <c r="AU235" s="2027"/>
      <c r="AV235" s="2027"/>
      <c r="AW235" s="1081"/>
      <c r="AX235" s="1081"/>
      <c r="AY235" s="1081"/>
      <c r="AZ235" s="1081"/>
      <c r="BA235" s="1081"/>
      <c r="BB235" s="1081"/>
      <c r="BC235" s="1081"/>
      <c r="BD235" s="1080"/>
      <c r="BE235" s="1082"/>
    </row>
    <row r="236" spans="1:57" ht="15.75" customHeight="1" thickBot="1">
      <c r="A236" s="1086"/>
      <c r="B236" s="1089"/>
      <c r="C236" s="1088"/>
      <c r="D236" s="1088"/>
      <c r="E236" s="1088"/>
      <c r="F236" s="1088"/>
      <c r="G236" s="1088"/>
      <c r="H236" s="1088"/>
      <c r="I236" s="1088"/>
      <c r="J236" s="1088"/>
      <c r="K236" s="1088"/>
      <c r="L236" s="1088"/>
      <c r="M236" s="1088"/>
      <c r="N236" s="1088"/>
      <c r="O236" s="1088"/>
      <c r="P236" s="1088"/>
      <c r="Q236" s="1088"/>
      <c r="R236" s="1088"/>
      <c r="S236" s="1088"/>
      <c r="T236" s="1088"/>
      <c r="U236" s="1088"/>
      <c r="V236" s="1088"/>
      <c r="W236" s="1088"/>
      <c r="X236" s="1088"/>
      <c r="Y236" s="1088"/>
      <c r="Z236" s="1088"/>
      <c r="AA236" s="1088"/>
      <c r="AB236" s="1088"/>
      <c r="AC236" s="1088"/>
      <c r="AD236" s="1088"/>
      <c r="AE236" s="1088"/>
      <c r="AF236" s="1088"/>
      <c r="AG236" s="1088"/>
      <c r="AH236" s="1088"/>
      <c r="AI236" s="1088"/>
      <c r="AJ236" s="1088"/>
      <c r="AK236" s="1088"/>
      <c r="AL236" s="1088"/>
      <c r="AM236" s="1088"/>
      <c r="AN236" s="1088"/>
      <c r="AO236" s="1088"/>
      <c r="AP236" s="1088"/>
      <c r="AQ236" s="1088"/>
      <c r="AR236" s="1088"/>
      <c r="AS236" s="1088"/>
      <c r="AT236" s="1088"/>
      <c r="AU236" s="1088"/>
      <c r="AV236" s="1088"/>
      <c r="AW236" s="1088"/>
      <c r="AX236" s="1088"/>
      <c r="AY236" s="1088"/>
      <c r="AZ236" s="1088"/>
      <c r="BA236" s="1088"/>
      <c r="BB236" s="1088"/>
      <c r="BC236" s="1088"/>
      <c r="BD236" s="1087"/>
      <c r="BE236" s="1082"/>
    </row>
    <row r="237" spans="1:57" ht="30" customHeight="1" thickBot="1">
      <c r="A237" s="1086"/>
      <c r="B237" s="1089"/>
      <c r="C237" s="1088"/>
      <c r="D237" s="1088"/>
      <c r="E237" s="1088"/>
      <c r="F237" s="1088"/>
      <c r="G237" s="1088"/>
      <c r="H237" s="2003" t="s">
        <v>2666</v>
      </c>
      <c r="I237" s="2003"/>
      <c r="J237" s="2003"/>
      <c r="K237" s="2003"/>
      <c r="L237" s="1088"/>
      <c r="M237" s="1088"/>
      <c r="N237" s="1088"/>
      <c r="O237" s="1088"/>
      <c r="P237" s="1088"/>
      <c r="Q237" s="1088"/>
      <c r="R237" s="1088"/>
      <c r="S237" s="2024"/>
      <c r="T237" s="2025"/>
      <c r="U237" s="2025"/>
      <c r="V237" s="2025"/>
      <c r="W237" s="2025"/>
      <c r="X237" s="2025"/>
      <c r="Y237" s="2025"/>
      <c r="Z237" s="2025"/>
      <c r="AA237" s="2025"/>
      <c r="AB237" s="2025"/>
      <c r="AC237" s="2025"/>
      <c r="AD237" s="2025"/>
      <c r="AE237" s="2025"/>
      <c r="AF237" s="2025"/>
      <c r="AG237" s="2025"/>
      <c r="AH237" s="2025"/>
      <c r="AI237" s="2025"/>
      <c r="AJ237" s="2026"/>
      <c r="AK237" s="1088"/>
      <c r="AL237" s="1088"/>
      <c r="AM237" s="1088"/>
      <c r="AN237" s="1088"/>
      <c r="AO237" s="1088"/>
      <c r="AP237" s="1088"/>
      <c r="AQ237" s="1088"/>
      <c r="AR237" s="1088"/>
      <c r="AS237" s="1088"/>
      <c r="AT237" s="1088"/>
      <c r="AU237" s="1088"/>
      <c r="AV237" s="1088"/>
      <c r="AW237" s="1088"/>
      <c r="AX237" s="1088"/>
      <c r="AY237" s="1088"/>
      <c r="AZ237" s="1088"/>
      <c r="BA237" s="1088"/>
      <c r="BB237" s="1088"/>
      <c r="BC237" s="1088"/>
      <c r="BD237" s="1087"/>
      <c r="BE237" s="1082"/>
    </row>
    <row r="238" spans="1:57" ht="15.75" customHeight="1" thickBot="1">
      <c r="A238" s="1086"/>
      <c r="B238" s="1089"/>
      <c r="C238" s="1088"/>
      <c r="D238" s="1088"/>
      <c r="E238" s="1088"/>
      <c r="F238" s="1088"/>
      <c r="G238" s="1088"/>
      <c r="H238" s="1090"/>
      <c r="I238" s="1090"/>
      <c r="J238" s="1090"/>
      <c r="K238" s="1090"/>
      <c r="L238" s="1088"/>
      <c r="M238" s="1088"/>
      <c r="N238" s="1088"/>
      <c r="O238" s="1088"/>
      <c r="P238" s="1088"/>
      <c r="Q238" s="1088"/>
      <c r="R238" s="1088"/>
      <c r="S238" s="1088"/>
      <c r="T238" s="1088"/>
      <c r="U238" s="1088"/>
      <c r="V238" s="1088"/>
      <c r="W238" s="1088"/>
      <c r="X238" s="1088"/>
      <c r="Y238" s="1088"/>
      <c r="Z238" s="1088"/>
      <c r="AA238" s="1088"/>
      <c r="AB238" s="1088"/>
      <c r="AC238" s="1088"/>
      <c r="AD238" s="1088"/>
      <c r="AE238" s="1088"/>
      <c r="AF238" s="1088"/>
      <c r="AG238" s="1088"/>
      <c r="AH238" s="1088"/>
      <c r="AI238" s="1088"/>
      <c r="AJ238" s="1088"/>
      <c r="AK238" s="1088"/>
      <c r="AL238" s="1088"/>
      <c r="AM238" s="1088"/>
      <c r="AN238" s="1088"/>
      <c r="AO238" s="1088"/>
      <c r="AP238" s="1088"/>
      <c r="AQ238" s="1088"/>
      <c r="AR238" s="1088"/>
      <c r="AS238" s="1088"/>
      <c r="AT238" s="1088"/>
      <c r="AU238" s="1088"/>
      <c r="AV238" s="1088"/>
      <c r="AW238" s="1088"/>
      <c r="AX238" s="1088"/>
      <c r="AY238" s="1088"/>
      <c r="AZ238" s="1088"/>
      <c r="BA238" s="1088"/>
      <c r="BB238" s="1088"/>
      <c r="BC238" s="1088"/>
      <c r="BD238" s="1087"/>
      <c r="BE238" s="1082"/>
    </row>
    <row r="239" spans="1:57" ht="15.75" customHeight="1" thickBot="1">
      <c r="A239" s="1086"/>
      <c r="B239" s="1089"/>
      <c r="C239" s="1088"/>
      <c r="D239" s="1088"/>
      <c r="E239" s="1088"/>
      <c r="F239" s="1088"/>
      <c r="G239" s="1088"/>
      <c r="H239" s="2003" t="s">
        <v>2564</v>
      </c>
      <c r="I239" s="2003"/>
      <c r="J239" s="2003"/>
      <c r="K239" s="1090"/>
      <c r="L239" s="1088"/>
      <c r="M239" s="1088"/>
      <c r="N239" s="1088"/>
      <c r="O239" s="1088"/>
      <c r="P239" s="1088"/>
      <c r="Q239" s="1088"/>
      <c r="R239" s="1088"/>
      <c r="S239" s="2021"/>
      <c r="T239" s="2022"/>
      <c r="U239" s="2022"/>
      <c r="V239" s="2022"/>
      <c r="W239" s="2022"/>
      <c r="X239" s="2022"/>
      <c r="Y239" s="2022"/>
      <c r="Z239" s="2022"/>
      <c r="AA239" s="2022"/>
      <c r="AB239" s="2022"/>
      <c r="AC239" s="2022"/>
      <c r="AD239" s="2022"/>
      <c r="AE239" s="2022"/>
      <c r="AF239" s="2022"/>
      <c r="AG239" s="2022"/>
      <c r="AH239" s="2022"/>
      <c r="AI239" s="2022"/>
      <c r="AJ239" s="2023"/>
      <c r="AK239" s="1088"/>
      <c r="AL239" s="1088"/>
      <c r="AM239" s="1088"/>
      <c r="AN239" s="1088"/>
      <c r="AO239" s="1088"/>
      <c r="AP239" s="1088"/>
      <c r="AQ239" s="1088"/>
      <c r="AR239" s="1088"/>
      <c r="AS239" s="1088"/>
      <c r="AT239" s="1088"/>
      <c r="AU239" s="1088"/>
      <c r="AV239" s="1088"/>
      <c r="AW239" s="1088"/>
      <c r="AX239" s="1088"/>
      <c r="AY239" s="1088"/>
      <c r="AZ239" s="1088"/>
      <c r="BA239" s="1088"/>
      <c r="BB239" s="1088"/>
      <c r="BC239" s="1088"/>
      <c r="BD239" s="1087"/>
      <c r="BE239" s="1082"/>
    </row>
    <row r="240" spans="1:57" ht="15.75" customHeight="1" thickBot="1">
      <c r="A240" s="1086"/>
      <c r="B240" s="1089"/>
      <c r="C240" s="1088"/>
      <c r="D240" s="1088"/>
      <c r="E240" s="1088"/>
      <c r="F240" s="1088"/>
      <c r="G240" s="1088"/>
      <c r="H240" s="1090"/>
      <c r="I240" s="1090"/>
      <c r="J240" s="1090"/>
      <c r="K240" s="1090"/>
      <c r="L240" s="1088"/>
      <c r="M240" s="1088"/>
      <c r="N240" s="1088"/>
      <c r="O240" s="1088"/>
      <c r="P240" s="1088"/>
      <c r="Q240" s="1088"/>
      <c r="R240" s="1088"/>
      <c r="S240" s="1088"/>
      <c r="T240" s="1088"/>
      <c r="U240" s="1088"/>
      <c r="V240" s="1088"/>
      <c r="W240" s="1088"/>
      <c r="X240" s="1088"/>
      <c r="Y240" s="1088"/>
      <c r="Z240" s="1088"/>
      <c r="AA240" s="1088"/>
      <c r="AB240" s="1088"/>
      <c r="AC240" s="1088"/>
      <c r="AD240" s="1088"/>
      <c r="AE240" s="1088"/>
      <c r="AF240" s="1088"/>
      <c r="AG240" s="1088"/>
      <c r="AH240" s="1088"/>
      <c r="AI240" s="1088"/>
      <c r="AJ240" s="1088"/>
      <c r="AK240" s="1088"/>
      <c r="AL240" s="1088"/>
      <c r="AM240" s="1088"/>
      <c r="AN240" s="1088"/>
      <c r="AO240" s="1088"/>
      <c r="AP240" s="1088"/>
      <c r="AQ240" s="1088"/>
      <c r="AR240" s="1088"/>
      <c r="AS240" s="1088"/>
      <c r="AT240" s="1088"/>
      <c r="AU240" s="1088"/>
      <c r="AV240" s="1088"/>
      <c r="AW240" s="1088"/>
      <c r="AX240" s="1088"/>
      <c r="AY240" s="1088"/>
      <c r="AZ240" s="1088"/>
      <c r="BA240" s="1088"/>
      <c r="BB240" s="1088"/>
      <c r="BC240" s="1088"/>
      <c r="BD240" s="1087"/>
      <c r="BE240" s="1082"/>
    </row>
    <row r="241" spans="1:57" ht="15.75" customHeight="1" thickBot="1">
      <c r="A241" s="1086"/>
      <c r="B241" s="1089"/>
      <c r="C241" s="1088"/>
      <c r="D241" s="1088"/>
      <c r="E241" s="1088"/>
      <c r="F241" s="1088"/>
      <c r="G241" s="1088"/>
      <c r="H241" s="2003" t="s">
        <v>872</v>
      </c>
      <c r="I241" s="2003"/>
      <c r="J241" s="1090"/>
      <c r="K241" s="1090"/>
      <c r="L241" s="1088"/>
      <c r="M241" s="1088"/>
      <c r="N241" s="1088"/>
      <c r="O241" s="1088"/>
      <c r="P241" s="1088"/>
      <c r="Q241" s="1088"/>
      <c r="R241" s="1088"/>
      <c r="S241" s="2021"/>
      <c r="T241" s="2022"/>
      <c r="U241" s="2022"/>
      <c r="V241" s="2022"/>
      <c r="W241" s="2022"/>
      <c r="X241" s="2022"/>
      <c r="Y241" s="2022"/>
      <c r="Z241" s="2022"/>
      <c r="AA241" s="2022"/>
      <c r="AB241" s="2022"/>
      <c r="AC241" s="2022"/>
      <c r="AD241" s="2022"/>
      <c r="AE241" s="2022"/>
      <c r="AF241" s="2022"/>
      <c r="AG241" s="2022"/>
      <c r="AH241" s="2022"/>
      <c r="AI241" s="2022"/>
      <c r="AJ241" s="2023"/>
      <c r="AK241" s="1088"/>
      <c r="AL241" s="1088"/>
      <c r="AM241" s="1088"/>
      <c r="AN241" s="1088"/>
      <c r="AO241" s="1088"/>
      <c r="AP241" s="1088"/>
      <c r="AQ241" s="1088"/>
      <c r="AR241" s="1088"/>
      <c r="AS241" s="1088"/>
      <c r="AT241" s="1088"/>
      <c r="AU241" s="1088"/>
      <c r="AV241" s="1088"/>
      <c r="AW241" s="1088"/>
      <c r="AX241" s="1088"/>
      <c r="AY241" s="1088"/>
      <c r="AZ241" s="1088"/>
      <c r="BA241" s="1088"/>
      <c r="BB241" s="1088"/>
      <c r="BC241" s="1088"/>
      <c r="BD241" s="1087"/>
      <c r="BE241" s="1082"/>
    </row>
    <row r="242" spans="1:57" ht="15.75" customHeight="1" thickBot="1">
      <c r="A242" s="1086"/>
      <c r="B242" s="1089"/>
      <c r="C242" s="1088"/>
      <c r="D242" s="1088"/>
      <c r="E242" s="1088"/>
      <c r="F242" s="1088"/>
      <c r="G242" s="1088"/>
      <c r="H242" s="1088"/>
      <c r="I242" s="1088"/>
      <c r="J242" s="1088"/>
      <c r="K242" s="1088"/>
      <c r="L242" s="1088"/>
      <c r="M242" s="1088"/>
      <c r="N242" s="1088"/>
      <c r="O242" s="1088"/>
      <c r="P242" s="1088"/>
      <c r="Q242" s="1088"/>
      <c r="R242" s="1088"/>
      <c r="S242" s="1088"/>
      <c r="T242" s="1088"/>
      <c r="U242" s="1088"/>
      <c r="V242" s="1088"/>
      <c r="W242" s="1088"/>
      <c r="X242" s="1088"/>
      <c r="Y242" s="1088"/>
      <c r="Z242" s="1088"/>
      <c r="AA242" s="1088"/>
      <c r="AB242" s="1088"/>
      <c r="AC242" s="1088"/>
      <c r="AD242" s="1088"/>
      <c r="AE242" s="1088"/>
      <c r="AF242" s="1088"/>
      <c r="AG242" s="1088"/>
      <c r="AH242" s="1088"/>
      <c r="AI242" s="1088"/>
      <c r="AJ242" s="1088"/>
      <c r="AK242" s="1088"/>
      <c r="AL242" s="1088"/>
      <c r="AM242" s="1088"/>
      <c r="AN242" s="1088"/>
      <c r="AO242" s="1088"/>
      <c r="AP242" s="1088"/>
      <c r="AQ242" s="1088"/>
      <c r="AR242" s="1088"/>
      <c r="AS242" s="1088"/>
      <c r="AT242" s="1088"/>
      <c r="AU242" s="1088"/>
      <c r="AV242" s="1088"/>
      <c r="AW242" s="1088"/>
      <c r="AX242" s="1088"/>
      <c r="AY242" s="1088"/>
      <c r="AZ242" s="1088"/>
      <c r="BA242" s="1088"/>
      <c r="BB242" s="1088"/>
      <c r="BC242" s="1088"/>
      <c r="BD242" s="1087"/>
      <c r="BE242" s="1082"/>
    </row>
    <row r="243" spans="1:57" ht="15.75" customHeight="1" thickBot="1">
      <c r="A243" s="1086"/>
      <c r="B243" s="1089"/>
      <c r="C243" s="1088"/>
      <c r="D243" s="1088"/>
      <c r="E243" s="1088"/>
      <c r="F243" s="1088"/>
      <c r="G243" s="1088"/>
      <c r="H243" s="2004" t="s">
        <v>2667</v>
      </c>
      <c r="I243" s="2004"/>
      <c r="J243" s="2004"/>
      <c r="K243" s="2004"/>
      <c r="L243" s="2004"/>
      <c r="M243" s="2004"/>
      <c r="N243" s="2004"/>
      <c r="O243" s="2004"/>
      <c r="P243" s="1088"/>
      <c r="Q243" s="1088"/>
      <c r="R243" s="1088"/>
      <c r="S243" s="2021"/>
      <c r="T243" s="2022"/>
      <c r="U243" s="2022"/>
      <c r="V243" s="2022"/>
      <c r="W243" s="2022"/>
      <c r="X243" s="2022"/>
      <c r="Y243" s="2022"/>
      <c r="Z243" s="2022"/>
      <c r="AA243" s="2022"/>
      <c r="AB243" s="2022"/>
      <c r="AC243" s="2022"/>
      <c r="AD243" s="2022"/>
      <c r="AE243" s="2022"/>
      <c r="AF243" s="2022"/>
      <c r="AG243" s="2022"/>
      <c r="AH243" s="2022"/>
      <c r="AI243" s="2022"/>
      <c r="AJ243" s="2023"/>
      <c r="AK243" s="1088"/>
      <c r="AL243" s="1088"/>
      <c r="AM243" s="1088"/>
      <c r="AN243" s="1088"/>
      <c r="AO243" s="1088"/>
      <c r="AP243" s="1088"/>
      <c r="AQ243" s="1088"/>
      <c r="AR243" s="1088"/>
      <c r="AS243" s="1088"/>
      <c r="AT243" s="1088"/>
      <c r="AU243" s="1088"/>
      <c r="AV243" s="1088"/>
      <c r="AW243" s="1088"/>
      <c r="AX243" s="1088"/>
      <c r="AY243" s="1088"/>
      <c r="AZ243" s="1088"/>
      <c r="BA243" s="1088"/>
      <c r="BB243" s="1088"/>
      <c r="BC243" s="1088"/>
      <c r="BD243" s="1087"/>
      <c r="BE243" s="1082"/>
    </row>
    <row r="244" spans="1:57" ht="15.75" customHeight="1" thickBot="1">
      <c r="A244" s="1086"/>
      <c r="B244" s="1089"/>
      <c r="C244" s="1088"/>
      <c r="D244" s="1088"/>
      <c r="E244" s="1088"/>
      <c r="F244" s="1088"/>
      <c r="G244" s="1088"/>
      <c r="H244" s="1088"/>
      <c r="I244" s="1088"/>
      <c r="J244" s="1088"/>
      <c r="K244" s="1088"/>
      <c r="L244" s="1088"/>
      <c r="M244" s="1088"/>
      <c r="N244" s="1088"/>
      <c r="O244" s="1088"/>
      <c r="P244" s="1088"/>
      <c r="Q244" s="1088"/>
      <c r="R244" s="1088"/>
      <c r="S244" s="1088"/>
      <c r="T244" s="1088"/>
      <c r="U244" s="1088"/>
      <c r="V244" s="1088"/>
      <c r="W244" s="1088"/>
      <c r="X244" s="1088"/>
      <c r="Y244" s="1088"/>
      <c r="Z244" s="1088"/>
      <c r="AA244" s="1088"/>
      <c r="AB244" s="1088"/>
      <c r="AC244" s="1088"/>
      <c r="AD244" s="1088"/>
      <c r="AE244" s="1088"/>
      <c r="AF244" s="1088"/>
      <c r="AG244" s="1088"/>
      <c r="AH244" s="1088"/>
      <c r="AI244" s="1088"/>
      <c r="AJ244" s="1088"/>
      <c r="AK244" s="1088"/>
      <c r="AL244" s="1088"/>
      <c r="AM244" s="1088"/>
      <c r="AN244" s="1088"/>
      <c r="AO244" s="1088"/>
      <c r="AP244" s="1088"/>
      <c r="AQ244" s="1088"/>
      <c r="AR244" s="1088"/>
      <c r="AS244" s="1088"/>
      <c r="AT244" s="1088"/>
      <c r="AU244" s="1088"/>
      <c r="AV244" s="1088"/>
      <c r="AW244" s="1088"/>
      <c r="AX244" s="1088"/>
      <c r="AY244" s="1088"/>
      <c r="AZ244" s="1088"/>
      <c r="BA244" s="1088"/>
      <c r="BB244" s="1088"/>
      <c r="BC244" s="1088"/>
      <c r="BD244" s="1087"/>
      <c r="BE244" s="1082"/>
    </row>
    <row r="245" spans="1:57" ht="15.75" customHeight="1" thickBot="1">
      <c r="A245" s="1086"/>
      <c r="B245" s="1089"/>
      <c r="C245" s="1088"/>
      <c r="D245" s="1088"/>
      <c r="E245" s="1088"/>
      <c r="F245" s="1088"/>
      <c r="G245" s="1088"/>
      <c r="H245" s="2005" t="s">
        <v>2668</v>
      </c>
      <c r="I245" s="2005"/>
      <c r="J245" s="1088"/>
      <c r="K245" s="1088"/>
      <c r="L245" s="1088"/>
      <c r="M245" s="1088"/>
      <c r="N245" s="1088"/>
      <c r="O245" s="1088"/>
      <c r="P245" s="1088"/>
      <c r="Q245" s="1088"/>
      <c r="R245" s="1088"/>
      <c r="S245" s="2018"/>
      <c r="T245" s="2019"/>
      <c r="U245" s="2019"/>
      <c r="V245" s="2019"/>
      <c r="W245" s="2019"/>
      <c r="X245" s="2019"/>
      <c r="Y245" s="2019"/>
      <c r="Z245" s="2019"/>
      <c r="AA245" s="2019"/>
      <c r="AB245" s="2019"/>
      <c r="AC245" s="2019"/>
      <c r="AD245" s="2019"/>
      <c r="AE245" s="2019"/>
      <c r="AF245" s="2019"/>
      <c r="AG245" s="2019"/>
      <c r="AH245" s="2019"/>
      <c r="AI245" s="2019"/>
      <c r="AJ245" s="2020"/>
      <c r="AK245" s="1088"/>
      <c r="AL245" s="1088"/>
      <c r="AM245" s="1088"/>
      <c r="AN245" s="1088"/>
      <c r="AO245" s="1088"/>
      <c r="AP245" s="1088"/>
      <c r="AQ245" s="1088"/>
      <c r="AR245" s="1088"/>
      <c r="AS245" s="1088"/>
      <c r="AT245" s="1088"/>
      <c r="AU245" s="1088"/>
      <c r="AV245" s="1088"/>
      <c r="AW245" s="1088"/>
      <c r="AX245" s="1088"/>
      <c r="AY245" s="1088"/>
      <c r="AZ245" s="1088"/>
      <c r="BA245" s="1088"/>
      <c r="BB245" s="1088"/>
      <c r="BC245" s="1088"/>
      <c r="BD245" s="1087"/>
      <c r="BE245" s="1082"/>
    </row>
    <row r="246" spans="1:57" ht="15.75" customHeight="1" thickBot="1">
      <c r="A246" s="1086"/>
      <c r="B246" s="1085"/>
      <c r="C246" s="1084"/>
      <c r="D246" s="1084"/>
      <c r="E246" s="1084"/>
      <c r="F246" s="1084"/>
      <c r="G246" s="1084"/>
      <c r="H246" s="1084"/>
      <c r="I246" s="1084"/>
      <c r="J246" s="1084"/>
      <c r="K246" s="1084"/>
      <c r="L246" s="1084"/>
      <c r="M246" s="1084"/>
      <c r="N246" s="1084"/>
      <c r="O246" s="1084"/>
      <c r="P246" s="1084"/>
      <c r="Q246" s="1084"/>
      <c r="R246" s="1084"/>
      <c r="S246" s="1084"/>
      <c r="T246" s="1084"/>
      <c r="U246" s="1084"/>
      <c r="V246" s="1084"/>
      <c r="W246" s="1084"/>
      <c r="X246" s="1084"/>
      <c r="Y246" s="1084"/>
      <c r="Z246" s="1084"/>
      <c r="AA246" s="1084"/>
      <c r="AB246" s="1084"/>
      <c r="AC246" s="1084"/>
      <c r="AD246" s="1084"/>
      <c r="AE246" s="1084"/>
      <c r="AF246" s="1084"/>
      <c r="AG246" s="1084"/>
      <c r="AH246" s="1084"/>
      <c r="AI246" s="1084"/>
      <c r="AJ246" s="1084"/>
      <c r="AK246" s="1084"/>
      <c r="AL246" s="1084"/>
      <c r="AM246" s="1084"/>
      <c r="AN246" s="1084"/>
      <c r="AO246" s="1084"/>
      <c r="AP246" s="1084"/>
      <c r="AQ246" s="1084"/>
      <c r="AR246" s="1084"/>
      <c r="AS246" s="1084"/>
      <c r="AT246" s="1084"/>
      <c r="AU246" s="1084"/>
      <c r="AV246" s="1084"/>
      <c r="AW246" s="1084"/>
      <c r="AX246" s="1084"/>
      <c r="AY246" s="1084"/>
      <c r="AZ246" s="1084"/>
      <c r="BA246" s="1084"/>
      <c r="BB246" s="1084"/>
      <c r="BC246" s="1084"/>
      <c r="BD246" s="1083"/>
      <c r="BE246" s="1082"/>
    </row>
    <row r="247" spans="1:57" ht="15.75" customHeight="1" thickBot="1">
      <c r="A247" s="1081"/>
      <c r="B247" s="1081"/>
      <c r="C247" s="1081"/>
      <c r="D247" s="1081"/>
      <c r="E247" s="1081"/>
      <c r="F247" s="1081"/>
      <c r="G247" s="1081"/>
      <c r="H247" s="1081"/>
      <c r="I247" s="1081"/>
      <c r="J247" s="1081"/>
      <c r="K247" s="1081"/>
      <c r="L247" s="1081"/>
      <c r="M247" s="1081"/>
      <c r="N247" s="1081"/>
      <c r="O247" s="1081"/>
      <c r="P247" s="1081"/>
      <c r="Q247" s="1081"/>
      <c r="R247" s="1081"/>
      <c r="S247" s="1081"/>
      <c r="T247" s="1081"/>
      <c r="U247" s="1081"/>
      <c r="V247" s="1081"/>
      <c r="W247" s="1081"/>
      <c r="X247" s="1081"/>
      <c r="Y247" s="1081"/>
      <c r="Z247" s="1081"/>
      <c r="AA247" s="1081"/>
      <c r="AB247" s="1081"/>
      <c r="AC247" s="1081"/>
      <c r="AD247" s="1081"/>
      <c r="AE247" s="1081"/>
      <c r="AF247" s="1081"/>
      <c r="AG247" s="1081"/>
      <c r="AH247" s="1081"/>
      <c r="AI247" s="1081"/>
      <c r="AJ247" s="1081"/>
      <c r="AK247" s="1081"/>
      <c r="AL247" s="1081"/>
      <c r="AM247" s="1081"/>
      <c r="AN247" s="1081"/>
      <c r="AO247" s="1081"/>
      <c r="AP247" s="1081"/>
      <c r="AQ247" s="1081"/>
      <c r="AR247" s="1081"/>
      <c r="AS247" s="1081"/>
      <c r="AT247" s="1081"/>
      <c r="AU247" s="1081"/>
      <c r="AV247" s="1081"/>
      <c r="AW247" s="1081"/>
      <c r="AX247" s="1081"/>
      <c r="AY247" s="1081"/>
      <c r="AZ247" s="1081"/>
      <c r="BA247" s="1081"/>
      <c r="BB247" s="1081"/>
      <c r="BC247" s="1081"/>
      <c r="BD247" s="1081"/>
      <c r="BE247" s="1080"/>
    </row>
    <row r="250" spans="1:57" ht="15.75" customHeight="1">
      <c r="D250" s="1078"/>
    </row>
    <row r="251" spans="1:57" ht="15.75" customHeight="1">
      <c r="D251" s="1079"/>
    </row>
    <row r="252" spans="1:57" ht="15.75" customHeight="1">
      <c r="D252" s="1078"/>
    </row>
    <row r="253" spans="1:57" ht="15.75" customHeight="1">
      <c r="D253" s="1078"/>
    </row>
    <row r="254" spans="1:57" ht="15.75" customHeight="1">
      <c r="R254" s="1077" t="s">
        <v>253</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1" workbookViewId="0">
      <selection activeCell="AF75" sqref="AF75"/>
    </sheetView>
  </sheetViews>
  <sheetFormatPr defaultColWidth="0" defaultRowHeight="12.95" customHeight="1"/>
  <cols>
    <col min="1" max="1" width="1.7109375" style="327" customWidth="1"/>
    <col min="2" max="2" width="0.85546875" style="327" customWidth="1"/>
    <col min="3" max="18" width="2.7109375" style="327" customWidth="1"/>
    <col min="19" max="19" width="6.28515625" style="327" customWidth="1"/>
    <col min="20" max="39" width="2.7109375" style="327" customWidth="1"/>
    <col min="40" max="40" width="1.7109375" style="327" customWidth="1"/>
    <col min="41" max="256" width="2.7109375" style="327" hidden="1"/>
    <col min="257" max="257" width="1.7109375" style="327" hidden="1" customWidth="1"/>
    <col min="258" max="258" width="0.85546875" style="327" hidden="1" customWidth="1"/>
    <col min="259" max="274" width="2.7109375" style="327" hidden="1" customWidth="1"/>
    <col min="275" max="275" width="4" style="327" hidden="1" customWidth="1"/>
    <col min="276" max="279" width="2.7109375" style="327" hidden="1" customWidth="1"/>
    <col min="280" max="280" width="2.28515625" style="327" hidden="1" customWidth="1"/>
    <col min="281" max="284" width="2.7109375" style="327" hidden="1" customWidth="1"/>
    <col min="285" max="285" width="2.28515625" style="327" hidden="1" customWidth="1"/>
    <col min="286" max="289" width="2.7109375" style="327" hidden="1" customWidth="1"/>
    <col min="290" max="295" width="2.28515625" style="327" hidden="1" customWidth="1"/>
    <col min="296" max="296" width="1.7109375" style="327" hidden="1" customWidth="1"/>
    <col min="297" max="512" width="2.7109375" style="327" hidden="1"/>
    <col min="513" max="513" width="1.7109375" style="327" hidden="1" customWidth="1"/>
    <col min="514" max="514" width="0.85546875" style="327" hidden="1" customWidth="1"/>
    <col min="515" max="530" width="2.7109375" style="327" hidden="1" customWidth="1"/>
    <col min="531" max="531" width="4" style="327" hidden="1" customWidth="1"/>
    <col min="532" max="535" width="2.7109375" style="327" hidden="1" customWidth="1"/>
    <col min="536" max="536" width="2.28515625" style="327" hidden="1" customWidth="1"/>
    <col min="537" max="540" width="2.7109375" style="327" hidden="1" customWidth="1"/>
    <col min="541" max="541" width="2.28515625" style="327" hidden="1" customWidth="1"/>
    <col min="542" max="545" width="2.7109375" style="327" hidden="1" customWidth="1"/>
    <col min="546" max="551" width="2.28515625" style="327" hidden="1" customWidth="1"/>
    <col min="552" max="552" width="1.7109375" style="327" hidden="1" customWidth="1"/>
    <col min="553" max="768" width="2.7109375" style="327" hidden="1"/>
    <col min="769" max="769" width="1.7109375" style="327" hidden="1" customWidth="1"/>
    <col min="770" max="770" width="0.85546875" style="327" hidden="1" customWidth="1"/>
    <col min="771" max="786" width="2.7109375" style="327" hidden="1" customWidth="1"/>
    <col min="787" max="787" width="4" style="327" hidden="1" customWidth="1"/>
    <col min="788" max="791" width="2.7109375" style="327" hidden="1" customWidth="1"/>
    <col min="792" max="792" width="2.28515625" style="327" hidden="1" customWidth="1"/>
    <col min="793" max="796" width="2.7109375" style="327" hidden="1" customWidth="1"/>
    <col min="797" max="797" width="2.28515625" style="327" hidden="1" customWidth="1"/>
    <col min="798" max="801" width="2.7109375" style="327" hidden="1" customWidth="1"/>
    <col min="802" max="807" width="2.28515625" style="327" hidden="1" customWidth="1"/>
    <col min="808" max="808" width="1.7109375" style="327" hidden="1" customWidth="1"/>
    <col min="809" max="1024" width="2.7109375" style="327" hidden="1"/>
    <col min="1025" max="1025" width="1.7109375" style="327" hidden="1" customWidth="1"/>
    <col min="1026" max="1026" width="0.85546875" style="327" hidden="1" customWidth="1"/>
    <col min="1027" max="1042" width="2.7109375" style="327" hidden="1" customWidth="1"/>
    <col min="1043" max="1043" width="4" style="327" hidden="1" customWidth="1"/>
    <col min="1044" max="1047" width="2.7109375" style="327" hidden="1" customWidth="1"/>
    <col min="1048" max="1048" width="2.28515625" style="327" hidden="1" customWidth="1"/>
    <col min="1049" max="1052" width="2.7109375" style="327" hidden="1" customWidth="1"/>
    <col min="1053" max="1053" width="2.28515625" style="327" hidden="1" customWidth="1"/>
    <col min="1054" max="1057" width="2.7109375" style="327" hidden="1" customWidth="1"/>
    <col min="1058" max="1063" width="2.28515625" style="327" hidden="1" customWidth="1"/>
    <col min="1064" max="1064" width="1.7109375" style="327" hidden="1" customWidth="1"/>
    <col min="1065" max="1280" width="2.7109375" style="327" hidden="1"/>
    <col min="1281" max="1281" width="1.7109375" style="327" hidden="1" customWidth="1"/>
    <col min="1282" max="1282" width="0.85546875" style="327" hidden="1" customWidth="1"/>
    <col min="1283" max="1298" width="2.7109375" style="327" hidden="1" customWidth="1"/>
    <col min="1299" max="1299" width="4" style="327" hidden="1" customWidth="1"/>
    <col min="1300" max="1303" width="2.7109375" style="327" hidden="1" customWidth="1"/>
    <col min="1304" max="1304" width="2.28515625" style="327" hidden="1" customWidth="1"/>
    <col min="1305" max="1308" width="2.7109375" style="327" hidden="1" customWidth="1"/>
    <col min="1309" max="1309" width="2.28515625" style="327" hidden="1" customWidth="1"/>
    <col min="1310" max="1313" width="2.7109375" style="327" hidden="1" customWidth="1"/>
    <col min="1314" max="1319" width="2.28515625" style="327" hidden="1" customWidth="1"/>
    <col min="1320" max="1320" width="1.7109375" style="327" hidden="1" customWidth="1"/>
    <col min="1321" max="1536" width="2.7109375" style="327" hidden="1"/>
    <col min="1537" max="1537" width="1.7109375" style="327" hidden="1" customWidth="1"/>
    <col min="1538" max="1538" width="0.85546875" style="327" hidden="1" customWidth="1"/>
    <col min="1539" max="1554" width="2.7109375" style="327" hidden="1" customWidth="1"/>
    <col min="1555" max="1555" width="4" style="327" hidden="1" customWidth="1"/>
    <col min="1556" max="1559" width="2.7109375" style="327" hidden="1" customWidth="1"/>
    <col min="1560" max="1560" width="2.28515625" style="327" hidden="1" customWidth="1"/>
    <col min="1561" max="1564" width="2.7109375" style="327" hidden="1" customWidth="1"/>
    <col min="1565" max="1565" width="2.28515625" style="327" hidden="1" customWidth="1"/>
    <col min="1566" max="1569" width="2.7109375" style="327" hidden="1" customWidth="1"/>
    <col min="1570" max="1575" width="2.28515625" style="327" hidden="1" customWidth="1"/>
    <col min="1576" max="1576" width="1.7109375" style="327" hidden="1" customWidth="1"/>
    <col min="1577" max="1792" width="2.7109375" style="327" hidden="1"/>
    <col min="1793" max="1793" width="1.7109375" style="327" hidden="1" customWidth="1"/>
    <col min="1794" max="1794" width="0.85546875" style="327" hidden="1" customWidth="1"/>
    <col min="1795" max="1810" width="2.7109375" style="327" hidden="1" customWidth="1"/>
    <col min="1811" max="1811" width="4" style="327" hidden="1" customWidth="1"/>
    <col min="1812" max="1815" width="2.7109375" style="327" hidden="1" customWidth="1"/>
    <col min="1816" max="1816" width="2.28515625" style="327" hidden="1" customWidth="1"/>
    <col min="1817" max="1820" width="2.7109375" style="327" hidden="1" customWidth="1"/>
    <col min="1821" max="1821" width="2.28515625" style="327" hidden="1" customWidth="1"/>
    <col min="1822" max="1825" width="2.7109375" style="327" hidden="1" customWidth="1"/>
    <col min="1826" max="1831" width="2.28515625" style="327" hidden="1" customWidth="1"/>
    <col min="1832" max="1832" width="1.7109375" style="327" hidden="1" customWidth="1"/>
    <col min="1833" max="2048" width="2.7109375" style="327" hidden="1"/>
    <col min="2049" max="2049" width="1.7109375" style="327" hidden="1" customWidth="1"/>
    <col min="2050" max="2050" width="0.85546875" style="327" hidden="1" customWidth="1"/>
    <col min="2051" max="2066" width="2.7109375" style="327" hidden="1" customWidth="1"/>
    <col min="2067" max="2067" width="4" style="327" hidden="1" customWidth="1"/>
    <col min="2068" max="2071" width="2.7109375" style="327" hidden="1" customWidth="1"/>
    <col min="2072" max="2072" width="2.28515625" style="327" hidden="1" customWidth="1"/>
    <col min="2073" max="2076" width="2.7109375" style="327" hidden="1" customWidth="1"/>
    <col min="2077" max="2077" width="2.28515625" style="327" hidden="1" customWidth="1"/>
    <col min="2078" max="2081" width="2.7109375" style="327" hidden="1" customWidth="1"/>
    <col min="2082" max="2087" width="2.28515625" style="327" hidden="1" customWidth="1"/>
    <col min="2088" max="2088" width="1.7109375" style="327" hidden="1" customWidth="1"/>
    <col min="2089" max="2304" width="2.7109375" style="327" hidden="1"/>
    <col min="2305" max="2305" width="1.7109375" style="327" hidden="1" customWidth="1"/>
    <col min="2306" max="2306" width="0.85546875" style="327" hidden="1" customWidth="1"/>
    <col min="2307" max="2322" width="2.7109375" style="327" hidden="1" customWidth="1"/>
    <col min="2323" max="2323" width="4" style="327" hidden="1" customWidth="1"/>
    <col min="2324" max="2327" width="2.7109375" style="327" hidden="1" customWidth="1"/>
    <col min="2328" max="2328" width="2.28515625" style="327" hidden="1" customWidth="1"/>
    <col min="2329" max="2332" width="2.7109375" style="327" hidden="1" customWidth="1"/>
    <col min="2333" max="2333" width="2.28515625" style="327" hidden="1" customWidth="1"/>
    <col min="2334" max="2337" width="2.7109375" style="327" hidden="1" customWidth="1"/>
    <col min="2338" max="2343" width="2.28515625" style="327" hidden="1" customWidth="1"/>
    <col min="2344" max="2344" width="1.7109375" style="327" hidden="1" customWidth="1"/>
    <col min="2345" max="2560" width="2.7109375" style="327" hidden="1"/>
    <col min="2561" max="2561" width="1.7109375" style="327" hidden="1" customWidth="1"/>
    <col min="2562" max="2562" width="0.85546875" style="327" hidden="1" customWidth="1"/>
    <col min="2563" max="2578" width="2.7109375" style="327" hidden="1" customWidth="1"/>
    <col min="2579" max="2579" width="4" style="327" hidden="1" customWidth="1"/>
    <col min="2580" max="2583" width="2.7109375" style="327" hidden="1" customWidth="1"/>
    <col min="2584" max="2584" width="2.28515625" style="327" hidden="1" customWidth="1"/>
    <col min="2585" max="2588" width="2.7109375" style="327" hidden="1" customWidth="1"/>
    <col min="2589" max="2589" width="2.28515625" style="327" hidden="1" customWidth="1"/>
    <col min="2590" max="2593" width="2.7109375" style="327" hidden="1" customWidth="1"/>
    <col min="2594" max="2599" width="2.28515625" style="327" hidden="1" customWidth="1"/>
    <col min="2600" max="2600" width="1.7109375" style="327" hidden="1" customWidth="1"/>
    <col min="2601" max="2816" width="2.7109375" style="327" hidden="1"/>
    <col min="2817" max="2817" width="1.7109375" style="327" hidden="1" customWidth="1"/>
    <col min="2818" max="2818" width="0.85546875" style="327" hidden="1" customWidth="1"/>
    <col min="2819" max="2834" width="2.7109375" style="327" hidden="1" customWidth="1"/>
    <col min="2835" max="2835" width="4" style="327" hidden="1" customWidth="1"/>
    <col min="2836" max="2839" width="2.7109375" style="327" hidden="1" customWidth="1"/>
    <col min="2840" max="2840" width="2.28515625" style="327" hidden="1" customWidth="1"/>
    <col min="2841" max="2844" width="2.7109375" style="327" hidden="1" customWidth="1"/>
    <col min="2845" max="2845" width="2.28515625" style="327" hidden="1" customWidth="1"/>
    <col min="2846" max="2849" width="2.7109375" style="327" hidden="1" customWidth="1"/>
    <col min="2850" max="2855" width="2.28515625" style="327" hidden="1" customWidth="1"/>
    <col min="2856" max="2856" width="1.7109375" style="327" hidden="1" customWidth="1"/>
    <col min="2857" max="3072" width="2.7109375" style="327" hidden="1"/>
    <col min="3073" max="3073" width="1.7109375" style="327" hidden="1" customWidth="1"/>
    <col min="3074" max="3074" width="0.85546875" style="327" hidden="1" customWidth="1"/>
    <col min="3075" max="3090" width="2.7109375" style="327" hidden="1" customWidth="1"/>
    <col min="3091" max="3091" width="4" style="327" hidden="1" customWidth="1"/>
    <col min="3092" max="3095" width="2.7109375" style="327" hidden="1" customWidth="1"/>
    <col min="3096" max="3096" width="2.28515625" style="327" hidden="1" customWidth="1"/>
    <col min="3097" max="3100" width="2.7109375" style="327" hidden="1" customWidth="1"/>
    <col min="3101" max="3101" width="2.28515625" style="327" hidden="1" customWidth="1"/>
    <col min="3102" max="3105" width="2.7109375" style="327" hidden="1" customWidth="1"/>
    <col min="3106" max="3111" width="2.28515625" style="327" hidden="1" customWidth="1"/>
    <col min="3112" max="3112" width="1.7109375" style="327" hidden="1" customWidth="1"/>
    <col min="3113" max="3328" width="2.7109375" style="327" hidden="1"/>
    <col min="3329" max="3329" width="1.7109375" style="327" hidden="1" customWidth="1"/>
    <col min="3330" max="3330" width="0.85546875" style="327" hidden="1" customWidth="1"/>
    <col min="3331" max="3346" width="2.7109375" style="327" hidden="1" customWidth="1"/>
    <col min="3347" max="3347" width="4" style="327" hidden="1" customWidth="1"/>
    <col min="3348" max="3351" width="2.7109375" style="327" hidden="1" customWidth="1"/>
    <col min="3352" max="3352" width="2.28515625" style="327" hidden="1" customWidth="1"/>
    <col min="3353" max="3356" width="2.7109375" style="327" hidden="1" customWidth="1"/>
    <col min="3357" max="3357" width="2.28515625" style="327" hidden="1" customWidth="1"/>
    <col min="3358" max="3361" width="2.7109375" style="327" hidden="1" customWidth="1"/>
    <col min="3362" max="3367" width="2.28515625" style="327" hidden="1" customWidth="1"/>
    <col min="3368" max="3368" width="1.7109375" style="327" hidden="1" customWidth="1"/>
    <col min="3369" max="3584" width="2.7109375" style="327" hidden="1"/>
    <col min="3585" max="3585" width="1.7109375" style="327" hidden="1" customWidth="1"/>
    <col min="3586" max="3586" width="0.85546875" style="327" hidden="1" customWidth="1"/>
    <col min="3587" max="3602" width="2.7109375" style="327" hidden="1" customWidth="1"/>
    <col min="3603" max="3603" width="4" style="327" hidden="1" customWidth="1"/>
    <col min="3604" max="3607" width="2.7109375" style="327" hidden="1" customWidth="1"/>
    <col min="3608" max="3608" width="2.28515625" style="327" hidden="1" customWidth="1"/>
    <col min="3609" max="3612" width="2.7109375" style="327" hidden="1" customWidth="1"/>
    <col min="3613" max="3613" width="2.28515625" style="327" hidden="1" customWidth="1"/>
    <col min="3614" max="3617" width="2.7109375" style="327" hidden="1" customWidth="1"/>
    <col min="3618" max="3623" width="2.28515625" style="327" hidden="1" customWidth="1"/>
    <col min="3624" max="3624" width="1.7109375" style="327" hidden="1" customWidth="1"/>
    <col min="3625" max="3840" width="2.7109375" style="327" hidden="1"/>
    <col min="3841" max="3841" width="1.7109375" style="327" hidden="1" customWidth="1"/>
    <col min="3842" max="3842" width="0.85546875" style="327" hidden="1" customWidth="1"/>
    <col min="3843" max="3858" width="2.7109375" style="327" hidden="1" customWidth="1"/>
    <col min="3859" max="3859" width="4" style="327" hidden="1" customWidth="1"/>
    <col min="3860" max="3863" width="2.7109375" style="327" hidden="1" customWidth="1"/>
    <col min="3864" max="3864" width="2.28515625" style="327" hidden="1" customWidth="1"/>
    <col min="3865" max="3868" width="2.7109375" style="327" hidden="1" customWidth="1"/>
    <col min="3869" max="3869" width="2.28515625" style="327" hidden="1" customWidth="1"/>
    <col min="3870" max="3873" width="2.7109375" style="327" hidden="1" customWidth="1"/>
    <col min="3874" max="3879" width="2.28515625" style="327" hidden="1" customWidth="1"/>
    <col min="3880" max="3880" width="1.7109375" style="327" hidden="1" customWidth="1"/>
    <col min="3881" max="4096" width="2.7109375" style="327" hidden="1"/>
    <col min="4097" max="4097" width="1.7109375" style="327" hidden="1" customWidth="1"/>
    <col min="4098" max="4098" width="0.85546875" style="327" hidden="1" customWidth="1"/>
    <col min="4099" max="4114" width="2.7109375" style="327" hidden="1" customWidth="1"/>
    <col min="4115" max="4115" width="4" style="327" hidden="1" customWidth="1"/>
    <col min="4116" max="4119" width="2.7109375" style="327" hidden="1" customWidth="1"/>
    <col min="4120" max="4120" width="2.28515625" style="327" hidden="1" customWidth="1"/>
    <col min="4121" max="4124" width="2.7109375" style="327" hidden="1" customWidth="1"/>
    <col min="4125" max="4125" width="2.28515625" style="327" hidden="1" customWidth="1"/>
    <col min="4126" max="4129" width="2.7109375" style="327" hidden="1" customWidth="1"/>
    <col min="4130" max="4135" width="2.28515625" style="327" hidden="1" customWidth="1"/>
    <col min="4136" max="4136" width="1.7109375" style="327" hidden="1" customWidth="1"/>
    <col min="4137" max="4352" width="2.7109375" style="327" hidden="1"/>
    <col min="4353" max="4353" width="1.7109375" style="327" hidden="1" customWidth="1"/>
    <col min="4354" max="4354" width="0.85546875" style="327" hidden="1" customWidth="1"/>
    <col min="4355" max="4370" width="2.7109375" style="327" hidden="1" customWidth="1"/>
    <col min="4371" max="4371" width="4" style="327" hidden="1" customWidth="1"/>
    <col min="4372" max="4375" width="2.7109375" style="327" hidden="1" customWidth="1"/>
    <col min="4376" max="4376" width="2.28515625" style="327" hidden="1" customWidth="1"/>
    <col min="4377" max="4380" width="2.7109375" style="327" hidden="1" customWidth="1"/>
    <col min="4381" max="4381" width="2.28515625" style="327" hidden="1" customWidth="1"/>
    <col min="4382" max="4385" width="2.7109375" style="327" hidden="1" customWidth="1"/>
    <col min="4386" max="4391" width="2.28515625" style="327" hidden="1" customWidth="1"/>
    <col min="4392" max="4392" width="1.7109375" style="327" hidden="1" customWidth="1"/>
    <col min="4393" max="4608" width="2.7109375" style="327" hidden="1"/>
    <col min="4609" max="4609" width="1.7109375" style="327" hidden="1" customWidth="1"/>
    <col min="4610" max="4610" width="0.85546875" style="327" hidden="1" customWidth="1"/>
    <col min="4611" max="4626" width="2.7109375" style="327" hidden="1" customWidth="1"/>
    <col min="4627" max="4627" width="4" style="327" hidden="1" customWidth="1"/>
    <col min="4628" max="4631" width="2.7109375" style="327" hidden="1" customWidth="1"/>
    <col min="4632" max="4632" width="2.28515625" style="327" hidden="1" customWidth="1"/>
    <col min="4633" max="4636" width="2.7109375" style="327" hidden="1" customWidth="1"/>
    <col min="4637" max="4637" width="2.28515625" style="327" hidden="1" customWidth="1"/>
    <col min="4638" max="4641" width="2.7109375" style="327" hidden="1" customWidth="1"/>
    <col min="4642" max="4647" width="2.28515625" style="327" hidden="1" customWidth="1"/>
    <col min="4648" max="4648" width="1.7109375" style="327" hidden="1" customWidth="1"/>
    <col min="4649" max="4864" width="2.7109375" style="327" hidden="1"/>
    <col min="4865" max="4865" width="1.7109375" style="327" hidden="1" customWidth="1"/>
    <col min="4866" max="4866" width="0.85546875" style="327" hidden="1" customWidth="1"/>
    <col min="4867" max="4882" width="2.7109375" style="327" hidden="1" customWidth="1"/>
    <col min="4883" max="4883" width="4" style="327" hidden="1" customWidth="1"/>
    <col min="4884" max="4887" width="2.7109375" style="327" hidden="1" customWidth="1"/>
    <col min="4888" max="4888" width="2.28515625" style="327" hidden="1" customWidth="1"/>
    <col min="4889" max="4892" width="2.7109375" style="327" hidden="1" customWidth="1"/>
    <col min="4893" max="4893" width="2.28515625" style="327" hidden="1" customWidth="1"/>
    <col min="4894" max="4897" width="2.7109375" style="327" hidden="1" customWidth="1"/>
    <col min="4898" max="4903" width="2.28515625" style="327" hidden="1" customWidth="1"/>
    <col min="4904" max="4904" width="1.7109375" style="327" hidden="1" customWidth="1"/>
    <col min="4905" max="5120" width="2.7109375" style="327" hidden="1"/>
    <col min="5121" max="5121" width="1.7109375" style="327" hidden="1" customWidth="1"/>
    <col min="5122" max="5122" width="0.85546875" style="327" hidden="1" customWidth="1"/>
    <col min="5123" max="5138" width="2.7109375" style="327" hidden="1" customWidth="1"/>
    <col min="5139" max="5139" width="4" style="327" hidden="1" customWidth="1"/>
    <col min="5140" max="5143" width="2.7109375" style="327" hidden="1" customWidth="1"/>
    <col min="5144" max="5144" width="2.28515625" style="327" hidden="1" customWidth="1"/>
    <col min="5145" max="5148" width="2.7109375" style="327" hidden="1" customWidth="1"/>
    <col min="5149" max="5149" width="2.28515625" style="327" hidden="1" customWidth="1"/>
    <col min="5150" max="5153" width="2.7109375" style="327" hidden="1" customWidth="1"/>
    <col min="5154" max="5159" width="2.28515625" style="327" hidden="1" customWidth="1"/>
    <col min="5160" max="5160" width="1.7109375" style="327" hidden="1" customWidth="1"/>
    <col min="5161" max="5376" width="2.7109375" style="327" hidden="1"/>
    <col min="5377" max="5377" width="1.7109375" style="327" hidden="1" customWidth="1"/>
    <col min="5378" max="5378" width="0.85546875" style="327" hidden="1" customWidth="1"/>
    <col min="5379" max="5394" width="2.7109375" style="327" hidden="1" customWidth="1"/>
    <col min="5395" max="5395" width="4" style="327" hidden="1" customWidth="1"/>
    <col min="5396" max="5399" width="2.7109375" style="327" hidden="1" customWidth="1"/>
    <col min="5400" max="5400" width="2.28515625" style="327" hidden="1" customWidth="1"/>
    <col min="5401" max="5404" width="2.7109375" style="327" hidden="1" customWidth="1"/>
    <col min="5405" max="5405" width="2.28515625" style="327" hidden="1" customWidth="1"/>
    <col min="5406" max="5409" width="2.7109375" style="327" hidden="1" customWidth="1"/>
    <col min="5410" max="5415" width="2.28515625" style="327" hidden="1" customWidth="1"/>
    <col min="5416" max="5416" width="1.7109375" style="327" hidden="1" customWidth="1"/>
    <col min="5417" max="5632" width="2.7109375" style="327" hidden="1"/>
    <col min="5633" max="5633" width="1.7109375" style="327" hidden="1" customWidth="1"/>
    <col min="5634" max="5634" width="0.85546875" style="327" hidden="1" customWidth="1"/>
    <col min="5635" max="5650" width="2.7109375" style="327" hidden="1" customWidth="1"/>
    <col min="5651" max="5651" width="4" style="327" hidden="1" customWidth="1"/>
    <col min="5652" max="5655" width="2.7109375" style="327" hidden="1" customWidth="1"/>
    <col min="5656" max="5656" width="2.28515625" style="327" hidden="1" customWidth="1"/>
    <col min="5657" max="5660" width="2.7109375" style="327" hidden="1" customWidth="1"/>
    <col min="5661" max="5661" width="2.28515625" style="327" hidden="1" customWidth="1"/>
    <col min="5662" max="5665" width="2.7109375" style="327" hidden="1" customWidth="1"/>
    <col min="5666" max="5671" width="2.28515625" style="327" hidden="1" customWidth="1"/>
    <col min="5672" max="5672" width="1.7109375" style="327" hidden="1" customWidth="1"/>
    <col min="5673" max="5888" width="2.7109375" style="327" hidden="1"/>
    <col min="5889" max="5889" width="1.7109375" style="327" hidden="1" customWidth="1"/>
    <col min="5890" max="5890" width="0.85546875" style="327" hidden="1" customWidth="1"/>
    <col min="5891" max="5906" width="2.7109375" style="327" hidden="1" customWidth="1"/>
    <col min="5907" max="5907" width="4" style="327" hidden="1" customWidth="1"/>
    <col min="5908" max="5911" width="2.7109375" style="327" hidden="1" customWidth="1"/>
    <col min="5912" max="5912" width="2.28515625" style="327" hidden="1" customWidth="1"/>
    <col min="5913" max="5916" width="2.7109375" style="327" hidden="1" customWidth="1"/>
    <col min="5917" max="5917" width="2.28515625" style="327" hidden="1" customWidth="1"/>
    <col min="5918" max="5921" width="2.7109375" style="327" hidden="1" customWidth="1"/>
    <col min="5922" max="5927" width="2.28515625" style="327" hidden="1" customWidth="1"/>
    <col min="5928" max="5928" width="1.7109375" style="327" hidden="1" customWidth="1"/>
    <col min="5929" max="6144" width="2.7109375" style="327" hidden="1"/>
    <col min="6145" max="6145" width="1.7109375" style="327" hidden="1" customWidth="1"/>
    <col min="6146" max="6146" width="0.85546875" style="327" hidden="1" customWidth="1"/>
    <col min="6147" max="6162" width="2.7109375" style="327" hidden="1" customWidth="1"/>
    <col min="6163" max="6163" width="4" style="327" hidden="1" customWidth="1"/>
    <col min="6164" max="6167" width="2.7109375" style="327" hidden="1" customWidth="1"/>
    <col min="6168" max="6168" width="2.28515625" style="327" hidden="1" customWidth="1"/>
    <col min="6169" max="6172" width="2.7109375" style="327" hidden="1" customWidth="1"/>
    <col min="6173" max="6173" width="2.28515625" style="327" hidden="1" customWidth="1"/>
    <col min="6174" max="6177" width="2.7109375" style="327" hidden="1" customWidth="1"/>
    <col min="6178" max="6183" width="2.28515625" style="327" hidden="1" customWidth="1"/>
    <col min="6184" max="6184" width="1.7109375" style="327" hidden="1" customWidth="1"/>
    <col min="6185" max="6400" width="2.7109375" style="327" hidden="1"/>
    <col min="6401" max="6401" width="1.7109375" style="327" hidden="1" customWidth="1"/>
    <col min="6402" max="6402" width="0.85546875" style="327" hidden="1" customWidth="1"/>
    <col min="6403" max="6418" width="2.7109375" style="327" hidden="1" customWidth="1"/>
    <col min="6419" max="6419" width="4" style="327" hidden="1" customWidth="1"/>
    <col min="6420" max="6423" width="2.7109375" style="327" hidden="1" customWidth="1"/>
    <col min="6424" max="6424" width="2.28515625" style="327" hidden="1" customWidth="1"/>
    <col min="6425" max="6428" width="2.7109375" style="327" hidden="1" customWidth="1"/>
    <col min="6429" max="6429" width="2.28515625" style="327" hidden="1" customWidth="1"/>
    <col min="6430" max="6433" width="2.7109375" style="327" hidden="1" customWidth="1"/>
    <col min="6434" max="6439" width="2.28515625" style="327" hidden="1" customWidth="1"/>
    <col min="6440" max="6440" width="1.7109375" style="327" hidden="1" customWidth="1"/>
    <col min="6441" max="6656" width="2.7109375" style="327" hidden="1"/>
    <col min="6657" max="6657" width="1.7109375" style="327" hidden="1" customWidth="1"/>
    <col min="6658" max="6658" width="0.85546875" style="327" hidden="1" customWidth="1"/>
    <col min="6659" max="6674" width="2.7109375" style="327" hidden="1" customWidth="1"/>
    <col min="6675" max="6675" width="4" style="327" hidden="1" customWidth="1"/>
    <col min="6676" max="6679" width="2.7109375" style="327" hidden="1" customWidth="1"/>
    <col min="6680" max="6680" width="2.28515625" style="327" hidden="1" customWidth="1"/>
    <col min="6681" max="6684" width="2.7109375" style="327" hidden="1" customWidth="1"/>
    <col min="6685" max="6685" width="2.28515625" style="327" hidden="1" customWidth="1"/>
    <col min="6686" max="6689" width="2.7109375" style="327" hidden="1" customWidth="1"/>
    <col min="6690" max="6695" width="2.28515625" style="327" hidden="1" customWidth="1"/>
    <col min="6696" max="6696" width="1.7109375" style="327" hidden="1" customWidth="1"/>
    <col min="6697" max="6912" width="2.7109375" style="327" hidden="1"/>
    <col min="6913" max="6913" width="1.7109375" style="327" hidden="1" customWidth="1"/>
    <col min="6914" max="6914" width="0.85546875" style="327" hidden="1" customWidth="1"/>
    <col min="6915" max="6930" width="2.7109375" style="327" hidden="1" customWidth="1"/>
    <col min="6931" max="6931" width="4" style="327" hidden="1" customWidth="1"/>
    <col min="6932" max="6935" width="2.7109375" style="327" hidden="1" customWidth="1"/>
    <col min="6936" max="6936" width="2.28515625" style="327" hidden="1" customWidth="1"/>
    <col min="6937" max="6940" width="2.7109375" style="327" hidden="1" customWidth="1"/>
    <col min="6941" max="6941" width="2.28515625" style="327" hidden="1" customWidth="1"/>
    <col min="6942" max="6945" width="2.7109375" style="327" hidden="1" customWidth="1"/>
    <col min="6946" max="6951" width="2.28515625" style="327" hidden="1" customWidth="1"/>
    <col min="6952" max="6952" width="1.7109375" style="327" hidden="1" customWidth="1"/>
    <col min="6953" max="7168" width="2.7109375" style="327" hidden="1"/>
    <col min="7169" max="7169" width="1.7109375" style="327" hidden="1" customWidth="1"/>
    <col min="7170" max="7170" width="0.85546875" style="327" hidden="1" customWidth="1"/>
    <col min="7171" max="7186" width="2.7109375" style="327" hidden="1" customWidth="1"/>
    <col min="7187" max="7187" width="4" style="327" hidden="1" customWidth="1"/>
    <col min="7188" max="7191" width="2.7109375" style="327" hidden="1" customWidth="1"/>
    <col min="7192" max="7192" width="2.28515625" style="327" hidden="1" customWidth="1"/>
    <col min="7193" max="7196" width="2.7109375" style="327" hidden="1" customWidth="1"/>
    <col min="7197" max="7197" width="2.28515625" style="327" hidden="1" customWidth="1"/>
    <col min="7198" max="7201" width="2.7109375" style="327" hidden="1" customWidth="1"/>
    <col min="7202" max="7207" width="2.28515625" style="327" hidden="1" customWidth="1"/>
    <col min="7208" max="7208" width="1.7109375" style="327" hidden="1" customWidth="1"/>
    <col min="7209" max="7424" width="2.7109375" style="327" hidden="1"/>
    <col min="7425" max="7425" width="1.7109375" style="327" hidden="1" customWidth="1"/>
    <col min="7426" max="7426" width="0.85546875" style="327" hidden="1" customWidth="1"/>
    <col min="7427" max="7442" width="2.7109375" style="327" hidden="1" customWidth="1"/>
    <col min="7443" max="7443" width="4" style="327" hidden="1" customWidth="1"/>
    <col min="7444" max="7447" width="2.7109375" style="327" hidden="1" customWidth="1"/>
    <col min="7448" max="7448" width="2.28515625" style="327" hidden="1" customWidth="1"/>
    <col min="7449" max="7452" width="2.7109375" style="327" hidden="1" customWidth="1"/>
    <col min="7453" max="7453" width="2.28515625" style="327" hidden="1" customWidth="1"/>
    <col min="7454" max="7457" width="2.7109375" style="327" hidden="1" customWidth="1"/>
    <col min="7458" max="7463" width="2.28515625" style="327" hidden="1" customWidth="1"/>
    <col min="7464" max="7464" width="1.7109375" style="327" hidden="1" customWidth="1"/>
    <col min="7465" max="7680" width="2.7109375" style="327" hidden="1"/>
    <col min="7681" max="7681" width="1.7109375" style="327" hidden="1" customWidth="1"/>
    <col min="7682" max="7682" width="0.85546875" style="327" hidden="1" customWidth="1"/>
    <col min="7683" max="7698" width="2.7109375" style="327" hidden="1" customWidth="1"/>
    <col min="7699" max="7699" width="4" style="327" hidden="1" customWidth="1"/>
    <col min="7700" max="7703" width="2.7109375" style="327" hidden="1" customWidth="1"/>
    <col min="7704" max="7704" width="2.28515625" style="327" hidden="1" customWidth="1"/>
    <col min="7705" max="7708" width="2.7109375" style="327" hidden="1" customWidth="1"/>
    <col min="7709" max="7709" width="2.28515625" style="327" hidden="1" customWidth="1"/>
    <col min="7710" max="7713" width="2.7109375" style="327" hidden="1" customWidth="1"/>
    <col min="7714" max="7719" width="2.28515625" style="327" hidden="1" customWidth="1"/>
    <col min="7720" max="7720" width="1.7109375" style="327" hidden="1" customWidth="1"/>
    <col min="7721" max="7936" width="2.7109375" style="327" hidden="1"/>
    <col min="7937" max="7937" width="1.7109375" style="327" hidden="1" customWidth="1"/>
    <col min="7938" max="7938" width="0.85546875" style="327" hidden="1" customWidth="1"/>
    <col min="7939" max="7954" width="2.7109375" style="327" hidden="1" customWidth="1"/>
    <col min="7955" max="7955" width="4" style="327" hidden="1" customWidth="1"/>
    <col min="7956" max="7959" width="2.7109375" style="327" hidden="1" customWidth="1"/>
    <col min="7960" max="7960" width="2.28515625" style="327" hidden="1" customWidth="1"/>
    <col min="7961" max="7964" width="2.7109375" style="327" hidden="1" customWidth="1"/>
    <col min="7965" max="7965" width="2.28515625" style="327" hidden="1" customWidth="1"/>
    <col min="7966" max="7969" width="2.7109375" style="327" hidden="1" customWidth="1"/>
    <col min="7970" max="7975" width="2.28515625" style="327" hidden="1" customWidth="1"/>
    <col min="7976" max="7976" width="1.7109375" style="327" hidden="1" customWidth="1"/>
    <col min="7977" max="8192" width="2.7109375" style="327" hidden="1"/>
    <col min="8193" max="8193" width="1.7109375" style="327" hidden="1" customWidth="1"/>
    <col min="8194" max="8194" width="0.85546875" style="327" hidden="1" customWidth="1"/>
    <col min="8195" max="8210" width="2.7109375" style="327" hidden="1" customWidth="1"/>
    <col min="8211" max="8211" width="4" style="327" hidden="1" customWidth="1"/>
    <col min="8212" max="8215" width="2.7109375" style="327" hidden="1" customWidth="1"/>
    <col min="8216" max="8216" width="2.28515625" style="327" hidden="1" customWidth="1"/>
    <col min="8217" max="8220" width="2.7109375" style="327" hidden="1" customWidth="1"/>
    <col min="8221" max="8221" width="2.28515625" style="327" hidden="1" customWidth="1"/>
    <col min="8222" max="8225" width="2.7109375" style="327" hidden="1" customWidth="1"/>
    <col min="8226" max="8231" width="2.28515625" style="327" hidden="1" customWidth="1"/>
    <col min="8232" max="8232" width="1.7109375" style="327" hidden="1" customWidth="1"/>
    <col min="8233" max="8448" width="2.7109375" style="327" hidden="1"/>
    <col min="8449" max="8449" width="1.7109375" style="327" hidden="1" customWidth="1"/>
    <col min="8450" max="8450" width="0.85546875" style="327" hidden="1" customWidth="1"/>
    <col min="8451" max="8466" width="2.7109375" style="327" hidden="1" customWidth="1"/>
    <col min="8467" max="8467" width="4" style="327" hidden="1" customWidth="1"/>
    <col min="8468" max="8471" width="2.7109375" style="327" hidden="1" customWidth="1"/>
    <col min="8472" max="8472" width="2.28515625" style="327" hidden="1" customWidth="1"/>
    <col min="8473" max="8476" width="2.7109375" style="327" hidden="1" customWidth="1"/>
    <col min="8477" max="8477" width="2.28515625" style="327" hidden="1" customWidth="1"/>
    <col min="8478" max="8481" width="2.7109375" style="327" hidden="1" customWidth="1"/>
    <col min="8482" max="8487" width="2.28515625" style="327" hidden="1" customWidth="1"/>
    <col min="8488" max="8488" width="1.7109375" style="327" hidden="1" customWidth="1"/>
    <col min="8489" max="8704" width="2.7109375" style="327" hidden="1"/>
    <col min="8705" max="8705" width="1.7109375" style="327" hidden="1" customWidth="1"/>
    <col min="8706" max="8706" width="0.85546875" style="327" hidden="1" customWidth="1"/>
    <col min="8707" max="8722" width="2.7109375" style="327" hidden="1" customWidth="1"/>
    <col min="8723" max="8723" width="4" style="327" hidden="1" customWidth="1"/>
    <col min="8724" max="8727" width="2.7109375" style="327" hidden="1" customWidth="1"/>
    <col min="8728" max="8728" width="2.28515625" style="327" hidden="1" customWidth="1"/>
    <col min="8729" max="8732" width="2.7109375" style="327" hidden="1" customWidth="1"/>
    <col min="8733" max="8733" width="2.28515625" style="327" hidden="1" customWidth="1"/>
    <col min="8734" max="8737" width="2.7109375" style="327" hidden="1" customWidth="1"/>
    <col min="8738" max="8743" width="2.28515625" style="327" hidden="1" customWidth="1"/>
    <col min="8744" max="8744" width="1.7109375" style="327" hidden="1" customWidth="1"/>
    <col min="8745" max="8960" width="2.7109375" style="327" hidden="1"/>
    <col min="8961" max="8961" width="1.7109375" style="327" hidden="1" customWidth="1"/>
    <col min="8962" max="8962" width="0.85546875" style="327" hidden="1" customWidth="1"/>
    <col min="8963" max="8978" width="2.7109375" style="327" hidden="1" customWidth="1"/>
    <col min="8979" max="8979" width="4" style="327" hidden="1" customWidth="1"/>
    <col min="8980" max="8983" width="2.7109375" style="327" hidden="1" customWidth="1"/>
    <col min="8984" max="8984" width="2.28515625" style="327" hidden="1" customWidth="1"/>
    <col min="8985" max="8988" width="2.7109375" style="327" hidden="1" customWidth="1"/>
    <col min="8989" max="8989" width="2.28515625" style="327" hidden="1" customWidth="1"/>
    <col min="8990" max="8993" width="2.7109375" style="327" hidden="1" customWidth="1"/>
    <col min="8994" max="8999" width="2.28515625" style="327" hidden="1" customWidth="1"/>
    <col min="9000" max="9000" width="1.7109375" style="327" hidden="1" customWidth="1"/>
    <col min="9001" max="9216" width="2.7109375" style="327" hidden="1"/>
    <col min="9217" max="9217" width="1.7109375" style="327" hidden="1" customWidth="1"/>
    <col min="9218" max="9218" width="0.85546875" style="327" hidden="1" customWidth="1"/>
    <col min="9219" max="9234" width="2.7109375" style="327" hidden="1" customWidth="1"/>
    <col min="9235" max="9235" width="4" style="327" hidden="1" customWidth="1"/>
    <col min="9236" max="9239" width="2.7109375" style="327" hidden="1" customWidth="1"/>
    <col min="9240" max="9240" width="2.28515625" style="327" hidden="1" customWidth="1"/>
    <col min="9241" max="9244" width="2.7109375" style="327" hidden="1" customWidth="1"/>
    <col min="9245" max="9245" width="2.28515625" style="327" hidden="1" customWidth="1"/>
    <col min="9246" max="9249" width="2.7109375" style="327" hidden="1" customWidth="1"/>
    <col min="9250" max="9255" width="2.28515625" style="327" hidden="1" customWidth="1"/>
    <col min="9256" max="9256" width="1.7109375" style="327" hidden="1" customWidth="1"/>
    <col min="9257" max="9472" width="2.7109375" style="327" hidden="1"/>
    <col min="9473" max="9473" width="1.7109375" style="327" hidden="1" customWidth="1"/>
    <col min="9474" max="9474" width="0.85546875" style="327" hidden="1" customWidth="1"/>
    <col min="9475" max="9490" width="2.7109375" style="327" hidden="1" customWidth="1"/>
    <col min="9491" max="9491" width="4" style="327" hidden="1" customWidth="1"/>
    <col min="9492" max="9495" width="2.7109375" style="327" hidden="1" customWidth="1"/>
    <col min="9496" max="9496" width="2.28515625" style="327" hidden="1" customWidth="1"/>
    <col min="9497" max="9500" width="2.7109375" style="327" hidden="1" customWidth="1"/>
    <col min="9501" max="9501" width="2.28515625" style="327" hidden="1" customWidth="1"/>
    <col min="9502" max="9505" width="2.7109375" style="327" hidden="1" customWidth="1"/>
    <col min="9506" max="9511" width="2.28515625" style="327" hidden="1" customWidth="1"/>
    <col min="9512" max="9512" width="1.7109375" style="327" hidden="1" customWidth="1"/>
    <col min="9513" max="9728" width="2.7109375" style="327" hidden="1"/>
    <col min="9729" max="9729" width="1.7109375" style="327" hidden="1" customWidth="1"/>
    <col min="9730" max="9730" width="0.85546875" style="327" hidden="1" customWidth="1"/>
    <col min="9731" max="9746" width="2.7109375" style="327" hidden="1" customWidth="1"/>
    <col min="9747" max="9747" width="4" style="327" hidden="1" customWidth="1"/>
    <col min="9748" max="9751" width="2.7109375" style="327" hidden="1" customWidth="1"/>
    <col min="9752" max="9752" width="2.28515625" style="327" hidden="1" customWidth="1"/>
    <col min="9753" max="9756" width="2.7109375" style="327" hidden="1" customWidth="1"/>
    <col min="9757" max="9757" width="2.28515625" style="327" hidden="1" customWidth="1"/>
    <col min="9758" max="9761" width="2.7109375" style="327" hidden="1" customWidth="1"/>
    <col min="9762" max="9767" width="2.28515625" style="327" hidden="1" customWidth="1"/>
    <col min="9768" max="9768" width="1.7109375" style="327" hidden="1" customWidth="1"/>
    <col min="9769" max="9984" width="2.7109375" style="327" hidden="1"/>
    <col min="9985" max="9985" width="1.7109375" style="327" hidden="1" customWidth="1"/>
    <col min="9986" max="9986" width="0.85546875" style="327" hidden="1" customWidth="1"/>
    <col min="9987" max="10002" width="2.7109375" style="327" hidden="1" customWidth="1"/>
    <col min="10003" max="10003" width="4" style="327" hidden="1" customWidth="1"/>
    <col min="10004" max="10007" width="2.7109375" style="327" hidden="1" customWidth="1"/>
    <col min="10008" max="10008" width="2.28515625" style="327" hidden="1" customWidth="1"/>
    <col min="10009" max="10012" width="2.7109375" style="327" hidden="1" customWidth="1"/>
    <col min="10013" max="10013" width="2.28515625" style="327" hidden="1" customWidth="1"/>
    <col min="10014" max="10017" width="2.7109375" style="327" hidden="1" customWidth="1"/>
    <col min="10018" max="10023" width="2.28515625" style="327" hidden="1" customWidth="1"/>
    <col min="10024" max="10024" width="1.7109375" style="327" hidden="1" customWidth="1"/>
    <col min="10025" max="10240" width="2.7109375" style="327" hidden="1"/>
    <col min="10241" max="10241" width="1.7109375" style="327" hidden="1" customWidth="1"/>
    <col min="10242" max="10242" width="0.85546875" style="327" hidden="1" customWidth="1"/>
    <col min="10243" max="10258" width="2.7109375" style="327" hidden="1" customWidth="1"/>
    <col min="10259" max="10259" width="4" style="327" hidden="1" customWidth="1"/>
    <col min="10260" max="10263" width="2.7109375" style="327" hidden="1" customWidth="1"/>
    <col min="10264" max="10264" width="2.28515625" style="327" hidden="1" customWidth="1"/>
    <col min="10265" max="10268" width="2.7109375" style="327" hidden="1" customWidth="1"/>
    <col min="10269" max="10269" width="2.28515625" style="327" hidden="1" customWidth="1"/>
    <col min="10270" max="10273" width="2.7109375" style="327" hidden="1" customWidth="1"/>
    <col min="10274" max="10279" width="2.28515625" style="327" hidden="1" customWidth="1"/>
    <col min="10280" max="10280" width="1.7109375" style="327" hidden="1" customWidth="1"/>
    <col min="10281" max="10496" width="2.7109375" style="327" hidden="1"/>
    <col min="10497" max="10497" width="1.7109375" style="327" hidden="1" customWidth="1"/>
    <col min="10498" max="10498" width="0.85546875" style="327" hidden="1" customWidth="1"/>
    <col min="10499" max="10514" width="2.7109375" style="327" hidden="1" customWidth="1"/>
    <col min="10515" max="10515" width="4" style="327" hidden="1" customWidth="1"/>
    <col min="10516" max="10519" width="2.7109375" style="327" hidden="1" customWidth="1"/>
    <col min="10520" max="10520" width="2.28515625" style="327" hidden="1" customWidth="1"/>
    <col min="10521" max="10524" width="2.7109375" style="327" hidden="1" customWidth="1"/>
    <col min="10525" max="10525" width="2.28515625" style="327" hidden="1" customWidth="1"/>
    <col min="10526" max="10529" width="2.7109375" style="327" hidden="1" customWidth="1"/>
    <col min="10530" max="10535" width="2.28515625" style="327" hidden="1" customWidth="1"/>
    <col min="10536" max="10536" width="1.7109375" style="327" hidden="1" customWidth="1"/>
    <col min="10537" max="10752" width="2.7109375" style="327" hidden="1"/>
    <col min="10753" max="10753" width="1.7109375" style="327" hidden="1" customWidth="1"/>
    <col min="10754" max="10754" width="0.85546875" style="327" hidden="1" customWidth="1"/>
    <col min="10755" max="10770" width="2.7109375" style="327" hidden="1" customWidth="1"/>
    <col min="10771" max="10771" width="4" style="327" hidden="1" customWidth="1"/>
    <col min="10772" max="10775" width="2.7109375" style="327" hidden="1" customWidth="1"/>
    <col min="10776" max="10776" width="2.28515625" style="327" hidden="1" customWidth="1"/>
    <col min="10777" max="10780" width="2.7109375" style="327" hidden="1" customWidth="1"/>
    <col min="10781" max="10781" width="2.28515625" style="327" hidden="1" customWidth="1"/>
    <col min="10782" max="10785" width="2.7109375" style="327" hidden="1" customWidth="1"/>
    <col min="10786" max="10791" width="2.28515625" style="327" hidden="1" customWidth="1"/>
    <col min="10792" max="10792" width="1.7109375" style="327" hidden="1" customWidth="1"/>
    <col min="10793" max="11008" width="2.7109375" style="327" hidden="1"/>
    <col min="11009" max="11009" width="1.7109375" style="327" hidden="1" customWidth="1"/>
    <col min="11010" max="11010" width="0.85546875" style="327" hidden="1" customWidth="1"/>
    <col min="11011" max="11026" width="2.7109375" style="327" hidden="1" customWidth="1"/>
    <col min="11027" max="11027" width="4" style="327" hidden="1" customWidth="1"/>
    <col min="11028" max="11031" width="2.7109375" style="327" hidden="1" customWidth="1"/>
    <col min="11032" max="11032" width="2.28515625" style="327" hidden="1" customWidth="1"/>
    <col min="11033" max="11036" width="2.7109375" style="327" hidden="1" customWidth="1"/>
    <col min="11037" max="11037" width="2.28515625" style="327" hidden="1" customWidth="1"/>
    <col min="11038" max="11041" width="2.7109375" style="327" hidden="1" customWidth="1"/>
    <col min="11042" max="11047" width="2.28515625" style="327" hidden="1" customWidth="1"/>
    <col min="11048" max="11048" width="1.7109375" style="327" hidden="1" customWidth="1"/>
    <col min="11049" max="11264" width="2.7109375" style="327" hidden="1"/>
    <col min="11265" max="11265" width="1.7109375" style="327" hidden="1" customWidth="1"/>
    <col min="11266" max="11266" width="0.85546875" style="327" hidden="1" customWidth="1"/>
    <col min="11267" max="11282" width="2.7109375" style="327" hidden="1" customWidth="1"/>
    <col min="11283" max="11283" width="4" style="327" hidden="1" customWidth="1"/>
    <col min="11284" max="11287" width="2.7109375" style="327" hidden="1" customWidth="1"/>
    <col min="11288" max="11288" width="2.28515625" style="327" hidden="1" customWidth="1"/>
    <col min="11289" max="11292" width="2.7109375" style="327" hidden="1" customWidth="1"/>
    <col min="11293" max="11293" width="2.28515625" style="327" hidden="1" customWidth="1"/>
    <col min="11294" max="11297" width="2.7109375" style="327" hidden="1" customWidth="1"/>
    <col min="11298" max="11303" width="2.28515625" style="327" hidden="1" customWidth="1"/>
    <col min="11304" max="11304" width="1.7109375" style="327" hidden="1" customWidth="1"/>
    <col min="11305" max="11520" width="2.7109375" style="327" hidden="1"/>
    <col min="11521" max="11521" width="1.7109375" style="327" hidden="1" customWidth="1"/>
    <col min="11522" max="11522" width="0.85546875" style="327" hidden="1" customWidth="1"/>
    <col min="11523" max="11538" width="2.7109375" style="327" hidden="1" customWidth="1"/>
    <col min="11539" max="11539" width="4" style="327" hidden="1" customWidth="1"/>
    <col min="11540" max="11543" width="2.7109375" style="327" hidden="1" customWidth="1"/>
    <col min="11544" max="11544" width="2.28515625" style="327" hidden="1" customWidth="1"/>
    <col min="11545" max="11548" width="2.7109375" style="327" hidden="1" customWidth="1"/>
    <col min="11549" max="11549" width="2.28515625" style="327" hidden="1" customWidth="1"/>
    <col min="11550" max="11553" width="2.7109375" style="327" hidden="1" customWidth="1"/>
    <col min="11554" max="11559" width="2.28515625" style="327" hidden="1" customWidth="1"/>
    <col min="11560" max="11560" width="1.7109375" style="327" hidden="1" customWidth="1"/>
    <col min="11561" max="11776" width="2.7109375" style="327" hidden="1"/>
    <col min="11777" max="11777" width="1.7109375" style="327" hidden="1" customWidth="1"/>
    <col min="11778" max="11778" width="0.85546875" style="327" hidden="1" customWidth="1"/>
    <col min="11779" max="11794" width="2.7109375" style="327" hidden="1" customWidth="1"/>
    <col min="11795" max="11795" width="4" style="327" hidden="1" customWidth="1"/>
    <col min="11796" max="11799" width="2.7109375" style="327" hidden="1" customWidth="1"/>
    <col min="11800" max="11800" width="2.28515625" style="327" hidden="1" customWidth="1"/>
    <col min="11801" max="11804" width="2.7109375" style="327" hidden="1" customWidth="1"/>
    <col min="11805" max="11805" width="2.28515625" style="327" hidden="1" customWidth="1"/>
    <col min="11806" max="11809" width="2.7109375" style="327" hidden="1" customWidth="1"/>
    <col min="11810" max="11815" width="2.28515625" style="327" hidden="1" customWidth="1"/>
    <col min="11816" max="11816" width="1.7109375" style="327" hidden="1" customWidth="1"/>
    <col min="11817" max="12032" width="2.7109375" style="327" hidden="1"/>
    <col min="12033" max="12033" width="1.7109375" style="327" hidden="1" customWidth="1"/>
    <col min="12034" max="12034" width="0.85546875" style="327" hidden="1" customWidth="1"/>
    <col min="12035" max="12050" width="2.7109375" style="327" hidden="1" customWidth="1"/>
    <col min="12051" max="12051" width="4" style="327" hidden="1" customWidth="1"/>
    <col min="12052" max="12055" width="2.7109375" style="327" hidden="1" customWidth="1"/>
    <col min="12056" max="12056" width="2.28515625" style="327" hidden="1" customWidth="1"/>
    <col min="12057" max="12060" width="2.7109375" style="327" hidden="1" customWidth="1"/>
    <col min="12061" max="12061" width="2.28515625" style="327" hidden="1" customWidth="1"/>
    <col min="12062" max="12065" width="2.7109375" style="327" hidden="1" customWidth="1"/>
    <col min="12066" max="12071" width="2.28515625" style="327" hidden="1" customWidth="1"/>
    <col min="12072" max="12072" width="1.7109375" style="327" hidden="1" customWidth="1"/>
    <col min="12073" max="12288" width="2.7109375" style="327" hidden="1"/>
    <col min="12289" max="12289" width="1.7109375" style="327" hidden="1" customWidth="1"/>
    <col min="12290" max="12290" width="0.85546875" style="327" hidden="1" customWidth="1"/>
    <col min="12291" max="12306" width="2.7109375" style="327" hidden="1" customWidth="1"/>
    <col min="12307" max="12307" width="4" style="327" hidden="1" customWidth="1"/>
    <col min="12308" max="12311" width="2.7109375" style="327" hidden="1" customWidth="1"/>
    <col min="12312" max="12312" width="2.28515625" style="327" hidden="1" customWidth="1"/>
    <col min="12313" max="12316" width="2.7109375" style="327" hidden="1" customWidth="1"/>
    <col min="12317" max="12317" width="2.28515625" style="327" hidden="1" customWidth="1"/>
    <col min="12318" max="12321" width="2.7109375" style="327" hidden="1" customWidth="1"/>
    <col min="12322" max="12327" width="2.28515625" style="327" hidden="1" customWidth="1"/>
    <col min="12328" max="12328" width="1.7109375" style="327" hidden="1" customWidth="1"/>
    <col min="12329" max="12544" width="2.7109375" style="327" hidden="1"/>
    <col min="12545" max="12545" width="1.7109375" style="327" hidden="1" customWidth="1"/>
    <col min="12546" max="12546" width="0.85546875" style="327" hidden="1" customWidth="1"/>
    <col min="12547" max="12562" width="2.7109375" style="327" hidden="1" customWidth="1"/>
    <col min="12563" max="12563" width="4" style="327" hidden="1" customWidth="1"/>
    <col min="12564" max="12567" width="2.7109375" style="327" hidden="1" customWidth="1"/>
    <col min="12568" max="12568" width="2.28515625" style="327" hidden="1" customWidth="1"/>
    <col min="12569" max="12572" width="2.7109375" style="327" hidden="1" customWidth="1"/>
    <col min="12573" max="12573" width="2.28515625" style="327" hidden="1" customWidth="1"/>
    <col min="12574" max="12577" width="2.7109375" style="327" hidden="1" customWidth="1"/>
    <col min="12578" max="12583" width="2.28515625" style="327" hidden="1" customWidth="1"/>
    <col min="12584" max="12584" width="1.7109375" style="327" hidden="1" customWidth="1"/>
    <col min="12585" max="12800" width="2.7109375" style="327" hidden="1"/>
    <col min="12801" max="12801" width="1.7109375" style="327" hidden="1" customWidth="1"/>
    <col min="12802" max="12802" width="0.85546875" style="327" hidden="1" customWidth="1"/>
    <col min="12803" max="12818" width="2.7109375" style="327" hidden="1" customWidth="1"/>
    <col min="12819" max="12819" width="4" style="327" hidden="1" customWidth="1"/>
    <col min="12820" max="12823" width="2.7109375" style="327" hidden="1" customWidth="1"/>
    <col min="12824" max="12824" width="2.28515625" style="327" hidden="1" customWidth="1"/>
    <col min="12825" max="12828" width="2.7109375" style="327" hidden="1" customWidth="1"/>
    <col min="12829" max="12829" width="2.28515625" style="327" hidden="1" customWidth="1"/>
    <col min="12830" max="12833" width="2.7109375" style="327" hidden="1" customWidth="1"/>
    <col min="12834" max="12839" width="2.28515625" style="327" hidden="1" customWidth="1"/>
    <col min="12840" max="12840" width="1.7109375" style="327" hidden="1" customWidth="1"/>
    <col min="12841" max="13056" width="2.7109375" style="327" hidden="1"/>
    <col min="13057" max="13057" width="1.7109375" style="327" hidden="1" customWidth="1"/>
    <col min="13058" max="13058" width="0.85546875" style="327" hidden="1" customWidth="1"/>
    <col min="13059" max="13074" width="2.7109375" style="327" hidden="1" customWidth="1"/>
    <col min="13075" max="13075" width="4" style="327" hidden="1" customWidth="1"/>
    <col min="13076" max="13079" width="2.7109375" style="327" hidden="1" customWidth="1"/>
    <col min="13080" max="13080" width="2.28515625" style="327" hidden="1" customWidth="1"/>
    <col min="13081" max="13084" width="2.7109375" style="327" hidden="1" customWidth="1"/>
    <col min="13085" max="13085" width="2.28515625" style="327" hidden="1" customWidth="1"/>
    <col min="13086" max="13089" width="2.7109375" style="327" hidden="1" customWidth="1"/>
    <col min="13090" max="13095" width="2.28515625" style="327" hidden="1" customWidth="1"/>
    <col min="13096" max="13096" width="1.7109375" style="327" hidden="1" customWidth="1"/>
    <col min="13097" max="13312" width="2.7109375" style="327" hidden="1"/>
    <col min="13313" max="13313" width="1.7109375" style="327" hidden="1" customWidth="1"/>
    <col min="13314" max="13314" width="0.85546875" style="327" hidden="1" customWidth="1"/>
    <col min="13315" max="13330" width="2.7109375" style="327" hidden="1" customWidth="1"/>
    <col min="13331" max="13331" width="4" style="327" hidden="1" customWidth="1"/>
    <col min="13332" max="13335" width="2.7109375" style="327" hidden="1" customWidth="1"/>
    <col min="13336" max="13336" width="2.28515625" style="327" hidden="1" customWidth="1"/>
    <col min="13337" max="13340" width="2.7109375" style="327" hidden="1" customWidth="1"/>
    <col min="13341" max="13341" width="2.28515625" style="327" hidden="1" customWidth="1"/>
    <col min="13342" max="13345" width="2.7109375" style="327" hidden="1" customWidth="1"/>
    <col min="13346" max="13351" width="2.28515625" style="327" hidden="1" customWidth="1"/>
    <col min="13352" max="13352" width="1.7109375" style="327" hidden="1" customWidth="1"/>
    <col min="13353" max="13568" width="2.7109375" style="327" hidden="1"/>
    <col min="13569" max="13569" width="1.7109375" style="327" hidden="1" customWidth="1"/>
    <col min="13570" max="13570" width="0.85546875" style="327" hidden="1" customWidth="1"/>
    <col min="13571" max="13586" width="2.7109375" style="327" hidden="1" customWidth="1"/>
    <col min="13587" max="13587" width="4" style="327" hidden="1" customWidth="1"/>
    <col min="13588" max="13591" width="2.7109375" style="327" hidden="1" customWidth="1"/>
    <col min="13592" max="13592" width="2.28515625" style="327" hidden="1" customWidth="1"/>
    <col min="13593" max="13596" width="2.7109375" style="327" hidden="1" customWidth="1"/>
    <col min="13597" max="13597" width="2.28515625" style="327" hidden="1" customWidth="1"/>
    <col min="13598" max="13601" width="2.7109375" style="327" hidden="1" customWidth="1"/>
    <col min="13602" max="13607" width="2.28515625" style="327" hidden="1" customWidth="1"/>
    <col min="13608" max="13608" width="1.7109375" style="327" hidden="1" customWidth="1"/>
    <col min="13609" max="13824" width="2.7109375" style="327" hidden="1"/>
    <col min="13825" max="13825" width="1.7109375" style="327" hidden="1" customWidth="1"/>
    <col min="13826" max="13826" width="0.85546875" style="327" hidden="1" customWidth="1"/>
    <col min="13827" max="13842" width="2.7109375" style="327" hidden="1" customWidth="1"/>
    <col min="13843" max="13843" width="4" style="327" hidden="1" customWidth="1"/>
    <col min="13844" max="13847" width="2.7109375" style="327" hidden="1" customWidth="1"/>
    <col min="13848" max="13848" width="2.28515625" style="327" hidden="1" customWidth="1"/>
    <col min="13849" max="13852" width="2.7109375" style="327" hidden="1" customWidth="1"/>
    <col min="13853" max="13853" width="2.28515625" style="327" hidden="1" customWidth="1"/>
    <col min="13854" max="13857" width="2.7109375" style="327" hidden="1" customWidth="1"/>
    <col min="13858" max="13863" width="2.28515625" style="327" hidden="1" customWidth="1"/>
    <col min="13864" max="13864" width="1.7109375" style="327" hidden="1" customWidth="1"/>
    <col min="13865" max="14080" width="2.7109375" style="327" hidden="1"/>
    <col min="14081" max="14081" width="1.7109375" style="327" hidden="1" customWidth="1"/>
    <col min="14082" max="14082" width="0.85546875" style="327" hidden="1" customWidth="1"/>
    <col min="14083" max="14098" width="2.7109375" style="327" hidden="1" customWidth="1"/>
    <col min="14099" max="14099" width="4" style="327" hidden="1" customWidth="1"/>
    <col min="14100" max="14103" width="2.7109375" style="327" hidden="1" customWidth="1"/>
    <col min="14104" max="14104" width="2.28515625" style="327" hidden="1" customWidth="1"/>
    <col min="14105" max="14108" width="2.7109375" style="327" hidden="1" customWidth="1"/>
    <col min="14109" max="14109" width="2.28515625" style="327" hidden="1" customWidth="1"/>
    <col min="14110" max="14113" width="2.7109375" style="327" hidden="1" customWidth="1"/>
    <col min="14114" max="14119" width="2.28515625" style="327" hidden="1" customWidth="1"/>
    <col min="14120" max="14120" width="1.7109375" style="327" hidden="1" customWidth="1"/>
    <col min="14121" max="14336" width="2.7109375" style="327" hidden="1"/>
    <col min="14337" max="14337" width="1.7109375" style="327" hidden="1" customWidth="1"/>
    <col min="14338" max="14338" width="0.85546875" style="327" hidden="1" customWidth="1"/>
    <col min="14339" max="14354" width="2.7109375" style="327" hidden="1" customWidth="1"/>
    <col min="14355" max="14355" width="4" style="327" hidden="1" customWidth="1"/>
    <col min="14356" max="14359" width="2.7109375" style="327" hidden="1" customWidth="1"/>
    <col min="14360" max="14360" width="2.28515625" style="327" hidden="1" customWidth="1"/>
    <col min="14361" max="14364" width="2.7109375" style="327" hidden="1" customWidth="1"/>
    <col min="14365" max="14365" width="2.28515625" style="327" hidden="1" customWidth="1"/>
    <col min="14366" max="14369" width="2.7109375" style="327" hidden="1" customWidth="1"/>
    <col min="14370" max="14375" width="2.28515625" style="327" hidden="1" customWidth="1"/>
    <col min="14376" max="14376" width="1.7109375" style="327" hidden="1" customWidth="1"/>
    <col min="14377" max="14592" width="2.7109375" style="327" hidden="1"/>
    <col min="14593" max="14593" width="1.7109375" style="327" hidden="1" customWidth="1"/>
    <col min="14594" max="14594" width="0.85546875" style="327" hidden="1" customWidth="1"/>
    <col min="14595" max="14610" width="2.7109375" style="327" hidden="1" customWidth="1"/>
    <col min="14611" max="14611" width="4" style="327" hidden="1" customWidth="1"/>
    <col min="14612" max="14615" width="2.7109375" style="327" hidden="1" customWidth="1"/>
    <col min="14616" max="14616" width="2.28515625" style="327" hidden="1" customWidth="1"/>
    <col min="14617" max="14620" width="2.7109375" style="327" hidden="1" customWidth="1"/>
    <col min="14621" max="14621" width="2.28515625" style="327" hidden="1" customWidth="1"/>
    <col min="14622" max="14625" width="2.7109375" style="327" hidden="1" customWidth="1"/>
    <col min="14626" max="14631" width="2.28515625" style="327" hidden="1" customWidth="1"/>
    <col min="14632" max="14632" width="1.7109375" style="327" hidden="1" customWidth="1"/>
    <col min="14633" max="14848" width="2.7109375" style="327" hidden="1"/>
    <col min="14849" max="14849" width="1.7109375" style="327" hidden="1" customWidth="1"/>
    <col min="14850" max="14850" width="0.85546875" style="327" hidden="1" customWidth="1"/>
    <col min="14851" max="14866" width="2.7109375" style="327" hidden="1" customWidth="1"/>
    <col min="14867" max="14867" width="4" style="327" hidden="1" customWidth="1"/>
    <col min="14868" max="14871" width="2.7109375" style="327" hidden="1" customWidth="1"/>
    <col min="14872" max="14872" width="2.28515625" style="327" hidden="1" customWidth="1"/>
    <col min="14873" max="14876" width="2.7109375" style="327" hidden="1" customWidth="1"/>
    <col min="14877" max="14877" width="2.28515625" style="327" hidden="1" customWidth="1"/>
    <col min="14878" max="14881" width="2.7109375" style="327" hidden="1" customWidth="1"/>
    <col min="14882" max="14887" width="2.28515625" style="327" hidden="1" customWidth="1"/>
    <col min="14888" max="14888" width="1.7109375" style="327" hidden="1" customWidth="1"/>
    <col min="14889" max="15104" width="2.7109375" style="327" hidden="1"/>
    <col min="15105" max="15105" width="1.7109375" style="327" hidden="1" customWidth="1"/>
    <col min="15106" max="15106" width="0.85546875" style="327" hidden="1" customWidth="1"/>
    <col min="15107" max="15122" width="2.7109375" style="327" hidden="1" customWidth="1"/>
    <col min="15123" max="15123" width="4" style="327" hidden="1" customWidth="1"/>
    <col min="15124" max="15127" width="2.7109375" style="327" hidden="1" customWidth="1"/>
    <col min="15128" max="15128" width="2.28515625" style="327" hidden="1" customWidth="1"/>
    <col min="15129" max="15132" width="2.7109375" style="327" hidden="1" customWidth="1"/>
    <col min="15133" max="15133" width="2.28515625" style="327" hidden="1" customWidth="1"/>
    <col min="15134" max="15137" width="2.7109375" style="327" hidden="1" customWidth="1"/>
    <col min="15138" max="15143" width="2.28515625" style="327" hidden="1" customWidth="1"/>
    <col min="15144" max="15144" width="1.7109375" style="327" hidden="1" customWidth="1"/>
    <col min="15145" max="15360" width="2.7109375" style="327" hidden="1"/>
    <col min="15361" max="15361" width="1.7109375" style="327" hidden="1" customWidth="1"/>
    <col min="15362" max="15362" width="0.85546875" style="327" hidden="1" customWidth="1"/>
    <col min="15363" max="15378" width="2.7109375" style="327" hidden="1" customWidth="1"/>
    <col min="15379" max="15379" width="4" style="327" hidden="1" customWidth="1"/>
    <col min="15380" max="15383" width="2.7109375" style="327" hidden="1" customWidth="1"/>
    <col min="15384" max="15384" width="2.28515625" style="327" hidden="1" customWidth="1"/>
    <col min="15385" max="15388" width="2.7109375" style="327" hidden="1" customWidth="1"/>
    <col min="15389" max="15389" width="2.28515625" style="327" hidden="1" customWidth="1"/>
    <col min="15390" max="15393" width="2.7109375" style="327" hidden="1" customWidth="1"/>
    <col min="15394" max="15399" width="2.28515625" style="327" hidden="1" customWidth="1"/>
    <col min="15400" max="15400" width="1.7109375" style="327" hidden="1" customWidth="1"/>
    <col min="15401" max="15616" width="2.7109375" style="327" hidden="1"/>
    <col min="15617" max="15617" width="1.7109375" style="327" hidden="1" customWidth="1"/>
    <col min="15618" max="15618" width="0.85546875" style="327" hidden="1" customWidth="1"/>
    <col min="15619" max="15634" width="2.7109375" style="327" hidden="1" customWidth="1"/>
    <col min="15635" max="15635" width="4" style="327" hidden="1" customWidth="1"/>
    <col min="15636" max="15639" width="2.7109375" style="327" hidden="1" customWidth="1"/>
    <col min="15640" max="15640" width="2.28515625" style="327" hidden="1" customWidth="1"/>
    <col min="15641" max="15644" width="2.7109375" style="327" hidden="1" customWidth="1"/>
    <col min="15645" max="15645" width="2.28515625" style="327" hidden="1" customWidth="1"/>
    <col min="15646" max="15649" width="2.7109375" style="327" hidden="1" customWidth="1"/>
    <col min="15650" max="15655" width="2.28515625" style="327" hidden="1" customWidth="1"/>
    <col min="15656" max="15656" width="1.7109375" style="327" hidden="1" customWidth="1"/>
    <col min="15657" max="15872" width="2.7109375" style="327" hidden="1"/>
    <col min="15873" max="15873" width="1.7109375" style="327" hidden="1" customWidth="1"/>
    <col min="15874" max="15874" width="0.85546875" style="327" hidden="1" customWidth="1"/>
    <col min="15875" max="15890" width="2.7109375" style="327" hidden="1" customWidth="1"/>
    <col min="15891" max="15891" width="4" style="327" hidden="1" customWidth="1"/>
    <col min="15892" max="15895" width="2.7109375" style="327" hidden="1" customWidth="1"/>
    <col min="15896" max="15896" width="2.28515625" style="327" hidden="1" customWidth="1"/>
    <col min="15897" max="15900" width="2.7109375" style="327" hidden="1" customWidth="1"/>
    <col min="15901" max="15901" width="2.28515625" style="327" hidden="1" customWidth="1"/>
    <col min="15902" max="15905" width="2.7109375" style="327" hidden="1" customWidth="1"/>
    <col min="15906" max="15911" width="2.28515625" style="327" hidden="1" customWidth="1"/>
    <col min="15912" max="15912" width="1.7109375" style="327" hidden="1" customWidth="1"/>
    <col min="15913" max="16128" width="2.7109375" style="327" hidden="1"/>
    <col min="16129" max="16129" width="1.7109375" style="327" hidden="1" customWidth="1"/>
    <col min="16130" max="16130" width="0.85546875" style="327" hidden="1" customWidth="1"/>
    <col min="16131" max="16146" width="2.7109375" style="327" hidden="1" customWidth="1"/>
    <col min="16147" max="16147" width="4" style="327" hidden="1" customWidth="1"/>
    <col min="16148" max="16151" width="2.7109375" style="327" hidden="1" customWidth="1"/>
    <col min="16152" max="16152" width="2.28515625" style="327" hidden="1" customWidth="1"/>
    <col min="16153" max="16156" width="2.7109375" style="327" hidden="1" customWidth="1"/>
    <col min="16157" max="16157" width="2.28515625" style="327" hidden="1" customWidth="1"/>
    <col min="16158" max="16161" width="2.7109375" style="327" hidden="1" customWidth="1"/>
    <col min="16162" max="16167" width="2.28515625" style="327" hidden="1" customWidth="1"/>
    <col min="16168" max="16168" width="1.7109375" style="327" hidden="1" customWidth="1"/>
    <col min="16169" max="16384" width="2.7109375" style="327" hidden="1"/>
  </cols>
  <sheetData>
    <row r="1" spans="1:40" ht="12.95" customHeight="1">
      <c r="A1" s="2366" t="s">
        <v>2669</v>
      </c>
      <c r="B1" s="2366"/>
      <c r="C1" s="2366"/>
      <c r="D1" s="2366"/>
      <c r="E1" s="2366"/>
      <c r="F1" s="2366"/>
      <c r="G1" s="2366"/>
      <c r="H1" s="2366"/>
      <c r="I1" s="2366"/>
      <c r="J1" s="2366"/>
      <c r="K1" s="2366"/>
      <c r="L1" s="2366"/>
      <c r="M1" s="2366"/>
      <c r="N1" s="2366"/>
      <c r="O1" s="2366"/>
      <c r="P1" s="2366"/>
      <c r="Q1" s="2366"/>
      <c r="R1" s="2366"/>
      <c r="S1" s="2366"/>
      <c r="T1" s="2366"/>
      <c r="U1" s="2366"/>
      <c r="V1" s="2366"/>
      <c r="W1" s="2366"/>
      <c r="X1" s="2366"/>
      <c r="Y1" s="2366"/>
      <c r="Z1" s="2366"/>
      <c r="AA1" s="2366"/>
      <c r="AB1" s="2366"/>
      <c r="AC1" s="2366"/>
      <c r="AD1" s="2366"/>
      <c r="AE1" s="2366"/>
      <c r="AF1" s="2366"/>
      <c r="AG1" s="2366"/>
      <c r="AH1" s="2366"/>
      <c r="AI1" s="2366"/>
      <c r="AJ1" s="2366"/>
      <c r="AK1" s="2366"/>
      <c r="AL1" s="2366"/>
      <c r="AM1" s="2366"/>
      <c r="AN1" s="2366"/>
    </row>
    <row r="2" spans="1:40" ht="12.95" customHeight="1" thickBot="1">
      <c r="A2" s="2367"/>
      <c r="B2" s="2367"/>
      <c r="C2" s="2367"/>
      <c r="D2" s="2367"/>
      <c r="E2" s="2367"/>
      <c r="F2" s="2367"/>
      <c r="G2" s="2367"/>
      <c r="H2" s="2367"/>
      <c r="I2" s="2367"/>
      <c r="J2" s="2367"/>
      <c r="K2" s="2367"/>
      <c r="L2" s="2367"/>
      <c r="M2" s="2367"/>
      <c r="N2" s="2367"/>
      <c r="O2" s="2367"/>
      <c r="P2" s="2367"/>
      <c r="Q2" s="2367"/>
      <c r="R2" s="2367"/>
      <c r="S2" s="2367"/>
      <c r="T2" s="2367"/>
      <c r="U2" s="2367"/>
      <c r="V2" s="2367"/>
      <c r="W2" s="2367"/>
      <c r="X2" s="2367"/>
      <c r="Y2" s="2367"/>
      <c r="Z2" s="2367"/>
      <c r="AA2" s="2367"/>
      <c r="AB2" s="2367"/>
      <c r="AC2" s="2367"/>
      <c r="AD2" s="2367"/>
      <c r="AE2" s="2367"/>
      <c r="AF2" s="2367"/>
      <c r="AG2" s="2367"/>
      <c r="AH2" s="2367"/>
      <c r="AI2" s="2367"/>
      <c r="AJ2" s="2367"/>
      <c r="AK2" s="2367"/>
      <c r="AL2" s="2367"/>
      <c r="AM2" s="2367"/>
      <c r="AN2" s="2367"/>
    </row>
    <row r="3" spans="1:40" ht="12.95" customHeight="1" thickTop="1">
      <c r="A3" s="327" t="str">
        <f>+A1</f>
        <v>V. BASIS AND CREDITS : 4% FEDERAL AND STATE CREDIT</v>
      </c>
      <c r="C3" s="77"/>
      <c r="D3" s="77"/>
      <c r="E3" s="77"/>
      <c r="F3" s="77"/>
      <c r="G3" s="77"/>
      <c r="H3" s="77"/>
      <c r="I3" s="77"/>
      <c r="J3" s="328"/>
      <c r="K3" s="328"/>
      <c r="L3" s="328"/>
      <c r="M3" s="328"/>
      <c r="N3" s="328"/>
      <c r="O3" s="328"/>
      <c r="P3" s="328"/>
      <c r="Q3" s="328"/>
      <c r="R3" s="328"/>
      <c r="S3" s="328"/>
      <c r="T3" s="328"/>
      <c r="U3" s="328"/>
      <c r="V3" s="328"/>
      <c r="W3" s="328"/>
      <c r="X3" s="328"/>
      <c r="Y3" s="328"/>
      <c r="Z3" s="328"/>
      <c r="AA3" s="328"/>
      <c r="AB3" s="328"/>
      <c r="AC3" s="328"/>
      <c r="AD3" s="328"/>
      <c r="AE3" s="328"/>
      <c r="AF3" s="328"/>
      <c r="AG3" s="328"/>
      <c r="AH3" s="328"/>
      <c r="AI3" s="328"/>
      <c r="AJ3" s="328"/>
      <c r="AK3" s="328"/>
      <c r="AL3" s="328"/>
      <c r="AM3" s="328"/>
      <c r="AN3" s="328"/>
    </row>
    <row r="4" spans="1:40" ht="12.95" customHeight="1">
      <c r="A4" s="329"/>
    </row>
    <row r="5" spans="1:40" ht="12.95" customHeight="1">
      <c r="A5" s="329" t="s">
        <v>921</v>
      </c>
      <c r="C5" s="329" t="s">
        <v>269</v>
      </c>
      <c r="F5" s="329"/>
    </row>
    <row r="6" spans="1:40" ht="12.95" customHeight="1">
      <c r="A6" s="329"/>
      <c r="C6" s="327" t="s">
        <v>2670</v>
      </c>
    </row>
    <row r="7" spans="1:40" ht="12.95" customHeight="1">
      <c r="B7" s="330"/>
      <c r="C7" s="331"/>
      <c r="D7" s="331"/>
      <c r="E7" s="331"/>
      <c r="F7" s="331"/>
      <c r="G7" s="331"/>
      <c r="H7" s="331"/>
      <c r="I7" s="331"/>
      <c r="J7" s="331"/>
      <c r="K7" s="331"/>
      <c r="L7" s="331"/>
      <c r="M7" s="331"/>
      <c r="N7" s="331"/>
      <c r="O7" s="331"/>
      <c r="P7" s="331"/>
      <c r="Q7" s="331"/>
      <c r="R7" s="331"/>
      <c r="S7" s="331"/>
      <c r="T7" s="2368" t="str">
        <f xml:space="preserve"> IF(T25=100%,'Sources and Basis Breakdown'!G2,'Sources and Basis Breakdown'!F2)</f>
        <v>30% PVC for New Const/
Rehabilitation
DDA/QCT
Building(s)</v>
      </c>
      <c r="U7" s="2368"/>
      <c r="V7" s="2368"/>
      <c r="W7" s="2368"/>
      <c r="X7" s="2368"/>
      <c r="Y7" s="2368" t="str">
        <f>IF(T25=100%,"",'Sources and Basis Breakdown'!G2)</f>
        <v>30% PVC for New Const/
Rehabilitation
NON-DDA/
NON-QCT Building(s)</v>
      </c>
      <c r="Z7" s="2368"/>
      <c r="AA7" s="2368"/>
      <c r="AB7" s="2368"/>
      <c r="AC7" s="2368"/>
      <c r="AD7" s="2368" t="str">
        <f xml:space="preserve"> IF(T25=100%, 'Sources and Basis Breakdown'!J2,'Sources and Basis Breakdown'!I2)</f>
        <v>30% PVC for Acquisition
DDA/QCT Building(s)</v>
      </c>
      <c r="AE7" s="2368"/>
      <c r="AF7" s="2368"/>
      <c r="AG7" s="2368"/>
      <c r="AH7" s="2368"/>
      <c r="AI7" s="2368" t="str">
        <f>IF(T25=100%,"",'Sources and Basis Breakdown'!J2)</f>
        <v>30% PVC for Acquisition
NON-DDA/
NON-QCT Building(s)</v>
      </c>
      <c r="AJ7" s="2368"/>
      <c r="AK7" s="2368"/>
      <c r="AL7" s="2368"/>
      <c r="AM7" s="2368"/>
    </row>
    <row r="8" spans="1:40" ht="12.95" customHeight="1">
      <c r="B8" s="332"/>
      <c r="T8" s="2368"/>
      <c r="U8" s="2368"/>
      <c r="V8" s="2368"/>
      <c r="W8" s="2368"/>
      <c r="X8" s="2368"/>
      <c r="Y8" s="2368"/>
      <c r="Z8" s="2368"/>
      <c r="AA8" s="2368"/>
      <c r="AB8" s="2368"/>
      <c r="AC8" s="2368"/>
      <c r="AD8" s="2368"/>
      <c r="AE8" s="2368"/>
      <c r="AF8" s="2368"/>
      <c r="AG8" s="2368"/>
      <c r="AH8" s="2368"/>
      <c r="AI8" s="2368"/>
      <c r="AJ8" s="2368"/>
      <c r="AK8" s="2368"/>
      <c r="AL8" s="2368"/>
      <c r="AM8" s="2368"/>
    </row>
    <row r="9" spans="1:40" ht="12.95" customHeight="1">
      <c r="B9" s="332"/>
      <c r="T9" s="2368"/>
      <c r="U9" s="2368"/>
      <c r="V9" s="2368"/>
      <c r="W9" s="2368"/>
      <c r="X9" s="2368"/>
      <c r="Y9" s="2368"/>
      <c r="Z9" s="2368"/>
      <c r="AA9" s="2368"/>
      <c r="AB9" s="2368"/>
      <c r="AC9" s="2368"/>
      <c r="AD9" s="2368"/>
      <c r="AE9" s="2368"/>
      <c r="AF9" s="2368"/>
      <c r="AG9" s="2368"/>
      <c r="AH9" s="2368"/>
      <c r="AI9" s="2368"/>
      <c r="AJ9" s="2368"/>
      <c r="AK9" s="2368"/>
      <c r="AL9" s="2368"/>
      <c r="AM9" s="2368"/>
    </row>
    <row r="10" spans="1:40" ht="12.95" customHeight="1">
      <c r="B10" s="333"/>
      <c r="C10" s="334"/>
      <c r="D10" s="334"/>
      <c r="E10" s="334"/>
      <c r="F10" s="334"/>
      <c r="G10" s="334"/>
      <c r="H10" s="334"/>
      <c r="I10" s="334"/>
      <c r="J10" s="334"/>
      <c r="K10" s="334"/>
      <c r="L10" s="334"/>
      <c r="M10" s="334"/>
      <c r="N10" s="334"/>
      <c r="O10" s="334"/>
      <c r="P10" s="334"/>
      <c r="Q10" s="334"/>
      <c r="R10" s="334"/>
      <c r="S10" s="334"/>
      <c r="T10" s="2368"/>
      <c r="U10" s="2368"/>
      <c r="V10" s="2368"/>
      <c r="W10" s="2368"/>
      <c r="X10" s="2368"/>
      <c r="Y10" s="2368"/>
      <c r="Z10" s="2368"/>
      <c r="AA10" s="2368"/>
      <c r="AB10" s="2368"/>
      <c r="AC10" s="2368"/>
      <c r="AD10" s="2368"/>
      <c r="AE10" s="2368"/>
      <c r="AF10" s="2368"/>
      <c r="AG10" s="2368"/>
      <c r="AH10" s="2368"/>
      <c r="AI10" s="2368"/>
      <c r="AJ10" s="2368"/>
      <c r="AK10" s="2368"/>
      <c r="AL10" s="2368"/>
      <c r="AM10" s="2368"/>
    </row>
    <row r="11" spans="1:40" ht="12.95" customHeight="1">
      <c r="B11" s="2347" t="s">
        <v>1942</v>
      </c>
      <c r="C11" s="2348"/>
      <c r="D11" s="2348"/>
      <c r="E11" s="2348"/>
      <c r="F11" s="2348"/>
      <c r="G11" s="2348"/>
      <c r="H11" s="2348"/>
      <c r="I11" s="2348"/>
      <c r="J11" s="2348"/>
      <c r="K11" s="2348"/>
      <c r="L11" s="2348"/>
      <c r="M11" s="2348"/>
      <c r="N11" s="2348"/>
      <c r="O11" s="2348"/>
      <c r="P11" s="2348"/>
      <c r="Q11" s="2348"/>
      <c r="R11" s="2348"/>
      <c r="S11" s="2349"/>
      <c r="T11" s="2369">
        <f>IF('Sources and Basis Breakdown'!F107=0,'Sources and Basis Breakdown'!E107,'Sources and Basis Breakdown'!F107)</f>
        <v>31017307.976178661</v>
      </c>
      <c r="U11" s="2370"/>
      <c r="V11" s="2370"/>
      <c r="W11" s="2370"/>
      <c r="X11" s="2370"/>
      <c r="Y11" s="2369">
        <f>IF(Y7="",0,IF('Sources and Basis Breakdown'!G107+'Sources and Basis Breakdown'!F107='Sources and Basis Breakdown'!E107,'Sources and Basis Breakdown'!G107,0))</f>
        <v>0</v>
      </c>
      <c r="Z11" s="2370"/>
      <c r="AA11" s="2370"/>
      <c r="AB11" s="2370"/>
      <c r="AC11" s="2370"/>
      <c r="AD11" s="2370">
        <f>IF('Sources and Basis Breakdown'!I107=0,'Sources and Basis Breakdown'!H107,'Sources and Basis Breakdown'!I107)</f>
        <v>0</v>
      </c>
      <c r="AE11" s="2370"/>
      <c r="AF11" s="2370"/>
      <c r="AG11" s="2370"/>
      <c r="AH11" s="2370"/>
      <c r="AI11" s="2370">
        <f>IF(Y7="",0,IF('Sources and Basis Breakdown'!I107+'Sources and Basis Breakdown'!J107='Sources and Basis Breakdown'!H107,'Sources and Basis Breakdown'!J107,0))</f>
        <v>0</v>
      </c>
      <c r="AJ11" s="2370"/>
      <c r="AK11" s="2370"/>
      <c r="AL11" s="2370"/>
      <c r="AM11" s="2370"/>
    </row>
    <row r="12" spans="1:40" ht="12.95" customHeight="1">
      <c r="B12" s="2362" t="s">
        <v>2671</v>
      </c>
      <c r="C12" s="1167"/>
      <c r="D12" s="1167"/>
      <c r="E12" s="1167"/>
      <c r="F12" s="1167"/>
      <c r="G12" s="1167"/>
      <c r="H12" s="1167"/>
      <c r="I12" s="1167"/>
      <c r="J12" s="1167"/>
      <c r="K12" s="1167"/>
      <c r="L12" s="1167"/>
      <c r="M12" s="1167"/>
      <c r="N12" s="1167"/>
      <c r="O12" s="1167"/>
      <c r="P12" s="1167"/>
      <c r="Q12" s="1167"/>
      <c r="R12" s="1167"/>
      <c r="S12" s="2363"/>
      <c r="T12" s="2335"/>
      <c r="U12" s="2336"/>
      <c r="V12" s="2336"/>
      <c r="W12" s="2336"/>
      <c r="X12" s="2337"/>
      <c r="Y12" s="2335"/>
      <c r="Z12" s="2336"/>
      <c r="AA12" s="2336"/>
      <c r="AB12" s="2336"/>
      <c r="AC12" s="2337"/>
      <c r="AD12" s="2335"/>
      <c r="AE12" s="2336"/>
      <c r="AF12" s="2336"/>
      <c r="AG12" s="2336"/>
      <c r="AH12" s="2337"/>
      <c r="AI12" s="2335"/>
      <c r="AJ12" s="2336"/>
      <c r="AK12" s="2336"/>
      <c r="AL12" s="2336"/>
      <c r="AM12" s="2337"/>
    </row>
    <row r="13" spans="1:40" ht="12.95" customHeight="1">
      <c r="B13" s="361"/>
      <c r="C13" s="2364" t="s">
        <v>2672</v>
      </c>
      <c r="D13" s="2364"/>
      <c r="E13" s="2364"/>
      <c r="F13" s="2364"/>
      <c r="G13" s="2364"/>
      <c r="H13" s="2364"/>
      <c r="I13" s="2364"/>
      <c r="J13" s="2364"/>
      <c r="K13" s="2364"/>
      <c r="L13" s="2364"/>
      <c r="M13" s="2364"/>
      <c r="N13" s="2364"/>
      <c r="O13" s="2364"/>
      <c r="P13" s="2364"/>
      <c r="Q13" s="2364"/>
      <c r="R13" s="2364"/>
      <c r="S13" s="2365"/>
      <c r="T13" s="2371"/>
      <c r="U13" s="2372"/>
      <c r="V13" s="2372"/>
      <c r="W13" s="2372"/>
      <c r="X13" s="2372"/>
      <c r="Y13" s="2371"/>
      <c r="Z13" s="2372"/>
      <c r="AA13" s="2372"/>
      <c r="AB13" s="2372"/>
      <c r="AC13" s="2372"/>
      <c r="AD13" s="2372"/>
      <c r="AE13" s="2372"/>
      <c r="AF13" s="2372"/>
      <c r="AG13" s="2372"/>
      <c r="AH13" s="2372"/>
      <c r="AI13" s="2372"/>
      <c r="AJ13" s="2372"/>
      <c r="AK13" s="2372"/>
      <c r="AL13" s="2372"/>
      <c r="AM13" s="2372"/>
    </row>
    <row r="14" spans="1:40" ht="12.95" customHeight="1">
      <c r="B14" s="361"/>
      <c r="C14" s="2364" t="s">
        <v>2673</v>
      </c>
      <c r="D14" s="2364"/>
      <c r="E14" s="2364"/>
      <c r="F14" s="2364"/>
      <c r="G14" s="2364"/>
      <c r="H14" s="2364"/>
      <c r="I14" s="2364"/>
      <c r="J14" s="2364"/>
      <c r="K14" s="2364"/>
      <c r="L14" s="2364"/>
      <c r="M14" s="2364"/>
      <c r="N14" s="2364"/>
      <c r="O14" s="2364"/>
      <c r="P14" s="2364"/>
      <c r="Q14" s="2364"/>
      <c r="R14" s="2364"/>
      <c r="S14" s="2365"/>
      <c r="T14" s="2338"/>
      <c r="U14" s="2339"/>
      <c r="V14" s="2339"/>
      <c r="W14" s="2339"/>
      <c r="X14" s="2339"/>
      <c r="Y14" s="2338"/>
      <c r="Z14" s="2339"/>
      <c r="AA14" s="2339"/>
      <c r="AB14" s="2339"/>
      <c r="AC14" s="2339"/>
      <c r="AD14" s="2339"/>
      <c r="AE14" s="2339"/>
      <c r="AF14" s="2339"/>
      <c r="AG14" s="2339"/>
      <c r="AH14" s="2339"/>
      <c r="AI14" s="2339"/>
      <c r="AJ14" s="2339"/>
      <c r="AK14" s="2339"/>
      <c r="AL14" s="2339"/>
      <c r="AM14" s="2339"/>
    </row>
    <row r="15" spans="1:40" ht="12.95" customHeight="1">
      <c r="B15" s="361"/>
      <c r="C15" s="2364" t="s">
        <v>2674</v>
      </c>
      <c r="D15" s="2364"/>
      <c r="E15" s="2364"/>
      <c r="F15" s="2364"/>
      <c r="G15" s="2364"/>
      <c r="H15" s="2364"/>
      <c r="I15" s="2364"/>
      <c r="J15" s="2364"/>
      <c r="K15" s="2364"/>
      <c r="L15" s="2364"/>
      <c r="M15" s="2364"/>
      <c r="N15" s="2364"/>
      <c r="O15" s="2364"/>
      <c r="P15" s="2364"/>
      <c r="Q15" s="2364"/>
      <c r="R15" s="2364"/>
      <c r="S15" s="2365"/>
      <c r="T15" s="2338"/>
      <c r="U15" s="2339"/>
      <c r="V15" s="2339"/>
      <c r="W15" s="2339"/>
      <c r="X15" s="2339"/>
      <c r="Y15" s="2338"/>
      <c r="Z15" s="2339"/>
      <c r="AA15" s="2339"/>
      <c r="AB15" s="2339"/>
      <c r="AC15" s="2339"/>
      <c r="AD15" s="2339"/>
      <c r="AE15" s="2339"/>
      <c r="AF15" s="2339"/>
      <c r="AG15" s="2339"/>
      <c r="AH15" s="2339"/>
      <c r="AI15" s="2339"/>
      <c r="AJ15" s="2339"/>
      <c r="AK15" s="2339"/>
      <c r="AL15" s="2339"/>
      <c r="AM15" s="2339"/>
    </row>
    <row r="16" spans="1:40" ht="12.95" customHeight="1">
      <c r="B16" s="361"/>
      <c r="C16" s="2364" t="s">
        <v>2675</v>
      </c>
      <c r="D16" s="2364"/>
      <c r="E16" s="2364"/>
      <c r="F16" s="2364"/>
      <c r="G16" s="2364"/>
      <c r="H16" s="2364"/>
      <c r="I16" s="2364"/>
      <c r="J16" s="2364"/>
      <c r="K16" s="2364"/>
      <c r="L16" s="2364"/>
      <c r="M16" s="2364"/>
      <c r="N16" s="2364"/>
      <c r="O16" s="2364"/>
      <c r="P16" s="2364"/>
      <c r="Q16" s="2364"/>
      <c r="R16" s="2364"/>
      <c r="S16" s="2365"/>
      <c r="T16" s="2338"/>
      <c r="U16" s="2339"/>
      <c r="V16" s="2339"/>
      <c r="W16" s="2339"/>
      <c r="X16" s="2339"/>
      <c r="Y16" s="2338"/>
      <c r="Z16" s="2339"/>
      <c r="AA16" s="2339"/>
      <c r="AB16" s="2339"/>
      <c r="AC16" s="2339"/>
      <c r="AD16" s="2339"/>
      <c r="AE16" s="2339"/>
      <c r="AF16" s="2339"/>
      <c r="AG16" s="2339"/>
      <c r="AH16" s="2339"/>
      <c r="AI16" s="2339"/>
      <c r="AJ16" s="2339"/>
      <c r="AK16" s="2339"/>
      <c r="AL16" s="2339"/>
      <c r="AM16" s="2339"/>
    </row>
    <row r="17" spans="1:40" ht="12.95" customHeight="1">
      <c r="B17" s="361"/>
      <c r="C17" s="2364" t="s">
        <v>2676</v>
      </c>
      <c r="D17" s="2364"/>
      <c r="E17" s="2364"/>
      <c r="F17" s="2364"/>
      <c r="G17" s="2364"/>
      <c r="H17" s="2364"/>
      <c r="I17" s="2364"/>
      <c r="J17" s="2364"/>
      <c r="K17" s="2364"/>
      <c r="L17" s="2364"/>
      <c r="M17" s="2364"/>
      <c r="N17" s="2364"/>
      <c r="O17" s="2364"/>
      <c r="P17" s="2364"/>
      <c r="Q17" s="2364"/>
      <c r="R17" s="2364"/>
      <c r="S17" s="2365"/>
      <c r="T17" s="2338"/>
      <c r="U17" s="2339"/>
      <c r="V17" s="2339"/>
      <c r="W17" s="2339"/>
      <c r="X17" s="2339"/>
      <c r="Y17" s="2338"/>
      <c r="Z17" s="2339"/>
      <c r="AA17" s="2339"/>
      <c r="AB17" s="2339"/>
      <c r="AC17" s="2339"/>
      <c r="AD17" s="2339"/>
      <c r="AE17" s="2339"/>
      <c r="AF17" s="2339"/>
      <c r="AG17" s="2339"/>
      <c r="AH17" s="2339"/>
      <c r="AI17" s="2339"/>
      <c r="AJ17" s="2339"/>
      <c r="AK17" s="2339"/>
      <c r="AL17" s="2339"/>
      <c r="AM17" s="2339"/>
    </row>
    <row r="18" spans="1:40" ht="12.95" customHeight="1">
      <c r="A18"/>
      <c r="B18" s="1074"/>
      <c r="C18" s="1504" t="s">
        <v>2677</v>
      </c>
      <c r="D18" s="1504"/>
      <c r="E18" s="1504"/>
      <c r="F18" s="1504"/>
      <c r="G18" s="1504"/>
      <c r="H18" s="1504"/>
      <c r="I18" s="1504"/>
      <c r="J18" s="1504"/>
      <c r="K18" s="1504"/>
      <c r="L18" s="1504"/>
      <c r="M18" s="1504"/>
      <c r="N18" s="1504"/>
      <c r="O18" s="1504"/>
      <c r="P18" s="1504"/>
      <c r="Q18" s="1504"/>
      <c r="R18" s="1504"/>
      <c r="S18" s="1505"/>
      <c r="T18" s="2338"/>
      <c r="U18" s="2339"/>
      <c r="V18" s="2339"/>
      <c r="W18" s="2339"/>
      <c r="X18" s="2339"/>
      <c r="Y18" s="2338"/>
      <c r="Z18" s="2339"/>
      <c r="AA18" s="2339"/>
      <c r="AB18" s="2339"/>
      <c r="AC18" s="2339"/>
      <c r="AD18" s="2339"/>
      <c r="AE18" s="2339"/>
      <c r="AF18" s="2339"/>
      <c r="AG18" s="2339"/>
      <c r="AH18" s="2339"/>
      <c r="AI18" s="2339"/>
      <c r="AJ18" s="2339"/>
      <c r="AK18" s="2339"/>
      <c r="AL18" s="2339"/>
      <c r="AM18" s="2339"/>
    </row>
    <row r="19" spans="1:40" ht="12.95" customHeight="1">
      <c r="B19" s="1074"/>
      <c r="C19" s="1504" t="s">
        <v>2677</v>
      </c>
      <c r="D19" s="1504"/>
      <c r="E19" s="1504"/>
      <c r="F19" s="1504"/>
      <c r="G19" s="1504"/>
      <c r="H19" s="1504"/>
      <c r="I19" s="1504"/>
      <c r="J19" s="1504"/>
      <c r="K19" s="1504"/>
      <c r="L19" s="1504"/>
      <c r="M19" s="1504"/>
      <c r="N19" s="1504"/>
      <c r="O19" s="1504"/>
      <c r="P19" s="1504"/>
      <c r="Q19" s="1504"/>
      <c r="R19" s="1504"/>
      <c r="S19" s="1505"/>
      <c r="T19" s="2338"/>
      <c r="U19" s="2339"/>
      <c r="V19" s="2339"/>
      <c r="W19" s="2339"/>
      <c r="X19" s="2339"/>
      <c r="Y19" s="2338"/>
      <c r="Z19" s="2339"/>
      <c r="AA19" s="2339"/>
      <c r="AB19" s="2339"/>
      <c r="AC19" s="2339"/>
      <c r="AD19" s="2339"/>
      <c r="AE19" s="2339"/>
      <c r="AF19" s="2339"/>
      <c r="AG19" s="2339"/>
      <c r="AH19" s="2339"/>
      <c r="AI19" s="2339"/>
      <c r="AJ19" s="2339"/>
      <c r="AK19" s="2339"/>
      <c r="AL19" s="2339"/>
      <c r="AM19" s="2339"/>
    </row>
    <row r="20" spans="1:40" ht="12.95" customHeight="1">
      <c r="B20" s="2347" t="s">
        <v>2678</v>
      </c>
      <c r="C20" s="2348"/>
      <c r="D20" s="2348"/>
      <c r="E20" s="2348"/>
      <c r="F20" s="2348"/>
      <c r="G20" s="2348"/>
      <c r="H20" s="2348"/>
      <c r="I20" s="2348"/>
      <c r="J20" s="2348"/>
      <c r="K20" s="2348"/>
      <c r="L20" s="2348"/>
      <c r="M20" s="2348"/>
      <c r="N20" s="2348"/>
      <c r="O20" s="2348"/>
      <c r="P20" s="2348"/>
      <c r="Q20" s="2348"/>
      <c r="R20" s="2348"/>
      <c r="S20" s="2349"/>
      <c r="T20" s="2340">
        <f>SUM(T13:X19)</f>
        <v>0</v>
      </c>
      <c r="U20" s="2341"/>
      <c r="V20" s="2341"/>
      <c r="W20" s="2341"/>
      <c r="X20" s="2341"/>
      <c r="Y20" s="2340">
        <f>SUM(Y13:AC19)</f>
        <v>0</v>
      </c>
      <c r="Z20" s="2341"/>
      <c r="AA20" s="2341"/>
      <c r="AB20" s="2341"/>
      <c r="AC20" s="2341"/>
      <c r="AD20" s="2342">
        <f>SUM(AD13:AH19)</f>
        <v>0</v>
      </c>
      <c r="AE20" s="2343"/>
      <c r="AF20" s="2343"/>
      <c r="AG20" s="2343"/>
      <c r="AH20" s="2340"/>
      <c r="AI20" s="2342">
        <f>SUM(AI13:AM19)</f>
        <v>0</v>
      </c>
      <c r="AJ20" s="2343"/>
      <c r="AK20" s="2343"/>
      <c r="AL20" s="2343"/>
      <c r="AM20" s="2340"/>
    </row>
    <row r="21" spans="1:40" ht="12.95" customHeight="1">
      <c r="B21" s="2347" t="s">
        <v>2679</v>
      </c>
      <c r="C21" s="2348"/>
      <c r="D21" s="2348"/>
      <c r="E21" s="2348"/>
      <c r="F21" s="2348"/>
      <c r="G21" s="2348"/>
      <c r="H21" s="2348"/>
      <c r="I21" s="2348"/>
      <c r="J21" s="2348"/>
      <c r="K21" s="2348"/>
      <c r="L21" s="2348"/>
      <c r="M21" s="2348"/>
      <c r="N21" s="2348"/>
      <c r="O21" s="2348"/>
      <c r="P21" s="2348"/>
      <c r="Q21" s="2348"/>
      <c r="R21" s="2348"/>
      <c r="S21" s="2349"/>
      <c r="T21" s="2338"/>
      <c r="U21" s="2339"/>
      <c r="V21" s="2339"/>
      <c r="W21" s="2339"/>
      <c r="X21" s="2339"/>
      <c r="Y21" s="2338"/>
      <c r="Z21" s="2339"/>
      <c r="AA21" s="2339"/>
      <c r="AB21" s="2339"/>
      <c r="AC21" s="2339"/>
      <c r="AD21" s="2335"/>
      <c r="AE21" s="2336"/>
      <c r="AF21" s="2336"/>
      <c r="AG21" s="2336"/>
      <c r="AH21" s="2337"/>
      <c r="AI21" s="2335"/>
      <c r="AJ21" s="2336"/>
      <c r="AK21" s="2336"/>
      <c r="AL21" s="2336"/>
      <c r="AM21" s="2337"/>
    </row>
    <row r="22" spans="1:40" ht="12.95" customHeight="1">
      <c r="B22" s="2347" t="s">
        <v>2680</v>
      </c>
      <c r="C22" s="2348"/>
      <c r="D22" s="2348"/>
      <c r="E22" s="2348"/>
      <c r="F22" s="2348"/>
      <c r="G22" s="2348"/>
      <c r="H22" s="2348"/>
      <c r="I22" s="2348"/>
      <c r="J22" s="2348"/>
      <c r="K22" s="2348"/>
      <c r="L22" s="2348"/>
      <c r="M22" s="2348"/>
      <c r="N22" s="2348"/>
      <c r="O22" s="2348"/>
      <c r="P22" s="2348"/>
      <c r="Q22" s="2348"/>
      <c r="R22" s="2348"/>
      <c r="S22" s="2349"/>
      <c r="T22" s="2373">
        <f>(ABS(T20)+ABS(T21))*-1</f>
        <v>0</v>
      </c>
      <c r="U22" s="2374"/>
      <c r="V22" s="2374"/>
      <c r="W22" s="2374"/>
      <c r="X22" s="2374"/>
      <c r="Y22" s="2373">
        <f>(Y20+Y21)*-1</f>
        <v>0</v>
      </c>
      <c r="Z22" s="2374"/>
      <c r="AA22" s="2374"/>
      <c r="AB22" s="2374"/>
      <c r="AC22" s="2374"/>
      <c r="AD22" s="2375">
        <f>(AD20)*-1</f>
        <v>0</v>
      </c>
      <c r="AE22" s="2376"/>
      <c r="AF22" s="2376"/>
      <c r="AG22" s="2376"/>
      <c r="AH22" s="2373"/>
      <c r="AI22" s="2375">
        <f>(AI20)*-1</f>
        <v>0</v>
      </c>
      <c r="AJ22" s="2376"/>
      <c r="AK22" s="2376"/>
      <c r="AL22" s="2376"/>
      <c r="AM22" s="2373"/>
    </row>
    <row r="23" spans="1:40" ht="12.95" customHeight="1">
      <c r="B23" s="2347" t="s">
        <v>2681</v>
      </c>
      <c r="C23" s="2348"/>
      <c r="D23" s="2348"/>
      <c r="E23" s="2348"/>
      <c r="F23" s="2348"/>
      <c r="G23" s="2348"/>
      <c r="H23" s="2348"/>
      <c r="I23" s="2348"/>
      <c r="J23" s="2348"/>
      <c r="K23" s="2348"/>
      <c r="L23" s="2348"/>
      <c r="M23" s="2348"/>
      <c r="N23" s="2348"/>
      <c r="O23" s="2348"/>
      <c r="P23" s="2348"/>
      <c r="Q23" s="2348"/>
      <c r="R23" s="2348"/>
      <c r="S23" s="2349"/>
      <c r="T23" s="2340">
        <f>T11+T22</f>
        <v>31017307.976178661</v>
      </c>
      <c r="U23" s="2341"/>
      <c r="V23" s="2341"/>
      <c r="W23" s="2341"/>
      <c r="X23" s="2341"/>
      <c r="Y23" s="2340">
        <f>Y11+Y22</f>
        <v>0</v>
      </c>
      <c r="Z23" s="2341"/>
      <c r="AA23" s="2341"/>
      <c r="AB23" s="2341"/>
      <c r="AC23" s="2341"/>
      <c r="AD23" s="2340">
        <f>AD11+AD22</f>
        <v>0</v>
      </c>
      <c r="AE23" s="2341"/>
      <c r="AF23" s="2341"/>
      <c r="AG23" s="2341"/>
      <c r="AH23" s="2341"/>
      <c r="AI23" s="2340">
        <f>AI11+AI22</f>
        <v>0</v>
      </c>
      <c r="AJ23" s="2341"/>
      <c r="AK23" s="2341"/>
      <c r="AL23" s="2341"/>
      <c r="AM23" s="2341"/>
    </row>
    <row r="24" spans="1:40" ht="12.95" customHeight="1">
      <c r="B24" s="2347" t="s">
        <v>2682</v>
      </c>
      <c r="C24" s="2348"/>
      <c r="D24" s="2348"/>
      <c r="E24" s="2348"/>
      <c r="F24" s="2348"/>
      <c r="G24" s="2348"/>
      <c r="H24" s="2348"/>
      <c r="I24" s="2348"/>
      <c r="J24" s="2348"/>
      <c r="K24" s="2348"/>
      <c r="L24" s="2348"/>
      <c r="M24" s="2348"/>
      <c r="N24" s="2348"/>
      <c r="O24" s="2348"/>
      <c r="P24" s="2348"/>
      <c r="Q24" s="2348"/>
      <c r="R24" s="2348"/>
      <c r="S24" s="2349"/>
      <c r="T24" s="2342">
        <f>Application!AJ1052</f>
        <v>55867017.239999995</v>
      </c>
      <c r="U24" s="2343"/>
      <c r="V24" s="2343"/>
      <c r="W24" s="2343"/>
      <c r="X24" s="2343"/>
      <c r="Y24" s="2343"/>
      <c r="Z24" s="2343"/>
      <c r="AA24" s="2343"/>
      <c r="AB24" s="2343"/>
      <c r="AC24" s="2343"/>
      <c r="AD24" s="2343"/>
      <c r="AE24" s="2343"/>
      <c r="AF24" s="2343"/>
      <c r="AG24" s="2343"/>
      <c r="AH24" s="2343"/>
      <c r="AI24" s="2343"/>
      <c r="AJ24" s="2343"/>
      <c r="AK24" s="2343"/>
      <c r="AL24" s="2343"/>
      <c r="AM24" s="2340"/>
    </row>
    <row r="25" spans="1:40" ht="12.95" customHeight="1">
      <c r="B25" s="2351" t="s">
        <v>2683</v>
      </c>
      <c r="C25" s="2352"/>
      <c r="D25" s="2352"/>
      <c r="E25" s="2352"/>
      <c r="F25" s="2352"/>
      <c r="G25" s="2352"/>
      <c r="H25" s="2352"/>
      <c r="I25" s="2352"/>
      <c r="J25" s="2352"/>
      <c r="K25" s="2352"/>
      <c r="L25" s="2352"/>
      <c r="M25" s="2352"/>
      <c r="N25" s="2352"/>
      <c r="O25" s="2352"/>
      <c r="P25" s="2352"/>
      <c r="Q25" s="2352"/>
      <c r="R25" s="2352"/>
      <c r="S25" s="2353"/>
      <c r="T25" s="2377">
        <f>IF(OR(Application!T196="yes",Application!T195="yes"),1.3,1)</f>
        <v>1.3</v>
      </c>
      <c r="U25" s="2378"/>
      <c r="V25" s="2378"/>
      <c r="W25" s="2378"/>
      <c r="X25" s="2378"/>
      <c r="Y25" s="2377">
        <v>1</v>
      </c>
      <c r="Z25" s="2378"/>
      <c r="AA25" s="2378"/>
      <c r="AB25" s="2378"/>
      <c r="AC25" s="2378"/>
      <c r="AD25" s="2377">
        <v>1</v>
      </c>
      <c r="AE25" s="2378"/>
      <c r="AF25" s="2378"/>
      <c r="AG25" s="2378"/>
      <c r="AH25" s="2379"/>
      <c r="AI25" s="2377">
        <v>1</v>
      </c>
      <c r="AJ25" s="2378"/>
      <c r="AK25" s="2378"/>
      <c r="AL25" s="2378"/>
      <c r="AM25" s="2379"/>
    </row>
    <row r="26" spans="1:40" ht="12.95" customHeight="1">
      <c r="B26" s="2347" t="s">
        <v>2684</v>
      </c>
      <c r="C26" s="2348"/>
      <c r="D26" s="2348"/>
      <c r="E26" s="2348"/>
      <c r="F26" s="2348"/>
      <c r="G26" s="2348"/>
      <c r="H26" s="2348"/>
      <c r="I26" s="2348"/>
      <c r="J26" s="2348"/>
      <c r="K26" s="2348"/>
      <c r="L26" s="2348"/>
      <c r="M26" s="2348"/>
      <c r="N26" s="2348"/>
      <c r="O26" s="2348"/>
      <c r="P26" s="2348"/>
      <c r="Q26" s="2348"/>
      <c r="R26" s="2348"/>
      <c r="S26" s="2349"/>
      <c r="T26" s="2340">
        <f>T23*T25</f>
        <v>40322500.369032264</v>
      </c>
      <c r="U26" s="2341"/>
      <c r="V26" s="2341"/>
      <c r="W26" s="2341"/>
      <c r="X26" s="2341"/>
      <c r="Y26" s="2340">
        <f>Y23*Y25</f>
        <v>0</v>
      </c>
      <c r="Z26" s="2341"/>
      <c r="AA26" s="2341"/>
      <c r="AB26" s="2341"/>
      <c r="AC26" s="2341"/>
      <c r="AD26" s="2340">
        <f>AD23*AD25</f>
        <v>0</v>
      </c>
      <c r="AE26" s="2341"/>
      <c r="AF26" s="2341"/>
      <c r="AG26" s="2341"/>
      <c r="AH26" s="2341"/>
      <c r="AI26" s="2340">
        <f>AI23*AI25</f>
        <v>0</v>
      </c>
      <c r="AJ26" s="2341"/>
      <c r="AK26" s="2341"/>
      <c r="AL26" s="2341"/>
      <c r="AM26" s="2341"/>
    </row>
    <row r="27" spans="1:40" ht="12.95" customHeight="1">
      <c r="A27" s="335"/>
      <c r="B27" s="2354" t="s">
        <v>2685</v>
      </c>
      <c r="C27" s="2355"/>
      <c r="D27" s="2355"/>
      <c r="E27" s="2355"/>
      <c r="F27" s="2355"/>
      <c r="G27" s="2355"/>
      <c r="H27" s="2355"/>
      <c r="I27" s="2355"/>
      <c r="J27" s="2355"/>
      <c r="K27" s="2355"/>
      <c r="L27" s="2355"/>
      <c r="M27" s="2355"/>
      <c r="N27" s="2355"/>
      <c r="O27" s="2355"/>
      <c r="P27" s="2355"/>
      <c r="Q27" s="2355"/>
      <c r="R27" s="2355"/>
      <c r="S27" s="2356"/>
      <c r="T27" s="2360">
        <f>Application!$AG$445</f>
        <v>1</v>
      </c>
      <c r="U27" s="2361"/>
      <c r="V27" s="2361"/>
      <c r="W27" s="2361"/>
      <c r="X27" s="2361"/>
      <c r="Y27" s="2360">
        <f>Application!$AG$445</f>
        <v>1</v>
      </c>
      <c r="Z27" s="2361"/>
      <c r="AA27" s="2361"/>
      <c r="AB27" s="2361"/>
      <c r="AC27" s="2361"/>
      <c r="AD27" s="2360">
        <f>Application!$AG$445</f>
        <v>1</v>
      </c>
      <c r="AE27" s="2361"/>
      <c r="AF27" s="2361"/>
      <c r="AG27" s="2361"/>
      <c r="AH27" s="2361"/>
      <c r="AI27" s="2360">
        <f>Application!$AG$445</f>
        <v>1</v>
      </c>
      <c r="AJ27" s="2361"/>
      <c r="AK27" s="2361"/>
      <c r="AL27" s="2361"/>
      <c r="AM27" s="2361"/>
    </row>
    <row r="28" spans="1:40" ht="12.95" customHeight="1">
      <c r="A28" s="329"/>
      <c r="B28" s="2347" t="s">
        <v>2686</v>
      </c>
      <c r="C28" s="2348"/>
      <c r="D28" s="2348"/>
      <c r="E28" s="2348"/>
      <c r="F28" s="2348"/>
      <c r="G28" s="2348"/>
      <c r="H28" s="2348"/>
      <c r="I28" s="2348"/>
      <c r="J28" s="2348"/>
      <c r="K28" s="2348"/>
      <c r="L28" s="2348"/>
      <c r="M28" s="2348"/>
      <c r="N28" s="2348"/>
      <c r="O28" s="2348"/>
      <c r="P28" s="2348"/>
      <c r="Q28" s="2348"/>
      <c r="R28" s="2348"/>
      <c r="S28" s="2349"/>
      <c r="T28" s="2340">
        <f>IF(ISERROR((T26*T27)),0,(T26*T27))</f>
        <v>40322500.369032264</v>
      </c>
      <c r="U28" s="2341"/>
      <c r="V28" s="2341"/>
      <c r="W28" s="2341"/>
      <c r="X28" s="2341"/>
      <c r="Y28" s="2340">
        <f>IF(ISERROR((Y26*Y27)),0,(Y26*Y27))</f>
        <v>0</v>
      </c>
      <c r="Z28" s="2341"/>
      <c r="AA28" s="2341"/>
      <c r="AB28" s="2341"/>
      <c r="AC28" s="2341"/>
      <c r="AD28" s="2340">
        <f>IF(ISERROR((AD26*AD27)),0,(AD26*AD27))</f>
        <v>0</v>
      </c>
      <c r="AE28" s="2341"/>
      <c r="AF28" s="2341"/>
      <c r="AG28" s="2341"/>
      <c r="AH28" s="2341"/>
      <c r="AI28" s="2340">
        <f>IF(ISERROR((AI26*AI27)),0,(AI26*AI27))</f>
        <v>0</v>
      </c>
      <c r="AJ28" s="2341"/>
      <c r="AK28" s="2341"/>
      <c r="AL28" s="2341"/>
      <c r="AM28" s="2341"/>
    </row>
    <row r="29" spans="1:40" ht="12.95" customHeight="1">
      <c r="B29" s="2347" t="s">
        <v>2687</v>
      </c>
      <c r="C29" s="2348"/>
      <c r="D29" s="2348"/>
      <c r="E29" s="2348"/>
      <c r="F29" s="2348"/>
      <c r="G29" s="2348"/>
      <c r="H29" s="2348"/>
      <c r="I29" s="2348"/>
      <c r="J29" s="2348"/>
      <c r="K29" s="2348"/>
      <c r="L29" s="2348"/>
      <c r="M29" s="2348"/>
      <c r="N29" s="2348"/>
      <c r="O29" s="2348"/>
      <c r="P29" s="2348"/>
      <c r="Q29" s="2348"/>
      <c r="R29" s="2348"/>
      <c r="S29" s="2349"/>
      <c r="T29" s="2342">
        <f>T28+Y28+AD28+AI28</f>
        <v>40322500.369032264</v>
      </c>
      <c r="U29" s="2343"/>
      <c r="V29" s="2343"/>
      <c r="W29" s="2343"/>
      <c r="X29" s="2343"/>
      <c r="Y29" s="2343"/>
      <c r="Z29" s="2343"/>
      <c r="AA29" s="2343"/>
      <c r="AB29" s="2343"/>
      <c r="AC29" s="2343"/>
      <c r="AD29" s="2343"/>
      <c r="AE29" s="2343"/>
      <c r="AF29" s="2343"/>
      <c r="AG29" s="2343"/>
      <c r="AH29" s="2343"/>
      <c r="AI29" s="2343"/>
      <c r="AJ29" s="2343"/>
      <c r="AK29" s="2343"/>
      <c r="AL29" s="2343"/>
      <c r="AM29" s="2340"/>
    </row>
    <row r="30" spans="1:40" ht="12.95" customHeight="1">
      <c r="B30" s="2350" t="s">
        <v>2688</v>
      </c>
      <c r="C30" s="2350"/>
      <c r="D30" s="2350"/>
      <c r="E30" s="2350"/>
      <c r="F30" s="2350"/>
      <c r="G30" s="2350"/>
      <c r="H30" s="2350"/>
      <c r="I30" s="2350"/>
      <c r="J30" s="2350"/>
      <c r="K30" s="2350"/>
      <c r="L30" s="2350"/>
      <c r="M30" s="2350"/>
      <c r="N30" s="2350"/>
      <c r="O30" s="2350"/>
      <c r="P30" s="2350"/>
      <c r="Q30" s="2350"/>
      <c r="R30" s="2350"/>
      <c r="S30" s="2350"/>
      <c r="T30" s="2350"/>
      <c r="U30" s="2350"/>
      <c r="V30" s="2350"/>
      <c r="W30" s="2350"/>
      <c r="X30" s="2350"/>
      <c r="Y30" s="2350"/>
      <c r="Z30" s="2350"/>
      <c r="AA30" s="2350"/>
      <c r="AB30" s="2350"/>
      <c r="AC30" s="2350"/>
      <c r="AD30" s="2350"/>
      <c r="AE30" s="2350"/>
      <c r="AF30" s="2350"/>
      <c r="AG30" s="2350"/>
      <c r="AH30" s="2350"/>
      <c r="AI30" s="2350"/>
      <c r="AJ30" s="2350"/>
      <c r="AK30" s="2350"/>
      <c r="AL30" s="2350"/>
      <c r="AM30" s="2350"/>
    </row>
    <row r="31" spans="1:40" ht="12.95" customHeight="1">
      <c r="B31" s="2350" t="s">
        <v>2689</v>
      </c>
      <c r="C31" s="2350"/>
      <c r="D31" s="2350"/>
      <c r="E31" s="2350"/>
      <c r="F31" s="2350"/>
      <c r="G31" s="2350"/>
      <c r="H31" s="2350"/>
      <c r="I31" s="2350"/>
      <c r="J31" s="2350"/>
      <c r="K31" s="2350"/>
      <c r="L31" s="2350"/>
      <c r="M31" s="2350"/>
      <c r="N31" s="2350"/>
      <c r="O31" s="2350"/>
      <c r="P31" s="2350"/>
      <c r="Q31" s="2350"/>
      <c r="R31" s="2350"/>
      <c r="S31" s="2350"/>
      <c r="T31" s="2350"/>
      <c r="U31" s="2350"/>
      <c r="V31" s="2350"/>
      <c r="W31" s="2350"/>
      <c r="X31" s="2350"/>
      <c r="Y31" s="2350"/>
      <c r="Z31" s="2350"/>
      <c r="AA31" s="2350"/>
      <c r="AB31" s="2350"/>
      <c r="AC31" s="2350"/>
      <c r="AD31" s="2350"/>
      <c r="AE31" s="2350"/>
      <c r="AF31" s="2350"/>
      <c r="AG31" s="2350"/>
      <c r="AH31" s="2350"/>
      <c r="AI31" s="2350"/>
      <c r="AJ31" s="2350"/>
      <c r="AK31" s="2350"/>
      <c r="AL31" s="2350"/>
      <c r="AM31" s="2350"/>
      <c r="AN31" s="443"/>
    </row>
    <row r="32" spans="1:40" ht="12.95" customHeight="1">
      <c r="B32" s="360"/>
      <c r="C32" s="436" t="s">
        <v>2690</v>
      </c>
      <c r="D32" s="360"/>
      <c r="E32" s="360"/>
      <c r="F32" s="360"/>
      <c r="G32" s="360"/>
      <c r="H32" s="360"/>
      <c r="I32" s="360"/>
      <c r="J32" s="360"/>
      <c r="K32" s="360"/>
      <c r="L32" s="360"/>
      <c r="M32" s="360"/>
      <c r="N32" s="360"/>
      <c r="O32" s="360"/>
      <c r="P32" s="360"/>
      <c r="Q32" s="360"/>
      <c r="R32" s="360"/>
      <c r="S32" s="360"/>
      <c r="T32" s="360"/>
      <c r="U32" s="360"/>
      <c r="V32" s="360"/>
      <c r="W32" s="360"/>
      <c r="X32" s="360"/>
      <c r="Y32" s="360"/>
      <c r="Z32" s="360"/>
      <c r="AA32" s="360"/>
      <c r="AB32" s="360"/>
      <c r="AC32" s="360"/>
      <c r="AD32" s="360"/>
      <c r="AE32" s="360"/>
      <c r="AF32" s="360"/>
      <c r="AG32" s="360"/>
      <c r="AH32" s="360"/>
      <c r="AI32" s="360"/>
      <c r="AJ32" s="360"/>
      <c r="AK32" s="360"/>
      <c r="AL32" s="360"/>
      <c r="AM32" s="360"/>
    </row>
    <row r="34" spans="1:76" ht="12.95" customHeight="1">
      <c r="A34" s="329" t="s">
        <v>962</v>
      </c>
      <c r="C34" s="329" t="s">
        <v>278</v>
      </c>
    </row>
    <row r="35" spans="1:76" ht="12.95" customHeight="1">
      <c r="B35" s="330"/>
      <c r="C35" s="331"/>
      <c r="D35" s="331"/>
      <c r="E35" s="331"/>
      <c r="F35" s="331"/>
      <c r="G35" s="331"/>
      <c r="H35" s="331"/>
      <c r="I35" s="331"/>
      <c r="J35" s="331"/>
      <c r="K35" s="331"/>
      <c r="L35" s="331"/>
      <c r="M35" s="331"/>
      <c r="N35" s="331"/>
      <c r="O35" s="331"/>
      <c r="P35" s="331"/>
      <c r="Q35" s="331"/>
      <c r="R35" s="331"/>
      <c r="S35" s="331"/>
      <c r="T35" s="331"/>
      <c r="U35" s="331"/>
      <c r="V35" s="331"/>
      <c r="W35" s="331"/>
      <c r="X35" s="336"/>
      <c r="Y35" s="2368" t="s">
        <v>2691</v>
      </c>
      <c r="Z35" s="2368"/>
      <c r="AA35" s="2368"/>
      <c r="AB35" s="2368"/>
      <c r="AC35" s="2368"/>
      <c r="AD35" s="2391" t="s">
        <v>2692</v>
      </c>
      <c r="AE35" s="2391"/>
      <c r="AF35" s="2391"/>
      <c r="AG35" s="2391"/>
      <c r="AH35" s="2391"/>
    </row>
    <row r="36" spans="1:76" ht="12.95" customHeight="1">
      <c r="B36" s="332"/>
      <c r="X36" s="337"/>
      <c r="Y36" s="2368"/>
      <c r="Z36" s="2368"/>
      <c r="AA36" s="2368"/>
      <c r="AB36" s="2368"/>
      <c r="AC36" s="2368"/>
      <c r="AD36" s="2391"/>
      <c r="AE36" s="2391"/>
      <c r="AF36" s="2391"/>
      <c r="AG36" s="2391"/>
      <c r="AH36" s="2391"/>
    </row>
    <row r="37" spans="1:76" ht="12.95" customHeight="1">
      <c r="B37" s="333"/>
      <c r="C37" s="334"/>
      <c r="D37" s="334"/>
      <c r="E37" s="334"/>
      <c r="F37" s="334"/>
      <c r="G37" s="334"/>
      <c r="H37" s="334"/>
      <c r="I37" s="334"/>
      <c r="J37" s="334"/>
      <c r="K37" s="334"/>
      <c r="L37" s="334"/>
      <c r="M37" s="334"/>
      <c r="N37" s="334"/>
      <c r="O37" s="334"/>
      <c r="P37" s="334"/>
      <c r="Q37" s="334"/>
      <c r="R37" s="334"/>
      <c r="S37" s="334"/>
      <c r="T37" s="334"/>
      <c r="U37" s="334"/>
      <c r="V37" s="334"/>
      <c r="W37" s="334"/>
      <c r="X37" s="338"/>
      <c r="Y37" s="2368"/>
      <c r="Z37" s="2368"/>
      <c r="AA37" s="2368"/>
      <c r="AB37" s="2368"/>
      <c r="AC37" s="2368"/>
      <c r="AD37" s="2391"/>
      <c r="AE37" s="2391"/>
      <c r="AF37" s="2391"/>
      <c r="AG37" s="2391"/>
      <c r="AH37" s="2391"/>
    </row>
    <row r="38" spans="1:76" ht="12.95" customHeight="1">
      <c r="A38" s="329"/>
      <c r="B38" s="2347" t="s">
        <v>2686</v>
      </c>
      <c r="C38" s="2348"/>
      <c r="D38" s="2348"/>
      <c r="E38" s="2348"/>
      <c r="F38" s="2348"/>
      <c r="G38" s="2348"/>
      <c r="H38" s="2348"/>
      <c r="I38" s="2348"/>
      <c r="J38" s="2348"/>
      <c r="K38" s="2348"/>
      <c r="L38" s="2348"/>
      <c r="M38" s="2348"/>
      <c r="N38" s="2348"/>
      <c r="O38" s="2348"/>
      <c r="P38" s="2348"/>
      <c r="Q38" s="2348"/>
      <c r="R38" s="2348"/>
      <c r="S38" s="2348"/>
      <c r="T38" s="2348"/>
      <c r="U38" s="2348"/>
      <c r="V38" s="2348"/>
      <c r="W38" s="2348"/>
      <c r="X38" s="2349"/>
      <c r="Y38" s="2341">
        <f>IF(T24&gt;=(T23+Y23+AD23+AI23),T28+Y28,0)</f>
        <v>40322500.369032264</v>
      </c>
      <c r="Z38" s="2341"/>
      <c r="AA38" s="2341"/>
      <c r="AB38" s="2341"/>
      <c r="AC38" s="2341"/>
      <c r="AD38" s="2341">
        <f>IF(T24&gt;=(T23+Y23+AD23+AI23),AD28+AI28,0)</f>
        <v>0</v>
      </c>
      <c r="AE38" s="2341"/>
      <c r="AF38" s="2341"/>
      <c r="AG38" s="2341"/>
      <c r="AH38" s="2341"/>
    </row>
    <row r="39" spans="1:76" ht="12.95" customHeight="1">
      <c r="B39" s="2347" t="s">
        <v>2693</v>
      </c>
      <c r="C39" s="2348"/>
      <c r="D39" s="2348"/>
      <c r="E39" s="2348"/>
      <c r="F39" s="2348"/>
      <c r="G39" s="2348"/>
      <c r="H39" s="2348"/>
      <c r="I39" s="2348"/>
      <c r="J39" s="2348"/>
      <c r="K39" s="2348"/>
      <c r="L39" s="2348"/>
      <c r="M39" s="2348"/>
      <c r="N39" s="2348"/>
      <c r="O39" s="2348"/>
      <c r="P39" s="2348"/>
      <c r="Q39" s="2348"/>
      <c r="R39" s="2348"/>
      <c r="S39" s="2348"/>
      <c r="T39" s="2348"/>
      <c r="U39" s="2348"/>
      <c r="V39" s="2348"/>
      <c r="W39" s="2348"/>
      <c r="X39" s="2349"/>
      <c r="Y39" s="2392">
        <v>0.04</v>
      </c>
      <c r="Z39" s="2392"/>
      <c r="AA39" s="2392"/>
      <c r="AB39" s="2392"/>
      <c r="AC39" s="2392"/>
      <c r="AD39" s="2392">
        <v>0.04</v>
      </c>
      <c r="AE39" s="2392"/>
      <c r="AF39" s="2392"/>
      <c r="AG39" s="2392"/>
      <c r="AH39" s="2392"/>
    </row>
    <row r="40" spans="1:76" ht="12.95" customHeight="1">
      <c r="A40" s="329"/>
      <c r="B40" s="2347" t="s">
        <v>2694</v>
      </c>
      <c r="C40" s="2348"/>
      <c r="D40" s="2348"/>
      <c r="E40" s="2348"/>
      <c r="F40" s="2348"/>
      <c r="G40" s="2348"/>
      <c r="H40" s="2348"/>
      <c r="I40" s="2348"/>
      <c r="J40" s="2348"/>
      <c r="K40" s="2348"/>
      <c r="L40" s="2348"/>
      <c r="M40" s="2348"/>
      <c r="N40" s="2348"/>
      <c r="O40" s="2348"/>
      <c r="P40" s="2348"/>
      <c r="Q40" s="2348"/>
      <c r="R40" s="2348"/>
      <c r="S40" s="2348"/>
      <c r="T40" s="2348"/>
      <c r="U40" s="2348"/>
      <c r="V40" s="2348"/>
      <c r="W40" s="2348"/>
      <c r="X40" s="2349"/>
      <c r="Y40" s="2341">
        <f>ROUND(Y38*Y39,0)</f>
        <v>1612900</v>
      </c>
      <c r="Z40" s="2341"/>
      <c r="AA40" s="2341"/>
      <c r="AB40" s="2341"/>
      <c r="AC40" s="2341"/>
      <c r="AD40" s="2340">
        <f>ROUND(AD38*AD39,0)</f>
        <v>0</v>
      </c>
      <c r="AE40" s="2341"/>
      <c r="AF40" s="2341"/>
      <c r="AG40" s="2341"/>
      <c r="AH40" s="2341"/>
    </row>
    <row r="41" spans="1:76" ht="12.95" customHeight="1">
      <c r="B41" s="2347" t="s">
        <v>2695</v>
      </c>
      <c r="C41" s="2348"/>
      <c r="D41" s="2348"/>
      <c r="E41" s="2348"/>
      <c r="F41" s="2348"/>
      <c r="G41" s="2348"/>
      <c r="H41" s="2348"/>
      <c r="I41" s="2348"/>
      <c r="J41" s="2348"/>
      <c r="K41" s="2348"/>
      <c r="L41" s="2348"/>
      <c r="M41" s="2348"/>
      <c r="N41" s="2348"/>
      <c r="O41" s="2348"/>
      <c r="P41" s="2348"/>
      <c r="Q41" s="2348"/>
      <c r="R41" s="2348"/>
      <c r="S41" s="2348"/>
      <c r="T41" s="2348"/>
      <c r="U41" s="2348"/>
      <c r="V41" s="2348"/>
      <c r="W41" s="2348"/>
      <c r="X41" s="2349"/>
      <c r="Y41" s="2342">
        <f>Y40+AD40</f>
        <v>1612900</v>
      </c>
      <c r="Z41" s="2343"/>
      <c r="AA41" s="2343"/>
      <c r="AB41" s="2343"/>
      <c r="AC41" s="2343"/>
      <c r="AD41" s="2343"/>
      <c r="AE41" s="2343"/>
      <c r="AF41" s="2343"/>
      <c r="AG41" s="2343"/>
      <c r="AH41" s="2340"/>
    </row>
    <row r="42" spans="1:76" ht="12.95" customHeight="1">
      <c r="A42" s="329"/>
      <c r="B42" s="850"/>
      <c r="C42" s="850"/>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row>
    <row r="43" spans="1:76" ht="12.95" customHeight="1">
      <c r="B43" s="339"/>
      <c r="C43" s="339"/>
      <c r="D43" s="339"/>
      <c r="E43" s="339"/>
      <c r="F43" s="339"/>
      <c r="G43" s="339"/>
      <c r="H43" s="339"/>
      <c r="I43" s="339"/>
      <c r="J43" s="339"/>
      <c r="K43" s="339"/>
      <c r="L43" s="339"/>
      <c r="M43" s="339"/>
      <c r="N43" s="339"/>
      <c r="O43" s="339"/>
      <c r="P43" s="339"/>
      <c r="Q43" s="339"/>
      <c r="R43" s="339"/>
      <c r="S43" s="339"/>
      <c r="T43" s="339"/>
      <c r="U43" s="339"/>
      <c r="V43" s="339"/>
      <c r="W43" s="339"/>
      <c r="X43" s="339"/>
      <c r="Y43" s="339"/>
      <c r="Z43" s="339"/>
      <c r="AA43" s="339"/>
      <c r="AB43" s="339"/>
      <c r="AC43" s="339"/>
      <c r="AD43" s="339"/>
      <c r="AE43" s="339"/>
      <c r="AF43" s="339"/>
      <c r="AG43" s="339"/>
      <c r="AH43" s="339"/>
    </row>
    <row r="44" spans="1:76" s="143" customFormat="1" ht="12.95" customHeight="1" thickBot="1">
      <c r="A44" s="2345" t="s">
        <v>2696</v>
      </c>
      <c r="B44" s="2345"/>
      <c r="C44" s="2345"/>
      <c r="D44" s="2345"/>
      <c r="E44" s="2345"/>
      <c r="F44" s="2345"/>
      <c r="G44" s="2345"/>
      <c r="H44" s="2345"/>
      <c r="I44" s="2345"/>
      <c r="J44" s="2345"/>
      <c r="K44" s="2345"/>
      <c r="L44" s="2345"/>
      <c r="M44" s="2345"/>
      <c r="N44" s="2345"/>
      <c r="O44" s="2345"/>
      <c r="P44" s="2345"/>
      <c r="Q44" s="2345"/>
      <c r="R44" s="2345"/>
      <c r="S44" s="2345"/>
      <c r="T44" s="2345"/>
      <c r="U44" s="2345"/>
      <c r="V44" s="2345"/>
      <c r="W44" s="2345"/>
      <c r="X44" s="2345"/>
      <c r="Y44" s="2345"/>
      <c r="Z44" s="2345"/>
      <c r="AA44" s="2345"/>
      <c r="AB44" s="2345"/>
      <c r="AC44" s="2345"/>
      <c r="AD44" s="2345"/>
      <c r="AE44" s="2345"/>
      <c r="AF44" s="2345"/>
      <c r="AG44" s="2345"/>
      <c r="AH44" s="2345"/>
      <c r="AI44" s="2345"/>
      <c r="AJ44" s="2345"/>
      <c r="AK44" s="2345"/>
      <c r="AL44" s="2345"/>
      <c r="AM44" s="2345"/>
      <c r="AN44" s="2345"/>
      <c r="AO44" s="2345"/>
      <c r="AP44" s="2345"/>
      <c r="AQ44" s="2345"/>
      <c r="AR44" s="2345"/>
      <c r="AS44" s="2345"/>
      <c r="AT44" s="2345"/>
      <c r="AU44" s="2345"/>
      <c r="AV44" s="2345"/>
      <c r="AW44" s="2345"/>
      <c r="AX44" s="2345"/>
      <c r="AY44" s="2345"/>
      <c r="AZ44" s="2345"/>
      <c r="BA44" s="2345"/>
      <c r="BB44" s="2345"/>
      <c r="BC44" s="2345"/>
      <c r="BD44" s="2345"/>
      <c r="BE44" s="2345"/>
      <c r="BF44" s="2345"/>
      <c r="BG44" s="2345"/>
      <c r="BH44" s="2345"/>
      <c r="BI44" s="2345"/>
      <c r="BJ44" s="2345"/>
      <c r="BK44" s="2345"/>
      <c r="BL44" s="2345"/>
      <c r="BM44" s="2345"/>
      <c r="BN44" s="2345"/>
      <c r="BO44" s="2345"/>
      <c r="BP44" s="2345"/>
      <c r="BQ44" s="2345"/>
      <c r="BR44" s="2345"/>
      <c r="BS44" s="2345"/>
      <c r="BT44" s="2345"/>
      <c r="BU44" s="2345"/>
      <c r="BV44" s="2345"/>
      <c r="BW44" s="2345"/>
      <c r="BX44" s="2345"/>
    </row>
    <row r="45" spans="1:76" s="143" customFormat="1" ht="12.95" customHeight="1" thickTop="1"/>
    <row r="46" spans="1:76" ht="12.95" customHeight="1">
      <c r="A46" s="329" t="s">
        <v>1039</v>
      </c>
      <c r="C46" s="329" t="s">
        <v>281</v>
      </c>
    </row>
    <row r="47" spans="1:76" ht="12.95" customHeight="1">
      <c r="D47" s="329" t="s">
        <v>2697</v>
      </c>
      <c r="AB47" s="2357">
        <f>'Sources and Uses Budget'!B105-MAX(IF('Sources and Uses Budget'!B15="",0,'Sources and Uses Budget'!B15),IF(Application!AG394="",0,Application!AG394))</f>
        <v>35418549.276178665</v>
      </c>
      <c r="AC47" s="2358"/>
      <c r="AD47" s="2358"/>
      <c r="AE47" s="2358"/>
      <c r="AF47" s="2359"/>
    </row>
    <row r="48" spans="1:76" ht="12.95" customHeight="1">
      <c r="D48" s="329" t="s">
        <v>174</v>
      </c>
      <c r="AB48" s="2357">
        <f>Application!AO639-MAX(IF('Sources and Uses Budget'!B15="",0,'Sources and Uses Budget'!B15),IF(Application!AG394="",0,Application!AG394))</f>
        <v>14288474</v>
      </c>
      <c r="AC48" s="2358"/>
      <c r="AD48" s="2358"/>
      <c r="AE48" s="2358"/>
      <c r="AF48" s="2359"/>
    </row>
    <row r="49" spans="1:76" ht="12.95" customHeight="1">
      <c r="D49" s="329" t="s">
        <v>2698</v>
      </c>
      <c r="AB49" s="2357">
        <f>AB47-AB48</f>
        <v>21130075.276178665</v>
      </c>
      <c r="AC49" s="2358"/>
      <c r="AD49" s="2358"/>
      <c r="AE49" s="2358"/>
      <c r="AF49" s="2359"/>
    </row>
    <row r="50" spans="1:76" ht="12.95" customHeight="1">
      <c r="D50" s="329" t="s">
        <v>2699</v>
      </c>
      <c r="AA50" s="340"/>
      <c r="AB50" s="2384">
        <v>0.83991603000000004</v>
      </c>
      <c r="AC50" s="2385"/>
      <c r="AD50" s="2385"/>
      <c r="AE50" s="2385"/>
      <c r="AF50" s="2386"/>
    </row>
    <row r="51" spans="1:76" s="342" customFormat="1" ht="12.95" customHeight="1">
      <c r="A51" s="327"/>
      <c r="B51" s="327"/>
      <c r="C51" s="327"/>
      <c r="D51" s="327"/>
      <c r="E51" s="2387" t="s">
        <v>2700</v>
      </c>
      <c r="F51" s="2387"/>
      <c r="G51" s="2387"/>
      <c r="H51" s="2387"/>
      <c r="I51" s="2387"/>
      <c r="J51" s="2387"/>
      <c r="K51" s="2387"/>
      <c r="L51" s="2387"/>
      <c r="M51" s="2387"/>
      <c r="N51" s="2387"/>
      <c r="O51" s="2387"/>
      <c r="P51" s="2387"/>
      <c r="Q51" s="2387"/>
      <c r="R51" s="2387"/>
      <c r="S51" s="2387"/>
      <c r="T51" s="2387"/>
      <c r="U51" s="2387"/>
      <c r="V51" s="2387"/>
      <c r="W51" s="2387"/>
      <c r="X51" s="2387"/>
      <c r="Y51" s="2387"/>
      <c r="Z51" s="2387"/>
      <c r="AA51" s="341"/>
      <c r="AB51" s="341"/>
      <c r="AC51" s="341"/>
      <c r="AD51" s="341"/>
      <c r="AE51" s="341"/>
      <c r="AF51" s="341"/>
      <c r="AG51" s="327"/>
      <c r="AH51" s="327"/>
      <c r="AI51" s="327"/>
      <c r="AJ51" s="327"/>
      <c r="AK51" s="327"/>
      <c r="AL51" s="327"/>
      <c r="AM51" s="327"/>
      <c r="AN51" s="327"/>
    </row>
    <row r="52" spans="1:76" s="342" customFormat="1" ht="12.95" customHeight="1">
      <c r="A52" s="327"/>
      <c r="B52" s="327"/>
      <c r="C52" s="327"/>
      <c r="D52" s="327"/>
      <c r="E52" s="2387"/>
      <c r="F52" s="2387"/>
      <c r="G52" s="2387"/>
      <c r="H52" s="2387"/>
      <c r="I52" s="2387"/>
      <c r="J52" s="2387"/>
      <c r="K52" s="2387"/>
      <c r="L52" s="2387"/>
      <c r="M52" s="2387"/>
      <c r="N52" s="2387"/>
      <c r="O52" s="2387"/>
      <c r="P52" s="2387"/>
      <c r="Q52" s="2387"/>
      <c r="R52" s="2387"/>
      <c r="S52" s="2387"/>
      <c r="T52" s="2387"/>
      <c r="U52" s="2387"/>
      <c r="V52" s="2387"/>
      <c r="W52" s="2387"/>
      <c r="X52" s="2387"/>
      <c r="Y52" s="2387"/>
      <c r="Z52" s="2387"/>
      <c r="AA52" s="343"/>
      <c r="AB52" s="343"/>
      <c r="AC52" s="343"/>
      <c r="AD52" s="343"/>
      <c r="AE52" s="343"/>
      <c r="AF52" s="343"/>
      <c r="AG52" s="344"/>
      <c r="AH52" s="327"/>
      <c r="AI52" s="327"/>
      <c r="AJ52" s="327"/>
      <c r="AK52" s="327"/>
      <c r="AL52" s="327"/>
      <c r="AM52" s="327"/>
      <c r="AN52" s="327"/>
    </row>
    <row r="53" spans="1:76" ht="12.95" customHeight="1">
      <c r="E53" s="341"/>
      <c r="F53" s="341"/>
      <c r="G53" s="341"/>
      <c r="H53" s="341"/>
      <c r="I53" s="341"/>
      <c r="J53" s="341"/>
      <c r="K53" s="341"/>
      <c r="L53" s="341"/>
      <c r="M53" s="341"/>
      <c r="N53" s="341"/>
      <c r="O53" s="341"/>
      <c r="P53" s="341"/>
      <c r="Q53" s="341"/>
      <c r="R53" s="341"/>
      <c r="S53" s="341"/>
      <c r="T53" s="341"/>
      <c r="U53" s="341"/>
      <c r="V53" s="341"/>
      <c r="W53" s="341"/>
      <c r="X53" s="341"/>
      <c r="Y53" s="341"/>
      <c r="Z53" s="341"/>
    </row>
    <row r="54" spans="1:76" ht="12.95" customHeight="1">
      <c r="D54" s="329" t="s">
        <v>2701</v>
      </c>
      <c r="AB54" s="2357">
        <f>ROUND(IF(ISERROR((AB49/AB50)),0,(AB49/AB50)),0)</f>
        <v>25157366</v>
      </c>
      <c r="AC54" s="2358"/>
      <c r="AD54" s="2358"/>
      <c r="AE54" s="2358"/>
      <c r="AF54" s="2359"/>
    </row>
    <row r="55" spans="1:76" ht="12.95" customHeight="1">
      <c r="D55" s="329" t="s">
        <v>2702</v>
      </c>
      <c r="AB55" s="2357">
        <f>(AB54/10)</f>
        <v>2515736.6</v>
      </c>
      <c r="AC55" s="2358"/>
      <c r="AD55" s="2358"/>
      <c r="AE55" s="2358"/>
      <c r="AF55" s="2359"/>
    </row>
    <row r="56" spans="1:76" ht="12.95" customHeight="1">
      <c r="D56" s="329" t="s">
        <v>2703</v>
      </c>
      <c r="AB56" s="2388">
        <f>(IF((Y41&lt;AB55),Y41,AB55))</f>
        <v>1612900</v>
      </c>
      <c r="AC56" s="2389"/>
      <c r="AD56" s="2389"/>
      <c r="AE56" s="2389"/>
      <c r="AF56" s="2390"/>
    </row>
    <row r="57" spans="1:76" ht="12.95" customHeight="1">
      <c r="D57" s="329" t="s">
        <v>2704</v>
      </c>
      <c r="AB57" s="2357">
        <f>ROUND((10*AB56*AB50),0)</f>
        <v>13547006</v>
      </c>
      <c r="AC57" s="2358"/>
      <c r="AD57" s="2358"/>
      <c r="AE57" s="2358"/>
      <c r="AF57" s="2359"/>
    </row>
    <row r="58" spans="1:76" ht="12.95" customHeight="1">
      <c r="D58" s="329"/>
      <c r="AB58" s="348"/>
      <c r="AC58" s="348"/>
      <c r="AD58" s="348"/>
      <c r="AE58" s="348"/>
      <c r="AF58" s="348"/>
    </row>
    <row r="59" spans="1:76" ht="12.95" customHeight="1">
      <c r="D59" s="329" t="s">
        <v>2705</v>
      </c>
      <c r="AB59" s="2380">
        <f>AB49-AB57</f>
        <v>7583069.2761786655</v>
      </c>
      <c r="AC59" s="2380"/>
      <c r="AD59" s="2380"/>
      <c r="AE59" s="2380"/>
      <c r="AF59" s="2380"/>
    </row>
    <row r="60" spans="1:76" ht="12.95" customHeight="1">
      <c r="D60" s="329"/>
      <c r="AB60" s="348"/>
      <c r="AC60" s="348"/>
      <c r="AD60" s="348"/>
      <c r="AE60" s="348"/>
      <c r="AF60" s="348"/>
    </row>
    <row r="61" spans="1:76" s="143" customFormat="1" ht="12.95" customHeight="1" thickBot="1">
      <c r="A61" s="2345" t="str">
        <f>IF(Application!AP205="yes","Farmworker State Credit", "State Credit" )</f>
        <v>State Credit</v>
      </c>
      <c r="B61" s="2345"/>
      <c r="C61" s="2345"/>
      <c r="D61" s="2345"/>
      <c r="E61" s="2345"/>
      <c r="F61" s="2345"/>
      <c r="G61" s="2345"/>
      <c r="H61" s="2345"/>
      <c r="I61" s="2345"/>
      <c r="J61" s="2345"/>
      <c r="K61" s="2345"/>
      <c r="L61" s="2345"/>
      <c r="M61" s="2345"/>
      <c r="N61" s="2345"/>
      <c r="O61" s="2345"/>
      <c r="P61" s="2345"/>
      <c r="Q61" s="2345"/>
      <c r="R61" s="2345"/>
      <c r="S61" s="2345"/>
      <c r="T61" s="2345"/>
      <c r="U61" s="2345"/>
      <c r="V61" s="2345"/>
      <c r="W61" s="2345"/>
      <c r="X61" s="2345"/>
      <c r="Y61" s="2345"/>
      <c r="Z61" s="2345"/>
      <c r="AA61" s="2345"/>
      <c r="AB61" s="2345"/>
      <c r="AC61" s="2345"/>
      <c r="AD61" s="2345"/>
      <c r="AE61" s="2345"/>
      <c r="AF61" s="2345"/>
      <c r="AG61" s="2345"/>
      <c r="AH61" s="2345"/>
      <c r="AI61" s="2345"/>
      <c r="AJ61" s="2345"/>
      <c r="AK61" s="2345"/>
      <c r="AL61" s="2345"/>
      <c r="AM61" s="2345"/>
      <c r="AN61" s="2345"/>
      <c r="AO61" s="2345"/>
      <c r="AP61" s="2345"/>
      <c r="AQ61" s="2345"/>
      <c r="AR61" s="2345"/>
      <c r="AS61" s="2345"/>
      <c r="AT61" s="2345"/>
      <c r="AU61" s="2345"/>
      <c r="AV61" s="2345"/>
      <c r="AW61" s="2345"/>
      <c r="AX61" s="2345"/>
      <c r="AY61" s="2345"/>
      <c r="AZ61" s="2345"/>
      <c r="BA61" s="2345"/>
      <c r="BB61" s="2345"/>
      <c r="BC61" s="2345"/>
      <c r="BD61" s="2345"/>
      <c r="BE61" s="2345"/>
      <c r="BF61" s="2345"/>
      <c r="BG61" s="2345"/>
      <c r="BH61" s="2345"/>
      <c r="BI61" s="2345"/>
      <c r="BJ61" s="2345"/>
      <c r="BK61" s="2345"/>
      <c r="BL61" s="2345"/>
      <c r="BM61" s="2345"/>
      <c r="BN61" s="2345"/>
      <c r="BO61" s="2345"/>
      <c r="BP61" s="2345"/>
      <c r="BQ61" s="2345"/>
      <c r="BR61" s="2345"/>
      <c r="BS61" s="2345"/>
      <c r="BT61" s="2345"/>
      <c r="BU61" s="2345"/>
      <c r="BV61" s="2345"/>
      <c r="BW61" s="2345"/>
      <c r="BX61" s="2345"/>
    </row>
    <row r="62" spans="1:76" s="143" customFormat="1" ht="12.95" customHeight="1" thickTop="1"/>
    <row r="63" spans="1:76" ht="12.95" customHeight="1">
      <c r="A63" s="329" t="s">
        <v>1057</v>
      </c>
      <c r="C63" s="144" t="s">
        <v>2706</v>
      </c>
      <c r="Y63" s="2381" t="s">
        <v>2707</v>
      </c>
      <c r="Z63" s="2381"/>
      <c r="AA63" s="2381"/>
      <c r="AB63" s="2381"/>
      <c r="AC63" s="2381"/>
      <c r="AD63" s="2381" t="s">
        <v>2692</v>
      </c>
      <c r="AE63" s="2381"/>
      <c r="AF63" s="2381"/>
      <c r="AG63" s="2381"/>
      <c r="AH63" s="2381"/>
    </row>
    <row r="64" spans="1:76" ht="12.95" customHeight="1">
      <c r="C64" s="329"/>
      <c r="D64" s="302" t="s">
        <v>2708</v>
      </c>
      <c r="E64" s="345"/>
      <c r="F64" s="345"/>
      <c r="G64" s="345"/>
      <c r="H64" s="345"/>
      <c r="I64" s="345"/>
      <c r="J64" s="345"/>
      <c r="K64" s="345"/>
      <c r="L64" s="345"/>
      <c r="M64" s="345"/>
      <c r="N64" s="345"/>
      <c r="O64" s="345"/>
      <c r="P64" s="345"/>
      <c r="Q64" s="345"/>
      <c r="R64" s="345"/>
      <c r="S64" s="345"/>
      <c r="T64" s="345"/>
      <c r="U64" s="345"/>
      <c r="V64" s="345"/>
      <c r="W64" s="345"/>
      <c r="X64" s="345"/>
      <c r="Y64" s="2342">
        <f>IF(Application!$Z$205="(select)",0,((T23*T27)+Y28))</f>
        <v>31017307.976178661</v>
      </c>
      <c r="Z64" s="2382"/>
      <c r="AA64" s="2382"/>
      <c r="AB64" s="2382"/>
      <c r="AC64" s="2383"/>
      <c r="AD64" s="2342">
        <f>IF(AND(OR(Application!D211="At-Risk",Application!D211="At-Risk and Special Needs"),Application!M358="yes"),AD28+AI28,0)</f>
        <v>0</v>
      </c>
      <c r="AE64" s="2382"/>
      <c r="AF64" s="2382"/>
      <c r="AG64" s="2382"/>
      <c r="AH64" s="2383"/>
    </row>
    <row r="65" spans="1:36" ht="12.95" customHeight="1">
      <c r="C65" s="329"/>
      <c r="E65" s="935" t="s">
        <v>2709</v>
      </c>
      <c r="F65" s="366"/>
      <c r="G65" s="366"/>
      <c r="H65" s="366"/>
      <c r="I65" s="366"/>
      <c r="J65" s="366"/>
      <c r="K65" s="366"/>
      <c r="L65" s="366"/>
      <c r="M65" s="366"/>
      <c r="N65" s="366"/>
      <c r="O65" s="366"/>
      <c r="P65" s="366"/>
      <c r="Q65" s="366"/>
      <c r="R65" s="366"/>
      <c r="S65" s="366"/>
      <c r="T65" s="366"/>
      <c r="U65" s="366"/>
      <c r="V65" s="366"/>
      <c r="W65" s="366"/>
      <c r="X65" s="366"/>
      <c r="Y65" s="366"/>
      <c r="Z65" s="366"/>
      <c r="AA65" s="366"/>
      <c r="AB65" s="366"/>
      <c r="AC65" s="366"/>
      <c r="AD65" s="366"/>
      <c r="AE65" s="366"/>
      <c r="AF65" s="366"/>
      <c r="AG65" s="366"/>
      <c r="AH65" s="366"/>
      <c r="AI65" s="366"/>
      <c r="AJ65" s="366"/>
    </row>
    <row r="66" spans="1:36" ht="22.5" customHeight="1">
      <c r="C66" s="329"/>
      <c r="E66" s="935" t="s">
        <v>2710</v>
      </c>
      <c r="F66" s="366"/>
      <c r="G66" s="366"/>
      <c r="H66" s="366"/>
      <c r="I66" s="366"/>
      <c r="J66" s="366"/>
      <c r="K66" s="366"/>
      <c r="L66" s="366"/>
      <c r="M66" s="366"/>
      <c r="N66" s="366"/>
      <c r="O66" s="366"/>
      <c r="P66" s="366"/>
      <c r="Q66" s="366"/>
      <c r="R66" s="366"/>
      <c r="S66" s="366"/>
      <c r="T66" s="366"/>
      <c r="U66" s="366"/>
      <c r="V66" s="366"/>
      <c r="W66" s="366"/>
      <c r="X66" s="366"/>
      <c r="Y66" s="366"/>
      <c r="Z66" s="366"/>
      <c r="AA66" s="366"/>
      <c r="AB66" s="366"/>
      <c r="AC66" s="366"/>
      <c r="AD66" s="366"/>
      <c r="AE66" s="366"/>
      <c r="AF66" s="366"/>
      <c r="AG66" s="366"/>
      <c r="AH66" s="366"/>
      <c r="AI66" s="366"/>
      <c r="AJ66" s="366"/>
    </row>
    <row r="67" spans="1:36" ht="12.95" customHeight="1">
      <c r="C67" s="329"/>
      <c r="D67" s="329" t="s">
        <v>2711</v>
      </c>
      <c r="E67" s="346"/>
      <c r="F67" s="346"/>
      <c r="G67" s="346"/>
      <c r="H67" s="346"/>
      <c r="I67" s="346"/>
      <c r="J67" s="346"/>
      <c r="K67" s="346"/>
      <c r="L67" s="346"/>
      <c r="M67" s="346"/>
      <c r="N67" s="346"/>
      <c r="O67" s="346"/>
      <c r="P67" s="346"/>
      <c r="Q67" s="346"/>
      <c r="R67" s="346"/>
      <c r="S67" s="346"/>
      <c r="T67" s="346"/>
      <c r="U67" s="346"/>
      <c r="V67" s="346"/>
      <c r="W67" s="346"/>
      <c r="X67" s="346"/>
      <c r="Y67" s="2394">
        <f>IF(OR(Application!Z205="State Farmworker Credit",Application!Z205="$500M (Farmworker Housing)"),0.75,IF(Application!Z205="15% set-aside",0.13,IF(Application!Z205="15% set-aside with qualifying low value rehab",0.95,0.3)))</f>
        <v>0.3</v>
      </c>
      <c r="Z67" s="2394"/>
      <c r="AA67" s="2394"/>
      <c r="AB67" s="2394"/>
      <c r="AC67" s="2394"/>
      <c r="AD67" s="2394">
        <f>IF(Application!Z205="15% set-aside with qualifying low value rehab", 0.95,0.13)</f>
        <v>0.13</v>
      </c>
      <c r="AE67" s="2394"/>
      <c r="AF67" s="2394"/>
      <c r="AG67" s="2394"/>
      <c r="AH67" s="2394"/>
    </row>
    <row r="68" spans="1:36" ht="12.95" customHeight="1">
      <c r="C68" s="329"/>
      <c r="D68" s="144" t="s">
        <v>2712</v>
      </c>
      <c r="Y68" s="2341">
        <f>ROUND(Y64*Y67,0)</f>
        <v>9305192</v>
      </c>
      <c r="Z68" s="2395"/>
      <c r="AA68" s="2395"/>
      <c r="AB68" s="2395"/>
      <c r="AC68" s="2395"/>
      <c r="AD68" s="2341">
        <f>ROUND(AD64*AD67,0)</f>
        <v>0</v>
      </c>
      <c r="AE68" s="2395"/>
      <c r="AF68" s="2395"/>
      <c r="AG68" s="2395"/>
      <c r="AH68" s="2395"/>
    </row>
    <row r="69" spans="1:36" ht="12.95" customHeight="1">
      <c r="C69" s="329"/>
      <c r="D69" s="144" t="s">
        <v>2713</v>
      </c>
      <c r="Y69" s="2341">
        <f>IF(OR(Application!Z205="State Farmworker Credit",Application!Z205="$500M (Farmworker Housing)"),Y68+AD68,MIN(Y68+AD68,200000*(Application!G753+Application!O777)))</f>
        <v>9305192</v>
      </c>
      <c r="Z69" s="2341"/>
      <c r="AA69" s="2341"/>
      <c r="AB69" s="2341"/>
      <c r="AC69" s="2341"/>
      <c r="AD69" s="2341"/>
      <c r="AE69" s="2341"/>
      <c r="AF69" s="2341"/>
      <c r="AG69" s="2341"/>
      <c r="AH69" s="2341"/>
    </row>
    <row r="70" spans="1:36" ht="12.95" customHeight="1">
      <c r="C70" s="329"/>
      <c r="E70" s="329"/>
      <c r="AB70" s="347"/>
      <c r="AC70" s="347"/>
      <c r="AD70" s="347"/>
      <c r="AE70" s="347"/>
      <c r="AF70" s="347"/>
    </row>
    <row r="71" spans="1:36" ht="12.95" customHeight="1">
      <c r="A71" s="329" t="s">
        <v>1069</v>
      </c>
      <c r="C71" s="144" t="s">
        <v>287</v>
      </c>
    </row>
    <row r="72" spans="1:36" ht="12.95" customHeight="1">
      <c r="A72" s="329"/>
      <c r="C72" s="329"/>
      <c r="D72" s="144" t="s">
        <v>2714</v>
      </c>
      <c r="AB72" s="2384">
        <v>0.88</v>
      </c>
      <c r="AC72" s="2385"/>
      <c r="AD72" s="2385"/>
      <c r="AE72" s="2385"/>
      <c r="AF72" s="2386"/>
    </row>
    <row r="73" spans="1:36" ht="12.95" customHeight="1">
      <c r="A73" s="329"/>
      <c r="C73" s="329"/>
      <c r="D73" s="329"/>
      <c r="E73" s="2396" t="s">
        <v>2715</v>
      </c>
      <c r="F73" s="2396"/>
      <c r="G73" s="2396"/>
      <c r="H73" s="2396"/>
      <c r="I73" s="2396"/>
      <c r="J73" s="2396"/>
      <c r="K73" s="2396"/>
      <c r="L73" s="2396"/>
      <c r="M73" s="2396"/>
      <c r="N73" s="2396"/>
      <c r="O73" s="2396"/>
      <c r="P73" s="2396"/>
      <c r="Q73" s="2396"/>
      <c r="R73" s="2396"/>
      <c r="S73" s="2396"/>
      <c r="T73" s="2396"/>
      <c r="U73" s="2396"/>
      <c r="V73" s="2396"/>
      <c r="W73" s="2396"/>
      <c r="X73" s="2396"/>
      <c r="Y73" s="2396"/>
      <c r="Z73" s="2396"/>
      <c r="AA73" s="2396"/>
      <c r="AB73" s="365"/>
      <c r="AC73" s="365"/>
    </row>
    <row r="74" spans="1:36" ht="12.95" customHeight="1">
      <c r="A74" s="329"/>
      <c r="C74" s="329"/>
      <c r="D74" s="329"/>
      <c r="E74" s="2396"/>
      <c r="F74" s="2396"/>
      <c r="G74" s="2396"/>
      <c r="H74" s="2396"/>
      <c r="I74" s="2396"/>
      <c r="J74" s="2396"/>
      <c r="K74" s="2396"/>
      <c r="L74" s="2396"/>
      <c r="M74" s="2396"/>
      <c r="N74" s="2396"/>
      <c r="O74" s="2396"/>
      <c r="P74" s="2396"/>
      <c r="Q74" s="2396"/>
      <c r="R74" s="2396"/>
      <c r="S74" s="2396"/>
      <c r="T74" s="2396"/>
      <c r="U74" s="2396"/>
      <c r="V74" s="2396"/>
      <c r="W74" s="2396"/>
      <c r="X74" s="2396"/>
      <c r="Y74" s="2396"/>
      <c r="Z74" s="2396"/>
      <c r="AA74" s="2396"/>
      <c r="AB74" s="365"/>
      <c r="AC74" s="365"/>
    </row>
    <row r="75" spans="1:36" ht="12.95" customHeight="1">
      <c r="A75" s="329"/>
      <c r="C75" s="329"/>
      <c r="D75" s="329"/>
      <c r="E75" s="2396"/>
      <c r="F75" s="2396"/>
      <c r="G75" s="2396"/>
      <c r="H75" s="2396"/>
      <c r="I75" s="2396"/>
      <c r="J75" s="2396"/>
      <c r="K75" s="2396"/>
      <c r="L75" s="2396"/>
      <c r="M75" s="2396"/>
      <c r="N75" s="2396"/>
      <c r="O75" s="2396"/>
      <c r="P75" s="2396"/>
      <c r="Q75" s="2396"/>
      <c r="R75" s="2396"/>
      <c r="S75" s="2396"/>
      <c r="T75" s="2396"/>
      <c r="U75" s="2396"/>
      <c r="V75" s="2396"/>
      <c r="W75" s="2396"/>
      <c r="X75" s="2396"/>
      <c r="Y75" s="2396"/>
      <c r="Z75" s="2396"/>
      <c r="AA75" s="2396"/>
      <c r="AB75" s="365"/>
      <c r="AC75" s="365"/>
    </row>
    <row r="76" spans="1:36" ht="12.95" customHeight="1">
      <c r="A76" s="329"/>
      <c r="C76" s="329"/>
      <c r="D76" s="329"/>
      <c r="E76" s="349"/>
      <c r="F76" s="349"/>
      <c r="G76" s="349"/>
      <c r="H76" s="349"/>
      <c r="I76" s="349"/>
      <c r="J76" s="349"/>
      <c r="K76" s="349"/>
      <c r="L76" s="349"/>
      <c r="M76" s="349"/>
      <c r="N76" s="349"/>
      <c r="O76" s="349"/>
      <c r="P76" s="349"/>
      <c r="Q76" s="349"/>
      <c r="R76" s="349"/>
      <c r="S76" s="349"/>
      <c r="T76" s="349"/>
      <c r="U76" s="349"/>
      <c r="V76" s="349"/>
      <c r="W76" s="349"/>
      <c r="X76" s="349"/>
      <c r="Y76" s="349"/>
      <c r="Z76" s="349"/>
      <c r="AA76" s="285"/>
      <c r="AB76" s="285"/>
      <c r="AC76" s="285"/>
    </row>
    <row r="77" spans="1:36" ht="12.95" customHeight="1">
      <c r="C77" s="329"/>
      <c r="D77" s="144" t="s">
        <v>2716</v>
      </c>
      <c r="AB77" s="2597">
        <f>ROUND(IF(ISERROR((AB59/AB72)),0,(AB59/AB72)),0)</f>
        <v>8617124</v>
      </c>
      <c r="AC77" s="2597"/>
      <c r="AD77" s="2597"/>
      <c r="AE77" s="2597"/>
      <c r="AF77" s="2597"/>
    </row>
    <row r="78" spans="1:36" ht="12.95" customHeight="1">
      <c r="C78" s="329"/>
      <c r="D78" s="144" t="s">
        <v>2717</v>
      </c>
      <c r="AB78" s="2598">
        <f>MIN(Y69,AB77)</f>
        <v>8617124</v>
      </c>
      <c r="AC78" s="2599"/>
      <c r="AD78" s="2599"/>
      <c r="AE78" s="2599"/>
      <c r="AF78" s="2600"/>
    </row>
    <row r="79" spans="1:36" ht="12.95" customHeight="1">
      <c r="C79" s="329"/>
      <c r="D79" s="144" t="s">
        <v>2718</v>
      </c>
      <c r="AB79" s="2393">
        <f>AB78*AB72</f>
        <v>7583069.1200000001</v>
      </c>
      <c r="AC79" s="2393"/>
      <c r="AD79" s="2393"/>
      <c r="AE79" s="2393"/>
      <c r="AF79" s="2393"/>
    </row>
    <row r="80" spans="1:36" ht="12.95" customHeight="1">
      <c r="C80" s="329"/>
      <c r="D80" s="329"/>
      <c r="AB80" s="350"/>
      <c r="AC80" s="350"/>
      <c r="AD80" s="350"/>
      <c r="AE80" s="350"/>
      <c r="AF80" s="350"/>
    </row>
    <row r="81" spans="1:78" ht="12.95" customHeight="1">
      <c r="D81" s="329" t="s">
        <v>2705</v>
      </c>
      <c r="AB81" s="2380">
        <f>AB49-(AB57+AB79)</f>
        <v>0.15617866441607475</v>
      </c>
      <c r="AC81" s="2380"/>
      <c r="AD81" s="2380"/>
      <c r="AE81" s="2380"/>
      <c r="AF81" s="2380"/>
    </row>
    <row r="82" spans="1:78" ht="12.95" customHeight="1">
      <c r="F82" s="447"/>
      <c r="J82" s="447" t="str">
        <f>IF(AB81&gt;0,"FUNDING GAP MUST NOT EXCEED ZERO","")</f>
        <v>FUNDING GAP MUST NOT EXCEED ZERO</v>
      </c>
    </row>
    <row r="83" spans="1:78" ht="12.95" customHeight="1">
      <c r="D83" s="448"/>
    </row>
    <row r="84" spans="1:78" ht="12.95" customHeight="1" thickBot="1">
      <c r="A84" s="2345"/>
      <c r="B84" s="2345"/>
      <c r="C84" s="2345"/>
      <c r="D84" s="2345"/>
      <c r="E84" s="2345"/>
      <c r="F84" s="2345"/>
      <c r="G84" s="2345"/>
      <c r="H84" s="2345"/>
      <c r="I84" s="2345"/>
      <c r="J84" s="2345"/>
      <c r="K84" s="2345"/>
      <c r="L84" s="2345"/>
      <c r="M84" s="2345"/>
      <c r="N84" s="2345"/>
      <c r="O84" s="2345"/>
      <c r="P84" s="2345"/>
      <c r="Q84" s="2345"/>
      <c r="R84" s="2345"/>
      <c r="S84" s="2345"/>
      <c r="T84" s="2345"/>
      <c r="U84" s="2345"/>
      <c r="V84" s="2345"/>
      <c r="W84" s="2345"/>
      <c r="X84" s="2345"/>
      <c r="Y84" s="2345"/>
      <c r="Z84" s="2345"/>
      <c r="AA84" s="2345"/>
      <c r="AB84" s="2345"/>
      <c r="AC84" s="2345"/>
      <c r="AD84" s="2345"/>
      <c r="AE84" s="2345"/>
      <c r="AF84" s="2345"/>
      <c r="AG84" s="2345"/>
      <c r="AH84" s="2345"/>
      <c r="AI84" s="2345"/>
      <c r="AJ84" s="2345"/>
      <c r="AK84" s="2345"/>
      <c r="AL84" s="2345"/>
      <c r="AM84" s="2345"/>
      <c r="AN84" s="2345"/>
      <c r="AO84" s="2345"/>
      <c r="AP84" s="2345"/>
      <c r="AQ84" s="2345"/>
      <c r="AR84" s="2345"/>
      <c r="AS84" s="2345"/>
      <c r="AT84" s="2345"/>
      <c r="AU84" s="2345"/>
      <c r="AV84" s="2345"/>
      <c r="AW84" s="2345"/>
      <c r="AX84" s="2345"/>
      <c r="AY84" s="2345"/>
      <c r="AZ84" s="2345"/>
      <c r="BA84" s="2345"/>
      <c r="BB84" s="2345"/>
      <c r="BC84" s="2345"/>
      <c r="BD84" s="2345"/>
      <c r="BE84" s="2345"/>
      <c r="BF84" s="2345"/>
      <c r="BG84" s="2345"/>
      <c r="BH84" s="2345"/>
      <c r="BI84" s="2345"/>
      <c r="BJ84" s="2345"/>
      <c r="BK84" s="2345"/>
      <c r="BL84" s="2345"/>
      <c r="BM84" s="2345"/>
      <c r="BN84" s="2345"/>
      <c r="BO84" s="2345"/>
      <c r="BP84" s="2345"/>
      <c r="BQ84" s="2345"/>
      <c r="BR84" s="2345"/>
      <c r="BS84" s="2345"/>
      <c r="BT84" s="2345"/>
      <c r="BU84" s="2345"/>
      <c r="BV84" s="2345"/>
      <c r="BW84" s="2345"/>
      <c r="BX84" s="2345"/>
    </row>
    <row r="85" spans="1:78" ht="12.95" customHeight="1" thickTop="1"/>
    <row r="86" spans="1:78" ht="12.95" customHeight="1">
      <c r="A86" s="329"/>
      <c r="C86" s="144"/>
    </row>
    <row r="87" spans="1:78" ht="12.95" customHeight="1">
      <c r="D87" s="144"/>
      <c r="AB87" s="2346"/>
      <c r="AC87" s="2346"/>
      <c r="AD87" s="2346"/>
      <c r="AE87" s="2346"/>
      <c r="AF87" s="2346"/>
    </row>
    <row r="88" spans="1:78" ht="12.95" customHeight="1" thickBot="1">
      <c r="D88" s="144"/>
      <c r="AB88" s="2344"/>
      <c r="AC88" s="2344"/>
      <c r="AD88" s="2344"/>
      <c r="AE88" s="2344"/>
      <c r="AF88" s="2344"/>
      <c r="AO88" s="446"/>
      <c r="AP88" s="446"/>
      <c r="AQ88" s="446"/>
      <c r="AR88" s="446"/>
      <c r="AS88" s="446"/>
      <c r="AT88" s="446"/>
      <c r="AU88" s="446"/>
      <c r="AV88" s="446"/>
      <c r="AW88" s="446"/>
      <c r="AX88" s="446"/>
      <c r="AY88" s="446"/>
      <c r="AZ88" s="446"/>
      <c r="BA88" s="446"/>
      <c r="BB88" s="446"/>
      <c r="BC88" s="446"/>
      <c r="BD88" s="446"/>
      <c r="BE88" s="446"/>
      <c r="BF88" s="446"/>
      <c r="BG88" s="446"/>
      <c r="BH88" s="446"/>
      <c r="BI88" s="446"/>
      <c r="BJ88" s="446"/>
      <c r="BK88" s="446"/>
      <c r="BL88" s="446"/>
      <c r="BM88" s="446"/>
      <c r="BN88" s="446"/>
      <c r="BO88" s="446"/>
      <c r="BP88" s="446"/>
      <c r="BQ88" s="446"/>
      <c r="BR88" s="446"/>
      <c r="BS88" s="446"/>
      <c r="BT88" s="446"/>
      <c r="BU88" s="446"/>
      <c r="BV88" s="446"/>
      <c r="BW88" s="446"/>
      <c r="BX88" s="446"/>
      <c r="BY88" s="446"/>
      <c r="BZ88" s="446"/>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opLeftCell="A32" workbookViewId="0">
      <selection activeCell="F5" sqref="F5"/>
    </sheetView>
  </sheetViews>
  <sheetFormatPr defaultColWidth="9.140625" defaultRowHeight="14.1" zeroHeight="1"/>
  <cols>
    <col min="1" max="2" width="15.7109375" style="226" customWidth="1"/>
    <col min="3" max="3" width="11" style="226" customWidth="1"/>
    <col min="4" max="4" width="15.7109375" style="226" customWidth="1"/>
    <col min="5" max="5" width="3.7109375" style="226" customWidth="1"/>
    <col min="6" max="7" width="15.7109375" style="226" customWidth="1"/>
    <col min="8" max="8" width="3.7109375" style="226" customWidth="1"/>
    <col min="9" max="10" width="15.7109375" style="226" customWidth="1"/>
    <col min="11" max="11" width="3.28515625" style="226" customWidth="1"/>
    <col min="12" max="17" width="15.7109375" style="226" customWidth="1"/>
    <col min="18" max="16384" width="9.140625" style="226"/>
  </cols>
  <sheetData>
    <row r="1" spans="1:12">
      <c r="A1" s="2397" t="s">
        <v>2719</v>
      </c>
      <c r="B1" s="2397"/>
      <c r="C1" s="2397"/>
      <c r="D1" s="2397"/>
      <c r="E1" s="2397"/>
      <c r="F1" s="2397"/>
      <c r="G1" s="2397"/>
      <c r="H1" s="2397"/>
      <c r="I1" s="2397"/>
      <c r="J1" s="2397"/>
      <c r="K1" s="143"/>
      <c r="L1" s="143"/>
    </row>
    <row r="2" spans="1:12">
      <c r="A2" s="148"/>
      <c r="B2" s="148"/>
      <c r="C2" s="148"/>
      <c r="D2" s="148"/>
      <c r="E2" s="148"/>
      <c r="F2" s="148"/>
      <c r="G2" s="148"/>
      <c r="H2" s="148"/>
      <c r="I2" s="148"/>
      <c r="J2" s="148"/>
    </row>
    <row r="3" spans="1:12" ht="75">
      <c r="A3" s="351" t="s">
        <v>2720</v>
      </c>
      <c r="B3" s="351" t="s">
        <v>2721</v>
      </c>
      <c r="C3" s="351" t="s">
        <v>2722</v>
      </c>
      <c r="D3" s="1070" t="s">
        <v>2723</v>
      </c>
      <c r="E3" s="143"/>
      <c r="F3" s="1070" t="s">
        <v>2724</v>
      </c>
      <c r="G3" s="351" t="s">
        <v>2725</v>
      </c>
      <c r="H3" s="352"/>
      <c r="I3" s="351" t="s">
        <v>2726</v>
      </c>
      <c r="J3" s="351" t="s">
        <v>2727</v>
      </c>
      <c r="K3" s="143"/>
      <c r="L3" s="227"/>
    </row>
    <row r="4" spans="1:12">
      <c r="A4" s="353" t="str">
        <f>Application!B718</f>
        <v>1 Bedroom</v>
      </c>
      <c r="B4" s="1002">
        <f>Application!G718</f>
        <v>12</v>
      </c>
      <c r="C4" s="1003" t="s">
        <v>1044</v>
      </c>
      <c r="D4" s="353">
        <f>Application!O718</f>
        <v>768</v>
      </c>
      <c r="E4" s="354"/>
      <c r="F4" s="1004">
        <v>2208</v>
      </c>
      <c r="G4" s="353">
        <f>F4*B4</f>
        <v>26496</v>
      </c>
      <c r="H4" s="354"/>
      <c r="I4" s="353">
        <f t="shared" ref="I4:I27" si="0">IF(F4=0,"",(F4-D4))</f>
        <v>1440</v>
      </c>
      <c r="J4" s="353">
        <f t="shared" ref="J4:J27" si="1">IF(F4=0,"",(I4*B4))</f>
        <v>17280</v>
      </c>
      <c r="K4" s="143"/>
      <c r="L4" s="227"/>
    </row>
    <row r="5" spans="1:12">
      <c r="A5" s="353" t="str">
        <f>Application!B719</f>
        <v>2 Bedrooms</v>
      </c>
      <c r="B5" s="1002">
        <f>Application!G719</f>
        <v>12</v>
      </c>
      <c r="C5" s="1003"/>
      <c r="D5" s="353">
        <f>Application!O719</f>
        <v>1935</v>
      </c>
      <c r="E5" s="354"/>
      <c r="F5" s="1004"/>
      <c r="G5" s="353">
        <f t="shared" ref="G5:G38" si="2">F5*B5</f>
        <v>0</v>
      </c>
      <c r="H5" s="354"/>
      <c r="I5" s="353" t="str">
        <f t="shared" si="0"/>
        <v/>
      </c>
      <c r="J5" s="353" t="str">
        <f t="shared" si="1"/>
        <v/>
      </c>
      <c r="K5" s="143"/>
      <c r="L5" s="227"/>
    </row>
    <row r="6" spans="1:12">
      <c r="A6" s="353" t="str">
        <f>Application!B720</f>
        <v>2 Bedrooms</v>
      </c>
      <c r="B6" s="1002">
        <f>Application!G720</f>
        <v>4</v>
      </c>
      <c r="C6" s="1003"/>
      <c r="D6" s="353">
        <f>Application!O720</f>
        <v>1594</v>
      </c>
      <c r="E6" s="354"/>
      <c r="F6" s="1004"/>
      <c r="G6" s="353">
        <f t="shared" si="2"/>
        <v>0</v>
      </c>
      <c r="H6" s="354"/>
      <c r="I6" s="353" t="str">
        <f t="shared" si="0"/>
        <v/>
      </c>
      <c r="J6" s="353" t="str">
        <f t="shared" si="1"/>
        <v/>
      </c>
      <c r="K6" s="143"/>
      <c r="L6" s="227"/>
    </row>
    <row r="7" spans="1:12">
      <c r="A7" s="353" t="str">
        <f>Application!B721</f>
        <v>2 Bedrooms</v>
      </c>
      <c r="B7" s="1002">
        <f>Application!G721</f>
        <v>4</v>
      </c>
      <c r="C7" s="1003"/>
      <c r="D7" s="353">
        <f>Application!O721</f>
        <v>1253</v>
      </c>
      <c r="E7" s="354"/>
      <c r="F7" s="1004"/>
      <c r="G7" s="353">
        <f t="shared" si="2"/>
        <v>0</v>
      </c>
      <c r="H7" s="354"/>
      <c r="I7" s="353" t="str">
        <f t="shared" si="0"/>
        <v/>
      </c>
      <c r="J7" s="353" t="str">
        <f t="shared" si="1"/>
        <v/>
      </c>
      <c r="K7" s="143"/>
      <c r="L7" s="227"/>
    </row>
    <row r="8" spans="1:12">
      <c r="A8" s="353" t="str">
        <f>Application!B722</f>
        <v>2 Bedrooms</v>
      </c>
      <c r="B8" s="1002">
        <f>Application!G722</f>
        <v>3</v>
      </c>
      <c r="C8" s="1003"/>
      <c r="D8" s="353">
        <f>Application!O722</f>
        <v>912</v>
      </c>
      <c r="E8" s="354"/>
      <c r="F8" s="1004"/>
      <c r="G8" s="353">
        <f t="shared" si="2"/>
        <v>0</v>
      </c>
      <c r="H8" s="354"/>
      <c r="I8" s="353" t="str">
        <f t="shared" si="0"/>
        <v/>
      </c>
      <c r="J8" s="353" t="str">
        <f t="shared" si="1"/>
        <v/>
      </c>
      <c r="K8" s="143"/>
      <c r="L8" s="227"/>
    </row>
    <row r="9" spans="1:12">
      <c r="A9" s="353" t="str">
        <f>Application!B723</f>
        <v>3 Bedrooms</v>
      </c>
      <c r="B9" s="1002">
        <f>Application!G723</f>
        <v>6</v>
      </c>
      <c r="C9" s="1003"/>
      <c r="D9" s="353">
        <f>Application!O723</f>
        <v>2219</v>
      </c>
      <c r="E9" s="354"/>
      <c r="F9" s="1004"/>
      <c r="G9" s="353">
        <f t="shared" si="2"/>
        <v>0</v>
      </c>
      <c r="H9" s="354"/>
      <c r="I9" s="353" t="str">
        <f t="shared" si="0"/>
        <v/>
      </c>
      <c r="J9" s="353" t="str">
        <f t="shared" si="1"/>
        <v/>
      </c>
      <c r="K9" s="143"/>
      <c r="L9" s="227"/>
    </row>
    <row r="10" spans="1:12">
      <c r="A10" s="353" t="str">
        <f>Application!B724</f>
        <v>3 Bedrooms</v>
      </c>
      <c r="B10" s="1002">
        <f>Application!G724</f>
        <v>4</v>
      </c>
      <c r="C10" s="1003"/>
      <c r="D10" s="353">
        <f>Application!O724</f>
        <v>1825</v>
      </c>
      <c r="E10" s="354"/>
      <c r="F10" s="1004"/>
      <c r="G10" s="353">
        <f t="shared" si="2"/>
        <v>0</v>
      </c>
      <c r="H10" s="354"/>
      <c r="I10" s="353" t="str">
        <f t="shared" si="0"/>
        <v/>
      </c>
      <c r="J10" s="353" t="str">
        <f t="shared" si="1"/>
        <v/>
      </c>
      <c r="K10" s="143"/>
      <c r="L10" s="227"/>
    </row>
    <row r="11" spans="1:12">
      <c r="A11" s="353" t="str">
        <f>Application!B725</f>
        <v>3 Bedrooms</v>
      </c>
      <c r="B11" s="1002">
        <f>Application!G725</f>
        <v>2</v>
      </c>
      <c r="C11" s="1003"/>
      <c r="D11" s="353">
        <f>Application!O725</f>
        <v>1037</v>
      </c>
      <c r="E11" s="354"/>
      <c r="F11" s="1004"/>
      <c r="G11" s="353">
        <f t="shared" si="2"/>
        <v>0</v>
      </c>
      <c r="H11" s="354"/>
      <c r="I11" s="353" t="str">
        <f t="shared" si="0"/>
        <v/>
      </c>
      <c r="J11" s="353" t="str">
        <f t="shared" si="1"/>
        <v/>
      </c>
      <c r="K11" s="143"/>
      <c r="L11" s="227"/>
    </row>
    <row r="12" spans="1:12">
      <c r="A12" s="353">
        <f>Application!B726</f>
        <v>0</v>
      </c>
      <c r="B12" s="1002">
        <f>Application!G726</f>
        <v>0</v>
      </c>
      <c r="C12" s="1003"/>
      <c r="D12" s="353">
        <f>Application!O726</f>
        <v>0</v>
      </c>
      <c r="E12" s="354"/>
      <c r="F12" s="1004"/>
      <c r="G12" s="353">
        <f t="shared" si="2"/>
        <v>0</v>
      </c>
      <c r="H12" s="354"/>
      <c r="I12" s="353" t="str">
        <f t="shared" si="0"/>
        <v/>
      </c>
      <c r="J12" s="353" t="str">
        <f t="shared" si="1"/>
        <v/>
      </c>
      <c r="K12" s="143"/>
      <c r="L12" s="227"/>
    </row>
    <row r="13" spans="1:12">
      <c r="A13" s="353">
        <f>Application!B727</f>
        <v>0</v>
      </c>
      <c r="B13" s="1002">
        <f>Application!G727</f>
        <v>0</v>
      </c>
      <c r="C13" s="1003"/>
      <c r="D13" s="353">
        <f>Application!O727</f>
        <v>0</v>
      </c>
      <c r="E13" s="354"/>
      <c r="F13" s="1004"/>
      <c r="G13" s="353">
        <f t="shared" si="2"/>
        <v>0</v>
      </c>
      <c r="H13" s="354"/>
      <c r="I13" s="353" t="str">
        <f t="shared" si="0"/>
        <v/>
      </c>
      <c r="J13" s="353" t="str">
        <f t="shared" si="1"/>
        <v/>
      </c>
      <c r="K13" s="143"/>
      <c r="L13" s="227"/>
    </row>
    <row r="14" spans="1:12">
      <c r="A14" s="353">
        <f>Application!B728</f>
        <v>0</v>
      </c>
      <c r="B14" s="1002">
        <f>Application!G728</f>
        <v>0</v>
      </c>
      <c r="C14" s="1003"/>
      <c r="D14" s="353">
        <f>Application!O728</f>
        <v>0</v>
      </c>
      <c r="E14" s="354"/>
      <c r="F14" s="1004"/>
      <c r="G14" s="353">
        <f t="shared" si="2"/>
        <v>0</v>
      </c>
      <c r="H14" s="354"/>
      <c r="I14" s="353" t="str">
        <f t="shared" si="0"/>
        <v/>
      </c>
      <c r="J14" s="353" t="str">
        <f t="shared" si="1"/>
        <v/>
      </c>
      <c r="K14" s="143"/>
      <c r="L14" s="227"/>
    </row>
    <row r="15" spans="1:12">
      <c r="A15" s="353">
        <f>Application!B729</f>
        <v>0</v>
      </c>
      <c r="B15" s="1002">
        <f>Application!G729</f>
        <v>0</v>
      </c>
      <c r="C15" s="1003"/>
      <c r="D15" s="353">
        <f>Application!O729</f>
        <v>0</v>
      </c>
      <c r="E15" s="354"/>
      <c r="F15" s="1004"/>
      <c r="G15" s="353">
        <f t="shared" si="2"/>
        <v>0</v>
      </c>
      <c r="H15" s="354"/>
      <c r="I15" s="353" t="str">
        <f t="shared" si="0"/>
        <v/>
      </c>
      <c r="J15" s="353" t="str">
        <f t="shared" si="1"/>
        <v/>
      </c>
      <c r="K15" s="143"/>
      <c r="L15" s="227"/>
    </row>
    <row r="16" spans="1:12">
      <c r="A16" s="353">
        <f>Application!B730</f>
        <v>0</v>
      </c>
      <c r="B16" s="1002">
        <f>Application!G730</f>
        <v>0</v>
      </c>
      <c r="C16" s="1003"/>
      <c r="D16" s="353">
        <f>Application!O730</f>
        <v>0</v>
      </c>
      <c r="E16" s="354"/>
      <c r="F16" s="1004"/>
      <c r="G16" s="353">
        <f t="shared" si="2"/>
        <v>0</v>
      </c>
      <c r="H16" s="354"/>
      <c r="I16" s="353" t="str">
        <f t="shared" si="0"/>
        <v/>
      </c>
      <c r="J16" s="353" t="str">
        <f t="shared" si="1"/>
        <v/>
      </c>
      <c r="K16" s="143"/>
      <c r="L16" s="227"/>
    </row>
    <row r="17" spans="1:12">
      <c r="A17" s="353">
        <f>Application!B731</f>
        <v>0</v>
      </c>
      <c r="B17" s="1002">
        <f>Application!G731</f>
        <v>0</v>
      </c>
      <c r="C17" s="1003"/>
      <c r="D17" s="353">
        <f>Application!O731</f>
        <v>0</v>
      </c>
      <c r="E17" s="354"/>
      <c r="F17" s="1004"/>
      <c r="G17" s="353">
        <f t="shared" si="2"/>
        <v>0</v>
      </c>
      <c r="H17" s="354"/>
      <c r="I17" s="353" t="str">
        <f t="shared" si="0"/>
        <v/>
      </c>
      <c r="J17" s="353" t="str">
        <f t="shared" si="1"/>
        <v/>
      </c>
      <c r="K17" s="143"/>
      <c r="L17" s="227"/>
    </row>
    <row r="18" spans="1:12">
      <c r="A18" s="353">
        <f>Application!B732</f>
        <v>0</v>
      </c>
      <c r="B18" s="1002">
        <f>Application!G732</f>
        <v>0</v>
      </c>
      <c r="C18" s="1003"/>
      <c r="D18" s="353">
        <f>Application!O732</f>
        <v>0</v>
      </c>
      <c r="E18" s="354"/>
      <c r="F18" s="1004"/>
      <c r="G18" s="353">
        <f t="shared" si="2"/>
        <v>0</v>
      </c>
      <c r="H18" s="354"/>
      <c r="I18" s="353" t="str">
        <f t="shared" si="0"/>
        <v/>
      </c>
      <c r="J18" s="353" t="str">
        <f t="shared" si="1"/>
        <v/>
      </c>
      <c r="K18" s="143"/>
      <c r="L18" s="227"/>
    </row>
    <row r="19" spans="1:12">
      <c r="A19" s="353">
        <f>Application!B733</f>
        <v>0</v>
      </c>
      <c r="B19" s="1002">
        <f>Application!G733</f>
        <v>0</v>
      </c>
      <c r="C19" s="1003"/>
      <c r="D19" s="353">
        <f>Application!O733</f>
        <v>0</v>
      </c>
      <c r="E19" s="354"/>
      <c r="F19" s="1004"/>
      <c r="G19" s="353">
        <f t="shared" si="2"/>
        <v>0</v>
      </c>
      <c r="H19" s="354"/>
      <c r="I19" s="353" t="str">
        <f t="shared" si="0"/>
        <v/>
      </c>
      <c r="J19" s="353" t="str">
        <f t="shared" si="1"/>
        <v/>
      </c>
      <c r="K19" s="143"/>
      <c r="L19" s="227"/>
    </row>
    <row r="20" spans="1:12">
      <c r="A20" s="353">
        <f>Application!B734</f>
        <v>0</v>
      </c>
      <c r="B20" s="1002">
        <f>Application!G734</f>
        <v>0</v>
      </c>
      <c r="C20" s="1003"/>
      <c r="D20" s="353">
        <f>Application!O734</f>
        <v>0</v>
      </c>
      <c r="E20" s="354"/>
      <c r="F20" s="1004"/>
      <c r="G20" s="353">
        <f t="shared" si="2"/>
        <v>0</v>
      </c>
      <c r="H20" s="354"/>
      <c r="I20" s="353" t="str">
        <f t="shared" si="0"/>
        <v/>
      </c>
      <c r="J20" s="353" t="str">
        <f t="shared" si="1"/>
        <v/>
      </c>
      <c r="K20" s="143"/>
      <c r="L20" s="227"/>
    </row>
    <row r="21" spans="1:12">
      <c r="A21" s="353">
        <f>Application!B735</f>
        <v>0</v>
      </c>
      <c r="B21" s="1002">
        <f>Application!G735</f>
        <v>0</v>
      </c>
      <c r="C21" s="1003"/>
      <c r="D21" s="353">
        <f>Application!O735</f>
        <v>0</v>
      </c>
      <c r="E21" s="354"/>
      <c r="F21" s="1004"/>
      <c r="G21" s="353">
        <f t="shared" si="2"/>
        <v>0</v>
      </c>
      <c r="H21" s="354"/>
      <c r="I21" s="353" t="str">
        <f t="shared" si="0"/>
        <v/>
      </c>
      <c r="J21" s="353" t="str">
        <f t="shared" si="1"/>
        <v/>
      </c>
      <c r="K21" s="143"/>
      <c r="L21" s="227"/>
    </row>
    <row r="22" spans="1:12">
      <c r="A22" s="353">
        <f>Application!B736</f>
        <v>0</v>
      </c>
      <c r="B22" s="1002">
        <f>Application!G736</f>
        <v>0</v>
      </c>
      <c r="C22" s="1003"/>
      <c r="D22" s="353">
        <f>Application!O736</f>
        <v>0</v>
      </c>
      <c r="E22" s="354"/>
      <c r="F22" s="1004"/>
      <c r="G22" s="353">
        <f t="shared" si="2"/>
        <v>0</v>
      </c>
      <c r="H22" s="354"/>
      <c r="I22" s="353" t="str">
        <f t="shared" si="0"/>
        <v/>
      </c>
      <c r="J22" s="353" t="str">
        <f t="shared" si="1"/>
        <v/>
      </c>
      <c r="K22" s="143"/>
      <c r="L22" s="227"/>
    </row>
    <row r="23" spans="1:12">
      <c r="A23" s="353">
        <f>Application!B737</f>
        <v>0</v>
      </c>
      <c r="B23" s="1002">
        <f>Application!G737</f>
        <v>0</v>
      </c>
      <c r="C23" s="1003"/>
      <c r="D23" s="353">
        <f>Application!O737</f>
        <v>0</v>
      </c>
      <c r="E23" s="354"/>
      <c r="F23" s="1004"/>
      <c r="G23" s="353">
        <f t="shared" si="2"/>
        <v>0</v>
      </c>
      <c r="H23" s="354"/>
      <c r="I23" s="353" t="str">
        <f t="shared" si="0"/>
        <v/>
      </c>
      <c r="J23" s="353" t="str">
        <f t="shared" si="1"/>
        <v/>
      </c>
      <c r="K23" s="143"/>
      <c r="L23" s="227"/>
    </row>
    <row r="24" spans="1:12">
      <c r="A24" s="353">
        <f>Application!B738</f>
        <v>0</v>
      </c>
      <c r="B24" s="1002">
        <f>Application!G738</f>
        <v>0</v>
      </c>
      <c r="C24" s="1003"/>
      <c r="D24" s="353">
        <f>Application!O738</f>
        <v>0</v>
      </c>
      <c r="E24" s="354"/>
      <c r="F24" s="1004"/>
      <c r="G24" s="353">
        <f t="shared" si="2"/>
        <v>0</v>
      </c>
      <c r="H24" s="354"/>
      <c r="I24" s="353" t="str">
        <f t="shared" si="0"/>
        <v/>
      </c>
      <c r="J24" s="353" t="str">
        <f t="shared" si="1"/>
        <v/>
      </c>
      <c r="K24" s="143"/>
      <c r="L24" s="227"/>
    </row>
    <row r="25" spans="1:12">
      <c r="A25" s="353">
        <f>Application!B739</f>
        <v>0</v>
      </c>
      <c r="B25" s="1002">
        <f>Application!G739</f>
        <v>0</v>
      </c>
      <c r="C25" s="1003"/>
      <c r="D25" s="353">
        <f>Application!O739</f>
        <v>0</v>
      </c>
      <c r="E25" s="354"/>
      <c r="F25" s="1004"/>
      <c r="G25" s="353">
        <f t="shared" si="2"/>
        <v>0</v>
      </c>
      <c r="H25" s="354"/>
      <c r="I25" s="353" t="str">
        <f t="shared" si="0"/>
        <v/>
      </c>
      <c r="J25" s="353" t="str">
        <f t="shared" si="1"/>
        <v/>
      </c>
      <c r="K25" s="143"/>
      <c r="L25" s="227"/>
    </row>
    <row r="26" spans="1:12">
      <c r="A26" s="353">
        <f>Application!B740</f>
        <v>0</v>
      </c>
      <c r="B26" s="1002">
        <f>Application!G740</f>
        <v>0</v>
      </c>
      <c r="C26" s="1003"/>
      <c r="D26" s="353">
        <f>Application!O740</f>
        <v>0</v>
      </c>
      <c r="E26" s="354"/>
      <c r="F26" s="1004"/>
      <c r="G26" s="353">
        <f t="shared" si="2"/>
        <v>0</v>
      </c>
      <c r="H26" s="354"/>
      <c r="I26" s="353" t="str">
        <f t="shared" si="0"/>
        <v/>
      </c>
      <c r="J26" s="353" t="str">
        <f t="shared" si="1"/>
        <v/>
      </c>
      <c r="K26" s="143"/>
      <c r="L26" s="227"/>
    </row>
    <row r="27" spans="1:12">
      <c r="A27" s="353">
        <f>Application!B741</f>
        <v>0</v>
      </c>
      <c r="B27" s="1002">
        <f>Application!G741</f>
        <v>0</v>
      </c>
      <c r="C27" s="1003"/>
      <c r="D27" s="353">
        <f>Application!O741</f>
        <v>0</v>
      </c>
      <c r="E27" s="354"/>
      <c r="F27" s="1004"/>
      <c r="G27" s="353">
        <f t="shared" si="2"/>
        <v>0</v>
      </c>
      <c r="H27" s="354"/>
      <c r="I27" s="353" t="str">
        <f t="shared" si="0"/>
        <v/>
      </c>
      <c r="J27" s="353" t="str">
        <f t="shared" si="1"/>
        <v/>
      </c>
      <c r="K27" s="143"/>
      <c r="L27" s="227"/>
    </row>
    <row r="28" spans="1:12">
      <c r="A28" s="353">
        <f>Application!B742</f>
        <v>0</v>
      </c>
      <c r="B28" s="1002">
        <f>Application!G742</f>
        <v>0</v>
      </c>
      <c r="C28" s="1003"/>
      <c r="D28" s="353">
        <f>Application!O742</f>
        <v>0</v>
      </c>
      <c r="E28" s="354"/>
      <c r="F28" s="1004"/>
      <c r="G28" s="353">
        <f t="shared" si="2"/>
        <v>0</v>
      </c>
      <c r="H28" s="354"/>
      <c r="I28" s="353" t="str">
        <f t="shared" ref="I28:I37" si="3">IF(F28=0,"",(F28-D28))</f>
        <v/>
      </c>
      <c r="J28" s="353" t="str">
        <f t="shared" ref="J28:J37" si="4">IF(F28=0,"",(I28*B28))</f>
        <v/>
      </c>
      <c r="K28" s="143"/>
      <c r="L28" s="227"/>
    </row>
    <row r="29" spans="1:12">
      <c r="A29" s="353">
        <f>Application!B743</f>
        <v>0</v>
      </c>
      <c r="B29" s="1002">
        <f>Application!G743</f>
        <v>0</v>
      </c>
      <c r="C29" s="1003"/>
      <c r="D29" s="353">
        <f>Application!O743</f>
        <v>0</v>
      </c>
      <c r="E29" s="354"/>
      <c r="F29" s="1004"/>
      <c r="G29" s="353">
        <f t="shared" si="2"/>
        <v>0</v>
      </c>
      <c r="H29" s="354"/>
      <c r="I29" s="353" t="str">
        <f t="shared" si="3"/>
        <v/>
      </c>
      <c r="J29" s="353" t="str">
        <f t="shared" si="4"/>
        <v/>
      </c>
      <c r="K29" s="143"/>
      <c r="L29" s="227"/>
    </row>
    <row r="30" spans="1:12">
      <c r="A30" s="353">
        <f>Application!B744</f>
        <v>0</v>
      </c>
      <c r="B30" s="1002">
        <f>Application!G744</f>
        <v>0</v>
      </c>
      <c r="C30" s="1003"/>
      <c r="D30" s="353">
        <f>Application!O744</f>
        <v>0</v>
      </c>
      <c r="E30" s="354"/>
      <c r="F30" s="1004"/>
      <c r="G30" s="353">
        <f t="shared" si="2"/>
        <v>0</v>
      </c>
      <c r="H30" s="354"/>
      <c r="I30" s="353" t="str">
        <f t="shared" si="3"/>
        <v/>
      </c>
      <c r="J30" s="353" t="str">
        <f t="shared" si="4"/>
        <v/>
      </c>
      <c r="K30" s="143"/>
      <c r="L30" s="227"/>
    </row>
    <row r="31" spans="1:12">
      <c r="A31" s="353">
        <f>Application!B745</f>
        <v>0</v>
      </c>
      <c r="B31" s="1002">
        <f>Application!G745</f>
        <v>0</v>
      </c>
      <c r="C31" s="1003"/>
      <c r="D31" s="353">
        <f>Application!O745</f>
        <v>0</v>
      </c>
      <c r="E31" s="354"/>
      <c r="F31" s="1004"/>
      <c r="G31" s="353">
        <f t="shared" si="2"/>
        <v>0</v>
      </c>
      <c r="H31" s="354"/>
      <c r="I31" s="353" t="str">
        <f t="shared" si="3"/>
        <v/>
      </c>
      <c r="J31" s="353" t="str">
        <f t="shared" si="4"/>
        <v/>
      </c>
      <c r="K31" s="143"/>
      <c r="L31" s="227"/>
    </row>
    <row r="32" spans="1:12">
      <c r="A32" s="353">
        <f>Application!B746</f>
        <v>0</v>
      </c>
      <c r="B32" s="1002">
        <f>Application!G746</f>
        <v>0</v>
      </c>
      <c r="C32" s="1003"/>
      <c r="D32" s="353">
        <f>Application!O746</f>
        <v>0</v>
      </c>
      <c r="E32" s="354"/>
      <c r="F32" s="1004"/>
      <c r="G32" s="353">
        <f t="shared" si="2"/>
        <v>0</v>
      </c>
      <c r="H32" s="354"/>
      <c r="I32" s="353" t="str">
        <f t="shared" si="3"/>
        <v/>
      </c>
      <c r="J32" s="353" t="str">
        <f t="shared" si="4"/>
        <v/>
      </c>
      <c r="K32" s="143"/>
      <c r="L32" s="227"/>
    </row>
    <row r="33" spans="1:12">
      <c r="A33" s="353">
        <f>Application!B747</f>
        <v>0</v>
      </c>
      <c r="B33" s="1002">
        <f>Application!G747</f>
        <v>0</v>
      </c>
      <c r="C33" s="1003"/>
      <c r="D33" s="353">
        <f>Application!O747</f>
        <v>0</v>
      </c>
      <c r="E33" s="354"/>
      <c r="F33" s="1004"/>
      <c r="G33" s="353">
        <f t="shared" si="2"/>
        <v>0</v>
      </c>
      <c r="H33" s="354"/>
      <c r="I33" s="353" t="str">
        <f t="shared" si="3"/>
        <v/>
      </c>
      <c r="J33" s="353" t="str">
        <f t="shared" si="4"/>
        <v/>
      </c>
      <c r="K33" s="143"/>
      <c r="L33" s="227"/>
    </row>
    <row r="34" spans="1:12">
      <c r="A34" s="353">
        <f>Application!B748</f>
        <v>0</v>
      </c>
      <c r="B34" s="1002">
        <f>Application!G748</f>
        <v>0</v>
      </c>
      <c r="C34" s="1003"/>
      <c r="D34" s="353">
        <f>Application!O748</f>
        <v>0</v>
      </c>
      <c r="E34" s="354"/>
      <c r="F34" s="1004"/>
      <c r="G34" s="353">
        <f t="shared" si="2"/>
        <v>0</v>
      </c>
      <c r="H34" s="354"/>
      <c r="I34" s="353" t="str">
        <f t="shared" si="3"/>
        <v/>
      </c>
      <c r="J34" s="353" t="str">
        <f t="shared" si="4"/>
        <v/>
      </c>
      <c r="K34" s="143"/>
      <c r="L34" s="227"/>
    </row>
    <row r="35" spans="1:12">
      <c r="A35" s="353">
        <f>Application!B749</f>
        <v>0</v>
      </c>
      <c r="B35" s="1002">
        <f>Application!G749</f>
        <v>0</v>
      </c>
      <c r="C35" s="1003"/>
      <c r="D35" s="353">
        <f>Application!O749</f>
        <v>0</v>
      </c>
      <c r="E35" s="354"/>
      <c r="F35" s="1004"/>
      <c r="G35" s="353">
        <f t="shared" si="2"/>
        <v>0</v>
      </c>
      <c r="H35" s="354"/>
      <c r="I35" s="353" t="str">
        <f t="shared" si="3"/>
        <v/>
      </c>
      <c r="J35" s="353" t="str">
        <f t="shared" si="4"/>
        <v/>
      </c>
      <c r="K35" s="143"/>
      <c r="L35" s="227"/>
    </row>
    <row r="36" spans="1:12">
      <c r="A36" s="353">
        <f>Application!B750</f>
        <v>0</v>
      </c>
      <c r="B36" s="1002">
        <f>Application!G750</f>
        <v>0</v>
      </c>
      <c r="C36" s="1003"/>
      <c r="D36" s="353">
        <f>Application!O750</f>
        <v>0</v>
      </c>
      <c r="E36" s="354"/>
      <c r="F36" s="1004"/>
      <c r="G36" s="353">
        <f t="shared" si="2"/>
        <v>0</v>
      </c>
      <c r="H36" s="354"/>
      <c r="I36" s="353" t="str">
        <f t="shared" si="3"/>
        <v/>
      </c>
      <c r="J36" s="353" t="str">
        <f t="shared" si="4"/>
        <v/>
      </c>
      <c r="K36" s="143"/>
      <c r="L36" s="227"/>
    </row>
    <row r="37" spans="1:12">
      <c r="A37" s="353">
        <f>Application!B751</f>
        <v>0</v>
      </c>
      <c r="B37" s="1002">
        <f>Application!G751</f>
        <v>0</v>
      </c>
      <c r="C37" s="1003"/>
      <c r="D37" s="353">
        <f>Application!O751</f>
        <v>0</v>
      </c>
      <c r="E37" s="354"/>
      <c r="F37" s="1004"/>
      <c r="G37" s="353">
        <f t="shared" si="2"/>
        <v>0</v>
      </c>
      <c r="H37" s="354"/>
      <c r="I37" s="353" t="str">
        <f t="shared" si="3"/>
        <v/>
      </c>
      <c r="J37" s="353" t="str">
        <f t="shared" si="4"/>
        <v/>
      </c>
      <c r="K37" s="143"/>
      <c r="L37" s="227"/>
    </row>
    <row r="38" spans="1:12">
      <c r="A38" s="353">
        <f>Application!B752</f>
        <v>0</v>
      </c>
      <c r="B38" s="1002">
        <f>Application!G752</f>
        <v>0</v>
      </c>
      <c r="C38" s="1003"/>
      <c r="D38" s="353">
        <f>Application!O752</f>
        <v>0</v>
      </c>
      <c r="E38" s="354"/>
      <c r="F38" s="1004"/>
      <c r="G38" s="353">
        <f t="shared" si="2"/>
        <v>0</v>
      </c>
      <c r="H38" s="354"/>
      <c r="I38" s="353" t="str">
        <f>IF(F38=0,"",(F38-D38))</f>
        <v/>
      </c>
      <c r="J38" s="353" t="str">
        <f>IF(F38=0,"",(I38*B38))</f>
        <v/>
      </c>
      <c r="K38" s="143"/>
      <c r="L38" s="227"/>
    </row>
    <row r="39" spans="1:12">
      <c r="A39" s="143"/>
      <c r="B39" s="143"/>
      <c r="C39" s="143"/>
      <c r="D39" s="354"/>
      <c r="E39" s="354"/>
      <c r="F39" s="354"/>
      <c r="G39" s="354"/>
      <c r="H39" s="354"/>
      <c r="I39" s="354"/>
      <c r="J39" s="143"/>
      <c r="K39" s="143"/>
      <c r="L39" s="227"/>
    </row>
    <row r="40" spans="1:12">
      <c r="A40" s="355" t="s">
        <v>2728</v>
      </c>
      <c r="B40" s="356"/>
      <c r="C40" s="356"/>
      <c r="D40" s="357">
        <f>Application!O753</f>
        <v>69248</v>
      </c>
      <c r="E40" s="354"/>
      <c r="F40" s="354"/>
      <c r="G40" s="357">
        <f>SUM(G4:G38)*12</f>
        <v>317952</v>
      </c>
      <c r="H40" s="358"/>
      <c r="I40" s="356"/>
      <c r="J40" s="357">
        <f>SUM(J4:J38)*12</f>
        <v>207360</v>
      </c>
      <c r="K40" s="143"/>
      <c r="L40" s="228"/>
    </row>
    <row r="41" spans="1:12">
      <c r="A41" s="355"/>
      <c r="B41" s="356"/>
      <c r="C41" s="356"/>
      <c r="D41" s="358"/>
      <c r="E41" s="354"/>
      <c r="F41" s="354"/>
      <c r="G41" s="358"/>
      <c r="H41" s="358"/>
      <c r="I41" s="356"/>
      <c r="J41" s="358"/>
      <c r="K41" s="143"/>
      <c r="L41" s="228"/>
    </row>
    <row r="42" spans="1:12">
      <c r="A42" s="359" t="s">
        <v>2729</v>
      </c>
      <c r="B42" s="148"/>
      <c r="C42" s="148"/>
      <c r="D42" s="148"/>
      <c r="E42" s="148"/>
      <c r="F42" s="148"/>
      <c r="G42" s="148"/>
      <c r="H42" s="148"/>
      <c r="I42" s="148"/>
      <c r="J42" s="148"/>
    </row>
    <row r="43" spans="1:12">
      <c r="A43" s="359" t="s">
        <v>2730</v>
      </c>
      <c r="B43" s="148"/>
      <c r="C43" s="148"/>
      <c r="D43" s="148"/>
      <c r="E43" s="148"/>
      <c r="F43" s="148"/>
      <c r="G43" s="148"/>
      <c r="H43" s="148"/>
      <c r="I43" s="148"/>
      <c r="J43" s="148"/>
    </row>
    <row r="44" spans="1:12">
      <c r="A44" s="148" t="s">
        <v>2731</v>
      </c>
      <c r="B44" s="148"/>
      <c r="C44" s="148"/>
      <c r="D44" s="148"/>
      <c r="E44" s="148"/>
      <c r="F44" s="148"/>
      <c r="G44" s="148"/>
      <c r="H44" s="148"/>
      <c r="I44" s="148"/>
      <c r="J44" s="148"/>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XFC217"/>
  <sheetViews>
    <sheetView topLeftCell="A29" workbookViewId="0">
      <selection activeCell="G65" sqref="G65"/>
    </sheetView>
  </sheetViews>
  <sheetFormatPr defaultColWidth="0" defaultRowHeight="12.95" zeroHeight="1"/>
  <cols>
    <col min="1" max="1" width="3.7109375" customWidth="1"/>
    <col min="2" max="2" width="30.7109375" customWidth="1"/>
    <col min="3" max="3" width="9.140625" style="151"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149" t="s">
        <v>2732</v>
      </c>
      <c r="B1" s="149"/>
    </row>
    <row r="2" spans="1:34"/>
    <row r="3" spans="1:34" ht="15.95">
      <c r="A3" s="150" t="s">
        <v>2733</v>
      </c>
      <c r="B3" s="150"/>
      <c r="C3" s="172" t="s">
        <v>2734</v>
      </c>
      <c r="D3" s="13"/>
      <c r="E3" s="173" t="s">
        <v>2735</v>
      </c>
      <c r="F3" s="142"/>
      <c r="G3" s="173" t="s">
        <v>2736</v>
      </c>
      <c r="H3" s="142"/>
      <c r="I3" s="173" t="s">
        <v>2737</v>
      </c>
      <c r="J3" s="142"/>
      <c r="K3" s="173" t="s">
        <v>2738</v>
      </c>
      <c r="L3" s="142"/>
      <c r="M3" s="173" t="s">
        <v>2739</v>
      </c>
      <c r="N3" s="142"/>
      <c r="O3" s="173" t="s">
        <v>2740</v>
      </c>
      <c r="P3" s="142"/>
      <c r="Q3" s="173" t="s">
        <v>2741</v>
      </c>
      <c r="R3" s="142"/>
      <c r="S3" s="173" t="s">
        <v>2742</v>
      </c>
      <c r="T3" s="142"/>
      <c r="U3" s="173" t="s">
        <v>2743</v>
      </c>
      <c r="V3" s="142"/>
      <c r="W3" s="173" t="s">
        <v>2744</v>
      </c>
      <c r="X3" s="142"/>
      <c r="Y3" s="173" t="s">
        <v>2745</v>
      </c>
      <c r="Z3" s="142"/>
      <c r="AA3" s="173" t="s">
        <v>2746</v>
      </c>
      <c r="AB3" s="142"/>
      <c r="AC3" s="173" t="s">
        <v>2747</v>
      </c>
      <c r="AD3" s="142"/>
      <c r="AE3" s="173" t="s">
        <v>2748</v>
      </c>
      <c r="AF3" s="142"/>
      <c r="AG3" s="173" t="s">
        <v>2749</v>
      </c>
      <c r="AH3" s="13"/>
    </row>
    <row r="4" spans="1:34" s="157" customFormat="1" ht="14.1">
      <c r="A4" s="157" t="s">
        <v>2750</v>
      </c>
      <c r="C4" s="2601">
        <v>1.0249999999999999</v>
      </c>
      <c r="E4" s="157">
        <f>Application!Y801</f>
        <v>830976</v>
      </c>
      <c r="G4" s="157">
        <f>E4*$C$4</f>
        <v>851750.39999999991</v>
      </c>
      <c r="I4" s="157">
        <f>G4*$C$4</f>
        <v>873044.1599999998</v>
      </c>
      <c r="K4" s="157">
        <f>I4*$C$4</f>
        <v>894870.26399999973</v>
      </c>
      <c r="M4" s="157">
        <f>K4*$C$4</f>
        <v>917242.0205999997</v>
      </c>
      <c r="O4" s="157">
        <f>M4*$C$4</f>
        <v>940173.07111499959</v>
      </c>
      <c r="Q4" s="157">
        <f>O4*$C$4</f>
        <v>963677.39789287455</v>
      </c>
      <c r="S4" s="157">
        <f>Q4*$C$4</f>
        <v>987769.33284019632</v>
      </c>
      <c r="U4" s="157">
        <f>S4*$C$4</f>
        <v>1012463.5661612011</v>
      </c>
      <c r="W4" s="157">
        <f>U4*$C$4</f>
        <v>1037775.1553152311</v>
      </c>
      <c r="Y4" s="157">
        <f>W4*$C$4</f>
        <v>1063719.5341981119</v>
      </c>
      <c r="AA4" s="157">
        <f>Y4*$C$4</f>
        <v>1090312.5225530646</v>
      </c>
      <c r="AC4" s="157">
        <f>AA4*$C$4</f>
        <v>1117570.335616891</v>
      </c>
      <c r="AE4" s="157">
        <f>AC4*$C$4</f>
        <v>1145509.5940073133</v>
      </c>
      <c r="AG4" s="157">
        <f>AE4*$C$4</f>
        <v>1174147.333857496</v>
      </c>
    </row>
    <row r="5" spans="1:34" s="148" customFormat="1" ht="14.1">
      <c r="B5" s="148" t="s">
        <v>2087</v>
      </c>
      <c r="C5" s="2602">
        <f>IF(Application!$D$211="Special Needs",0.1,0.05)</f>
        <v>0.05</v>
      </c>
      <c r="E5" s="159">
        <f>-E4*$C$5</f>
        <v>-41548.800000000003</v>
      </c>
      <c r="F5" s="159"/>
      <c r="G5" s="159">
        <f>-G4*$C$5</f>
        <v>-42587.519999999997</v>
      </c>
      <c r="H5" s="159"/>
      <c r="I5" s="159">
        <f>-I4*$C$5</f>
        <v>-43652.207999999991</v>
      </c>
      <c r="J5" s="159"/>
      <c r="K5" s="159">
        <f>-K4*$C$5</f>
        <v>-44743.513199999987</v>
      </c>
      <c r="L5" s="159"/>
      <c r="M5" s="159">
        <f>-M4*$C$5</f>
        <v>-45862.101029999991</v>
      </c>
      <c r="N5" s="159"/>
      <c r="O5" s="159">
        <f>-O4*$C$5</f>
        <v>-47008.653555749981</v>
      </c>
      <c r="P5" s="159"/>
      <c r="Q5" s="159">
        <f>-Q4*$C$5</f>
        <v>-48183.869894643729</v>
      </c>
      <c r="R5" s="159"/>
      <c r="S5" s="159">
        <f>-S4*$C$5</f>
        <v>-49388.466642009822</v>
      </c>
      <c r="T5" s="159"/>
      <c r="U5" s="159">
        <f>-U4*$C$5</f>
        <v>-50623.178308060058</v>
      </c>
      <c r="V5" s="159"/>
      <c r="W5" s="159">
        <f>-W4*$C$5</f>
        <v>-51888.757765761555</v>
      </c>
      <c r="X5" s="159"/>
      <c r="Y5" s="159">
        <f>-Y4*$C$5</f>
        <v>-53185.976709905597</v>
      </c>
      <c r="Z5" s="159"/>
      <c r="AA5" s="159">
        <f>-AA4*$C$5</f>
        <v>-54515.626127653231</v>
      </c>
      <c r="AB5" s="159"/>
      <c r="AC5" s="159">
        <f>-AC4*$C$5</f>
        <v>-55878.516780844555</v>
      </c>
      <c r="AD5" s="159"/>
      <c r="AE5" s="159">
        <f>-AE4*$C$5</f>
        <v>-57275.479700365664</v>
      </c>
      <c r="AF5" s="159"/>
      <c r="AG5" s="159">
        <f>-AG4*$C$5</f>
        <v>-58707.366692874806</v>
      </c>
    </row>
    <row r="6" spans="1:34" s="148" customFormat="1" ht="14.1">
      <c r="A6" s="148" t="s">
        <v>2751</v>
      </c>
      <c r="C6" s="2601">
        <v>1.0249999999999999</v>
      </c>
      <c r="E6" s="160">
        <f>Application!Z809</f>
        <v>207360</v>
      </c>
      <c r="F6" s="160"/>
      <c r="G6" s="160">
        <f>E6*$C$6</f>
        <v>212543.99999999997</v>
      </c>
      <c r="H6" s="160"/>
      <c r="I6" s="160">
        <f>G6*$C$6</f>
        <v>217857.59999999995</v>
      </c>
      <c r="J6" s="160"/>
      <c r="K6" s="160">
        <f>I6*$C$6</f>
        <v>223304.03999999992</v>
      </c>
      <c r="L6" s="160"/>
      <c r="M6" s="160">
        <f>K6*$C$6</f>
        <v>228886.64099999989</v>
      </c>
      <c r="N6" s="160"/>
      <c r="O6" s="160">
        <f>M6*$C$6</f>
        <v>234608.80702499987</v>
      </c>
      <c r="P6" s="160"/>
      <c r="Q6" s="160">
        <f>O6*$C$6</f>
        <v>240474.02720062484</v>
      </c>
      <c r="R6" s="160"/>
      <c r="S6" s="160">
        <f>Q6*$C$6</f>
        <v>246485.87788064044</v>
      </c>
      <c r="T6" s="160"/>
      <c r="U6" s="160">
        <f>S6*$C$6</f>
        <v>252648.02482765642</v>
      </c>
      <c r="V6" s="160"/>
      <c r="W6" s="160">
        <f>U6*$C$6</f>
        <v>258964.2254483478</v>
      </c>
      <c r="X6" s="160"/>
      <c r="Y6" s="160">
        <f>W6*$C$6</f>
        <v>265438.33108455647</v>
      </c>
      <c r="Z6" s="160"/>
      <c r="AA6" s="160">
        <f>Y6*$C$6</f>
        <v>272074.28936167038</v>
      </c>
      <c r="AB6" s="160"/>
      <c r="AC6" s="160">
        <f>AA6*$C$6</f>
        <v>278876.14659571211</v>
      </c>
      <c r="AD6" s="160"/>
      <c r="AE6" s="160">
        <f>AC6*$C$6</f>
        <v>285848.05026060488</v>
      </c>
      <c r="AF6" s="160"/>
      <c r="AG6" s="160">
        <f>AE6*$C$6</f>
        <v>292994.25151711999</v>
      </c>
    </row>
    <row r="7" spans="1:34" s="148" customFormat="1" ht="14.1">
      <c r="B7" s="148" t="s">
        <v>2087</v>
      </c>
      <c r="C7" s="2602">
        <f>IF(Application!$D$211="Special Needs",0.1,0.05)</f>
        <v>0.05</v>
      </c>
      <c r="E7" s="159">
        <f>-E6*$C$7</f>
        <v>-10368</v>
      </c>
      <c r="F7" s="159"/>
      <c r="G7" s="159">
        <f>-G6*$C$7</f>
        <v>-10627.199999999999</v>
      </c>
      <c r="H7" s="159"/>
      <c r="I7" s="159">
        <f>-I6*$C$7</f>
        <v>-10892.879999999997</v>
      </c>
      <c r="J7" s="159"/>
      <c r="K7" s="159">
        <f>-K6*$C$7</f>
        <v>-11165.201999999997</v>
      </c>
      <c r="L7" s="159"/>
      <c r="M7" s="159">
        <f>-M6*$C$7</f>
        <v>-11444.332049999995</v>
      </c>
      <c r="N7" s="159"/>
      <c r="O7" s="159">
        <f>-O6*$C$7</f>
        <v>-11730.440351249994</v>
      </c>
      <c r="P7" s="159"/>
      <c r="Q7" s="159">
        <f>-Q6*$C$7</f>
        <v>-12023.701360031242</v>
      </c>
      <c r="R7" s="159"/>
      <c r="S7" s="159">
        <f>-S6*$C$7</f>
        <v>-12324.293894032024</v>
      </c>
      <c r="T7" s="159"/>
      <c r="U7" s="159">
        <f>-U6*$C$7</f>
        <v>-12632.401241382822</v>
      </c>
      <c r="V7" s="159"/>
      <c r="W7" s="159">
        <f>-W6*$C$7</f>
        <v>-12948.211272417391</v>
      </c>
      <c r="X7" s="159"/>
      <c r="Y7" s="159">
        <f>-Y6*$C$7</f>
        <v>-13271.916554227824</v>
      </c>
      <c r="Z7" s="159"/>
      <c r="AA7" s="159">
        <f>-AA6*$C$7</f>
        <v>-13603.714468083519</v>
      </c>
      <c r="AB7" s="159"/>
      <c r="AC7" s="159">
        <f>-AC6*$C$7</f>
        <v>-13943.807329785606</v>
      </c>
      <c r="AD7" s="159"/>
      <c r="AE7" s="159">
        <f>-AE6*$C$7</f>
        <v>-14292.402513030245</v>
      </c>
      <c r="AF7" s="159"/>
      <c r="AG7" s="159">
        <f>-AG6*$C$7</f>
        <v>-14649.712575856</v>
      </c>
    </row>
    <row r="8" spans="1:34" s="148" customFormat="1" ht="14.1">
      <c r="A8" s="148" t="s">
        <v>214</v>
      </c>
      <c r="C8" s="2601">
        <v>1.0249999999999999</v>
      </c>
      <c r="E8" s="160">
        <f>Application!Z817</f>
        <v>9216</v>
      </c>
      <c r="F8" s="160"/>
      <c r="G8" s="160">
        <f>E8*$C$8</f>
        <v>9446.4</v>
      </c>
      <c r="H8" s="160"/>
      <c r="I8" s="160">
        <f>G8*$C$8</f>
        <v>9682.56</v>
      </c>
      <c r="J8" s="160"/>
      <c r="K8" s="160">
        <f>I8*$C$8</f>
        <v>9924.623999999998</v>
      </c>
      <c r="L8" s="160"/>
      <c r="M8" s="160">
        <f>K8*$C$8</f>
        <v>10172.739599999997</v>
      </c>
      <c r="N8" s="160"/>
      <c r="O8" s="160">
        <f>M8*$C$8</f>
        <v>10427.058089999997</v>
      </c>
      <c r="P8" s="160"/>
      <c r="Q8" s="160">
        <f>O8*$C$8</f>
        <v>10687.734542249997</v>
      </c>
      <c r="R8" s="160"/>
      <c r="S8" s="160">
        <f>Q8*$C$8</f>
        <v>10954.927905806246</v>
      </c>
      <c r="T8" s="160"/>
      <c r="U8" s="160">
        <f>S8*$C$8</f>
        <v>11228.8011034514</v>
      </c>
      <c r="V8" s="160"/>
      <c r="W8" s="160">
        <f>U8*$C$8</f>
        <v>11509.521131037684</v>
      </c>
      <c r="X8" s="160"/>
      <c r="Y8" s="160">
        <f>W8*$C$8</f>
        <v>11797.259159313624</v>
      </c>
      <c r="Z8" s="160"/>
      <c r="AA8" s="160">
        <f>Y8*$C$8</f>
        <v>12092.190638296464</v>
      </c>
      <c r="AB8" s="160"/>
      <c r="AC8" s="160">
        <f>AA8*$C$8</f>
        <v>12394.495404253876</v>
      </c>
      <c r="AD8" s="160"/>
      <c r="AE8" s="160">
        <f>AC8*$C$8</f>
        <v>12704.357789360221</v>
      </c>
      <c r="AF8" s="160"/>
      <c r="AG8" s="160">
        <f>AE8*$C$8</f>
        <v>13021.966734094225</v>
      </c>
    </row>
    <row r="9" spans="1:34" s="148" customFormat="1" ht="14.1">
      <c r="B9" s="148" t="s">
        <v>2087</v>
      </c>
      <c r="C9" s="2602">
        <f>IF(Application!$D$211="Special Needs",0.1,0.05)</f>
        <v>0.05</v>
      </c>
      <c r="E9" s="159">
        <f>-E8*$C$9</f>
        <v>-460.8</v>
      </c>
      <c r="F9" s="159"/>
      <c r="G9" s="159">
        <f>-G8*$C$9</f>
        <v>-472.32</v>
      </c>
      <c r="H9" s="159"/>
      <c r="I9" s="159">
        <f>-I8*$C$9</f>
        <v>-484.12799999999999</v>
      </c>
      <c r="J9" s="159"/>
      <c r="K9" s="159">
        <f>-K8*$C$9</f>
        <v>-496.23119999999994</v>
      </c>
      <c r="L9" s="159"/>
      <c r="M9" s="159">
        <f>-M8*$C$9</f>
        <v>-508.63697999999988</v>
      </c>
      <c r="N9" s="159"/>
      <c r="O9" s="159">
        <f>-O8*$C$9</f>
        <v>-521.35290449999991</v>
      </c>
      <c r="P9" s="159"/>
      <c r="Q9" s="159">
        <f>-Q8*$C$9</f>
        <v>-534.3867271124999</v>
      </c>
      <c r="R9" s="159"/>
      <c r="S9" s="159">
        <f>-S8*$C$9</f>
        <v>-547.74639529031231</v>
      </c>
      <c r="T9" s="159"/>
      <c r="U9" s="159">
        <f>-U8*$C$9</f>
        <v>-561.44005517257006</v>
      </c>
      <c r="V9" s="159"/>
      <c r="W9" s="159">
        <f>-W8*$C$9</f>
        <v>-575.4760565518842</v>
      </c>
      <c r="X9" s="159"/>
      <c r="Y9" s="159">
        <f>-Y8*$C$9</f>
        <v>-589.86295796568118</v>
      </c>
      <c r="Z9" s="159"/>
      <c r="AA9" s="159">
        <f>-AA8*$C$9</f>
        <v>-604.60953191482326</v>
      </c>
      <c r="AB9" s="159"/>
      <c r="AC9" s="159">
        <f>-AC8*$C$9</f>
        <v>-619.72477021269378</v>
      </c>
      <c r="AD9" s="159"/>
      <c r="AE9" s="159">
        <f>-AE8*$C$9</f>
        <v>-635.21788946801109</v>
      </c>
      <c r="AF9" s="159"/>
      <c r="AG9" s="159">
        <f>-AG8*$C$9</f>
        <v>-651.0983367047113</v>
      </c>
    </row>
    <row r="10" spans="1:34" s="148" customFormat="1" ht="14.1">
      <c r="A10" s="1067" t="s">
        <v>2752</v>
      </c>
      <c r="B10" s="1067"/>
      <c r="C10" s="2602"/>
      <c r="E10" s="1068"/>
      <c r="F10" s="160"/>
      <c r="G10" s="1068"/>
      <c r="H10" s="160"/>
      <c r="I10" s="1068"/>
      <c r="J10" s="160"/>
      <c r="K10" s="1068"/>
      <c r="L10" s="160"/>
      <c r="M10" s="1068"/>
      <c r="N10" s="160"/>
      <c r="O10" s="1068"/>
      <c r="P10" s="160"/>
      <c r="Q10" s="1068"/>
      <c r="R10" s="160"/>
      <c r="S10" s="1068"/>
      <c r="T10" s="160"/>
      <c r="U10" s="1068"/>
      <c r="V10" s="160"/>
      <c r="W10" s="1068"/>
      <c r="X10" s="160"/>
      <c r="Y10" s="1068"/>
      <c r="Z10" s="160"/>
      <c r="AA10" s="1068"/>
      <c r="AB10" s="160"/>
      <c r="AC10" s="1068"/>
      <c r="AD10" s="160"/>
      <c r="AE10" s="1068"/>
      <c r="AF10" s="160"/>
      <c r="AG10" s="1068"/>
    </row>
    <row r="11" spans="1:34" s="161" customFormat="1" ht="14.1">
      <c r="A11" s="161" t="s">
        <v>2753</v>
      </c>
      <c r="C11" s="153"/>
      <c r="E11" s="161">
        <f>SUM(E4:E10)</f>
        <v>995174.39999999991</v>
      </c>
      <c r="G11" s="161">
        <f>SUM(G4:G10)</f>
        <v>1020053.76</v>
      </c>
      <c r="I11" s="161">
        <f>SUM(I4:I10)</f>
        <v>1045555.1039999998</v>
      </c>
      <c r="K11" s="161">
        <f>SUM(K4:K10)</f>
        <v>1071693.9815999996</v>
      </c>
      <c r="M11" s="161">
        <f>SUM(M4:M10)</f>
        <v>1098486.3311399994</v>
      </c>
      <c r="O11" s="161">
        <f>SUM(O4:O10)</f>
        <v>1125948.4894184994</v>
      </c>
      <c r="Q11" s="161">
        <f>SUM(Q4:Q10)</f>
        <v>1154097.2016539618</v>
      </c>
      <c r="S11" s="161">
        <f>SUM(S4:S10)</f>
        <v>1182949.6316953111</v>
      </c>
      <c r="U11" s="161">
        <f>SUM(U4:U10)</f>
        <v>1212523.3724876933</v>
      </c>
      <c r="W11" s="161">
        <f>SUM(W4:W10)</f>
        <v>1242836.456799886</v>
      </c>
      <c r="Y11" s="161">
        <f>SUM(Y4:Y10)</f>
        <v>1273907.3682198827</v>
      </c>
      <c r="AA11" s="161">
        <f>SUM(AA4:AA10)</f>
        <v>1305755.0524253799</v>
      </c>
      <c r="AC11" s="161">
        <f>SUM(AC4:AC10)</f>
        <v>1338398.9287360141</v>
      </c>
      <c r="AE11" s="161">
        <f>SUM(AE4:AE10)</f>
        <v>1371858.9019544146</v>
      </c>
      <c r="AG11" s="161">
        <f>SUM(AG4:AG10)</f>
        <v>1406155.3745032749</v>
      </c>
    </row>
    <row r="12" spans="1:34">
      <c r="C12" s="881"/>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row>
    <row r="13" spans="1:34" ht="15.95">
      <c r="A13" s="150" t="s">
        <v>2754</v>
      </c>
      <c r="C13" s="881"/>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row>
    <row r="14" spans="1:34" s="148" customFormat="1" ht="14.1">
      <c r="A14" s="148" t="s">
        <v>2755</v>
      </c>
      <c r="C14" s="2601">
        <v>1.0349999999999999</v>
      </c>
      <c r="E14" s="160"/>
      <c r="F14" s="160"/>
      <c r="G14" s="160"/>
      <c r="H14" s="160"/>
      <c r="I14" s="160"/>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row>
    <row r="15" spans="1:34" s="157" customFormat="1" ht="14.1">
      <c r="A15" s="157" t="s">
        <v>2756</v>
      </c>
      <c r="C15" s="889"/>
      <c r="E15" s="157">
        <f>Application!W847</f>
        <v>50410</v>
      </c>
      <c r="G15" s="157">
        <f>E15*$C$14</f>
        <v>52174.35</v>
      </c>
      <c r="I15" s="157">
        <f>G15*$C$14</f>
        <v>54000.452249999995</v>
      </c>
      <c r="K15" s="157">
        <f>I15*$C$14</f>
        <v>55890.468078749989</v>
      </c>
      <c r="M15" s="157">
        <f>K15*$C$14</f>
        <v>57846.634461506233</v>
      </c>
      <c r="O15" s="157">
        <f>M15*$C$14</f>
        <v>59871.266667658951</v>
      </c>
      <c r="Q15" s="157">
        <f>O15*$C$14</f>
        <v>61966.761001027007</v>
      </c>
      <c r="S15" s="157">
        <f>Q15*$C$14</f>
        <v>64135.59763606295</v>
      </c>
      <c r="U15" s="157">
        <f>S15*$C$14</f>
        <v>66380.343553325147</v>
      </c>
      <c r="W15" s="157">
        <f>U15*$C$14</f>
        <v>68703.655577691519</v>
      </c>
      <c r="Y15" s="157">
        <f>W15*$C$14</f>
        <v>71108.283522910715</v>
      </c>
      <c r="AA15" s="157">
        <f>Y15*$C$14</f>
        <v>73597.073446212584</v>
      </c>
      <c r="AC15" s="157">
        <f>AA15*$C$14</f>
        <v>76172.971016830023</v>
      </c>
      <c r="AE15" s="157">
        <f>AC15*$C$14</f>
        <v>78839.025002419061</v>
      </c>
      <c r="AG15" s="157">
        <f>AE15*$C$14</f>
        <v>81598.390877503727</v>
      </c>
    </row>
    <row r="16" spans="1:34" s="148" customFormat="1" ht="14.1">
      <c r="A16" s="148" t="s">
        <v>1623</v>
      </c>
      <c r="C16" s="881"/>
      <c r="E16" s="160">
        <f>Application!W849</f>
        <v>51840</v>
      </c>
      <c r="F16" s="160"/>
      <c r="G16" s="160">
        <f t="shared" ref="G16:AG21" si="0">E16*$C$14</f>
        <v>53654.399999999994</v>
      </c>
      <c r="H16" s="160"/>
      <c r="I16" s="160">
        <f t="shared" si="0"/>
        <v>55532.303999999989</v>
      </c>
      <c r="J16" s="160"/>
      <c r="K16" s="160">
        <f t="shared" si="0"/>
        <v>57475.934639999985</v>
      </c>
      <c r="L16" s="160"/>
      <c r="M16" s="160">
        <f t="shared" si="0"/>
        <v>59487.592352399981</v>
      </c>
      <c r="N16" s="160"/>
      <c r="O16" s="160">
        <f t="shared" si="0"/>
        <v>61569.658084733972</v>
      </c>
      <c r="P16" s="160"/>
      <c r="Q16" s="160">
        <f t="shared" si="0"/>
        <v>63724.596117699657</v>
      </c>
      <c r="R16" s="160"/>
      <c r="S16" s="160">
        <f t="shared" si="0"/>
        <v>65954.956981819138</v>
      </c>
      <c r="T16" s="160"/>
      <c r="U16" s="160">
        <f t="shared" si="0"/>
        <v>68263.380476182807</v>
      </c>
      <c r="V16" s="160"/>
      <c r="W16" s="160">
        <f t="shared" si="0"/>
        <v>70652.598792849196</v>
      </c>
      <c r="X16" s="160"/>
      <c r="Y16" s="160">
        <f t="shared" si="0"/>
        <v>73125.439750598918</v>
      </c>
      <c r="Z16" s="160"/>
      <c r="AA16" s="160">
        <f t="shared" si="0"/>
        <v>75684.830141869868</v>
      </c>
      <c r="AB16" s="160"/>
      <c r="AC16" s="160">
        <f t="shared" si="0"/>
        <v>78333.799196835302</v>
      </c>
      <c r="AD16" s="160"/>
      <c r="AE16" s="160">
        <f t="shared" si="0"/>
        <v>81075.482168724528</v>
      </c>
      <c r="AF16" s="160"/>
      <c r="AG16" s="160">
        <f t="shared" si="0"/>
        <v>83913.124044629876</v>
      </c>
    </row>
    <row r="17" spans="1:1023 1025:2047 2049:3071 3073:4095 4097:5119 5121:6143 6145:7167 7169:8191 8193:9215 9217:10239 10241:11263 11265:12287 12289:13311 13313:14335 14337:15359 15361:16383" s="148" customFormat="1" ht="14.1">
      <c r="A17" s="148" t="s">
        <v>229</v>
      </c>
      <c r="C17" s="881"/>
      <c r="E17" s="160">
        <f>Application!W855</f>
        <v>85000</v>
      </c>
      <c r="F17" s="160"/>
      <c r="G17" s="160">
        <f t="shared" si="0"/>
        <v>87975</v>
      </c>
      <c r="H17" s="160"/>
      <c r="I17" s="160">
        <f t="shared" si="0"/>
        <v>91054.125</v>
      </c>
      <c r="J17" s="160"/>
      <c r="K17" s="160">
        <f t="shared" si="0"/>
        <v>94241.019374999989</v>
      </c>
      <c r="L17" s="160"/>
      <c r="M17" s="160">
        <f t="shared" si="0"/>
        <v>97539.455053124984</v>
      </c>
      <c r="N17" s="160"/>
      <c r="O17" s="160">
        <f t="shared" si="0"/>
        <v>100953.33597998435</v>
      </c>
      <c r="P17" s="160"/>
      <c r="Q17" s="160">
        <f t="shared" si="0"/>
        <v>104486.70273928379</v>
      </c>
      <c r="R17" s="160"/>
      <c r="S17" s="160">
        <f t="shared" si="0"/>
        <v>108143.73733515872</v>
      </c>
      <c r="T17" s="160"/>
      <c r="U17" s="160">
        <f t="shared" si="0"/>
        <v>111928.76814188926</v>
      </c>
      <c r="V17" s="160"/>
      <c r="W17" s="160">
        <f t="shared" si="0"/>
        <v>115846.27502685538</v>
      </c>
      <c r="X17" s="160"/>
      <c r="Y17" s="160">
        <f t="shared" si="0"/>
        <v>119900.89465279531</v>
      </c>
      <c r="Z17" s="160"/>
      <c r="AA17" s="160">
        <f t="shared" si="0"/>
        <v>124097.42596564314</v>
      </c>
      <c r="AB17" s="160"/>
      <c r="AC17" s="160">
        <f t="shared" si="0"/>
        <v>128440.83587444064</v>
      </c>
      <c r="AD17" s="160"/>
      <c r="AE17" s="160">
        <f t="shared" si="0"/>
        <v>132936.26513004606</v>
      </c>
      <c r="AF17" s="160"/>
      <c r="AG17" s="160">
        <f t="shared" si="0"/>
        <v>137589.03440959766</v>
      </c>
    </row>
    <row r="18" spans="1:1023 1025:2047 2049:3071 3073:4095 4097:5119 5121:6143 6145:7167 7169:8191 8193:9215 9217:10239 10241:11263 11265:12287 12289:13311 13313:14335 14337:15359 15361:16383" s="148" customFormat="1" ht="14.1">
      <c r="A18" s="148" t="s">
        <v>2757</v>
      </c>
      <c r="C18" s="881"/>
      <c r="E18" s="160">
        <f>Application!W862</f>
        <v>85000</v>
      </c>
      <c r="F18" s="160"/>
      <c r="G18" s="160">
        <f t="shared" si="0"/>
        <v>87975</v>
      </c>
      <c r="H18" s="160"/>
      <c r="I18" s="160">
        <f t="shared" si="0"/>
        <v>91054.125</v>
      </c>
      <c r="J18" s="160"/>
      <c r="K18" s="160">
        <f t="shared" si="0"/>
        <v>94241.019374999989</v>
      </c>
      <c r="L18" s="160"/>
      <c r="M18" s="160">
        <f t="shared" si="0"/>
        <v>97539.455053124984</v>
      </c>
      <c r="N18" s="160"/>
      <c r="O18" s="160">
        <f t="shared" si="0"/>
        <v>100953.33597998435</v>
      </c>
      <c r="P18" s="160"/>
      <c r="Q18" s="160">
        <f t="shared" si="0"/>
        <v>104486.70273928379</v>
      </c>
      <c r="R18" s="160"/>
      <c r="S18" s="160">
        <f t="shared" si="0"/>
        <v>108143.73733515872</v>
      </c>
      <c r="T18" s="160"/>
      <c r="U18" s="160">
        <f t="shared" si="0"/>
        <v>111928.76814188926</v>
      </c>
      <c r="V18" s="160"/>
      <c r="W18" s="160">
        <f t="shared" si="0"/>
        <v>115846.27502685538</v>
      </c>
      <c r="X18" s="160"/>
      <c r="Y18" s="160">
        <f t="shared" si="0"/>
        <v>119900.89465279531</v>
      </c>
      <c r="Z18" s="160"/>
      <c r="AA18" s="160">
        <f t="shared" si="0"/>
        <v>124097.42596564314</v>
      </c>
      <c r="AB18" s="160"/>
      <c r="AC18" s="160">
        <f t="shared" si="0"/>
        <v>128440.83587444064</v>
      </c>
      <c r="AD18" s="160"/>
      <c r="AE18" s="160">
        <f t="shared" si="0"/>
        <v>132936.26513004606</v>
      </c>
      <c r="AF18" s="160"/>
      <c r="AG18" s="160">
        <f t="shared" si="0"/>
        <v>137589.03440959766</v>
      </c>
    </row>
    <row r="19" spans="1:1023 1025:2047 2049:3071 3073:4095 4097:5119 5121:6143 6145:7167 7169:8191 8193:9215 9217:10239 10241:11263 11265:12287 12289:13311 13313:14335 14337:15359 15361:16383" s="148" customFormat="1" ht="14.1">
      <c r="A19" s="148" t="s">
        <v>1848</v>
      </c>
      <c r="C19" s="881"/>
      <c r="E19" s="160">
        <f>Application!W863</f>
        <v>60000</v>
      </c>
      <c r="F19" s="160"/>
      <c r="G19" s="160">
        <f t="shared" si="0"/>
        <v>62099.999999999993</v>
      </c>
      <c r="H19" s="160"/>
      <c r="I19" s="160">
        <f t="shared" si="0"/>
        <v>64273.499999999985</v>
      </c>
      <c r="J19" s="160"/>
      <c r="K19" s="160">
        <f t="shared" si="0"/>
        <v>66523.07249999998</v>
      </c>
      <c r="L19" s="160"/>
      <c r="M19" s="160">
        <f t="shared" si="0"/>
        <v>68851.38003749997</v>
      </c>
      <c r="N19" s="160"/>
      <c r="O19" s="160">
        <f t="shared" si="0"/>
        <v>71261.17833881246</v>
      </c>
      <c r="P19" s="160"/>
      <c r="Q19" s="160">
        <f t="shared" si="0"/>
        <v>73755.319580670897</v>
      </c>
      <c r="R19" s="160"/>
      <c r="S19" s="160">
        <f t="shared" si="0"/>
        <v>76336.75576599437</v>
      </c>
      <c r="T19" s="160"/>
      <c r="U19" s="160">
        <f t="shared" si="0"/>
        <v>79008.542217804163</v>
      </c>
      <c r="V19" s="160"/>
      <c r="W19" s="160">
        <f t="shared" si="0"/>
        <v>81773.841195427303</v>
      </c>
      <c r="X19" s="160"/>
      <c r="Y19" s="160">
        <f t="shared" si="0"/>
        <v>84635.925637267253</v>
      </c>
      <c r="Z19" s="160"/>
      <c r="AA19" s="160">
        <f t="shared" si="0"/>
        <v>87598.183034571601</v>
      </c>
      <c r="AB19" s="160"/>
      <c r="AC19" s="160">
        <f t="shared" si="0"/>
        <v>90664.119440781593</v>
      </c>
      <c r="AD19" s="160"/>
      <c r="AE19" s="160">
        <f t="shared" si="0"/>
        <v>93837.363621208948</v>
      </c>
      <c r="AF19" s="160"/>
      <c r="AG19" s="160">
        <f t="shared" si="0"/>
        <v>97121.671347951255</v>
      </c>
    </row>
    <row r="20" spans="1:1023 1025:2047 2049:3071 3073:4095 4097:5119 5121:6143 6145:7167 7169:8191 8193:9215 9217:10239 10241:11263 11265:12287 12289:13311 13313:14335 14337:15359 15361:16383" s="148" customFormat="1" ht="14.1">
      <c r="A20" s="148" t="s">
        <v>231</v>
      </c>
      <c r="C20" s="881"/>
      <c r="E20" s="160">
        <f>Application!W872</f>
        <v>80999</v>
      </c>
      <c r="F20" s="160"/>
      <c r="G20" s="160">
        <f t="shared" si="0"/>
        <v>83833.964999999997</v>
      </c>
      <c r="H20" s="160"/>
      <c r="I20" s="160">
        <f t="shared" si="0"/>
        <v>86768.153774999984</v>
      </c>
      <c r="J20" s="160"/>
      <c r="K20" s="160">
        <f t="shared" si="0"/>
        <v>89805.039157124978</v>
      </c>
      <c r="L20" s="160"/>
      <c r="M20" s="160">
        <f t="shared" si="0"/>
        <v>92948.215527624343</v>
      </c>
      <c r="N20" s="160"/>
      <c r="O20" s="160">
        <f t="shared" si="0"/>
        <v>96201.40307109119</v>
      </c>
      <c r="P20" s="160"/>
      <c r="Q20" s="160">
        <f t="shared" si="0"/>
        <v>99568.452178579377</v>
      </c>
      <c r="R20" s="160"/>
      <c r="S20" s="160">
        <f t="shared" si="0"/>
        <v>103053.34800482965</v>
      </c>
      <c r="T20" s="160"/>
      <c r="U20" s="160">
        <f t="shared" si="0"/>
        <v>106660.21518499868</v>
      </c>
      <c r="V20" s="160"/>
      <c r="W20" s="160">
        <f t="shared" si="0"/>
        <v>110393.32271647363</v>
      </c>
      <c r="X20" s="160"/>
      <c r="Y20" s="160">
        <f t="shared" si="0"/>
        <v>114257.0890115502</v>
      </c>
      <c r="Z20" s="160"/>
      <c r="AA20" s="160">
        <f t="shared" si="0"/>
        <v>118256.08712695444</v>
      </c>
      <c r="AB20" s="160"/>
      <c r="AC20" s="160">
        <f t="shared" si="0"/>
        <v>122395.05017639784</v>
      </c>
      <c r="AD20" s="160"/>
      <c r="AE20" s="160">
        <f t="shared" si="0"/>
        <v>126678.87693257176</v>
      </c>
      <c r="AF20" s="160"/>
      <c r="AG20" s="160">
        <f t="shared" si="0"/>
        <v>131112.63762521176</v>
      </c>
    </row>
    <row r="21" spans="1:1023 1025:2047 2049:3071 3073:4095 4097:5119 5121:6143 6145:7167 7169:8191 8193:9215 9217:10239 10241:11263 11265:12287 12289:13311 13313:14335 14337:15359 15361:16383" s="148" customFormat="1" ht="14.1">
      <c r="A21" s="164" t="s">
        <v>2758</v>
      </c>
      <c r="B21" s="164"/>
      <c r="C21" s="881"/>
      <c r="E21" s="170">
        <f>Application!W879</f>
        <v>42751</v>
      </c>
      <c r="F21" s="160"/>
      <c r="G21" s="170">
        <f t="shared" si="0"/>
        <v>44247.284999999996</v>
      </c>
      <c r="H21" s="160"/>
      <c r="I21" s="170">
        <f t="shared" si="0"/>
        <v>45795.939974999994</v>
      </c>
      <c r="J21" s="160"/>
      <c r="K21" s="170">
        <f t="shared" si="0"/>
        <v>47398.79787412499</v>
      </c>
      <c r="L21" s="160"/>
      <c r="M21" s="170">
        <f t="shared" si="0"/>
        <v>49057.755799719358</v>
      </c>
      <c r="N21" s="160"/>
      <c r="O21" s="170">
        <f t="shared" si="0"/>
        <v>50774.777252709529</v>
      </c>
      <c r="P21" s="160"/>
      <c r="Q21" s="170">
        <f t="shared" si="0"/>
        <v>52551.894456554357</v>
      </c>
      <c r="R21" s="160"/>
      <c r="S21" s="170">
        <f t="shared" si="0"/>
        <v>54391.210762533752</v>
      </c>
      <c r="T21" s="160"/>
      <c r="U21" s="170">
        <f t="shared" si="0"/>
        <v>56294.903139222428</v>
      </c>
      <c r="V21" s="160"/>
      <c r="W21" s="170">
        <f t="shared" si="0"/>
        <v>58265.224749095207</v>
      </c>
      <c r="X21" s="160"/>
      <c r="Y21" s="170">
        <f t="shared" si="0"/>
        <v>60304.507615313538</v>
      </c>
      <c r="Z21" s="160"/>
      <c r="AA21" s="170">
        <f t="shared" si="0"/>
        <v>62415.165381849503</v>
      </c>
      <c r="AB21" s="160"/>
      <c r="AC21" s="170">
        <f t="shared" si="0"/>
        <v>64599.696170214229</v>
      </c>
      <c r="AD21" s="160"/>
      <c r="AE21" s="170">
        <f t="shared" si="0"/>
        <v>66860.685536171717</v>
      </c>
      <c r="AF21" s="160"/>
      <c r="AG21" s="170">
        <f t="shared" si="0"/>
        <v>69200.809529937716</v>
      </c>
    </row>
    <row r="22" spans="1:1023 1025:2047 2049:3071 3073:4095 4097:5119 5121:6143 6145:7167 7169:8191 8193:9215 9217:10239 10241:11263 11265:12287 12289:13311 13313:14335 14337:15359 15361:16383" s="161" customFormat="1" ht="14.1">
      <c r="A22" s="161" t="s">
        <v>2759</v>
      </c>
      <c r="C22" s="881"/>
      <c r="E22" s="161">
        <f>SUM(E15:E21)</f>
        <v>456000</v>
      </c>
      <c r="G22" s="161">
        <f>SUM(G15:G21)</f>
        <v>471959.99999999994</v>
      </c>
      <c r="I22" s="161">
        <f>SUM(I15:I21)</f>
        <v>488478.6</v>
      </c>
      <c r="K22" s="161">
        <f>SUM(K15:K21)</f>
        <v>505575.35099999991</v>
      </c>
      <c r="M22" s="161">
        <f>SUM(M15:M21)</f>
        <v>523270.48828499985</v>
      </c>
      <c r="O22" s="161">
        <f>SUM(O15:O21)</f>
        <v>541584.95537497476</v>
      </c>
      <c r="Q22" s="161">
        <f>SUM(Q15:Q21)</f>
        <v>560540.42881309881</v>
      </c>
      <c r="S22" s="161">
        <f>SUM(S15:S21)</f>
        <v>580159.34382155724</v>
      </c>
      <c r="U22" s="161">
        <f>SUM(U15:U21)</f>
        <v>600464.92085531168</v>
      </c>
      <c r="W22" s="161">
        <f>SUM(W15:W21)</f>
        <v>621481.19308524753</v>
      </c>
      <c r="Y22" s="161">
        <f>SUM(Y15:Y21)</f>
        <v>643233.0348432312</v>
      </c>
      <c r="AA22" s="161">
        <f>SUM(AA15:AA21)</f>
        <v>665746.19106274424</v>
      </c>
      <c r="AC22" s="161">
        <f>SUM(AC15:AC21)</f>
        <v>689047.3077499402</v>
      </c>
      <c r="AE22" s="161">
        <f>SUM(AE15:AE21)</f>
        <v>713163.96352118813</v>
      </c>
      <c r="AG22" s="161">
        <f>SUM(AG15:AG21)</f>
        <v>738124.70224442962</v>
      </c>
    </row>
    <row r="23" spans="1:1023 1025:2047 2049:3071 3073:4095 4097:5119 5121:6143 6145:7167 7169:8191 8193:9215 9217:10239 10241:11263 11265:12287 12289:13311 13313:14335 14337:15359 15361:16383" s="148" customFormat="1" ht="14.1">
      <c r="C23" s="881"/>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60"/>
      <c r="AC23" s="160"/>
      <c r="AD23" s="160"/>
      <c r="AE23" s="160"/>
      <c r="AF23" s="160"/>
      <c r="AG23" s="160"/>
    </row>
    <row r="24" spans="1:1023 1025:2047 2049:3071 3073:4095 4097:5119 5121:6143 6145:7167 7169:8191 8193:9215 9217:10239 10241:11263 11265:12287 12289:13311 13313:14335 14337:15359 15361:16383" s="148" customFormat="1" ht="14.1">
      <c r="A24" s="148" t="s">
        <v>2760</v>
      </c>
      <c r="C24" s="881"/>
      <c r="E24" s="832"/>
      <c r="F24" s="160"/>
      <c r="G24" s="160">
        <f>E24*$C$24</f>
        <v>0</v>
      </c>
      <c r="H24" s="160"/>
      <c r="I24" s="160">
        <f>G24*$C$24</f>
        <v>0</v>
      </c>
      <c r="J24" s="160"/>
      <c r="K24" s="160">
        <f>I24*$C$24</f>
        <v>0</v>
      </c>
      <c r="L24" s="160"/>
      <c r="M24" s="160">
        <f>K24*$C$24</f>
        <v>0</v>
      </c>
      <c r="N24" s="160"/>
      <c r="O24" s="160">
        <f>M24*$C$24</f>
        <v>0</v>
      </c>
      <c r="P24" s="160"/>
      <c r="Q24" s="160">
        <f>O24*$C$24</f>
        <v>0</v>
      </c>
      <c r="R24" s="160"/>
      <c r="S24" s="160">
        <f>Q24*$C$24</f>
        <v>0</v>
      </c>
      <c r="T24" s="160"/>
      <c r="U24" s="160">
        <f>S24*$C$24</f>
        <v>0</v>
      </c>
      <c r="V24" s="160"/>
      <c r="W24" s="160">
        <f>U24*$C$24</f>
        <v>0</v>
      </c>
      <c r="X24" s="160"/>
      <c r="Y24" s="160">
        <f>W24*$C$24</f>
        <v>0</v>
      </c>
      <c r="Z24" s="160"/>
      <c r="AA24" s="160">
        <f>Y24*$C$24</f>
        <v>0</v>
      </c>
      <c r="AB24" s="160"/>
      <c r="AC24" s="160">
        <f>AA24*$C$24</f>
        <v>0</v>
      </c>
      <c r="AD24" s="160"/>
      <c r="AE24" s="160">
        <f>AC24*$C$24</f>
        <v>0</v>
      </c>
      <c r="AF24" s="160"/>
      <c r="AG24" s="160">
        <f>AE24*$C$24</f>
        <v>0</v>
      </c>
    </row>
    <row r="25" spans="1:1023 1025:2047 2049:3071 3073:4095 4097:5119 5121:6143 6145:7167 7169:8191 8193:9215 9217:10239 10241:11263 11265:12287 12289:13311 13313:14335 14337:15359 15361:16383" s="148" customFormat="1" ht="14.1">
      <c r="C25" s="881"/>
      <c r="E25" s="160"/>
      <c r="F25" s="160"/>
      <c r="G25" s="160"/>
      <c r="H25" s="160"/>
      <c r="I25" s="160"/>
      <c r="J25" s="160"/>
      <c r="K25" s="160"/>
      <c r="L25" s="160"/>
      <c r="M25" s="160"/>
      <c r="N25" s="160"/>
      <c r="O25" s="160"/>
      <c r="P25" s="160"/>
      <c r="Q25" s="160"/>
      <c r="R25" s="160"/>
      <c r="S25" s="160"/>
      <c r="T25" s="160"/>
      <c r="U25" s="160"/>
      <c r="V25" s="160"/>
      <c r="W25" s="160"/>
      <c r="X25" s="160"/>
      <c r="Y25" s="160"/>
      <c r="Z25" s="160"/>
      <c r="AA25" s="160"/>
      <c r="AB25" s="160"/>
      <c r="AC25" s="160"/>
      <c r="AD25" s="160"/>
      <c r="AE25" s="160"/>
      <c r="AF25" s="160"/>
      <c r="AG25" s="160"/>
    </row>
    <row r="26" spans="1:1023 1025:2047 2049:3071 3073:4095 4097:5119 5121:6143 6145:7167 7169:8191 8193:9215 9217:10239 10241:11263 11265:12287 12289:13311 13313:14335 14337:15359 15361:16383" s="148" customFormat="1" ht="14.1">
      <c r="A26" s="148" t="s">
        <v>2761</v>
      </c>
      <c r="C26" s="2601">
        <v>1.0349999999999999</v>
      </c>
      <c r="E26" s="160">
        <f>Application!AC887</f>
        <v>0</v>
      </c>
      <c r="F26" s="160"/>
      <c r="G26" s="160">
        <f>E26*$C$26</f>
        <v>0</v>
      </c>
      <c r="H26" s="160"/>
      <c r="I26" s="160">
        <f>G26*$C$26</f>
        <v>0</v>
      </c>
      <c r="J26" s="160"/>
      <c r="K26" s="160">
        <f>I26*$C$26</f>
        <v>0</v>
      </c>
      <c r="L26" s="160"/>
      <c r="M26" s="160">
        <f>K26*$C$26</f>
        <v>0</v>
      </c>
      <c r="N26" s="160"/>
      <c r="O26" s="160">
        <f>M26*$C$26</f>
        <v>0</v>
      </c>
      <c r="P26" s="160"/>
      <c r="Q26" s="160">
        <f>O26*$C$26</f>
        <v>0</v>
      </c>
      <c r="R26" s="160"/>
      <c r="S26" s="160">
        <f>Q26*$C$26</f>
        <v>0</v>
      </c>
      <c r="T26" s="160"/>
      <c r="U26" s="160">
        <f>S26*$C$26</f>
        <v>0</v>
      </c>
      <c r="V26" s="160"/>
      <c r="W26" s="160">
        <f>U26*$C$26</f>
        <v>0</v>
      </c>
      <c r="X26" s="160"/>
      <c r="Y26" s="160">
        <f>W26*$C$26</f>
        <v>0</v>
      </c>
      <c r="Z26" s="160"/>
      <c r="AA26" s="160">
        <f>Y26*$C$26</f>
        <v>0</v>
      </c>
      <c r="AB26" s="160"/>
      <c r="AC26" s="160">
        <f>AA26*$C$26</f>
        <v>0</v>
      </c>
      <c r="AD26" s="160"/>
      <c r="AE26" s="160">
        <f>AC26*$C$26</f>
        <v>0</v>
      </c>
      <c r="AF26" s="160"/>
      <c r="AG26" s="160">
        <f>AE26*$C$26</f>
        <v>0</v>
      </c>
    </row>
    <row r="27" spans="1:1023 1025:2047 2049:3071 3073:4095 4097:5119 5121:6143 6145:7167 7169:8191 8193:9215 9217:10239 10241:11263 11265:12287 12289:13311 13313:14335 14337:15359 15361:16383" s="148" customFormat="1" ht="14.1">
      <c r="A27" s="148" t="s">
        <v>2138</v>
      </c>
      <c r="C27" s="2601">
        <v>1.0349999999999999</v>
      </c>
      <c r="E27" s="160">
        <f>Application!AC888</f>
        <v>67373</v>
      </c>
      <c r="F27" s="160"/>
      <c r="G27" s="160">
        <f>E27*$C$27</f>
        <v>69731.054999999993</v>
      </c>
      <c r="H27" s="160"/>
      <c r="I27" s="160">
        <f>G27*$C$27</f>
        <v>72171.641924999989</v>
      </c>
      <c r="J27" s="160"/>
      <c r="K27" s="160">
        <f>I27*$C$27</f>
        <v>74697.64939237498</v>
      </c>
      <c r="L27" s="160"/>
      <c r="M27" s="160">
        <f>K27*$C$27</f>
        <v>77312.067121108092</v>
      </c>
      <c r="N27" s="160"/>
      <c r="O27" s="160">
        <f>M27*$C$27</f>
        <v>80017.989470346874</v>
      </c>
      <c r="P27" s="160"/>
      <c r="Q27" s="160">
        <f>O27*$C$27</f>
        <v>82818.619101809003</v>
      </c>
      <c r="R27" s="160"/>
      <c r="S27" s="160">
        <f>Q27*$C$27</f>
        <v>85717.270770372314</v>
      </c>
      <c r="T27" s="160"/>
      <c r="U27" s="160">
        <f>S27*$C$27</f>
        <v>88717.375247335338</v>
      </c>
      <c r="V27" s="160"/>
      <c r="W27" s="160">
        <f>U27*$C$27</f>
        <v>91822.483380992067</v>
      </c>
      <c r="X27" s="160"/>
      <c r="Y27" s="160">
        <f>W27*$C$27</f>
        <v>95036.270299326789</v>
      </c>
      <c r="Z27" s="160"/>
      <c r="AA27" s="160">
        <f>Y27*$C$27</f>
        <v>98362.539759803214</v>
      </c>
      <c r="AB27" s="160"/>
      <c r="AC27" s="160">
        <f>AA27*$C$27</f>
        <v>101805.22865139632</v>
      </c>
      <c r="AD27" s="160"/>
      <c r="AE27" s="160">
        <f>AC27*$C$27</f>
        <v>105368.41165419518</v>
      </c>
      <c r="AF27" s="160"/>
      <c r="AG27" s="160">
        <f>AE27*$C$27</f>
        <v>109056.306062092</v>
      </c>
    </row>
    <row r="28" spans="1:1023 1025:2047 2049:3071 3073:4095 4097:5119 5121:6143 6145:7167 7169:8191 8193:9215 9217:10239 10241:11263 11265:12287 12289:13311 13313:14335 14337:15359 15361:16383" s="148" customFormat="1" ht="14.1">
      <c r="A28" s="148" t="s">
        <v>2762</v>
      </c>
      <c r="C28" s="2601"/>
      <c r="E28" s="160">
        <f>Application!AC889</f>
        <v>24000</v>
      </c>
      <c r="F28" s="160"/>
      <c r="G28" s="160">
        <f>$E$28</f>
        <v>24000</v>
      </c>
      <c r="H28" s="160"/>
      <c r="I28" s="160">
        <f>$E$28</f>
        <v>24000</v>
      </c>
      <c r="J28" s="160"/>
      <c r="K28" s="160">
        <f>$E$28</f>
        <v>24000</v>
      </c>
      <c r="L28" s="160"/>
      <c r="M28" s="160">
        <f>$E$28</f>
        <v>24000</v>
      </c>
      <c r="N28" s="160"/>
      <c r="O28" s="160">
        <f>$E$28</f>
        <v>24000</v>
      </c>
      <c r="P28" s="160"/>
      <c r="Q28" s="160">
        <f>$E$28</f>
        <v>24000</v>
      </c>
      <c r="R28" s="160"/>
      <c r="S28" s="160">
        <f>$E$28</f>
        <v>24000</v>
      </c>
      <c r="T28" s="160"/>
      <c r="U28" s="160">
        <f>$E$28</f>
        <v>24000</v>
      </c>
      <c r="V28" s="160"/>
      <c r="W28" s="160">
        <f>$E$28</f>
        <v>24000</v>
      </c>
      <c r="X28" s="160"/>
      <c r="Y28" s="160">
        <f>$E$28</f>
        <v>24000</v>
      </c>
      <c r="Z28" s="160"/>
      <c r="AA28" s="160">
        <f>$E$28</f>
        <v>24000</v>
      </c>
      <c r="AB28" s="160"/>
      <c r="AC28" s="160">
        <f>$E$28</f>
        <v>24000</v>
      </c>
      <c r="AD28" s="160"/>
      <c r="AE28" s="160">
        <f>$E$28</f>
        <v>24000</v>
      </c>
      <c r="AF28" s="160"/>
      <c r="AG28" s="160">
        <f>$E$28</f>
        <v>24000</v>
      </c>
    </row>
    <row r="29" spans="1:1023 1025:2047 2049:3071 3073:4095 4097:5119 5121:6143 6145:7167 7169:8191 8193:9215 9217:10239 10241:11263 11265:12287 12289:13311 13313:14335 14337:15359 15361:16383" s="160" customFormat="1" ht="14.1">
      <c r="A29" s="148" t="s">
        <v>2763</v>
      </c>
      <c r="B29" s="148"/>
      <c r="C29" s="2601">
        <v>1.03</v>
      </c>
      <c r="D29" s="148"/>
      <c r="E29" s="160">
        <f>Application!AC890</f>
        <v>11560</v>
      </c>
      <c r="G29" s="160">
        <f>E29*$C$29</f>
        <v>11906.800000000001</v>
      </c>
      <c r="I29" s="160">
        <f t="shared" ref="I29" si="1">G29*$C$29</f>
        <v>12264.004000000001</v>
      </c>
      <c r="K29" s="160">
        <f t="shared" ref="K29" si="2">I29*$C$29</f>
        <v>12631.924120000001</v>
      </c>
      <c r="M29" s="160">
        <f t="shared" ref="M29" si="3">K29*$C$29</f>
        <v>13010.881843600002</v>
      </c>
      <c r="O29" s="160">
        <f t="shared" ref="O29" si="4">M29*$C$29</f>
        <v>13401.208298908003</v>
      </c>
      <c r="Q29" s="160">
        <f t="shared" ref="Q29" si="5">O29*$C$29</f>
        <v>13803.244547875243</v>
      </c>
      <c r="S29" s="160">
        <f t="shared" ref="S29" si="6">Q29*$C$29</f>
        <v>14217.341884311501</v>
      </c>
      <c r="U29" s="160">
        <f t="shared" ref="U29" si="7">S29*$C$29</f>
        <v>14643.862140840847</v>
      </c>
      <c r="W29" s="160">
        <f t="shared" ref="W29" si="8">U29*$C$29</f>
        <v>15083.178005066073</v>
      </c>
      <c r="Y29" s="160">
        <f t="shared" ref="Y29" si="9">W29*$C$29</f>
        <v>15535.673345218056</v>
      </c>
      <c r="AA29" s="160">
        <f t="shared" ref="AA29" si="10">Y29*$C$29</f>
        <v>16001.743545574598</v>
      </c>
      <c r="AC29" s="160">
        <f t="shared" ref="AC29" si="11">AA29*$C$29</f>
        <v>16481.795851941835</v>
      </c>
      <c r="AE29" s="160">
        <f t="shared" ref="AE29" si="12">AC29*$C$29</f>
        <v>16976.24972750009</v>
      </c>
      <c r="AG29" s="160">
        <f t="shared" ref="AG29" si="13">AE29*$C$29</f>
        <v>17485.537219325091</v>
      </c>
      <c r="AI29" s="160">
        <f t="shared" ref="AI29" si="14">AG29*$C$29</f>
        <v>18010.103335904845</v>
      </c>
      <c r="AK29" s="160">
        <f t="shared" ref="AK29" si="15">AI29*$C$29</f>
        <v>18550.406435981989</v>
      </c>
      <c r="AM29" s="160">
        <f t="shared" ref="AM29" si="16">AK29*$C$29</f>
        <v>19106.918629061449</v>
      </c>
      <c r="AO29" s="160">
        <f t="shared" ref="AO29" si="17">AM29*$C$29</f>
        <v>19680.126187933292</v>
      </c>
      <c r="AQ29" s="160">
        <f t="shared" ref="AQ29" si="18">AO29*$C$29</f>
        <v>20270.529973571291</v>
      </c>
      <c r="AS29" s="160">
        <f t="shared" ref="AS29" si="19">AQ29*$C$29</f>
        <v>20878.64587277843</v>
      </c>
      <c r="AU29" s="160">
        <f t="shared" ref="AU29" si="20">AS29*$C$29</f>
        <v>21505.005248961785</v>
      </c>
      <c r="AW29" s="160">
        <f t="shared" ref="AW29" si="21">AU29*$C$29</f>
        <v>22150.15540643064</v>
      </c>
      <c r="AY29" s="160">
        <f t="shared" ref="AY29" si="22">AW29*$C$29</f>
        <v>22814.660068623562</v>
      </c>
      <c r="BA29" s="160">
        <f t="shared" ref="BA29" si="23">AY29*$C$29</f>
        <v>23499.099870682268</v>
      </c>
      <c r="BC29" s="160">
        <f t="shared" ref="BC29" si="24">BA29*$C$29</f>
        <v>24204.072866802737</v>
      </c>
      <c r="BE29" s="160">
        <f t="shared" ref="BE29" si="25">BC29*$C$29</f>
        <v>24930.195052806819</v>
      </c>
      <c r="BG29" s="160">
        <f t="shared" ref="BG29" si="26">BE29*$C$29</f>
        <v>25678.100904391024</v>
      </c>
      <c r="BI29" s="160">
        <f t="shared" ref="BI29" si="27">BG29*$C$29</f>
        <v>26448.443931522754</v>
      </c>
      <c r="BK29" s="160">
        <f t="shared" ref="BK29" si="28">BI29*$C$29</f>
        <v>27241.897249468439</v>
      </c>
      <c r="BM29" s="160">
        <f t="shared" ref="BM29" si="29">BK29*$C$29</f>
        <v>28059.154166952492</v>
      </c>
      <c r="BO29" s="160">
        <f t="shared" ref="BO29" si="30">BM29*$C$29</f>
        <v>28900.928791961069</v>
      </c>
      <c r="BQ29" s="160">
        <f t="shared" ref="BQ29" si="31">BO29*$C$29</f>
        <v>29767.956655719903</v>
      </c>
      <c r="BS29" s="160">
        <f t="shared" ref="BS29" si="32">BQ29*$C$29</f>
        <v>30660.9953553915</v>
      </c>
      <c r="BU29" s="160">
        <f t="shared" ref="BU29" si="33">BS29*$C$29</f>
        <v>31580.825216053247</v>
      </c>
      <c r="BW29" s="160">
        <f t="shared" ref="BW29" si="34">BU29*$C$29</f>
        <v>32528.249972534846</v>
      </c>
      <c r="BY29" s="160">
        <f t="shared" ref="BY29" si="35">BW29*$C$29</f>
        <v>33504.097471710891</v>
      </c>
      <c r="CA29" s="160">
        <f t="shared" ref="CA29" si="36">BY29*$C$29</f>
        <v>34509.220395862219</v>
      </c>
      <c r="CC29" s="160">
        <f t="shared" ref="CC29" si="37">CA29*$C$29</f>
        <v>35544.497007738086</v>
      </c>
      <c r="CE29" s="160">
        <f t="shared" ref="CE29" si="38">CC29*$C$29</f>
        <v>36610.83191797023</v>
      </c>
      <c r="CG29" s="160">
        <f t="shared" ref="CG29" si="39">CE29*$C$29</f>
        <v>37709.156875509339</v>
      </c>
      <c r="CI29" s="160">
        <f t="shared" ref="CI29" si="40">CG29*$C$29</f>
        <v>38840.431581774617</v>
      </c>
      <c r="CK29" s="160">
        <f t="shared" ref="CK29" si="41">CI29*$C$29</f>
        <v>40005.644529227859</v>
      </c>
      <c r="CM29" s="160">
        <f t="shared" ref="CM29" si="42">CK29*$C$29</f>
        <v>41205.813865104697</v>
      </c>
      <c r="CO29" s="160">
        <f t="shared" ref="CO29" si="43">CM29*$C$29</f>
        <v>42441.988281057842</v>
      </c>
      <c r="CQ29" s="160">
        <f t="shared" ref="CQ29" si="44">CO29*$C$29</f>
        <v>43715.247929489575</v>
      </c>
      <c r="CS29" s="160">
        <f t="shared" ref="CS29" si="45">CQ29*$C$29</f>
        <v>45026.705367374263</v>
      </c>
      <c r="CU29" s="160">
        <f t="shared" ref="CU29" si="46">CS29*$C$29</f>
        <v>46377.50652839549</v>
      </c>
      <c r="CW29" s="160">
        <f t="shared" ref="CW29" si="47">CU29*$C$29</f>
        <v>47768.831724247357</v>
      </c>
      <c r="CY29" s="160">
        <f t="shared" ref="CY29" si="48">CW29*$C$29</f>
        <v>49201.896675974778</v>
      </c>
      <c r="DA29" s="160">
        <f t="shared" ref="DA29" si="49">CY29*$C$29</f>
        <v>50677.953576254025</v>
      </c>
      <c r="DC29" s="160">
        <f t="shared" ref="DC29" si="50">DA29*$C$29</f>
        <v>52198.292183541649</v>
      </c>
      <c r="DE29" s="160">
        <f t="shared" ref="DE29" si="51">DC29*$C$29</f>
        <v>53764.240949047897</v>
      </c>
      <c r="DG29" s="160">
        <f t="shared" ref="DG29" si="52">DE29*$C$29</f>
        <v>55377.168177519336</v>
      </c>
      <c r="DI29" s="160">
        <f t="shared" ref="DI29" si="53">DG29*$C$29</f>
        <v>57038.483222844916</v>
      </c>
      <c r="DK29" s="160">
        <f t="shared" ref="DK29" si="54">DI29*$C$29</f>
        <v>58749.637719530263</v>
      </c>
      <c r="DM29" s="160">
        <f t="shared" ref="DM29" si="55">DK29*$C$29</f>
        <v>60512.126851116169</v>
      </c>
      <c r="DO29" s="160">
        <f t="shared" ref="DO29" si="56">DM29*$C$29</f>
        <v>62327.490656649657</v>
      </c>
      <c r="DQ29" s="160">
        <f t="shared" ref="DQ29" si="57">DO29*$C$29</f>
        <v>64197.31537634915</v>
      </c>
      <c r="DS29" s="160">
        <f t="shared" ref="DS29" si="58">DQ29*$C$29</f>
        <v>66123.234837639626</v>
      </c>
      <c r="DU29" s="160">
        <f t="shared" ref="DU29" si="59">DS29*$C$29</f>
        <v>68106.931882768811</v>
      </c>
      <c r="DW29" s="160">
        <f t="shared" ref="DW29" si="60">DU29*$C$29</f>
        <v>70150.139839251875</v>
      </c>
      <c r="DY29" s="160">
        <f t="shared" ref="DY29" si="61">DW29*$C$29</f>
        <v>72254.644034429439</v>
      </c>
      <c r="EA29" s="160">
        <f t="shared" ref="EA29" si="62">DY29*$C$29</f>
        <v>74422.283355462321</v>
      </c>
      <c r="EC29" s="160">
        <f t="shared" ref="EC29" si="63">EA29*$C$29</f>
        <v>76654.951856126194</v>
      </c>
      <c r="EE29" s="160">
        <f t="shared" ref="EE29" si="64">EC29*$C$29</f>
        <v>78954.600411809981</v>
      </c>
      <c r="EG29" s="160">
        <f t="shared" ref="EG29" si="65">EE29*$C$29</f>
        <v>81323.238424164287</v>
      </c>
      <c r="EI29" s="160">
        <f t="shared" ref="EI29" si="66">EG29*$C$29</f>
        <v>83762.935576889213</v>
      </c>
      <c r="EK29" s="160">
        <f t="shared" ref="EK29" si="67">EI29*$C$29</f>
        <v>86275.823644195887</v>
      </c>
      <c r="EM29" s="160">
        <f t="shared" ref="EM29" si="68">EK29*$C$29</f>
        <v>88864.098353521767</v>
      </c>
      <c r="EO29" s="160">
        <f t="shared" ref="EO29" si="69">EM29*$C$29</f>
        <v>91530.021304127426</v>
      </c>
      <c r="EQ29" s="160">
        <f t="shared" ref="EQ29" si="70">EO29*$C$29</f>
        <v>94275.921943251247</v>
      </c>
      <c r="ES29" s="160">
        <f t="shared" ref="ES29" si="71">EQ29*$C$29</f>
        <v>97104.199601548782</v>
      </c>
      <c r="EU29" s="160">
        <f t="shared" ref="EU29" si="72">ES29*$C$29</f>
        <v>100017.32558959525</v>
      </c>
      <c r="EW29" s="160">
        <f t="shared" ref="EW29" si="73">EU29*$C$29</f>
        <v>103017.84535728311</v>
      </c>
      <c r="EY29" s="160">
        <f t="shared" ref="EY29" si="74">EW29*$C$29</f>
        <v>106108.3807180016</v>
      </c>
      <c r="FA29" s="160">
        <f t="shared" ref="FA29" si="75">EY29*$C$29</f>
        <v>109291.63213954165</v>
      </c>
      <c r="FC29" s="160">
        <f t="shared" ref="FC29" si="76">FA29*$C$29</f>
        <v>112570.38110372789</v>
      </c>
      <c r="FE29" s="160">
        <f t="shared" ref="FE29" si="77">FC29*$C$29</f>
        <v>115947.49253683974</v>
      </c>
      <c r="FG29" s="160">
        <f t="shared" ref="FG29" si="78">FE29*$C$29</f>
        <v>119425.91731294493</v>
      </c>
      <c r="FI29" s="160">
        <f t="shared" ref="FI29" si="79">FG29*$C$29</f>
        <v>123008.69483233329</v>
      </c>
      <c r="FK29" s="160">
        <f t="shared" ref="FK29" si="80">FI29*$C$29</f>
        <v>126698.9556773033</v>
      </c>
      <c r="FM29" s="160">
        <f t="shared" ref="FM29" si="81">FK29*$C$29</f>
        <v>130499.92434762239</v>
      </c>
      <c r="FO29" s="160">
        <f t="shared" ref="FO29" si="82">FM29*$C$29</f>
        <v>134414.92207805108</v>
      </c>
      <c r="FQ29" s="160">
        <f t="shared" ref="FQ29" si="83">FO29*$C$29</f>
        <v>138447.36974039261</v>
      </c>
      <c r="FS29" s="160">
        <f t="shared" ref="FS29" si="84">FQ29*$C$29</f>
        <v>142600.7908326044</v>
      </c>
      <c r="FU29" s="160">
        <f t="shared" ref="FU29" si="85">FS29*$C$29</f>
        <v>146878.81455758255</v>
      </c>
      <c r="FW29" s="160">
        <f t="shared" ref="FW29" si="86">FU29*$C$29</f>
        <v>151285.17899431003</v>
      </c>
      <c r="FY29" s="160">
        <f t="shared" ref="FY29" si="87">FW29*$C$29</f>
        <v>155823.73436413932</v>
      </c>
      <c r="GA29" s="160">
        <f t="shared" ref="GA29" si="88">FY29*$C$29</f>
        <v>160498.44639506351</v>
      </c>
      <c r="GC29" s="160">
        <f t="shared" ref="GC29" si="89">GA29*$C$29</f>
        <v>165313.39978691543</v>
      </c>
      <c r="GE29" s="160">
        <f t="shared" ref="GE29" si="90">GC29*$C$29</f>
        <v>170272.80178052289</v>
      </c>
      <c r="GG29" s="160">
        <f t="shared" ref="GG29" si="91">GE29*$C$29</f>
        <v>175380.98583393858</v>
      </c>
      <c r="GI29" s="160">
        <f t="shared" ref="GI29" si="92">GG29*$C$29</f>
        <v>180642.41540895673</v>
      </c>
      <c r="GK29" s="160">
        <f t="shared" ref="GK29" si="93">GI29*$C$29</f>
        <v>186061.68787122544</v>
      </c>
      <c r="GM29" s="160">
        <f t="shared" ref="GM29" si="94">GK29*$C$29</f>
        <v>191643.53850736222</v>
      </c>
      <c r="GO29" s="160">
        <f t="shared" ref="GO29" si="95">GM29*$C$29</f>
        <v>197392.84466258308</v>
      </c>
      <c r="GQ29" s="160">
        <f t="shared" ref="GQ29" si="96">GO29*$C$29</f>
        <v>203314.63000246059</v>
      </c>
      <c r="GS29" s="160">
        <f t="shared" ref="GS29" si="97">GQ29*$C$29</f>
        <v>209414.0689025344</v>
      </c>
      <c r="GU29" s="160">
        <f t="shared" ref="GU29" si="98">GS29*$C$29</f>
        <v>215696.49096961043</v>
      </c>
      <c r="GW29" s="160">
        <f t="shared" ref="GW29" si="99">GU29*$C$29</f>
        <v>222167.38569869875</v>
      </c>
      <c r="GY29" s="160">
        <f t="shared" ref="GY29" si="100">GW29*$C$29</f>
        <v>228832.40726965971</v>
      </c>
      <c r="HA29" s="160">
        <f t="shared" ref="HA29" si="101">GY29*$C$29</f>
        <v>235697.37948774951</v>
      </c>
      <c r="HC29" s="160">
        <f t="shared" ref="HC29" si="102">HA29*$C$29</f>
        <v>242768.30087238201</v>
      </c>
      <c r="HE29" s="160">
        <f t="shared" ref="HE29" si="103">HC29*$C$29</f>
        <v>250051.34989855348</v>
      </c>
      <c r="HG29" s="160">
        <f t="shared" ref="HG29" si="104">HE29*$C$29</f>
        <v>257552.8903955101</v>
      </c>
      <c r="HI29" s="160">
        <f t="shared" ref="HI29" si="105">HG29*$C$29</f>
        <v>265279.47710737539</v>
      </c>
      <c r="HK29" s="160">
        <f t="shared" ref="HK29" si="106">HI29*$C$29</f>
        <v>273237.86142059666</v>
      </c>
      <c r="HM29" s="160">
        <f t="shared" ref="HM29" si="107">HK29*$C$29</f>
        <v>281434.99726321455</v>
      </c>
      <c r="HO29" s="160">
        <f t="shared" ref="HO29" si="108">HM29*$C$29</f>
        <v>289878.047181111</v>
      </c>
      <c r="HQ29" s="160">
        <f t="shared" ref="HQ29" si="109">HO29*$C$29</f>
        <v>298574.38859654433</v>
      </c>
      <c r="HS29" s="160">
        <f t="shared" ref="HS29" si="110">HQ29*$C$29</f>
        <v>307531.6202544407</v>
      </c>
      <c r="HU29" s="160">
        <f t="shared" ref="HU29" si="111">HS29*$C$29</f>
        <v>316757.56886207394</v>
      </c>
      <c r="HW29" s="160">
        <f t="shared" ref="HW29" si="112">HU29*$C$29</f>
        <v>326260.29592793615</v>
      </c>
      <c r="HY29" s="160">
        <f t="shared" ref="HY29" si="113">HW29*$C$29</f>
        <v>336048.10480577423</v>
      </c>
      <c r="IA29" s="160">
        <f t="shared" ref="IA29" si="114">HY29*$C$29</f>
        <v>346129.54794994747</v>
      </c>
      <c r="IC29" s="160">
        <f t="shared" ref="IC29" si="115">IA29*$C$29</f>
        <v>356513.43438844592</v>
      </c>
      <c r="IE29" s="160">
        <f t="shared" ref="IE29" si="116">IC29*$C$29</f>
        <v>367208.8374200993</v>
      </c>
      <c r="IG29" s="160">
        <f t="shared" ref="IG29" si="117">IE29*$C$29</f>
        <v>378225.10254270228</v>
      </c>
      <c r="II29" s="160">
        <f t="shared" ref="II29" si="118">IG29*$C$29</f>
        <v>389571.85561898339</v>
      </c>
      <c r="IK29" s="160">
        <f t="shared" ref="IK29" si="119">II29*$C$29</f>
        <v>401259.01128755289</v>
      </c>
      <c r="IM29" s="160">
        <f t="shared" ref="IM29" si="120">IK29*$C$29</f>
        <v>413296.78162617947</v>
      </c>
      <c r="IO29" s="160">
        <f t="shared" ref="IO29" si="121">IM29*$C$29</f>
        <v>425695.68507496489</v>
      </c>
      <c r="IQ29" s="160">
        <f t="shared" ref="IQ29" si="122">IO29*$C$29</f>
        <v>438466.55562721385</v>
      </c>
      <c r="IS29" s="160">
        <f t="shared" ref="IS29" si="123">IQ29*$C$29</f>
        <v>451620.55229603028</v>
      </c>
      <c r="IU29" s="160">
        <f t="shared" ref="IU29" si="124">IS29*$C$29</f>
        <v>465169.16886491119</v>
      </c>
      <c r="IW29" s="160">
        <f t="shared" ref="IW29" si="125">IU29*$C$29</f>
        <v>479124.24393085856</v>
      </c>
      <c r="IY29" s="160">
        <f t="shared" ref="IY29" si="126">IW29*$C$29</f>
        <v>493497.97124878434</v>
      </c>
      <c r="JA29" s="160">
        <f t="shared" ref="JA29" si="127">IY29*$C$29</f>
        <v>508302.91038624785</v>
      </c>
      <c r="JC29" s="160">
        <f t="shared" ref="JC29" si="128">JA29*$C$29</f>
        <v>523551.99769783532</v>
      </c>
      <c r="JE29" s="160">
        <f t="shared" ref="JE29" si="129">JC29*$C$29</f>
        <v>539258.55762877036</v>
      </c>
      <c r="JG29" s="160">
        <f t="shared" ref="JG29" si="130">JE29*$C$29</f>
        <v>555436.31435763347</v>
      </c>
      <c r="JI29" s="160">
        <f t="shared" ref="JI29" si="131">JG29*$C$29</f>
        <v>572099.40378836251</v>
      </c>
      <c r="JK29" s="160">
        <f t="shared" ref="JK29" si="132">JI29*$C$29</f>
        <v>589262.3859020134</v>
      </c>
      <c r="JM29" s="160">
        <f t="shared" ref="JM29" si="133">JK29*$C$29</f>
        <v>606940.25747907383</v>
      </c>
      <c r="JO29" s="160">
        <f t="shared" ref="JO29" si="134">JM29*$C$29</f>
        <v>625148.4652034461</v>
      </c>
      <c r="JQ29" s="160">
        <f t="shared" ref="JQ29" si="135">JO29*$C$29</f>
        <v>643902.91915954952</v>
      </c>
      <c r="JS29" s="160">
        <f t="shared" ref="JS29" si="136">JQ29*$C$29</f>
        <v>663220.00673433603</v>
      </c>
      <c r="JU29" s="160">
        <f t="shared" ref="JU29" si="137">JS29*$C$29</f>
        <v>683116.60693636618</v>
      </c>
      <c r="JW29" s="160">
        <f t="shared" ref="JW29" si="138">JU29*$C$29</f>
        <v>703610.10514445719</v>
      </c>
      <c r="JY29" s="160">
        <f t="shared" ref="JY29" si="139">JW29*$C$29</f>
        <v>724718.40829879092</v>
      </c>
      <c r="KA29" s="160">
        <f t="shared" ref="KA29" si="140">JY29*$C$29</f>
        <v>746459.96054775466</v>
      </c>
      <c r="KC29" s="160">
        <f t="shared" ref="KC29" si="141">KA29*$C$29</f>
        <v>768853.75936418737</v>
      </c>
      <c r="KE29" s="160">
        <f t="shared" ref="KE29" si="142">KC29*$C$29</f>
        <v>791919.37214511295</v>
      </c>
      <c r="KG29" s="160">
        <f t="shared" ref="KG29" si="143">KE29*$C$29</f>
        <v>815676.95330946636</v>
      </c>
      <c r="KI29" s="160">
        <f t="shared" ref="KI29" si="144">KG29*$C$29</f>
        <v>840147.2619087504</v>
      </c>
      <c r="KK29" s="160">
        <f t="shared" ref="KK29" si="145">KI29*$C$29</f>
        <v>865351.67976601294</v>
      </c>
      <c r="KM29" s="160">
        <f t="shared" ref="KM29" si="146">KK29*$C$29</f>
        <v>891312.23015899339</v>
      </c>
      <c r="KO29" s="160">
        <f t="shared" ref="KO29" si="147">KM29*$C$29</f>
        <v>918051.59706376318</v>
      </c>
      <c r="KQ29" s="160">
        <f t="shared" ref="KQ29" si="148">KO29*$C$29</f>
        <v>945593.14497567608</v>
      </c>
      <c r="KS29" s="160">
        <f t="shared" ref="KS29" si="149">KQ29*$C$29</f>
        <v>973960.93932494638</v>
      </c>
      <c r="KU29" s="160">
        <f t="shared" ref="KU29" si="150">KS29*$C$29</f>
        <v>1003179.7675046948</v>
      </c>
      <c r="KW29" s="160">
        <f t="shared" ref="KW29" si="151">KU29*$C$29</f>
        <v>1033275.1605298356</v>
      </c>
      <c r="KY29" s="160">
        <f t="shared" ref="KY29" si="152">KW29*$C$29</f>
        <v>1064273.4153457307</v>
      </c>
      <c r="LA29" s="160">
        <f t="shared" ref="LA29" si="153">KY29*$C$29</f>
        <v>1096201.6178061026</v>
      </c>
      <c r="LC29" s="160">
        <f t="shared" ref="LC29" si="154">LA29*$C$29</f>
        <v>1129087.6663402857</v>
      </c>
      <c r="LE29" s="160">
        <f t="shared" ref="LE29" si="155">LC29*$C$29</f>
        <v>1162960.2963304943</v>
      </c>
      <c r="LG29" s="160">
        <f t="shared" ref="LG29" si="156">LE29*$C$29</f>
        <v>1197849.1052204091</v>
      </c>
      <c r="LI29" s="160">
        <f t="shared" ref="LI29" si="157">LG29*$C$29</f>
        <v>1233784.5783770215</v>
      </c>
      <c r="LK29" s="160">
        <f t="shared" ref="LK29" si="158">LI29*$C$29</f>
        <v>1270798.1157283322</v>
      </c>
      <c r="LM29" s="160">
        <f t="shared" ref="LM29" si="159">LK29*$C$29</f>
        <v>1308922.0592001821</v>
      </c>
      <c r="LO29" s="160">
        <f t="shared" ref="LO29" si="160">LM29*$C$29</f>
        <v>1348189.7209761876</v>
      </c>
      <c r="LQ29" s="160">
        <f t="shared" ref="LQ29" si="161">LO29*$C$29</f>
        <v>1388635.4126054733</v>
      </c>
      <c r="LS29" s="160">
        <f t="shared" ref="LS29" si="162">LQ29*$C$29</f>
        <v>1430294.4749836375</v>
      </c>
      <c r="LU29" s="160">
        <f t="shared" ref="LU29" si="163">LS29*$C$29</f>
        <v>1473203.3092331467</v>
      </c>
      <c r="LW29" s="160">
        <f t="shared" ref="LW29" si="164">LU29*$C$29</f>
        <v>1517399.4085101411</v>
      </c>
      <c r="LY29" s="160">
        <f t="shared" ref="LY29" si="165">LW29*$C$29</f>
        <v>1562921.3907654453</v>
      </c>
      <c r="MA29" s="160">
        <f t="shared" ref="MA29" si="166">LY29*$C$29</f>
        <v>1609809.0324884087</v>
      </c>
      <c r="MC29" s="160">
        <f t="shared" ref="MC29" si="167">MA29*$C$29</f>
        <v>1658103.3034630611</v>
      </c>
      <c r="ME29" s="160">
        <f t="shared" ref="ME29" si="168">MC29*$C$29</f>
        <v>1707846.4025669531</v>
      </c>
      <c r="MG29" s="160">
        <f t="shared" ref="MG29" si="169">ME29*$C$29</f>
        <v>1759081.7946439618</v>
      </c>
      <c r="MI29" s="160">
        <f t="shared" ref="MI29" si="170">MG29*$C$29</f>
        <v>1811854.2484832807</v>
      </c>
      <c r="MK29" s="160">
        <f t="shared" ref="MK29" si="171">MI29*$C$29</f>
        <v>1866209.8759377792</v>
      </c>
      <c r="MM29" s="160">
        <f t="shared" ref="MM29" si="172">MK29*$C$29</f>
        <v>1922196.1722159127</v>
      </c>
      <c r="MO29" s="160">
        <f t="shared" ref="MO29" si="173">MM29*$C$29</f>
        <v>1979862.0573823901</v>
      </c>
      <c r="MQ29" s="160">
        <f t="shared" ref="MQ29" si="174">MO29*$C$29</f>
        <v>2039257.9191038618</v>
      </c>
      <c r="MS29" s="160">
        <f t="shared" ref="MS29" si="175">MQ29*$C$29</f>
        <v>2100435.6566769779</v>
      </c>
      <c r="MU29" s="160">
        <f t="shared" ref="MU29" si="176">MS29*$C$29</f>
        <v>2163448.7263772874</v>
      </c>
      <c r="MW29" s="160">
        <f t="shared" ref="MW29" si="177">MU29*$C$29</f>
        <v>2228352.1881686063</v>
      </c>
      <c r="MY29" s="160">
        <f t="shared" ref="MY29" si="178">MW29*$C$29</f>
        <v>2295202.7538136644</v>
      </c>
      <c r="NA29" s="160">
        <f t="shared" ref="NA29" si="179">MY29*$C$29</f>
        <v>2364058.8364280746</v>
      </c>
      <c r="NC29" s="160">
        <f t="shared" ref="NC29" si="180">NA29*$C$29</f>
        <v>2434980.6015209169</v>
      </c>
      <c r="NE29" s="160">
        <f t="shared" ref="NE29" si="181">NC29*$C$29</f>
        <v>2508030.0195665443</v>
      </c>
      <c r="NG29" s="160">
        <f t="shared" ref="NG29" si="182">NE29*$C$29</f>
        <v>2583270.9201535406</v>
      </c>
      <c r="NI29" s="160">
        <f t="shared" ref="NI29" si="183">NG29*$C$29</f>
        <v>2660769.0477581467</v>
      </c>
      <c r="NK29" s="160">
        <f t="shared" ref="NK29" si="184">NI29*$C$29</f>
        <v>2740592.1191908913</v>
      </c>
      <c r="NM29" s="160">
        <f t="shared" ref="NM29" si="185">NK29*$C$29</f>
        <v>2822809.8827666179</v>
      </c>
      <c r="NO29" s="160">
        <f t="shared" ref="NO29" si="186">NM29*$C$29</f>
        <v>2907494.1792496163</v>
      </c>
      <c r="NQ29" s="160">
        <f t="shared" ref="NQ29" si="187">NO29*$C$29</f>
        <v>2994719.0046271048</v>
      </c>
      <c r="NS29" s="160">
        <f t="shared" ref="NS29" si="188">NQ29*$C$29</f>
        <v>3084560.5747659178</v>
      </c>
      <c r="NU29" s="160">
        <f t="shared" ref="NU29" si="189">NS29*$C$29</f>
        <v>3177097.3920088955</v>
      </c>
      <c r="NW29" s="160">
        <f t="shared" ref="NW29" si="190">NU29*$C$29</f>
        <v>3272410.3137691626</v>
      </c>
      <c r="NY29" s="160">
        <f t="shared" ref="NY29" si="191">NW29*$C$29</f>
        <v>3370582.6231822376</v>
      </c>
      <c r="OA29" s="160">
        <f t="shared" ref="OA29" si="192">NY29*$C$29</f>
        <v>3471700.1018777047</v>
      </c>
      <c r="OC29" s="160">
        <f t="shared" ref="OC29" si="193">OA29*$C$29</f>
        <v>3575851.1049340358</v>
      </c>
      <c r="OE29" s="160">
        <f t="shared" ref="OE29" si="194">OC29*$C$29</f>
        <v>3683126.6380820568</v>
      </c>
      <c r="OG29" s="160">
        <f t="shared" ref="OG29" si="195">OE29*$C$29</f>
        <v>3793620.4372245185</v>
      </c>
      <c r="OI29" s="160">
        <f t="shared" ref="OI29" si="196">OG29*$C$29</f>
        <v>3907429.0503412541</v>
      </c>
      <c r="OK29" s="160">
        <f t="shared" ref="OK29" si="197">OI29*$C$29</f>
        <v>4024651.921851492</v>
      </c>
      <c r="OM29" s="160">
        <f t="shared" ref="OM29" si="198">OK29*$C$29</f>
        <v>4145391.479507037</v>
      </c>
      <c r="OO29" s="160">
        <f t="shared" ref="OO29" si="199">OM29*$C$29</f>
        <v>4269753.2238922482</v>
      </c>
      <c r="OQ29" s="160">
        <f t="shared" ref="OQ29" si="200">OO29*$C$29</f>
        <v>4397845.8206090154</v>
      </c>
      <c r="OS29" s="160">
        <f t="shared" ref="OS29" si="201">OQ29*$C$29</f>
        <v>4529781.1952272858</v>
      </c>
      <c r="OU29" s="160">
        <f t="shared" ref="OU29" si="202">OS29*$C$29</f>
        <v>4665674.631084105</v>
      </c>
      <c r="OW29" s="160">
        <f t="shared" ref="OW29" si="203">OU29*$C$29</f>
        <v>4805644.8700166279</v>
      </c>
      <c r="OY29" s="160">
        <f t="shared" ref="OY29" si="204">OW29*$C$29</f>
        <v>4949814.2161171269</v>
      </c>
      <c r="PA29" s="160">
        <f t="shared" ref="PA29" si="205">OY29*$C$29</f>
        <v>5098308.6426006407</v>
      </c>
      <c r="PC29" s="160">
        <f t="shared" ref="PC29" si="206">PA29*$C$29</f>
        <v>5251257.9018786596</v>
      </c>
      <c r="PE29" s="160">
        <f t="shared" ref="PE29" si="207">PC29*$C$29</f>
        <v>5408795.6389350193</v>
      </c>
      <c r="PG29" s="160">
        <f t="shared" ref="PG29" si="208">PE29*$C$29</f>
        <v>5571059.5081030698</v>
      </c>
      <c r="PI29" s="160">
        <f t="shared" ref="PI29" si="209">PG29*$C$29</f>
        <v>5738191.293346162</v>
      </c>
      <c r="PK29" s="160">
        <f t="shared" ref="PK29" si="210">PI29*$C$29</f>
        <v>5910337.032146547</v>
      </c>
      <c r="PM29" s="160">
        <f t="shared" ref="PM29" si="211">PK29*$C$29</f>
        <v>6087647.143110944</v>
      </c>
      <c r="PO29" s="160">
        <f t="shared" ref="PO29" si="212">PM29*$C$29</f>
        <v>6270276.5574042723</v>
      </c>
      <c r="PQ29" s="160">
        <f t="shared" ref="PQ29" si="213">PO29*$C$29</f>
        <v>6458384.8541264003</v>
      </c>
      <c r="PS29" s="160">
        <f t="shared" ref="PS29" si="214">PQ29*$C$29</f>
        <v>6652136.3997501926</v>
      </c>
      <c r="PU29" s="160">
        <f t="shared" ref="PU29" si="215">PS29*$C$29</f>
        <v>6851700.4917426985</v>
      </c>
      <c r="PW29" s="160">
        <f t="shared" ref="PW29" si="216">PU29*$C$29</f>
        <v>7057251.5064949794</v>
      </c>
      <c r="PY29" s="160">
        <f t="shared" ref="PY29" si="217">PW29*$C$29</f>
        <v>7268969.0516898287</v>
      </c>
      <c r="QA29" s="160">
        <f t="shared" ref="QA29" si="218">PY29*$C$29</f>
        <v>7487038.123240524</v>
      </c>
      <c r="QC29" s="160">
        <f t="shared" ref="QC29" si="219">QA29*$C$29</f>
        <v>7711649.2669377401</v>
      </c>
      <c r="QE29" s="160">
        <f t="shared" ref="QE29" si="220">QC29*$C$29</f>
        <v>7942998.7449458726</v>
      </c>
      <c r="QG29" s="160">
        <f t="shared" ref="QG29" si="221">QE29*$C$29</f>
        <v>8181288.707294249</v>
      </c>
      <c r="QI29" s="160">
        <f t="shared" ref="QI29" si="222">QG29*$C$29</f>
        <v>8426727.3685130775</v>
      </c>
      <c r="QK29" s="160">
        <f t="shared" ref="QK29" si="223">QI29*$C$29</f>
        <v>8679529.1895684693</v>
      </c>
      <c r="QM29" s="160">
        <f t="shared" ref="QM29" si="224">QK29*$C$29</f>
        <v>8939915.0652555227</v>
      </c>
      <c r="QO29" s="160">
        <f t="shared" ref="QO29" si="225">QM29*$C$29</f>
        <v>9208112.5172131881</v>
      </c>
      <c r="QQ29" s="160">
        <f t="shared" ref="QQ29" si="226">QO29*$C$29</f>
        <v>9484355.8927295841</v>
      </c>
      <c r="QS29" s="160">
        <f t="shared" ref="QS29" si="227">QQ29*$C$29</f>
        <v>9768886.5695114713</v>
      </c>
      <c r="QU29" s="160">
        <f t="shared" ref="QU29" si="228">QS29*$C$29</f>
        <v>10061953.166596815</v>
      </c>
      <c r="QW29" s="160">
        <f t="shared" ref="QW29" si="229">QU29*$C$29</f>
        <v>10363811.76159472</v>
      </c>
      <c r="QY29" s="160">
        <f t="shared" ref="QY29" si="230">QW29*$C$29</f>
        <v>10674726.114442563</v>
      </c>
      <c r="RA29" s="160">
        <f t="shared" ref="RA29" si="231">QY29*$C$29</f>
        <v>10994967.89787584</v>
      </c>
      <c r="RC29" s="160">
        <f t="shared" ref="RC29" si="232">RA29*$C$29</f>
        <v>11324816.934812116</v>
      </c>
      <c r="RE29" s="160">
        <f t="shared" ref="RE29" si="233">RC29*$C$29</f>
        <v>11664561.442856479</v>
      </c>
      <c r="RG29" s="160">
        <f t="shared" ref="RG29" si="234">RE29*$C$29</f>
        <v>12014498.286142174</v>
      </c>
      <c r="RI29" s="160">
        <f t="shared" ref="RI29" si="235">RG29*$C$29</f>
        <v>12374933.23472644</v>
      </c>
      <c r="RK29" s="160">
        <f t="shared" ref="RK29" si="236">RI29*$C$29</f>
        <v>12746181.231768234</v>
      </c>
      <c r="RM29" s="160">
        <f t="shared" ref="RM29" si="237">RK29*$C$29</f>
        <v>13128566.668721281</v>
      </c>
      <c r="RO29" s="160">
        <f t="shared" ref="RO29" si="238">RM29*$C$29</f>
        <v>13522423.66878292</v>
      </c>
      <c r="RQ29" s="160">
        <f t="shared" ref="RQ29" si="239">RO29*$C$29</f>
        <v>13928096.378846407</v>
      </c>
      <c r="RS29" s="160">
        <f t="shared" ref="RS29" si="240">RQ29*$C$29</f>
        <v>14345939.270211799</v>
      </c>
      <c r="RU29" s="160">
        <f t="shared" ref="RU29" si="241">RS29*$C$29</f>
        <v>14776317.448318154</v>
      </c>
      <c r="RW29" s="160">
        <f t="shared" ref="RW29" si="242">RU29*$C$29</f>
        <v>15219606.971767699</v>
      </c>
      <c r="RY29" s="160">
        <f t="shared" ref="RY29" si="243">RW29*$C$29</f>
        <v>15676195.180920731</v>
      </c>
      <c r="SA29" s="160">
        <f t="shared" ref="SA29" si="244">RY29*$C$29</f>
        <v>16146481.036348354</v>
      </c>
      <c r="SC29" s="160">
        <f t="shared" ref="SC29" si="245">SA29*$C$29</f>
        <v>16630875.467438806</v>
      </c>
      <c r="SE29" s="160">
        <f t="shared" ref="SE29" si="246">SC29*$C$29</f>
        <v>17129801.731461972</v>
      </c>
      <c r="SG29" s="160">
        <f t="shared" ref="SG29" si="247">SE29*$C$29</f>
        <v>17643695.783405833</v>
      </c>
      <c r="SI29" s="160">
        <f t="shared" ref="SI29" si="248">SG29*$C$29</f>
        <v>18173006.656908009</v>
      </c>
      <c r="SK29" s="160">
        <f t="shared" ref="SK29" si="249">SI29*$C$29</f>
        <v>18718196.856615249</v>
      </c>
      <c r="SM29" s="160">
        <f t="shared" ref="SM29" si="250">SK29*$C$29</f>
        <v>19279742.762313709</v>
      </c>
      <c r="SO29" s="160">
        <f t="shared" ref="SO29" si="251">SM29*$C$29</f>
        <v>19858135.045183122</v>
      </c>
      <c r="SQ29" s="160">
        <f t="shared" ref="SQ29" si="252">SO29*$C$29</f>
        <v>20453879.096538618</v>
      </c>
      <c r="SS29" s="160">
        <f t="shared" ref="SS29" si="253">SQ29*$C$29</f>
        <v>21067495.469434779</v>
      </c>
      <c r="SU29" s="160">
        <f t="shared" ref="SU29" si="254">SS29*$C$29</f>
        <v>21699520.333517823</v>
      </c>
      <c r="SW29" s="160">
        <f t="shared" ref="SW29" si="255">SU29*$C$29</f>
        <v>22350505.943523359</v>
      </c>
      <c r="SY29" s="160">
        <f t="shared" ref="SY29" si="256">SW29*$C$29</f>
        <v>23021021.121829059</v>
      </c>
      <c r="TA29" s="160">
        <f t="shared" ref="TA29" si="257">SY29*$C$29</f>
        <v>23711651.755483933</v>
      </c>
      <c r="TC29" s="160">
        <f t="shared" ref="TC29" si="258">TA29*$C$29</f>
        <v>24423001.308148451</v>
      </c>
      <c r="TE29" s="160">
        <f t="shared" ref="TE29" si="259">TC29*$C$29</f>
        <v>25155691.347392906</v>
      </c>
      <c r="TG29" s="160">
        <f t="shared" ref="TG29" si="260">TE29*$C$29</f>
        <v>25910362.087814692</v>
      </c>
      <c r="TI29" s="160">
        <f t="shared" ref="TI29" si="261">TG29*$C$29</f>
        <v>26687672.950449135</v>
      </c>
      <c r="TK29" s="160">
        <f t="shared" ref="TK29" si="262">TI29*$C$29</f>
        <v>27488303.138962612</v>
      </c>
      <c r="TM29" s="160">
        <f t="shared" ref="TM29" si="263">TK29*$C$29</f>
        <v>28312952.233131491</v>
      </c>
      <c r="TO29" s="160">
        <f t="shared" ref="TO29" si="264">TM29*$C$29</f>
        <v>29162340.800125435</v>
      </c>
      <c r="TQ29" s="160">
        <f t="shared" ref="TQ29" si="265">TO29*$C$29</f>
        <v>30037211.024129197</v>
      </c>
      <c r="TS29" s="160">
        <f t="shared" ref="TS29" si="266">TQ29*$C$29</f>
        <v>30938327.354853075</v>
      </c>
      <c r="TU29" s="160">
        <f t="shared" ref="TU29" si="267">TS29*$C$29</f>
        <v>31866477.175498668</v>
      </c>
      <c r="TW29" s="160">
        <f t="shared" ref="TW29" si="268">TU29*$C$29</f>
        <v>32822471.490763631</v>
      </c>
      <c r="TY29" s="160">
        <f t="shared" ref="TY29" si="269">TW29*$C$29</f>
        <v>33807145.635486543</v>
      </c>
      <c r="UA29" s="160">
        <f t="shared" ref="UA29" si="270">TY29*$C$29</f>
        <v>34821360.004551142</v>
      </c>
      <c r="UC29" s="160">
        <f t="shared" ref="UC29" si="271">UA29*$C$29</f>
        <v>35866000.804687679</v>
      </c>
      <c r="UE29" s="160">
        <f t="shared" ref="UE29" si="272">UC29*$C$29</f>
        <v>36941980.828828312</v>
      </c>
      <c r="UG29" s="160">
        <f t="shared" ref="UG29" si="273">UE29*$C$29</f>
        <v>38050240.253693163</v>
      </c>
      <c r="UI29" s="160">
        <f t="shared" ref="UI29" si="274">UG29*$C$29</f>
        <v>39191747.461303957</v>
      </c>
      <c r="UK29" s="160">
        <f t="shared" ref="UK29" si="275">UI29*$C$29</f>
        <v>40367499.885143079</v>
      </c>
      <c r="UM29" s="160">
        <f t="shared" ref="UM29" si="276">UK29*$C$29</f>
        <v>41578524.881697372</v>
      </c>
      <c r="UO29" s="160">
        <f t="shared" ref="UO29" si="277">UM29*$C$29</f>
        <v>42825880.628148295</v>
      </c>
      <c r="UQ29" s="160">
        <f t="shared" ref="UQ29" si="278">UO29*$C$29</f>
        <v>44110657.046992742</v>
      </c>
      <c r="US29" s="160">
        <f t="shared" ref="US29" si="279">UQ29*$C$29</f>
        <v>45433976.758402526</v>
      </c>
      <c r="UU29" s="160">
        <f t="shared" ref="UU29" si="280">US29*$C$29</f>
        <v>46796996.061154604</v>
      </c>
      <c r="UW29" s="160">
        <f t="shared" ref="UW29" si="281">UU29*$C$29</f>
        <v>48200905.942989245</v>
      </c>
      <c r="UY29" s="160">
        <f t="shared" ref="UY29" si="282">UW29*$C$29</f>
        <v>49646933.121278927</v>
      </c>
      <c r="VA29" s="160">
        <f t="shared" ref="VA29" si="283">UY29*$C$29</f>
        <v>51136341.114917293</v>
      </c>
      <c r="VC29" s="160">
        <f t="shared" ref="VC29" si="284">VA29*$C$29</f>
        <v>52670431.348364815</v>
      </c>
      <c r="VE29" s="160">
        <f t="shared" ref="VE29" si="285">VC29*$C$29</f>
        <v>54250544.288815759</v>
      </c>
      <c r="VG29" s="160">
        <f t="shared" ref="VG29" si="286">VE29*$C$29</f>
        <v>55878060.617480233</v>
      </c>
      <c r="VI29" s="160">
        <f t="shared" ref="VI29" si="287">VG29*$C$29</f>
        <v>57554402.436004639</v>
      </c>
      <c r="VK29" s="160">
        <f t="shared" ref="VK29" si="288">VI29*$C$29</f>
        <v>59281034.509084776</v>
      </c>
      <c r="VM29" s="160">
        <f t="shared" ref="VM29" si="289">VK29*$C$29</f>
        <v>61059465.544357322</v>
      </c>
      <c r="VO29" s="160">
        <f t="shared" ref="VO29" si="290">VM29*$C$29</f>
        <v>62891249.510688044</v>
      </c>
      <c r="VQ29" s="160">
        <f t="shared" ref="VQ29" si="291">VO29*$C$29</f>
        <v>64777986.996008687</v>
      </c>
      <c r="VS29" s="160">
        <f t="shared" ref="VS29" si="292">VQ29*$C$29</f>
        <v>66721326.605888948</v>
      </c>
      <c r="VU29" s="160">
        <f t="shared" ref="VU29" si="293">VS29*$C$29</f>
        <v>68722966.404065624</v>
      </c>
      <c r="VW29" s="160">
        <f t="shared" ref="VW29" si="294">VU29*$C$29</f>
        <v>70784655.396187589</v>
      </c>
      <c r="VY29" s="160">
        <f t="shared" ref="VY29" si="295">VW29*$C$29</f>
        <v>72908195.058073223</v>
      </c>
      <c r="WA29" s="160">
        <f t="shared" ref="WA29" si="296">VY29*$C$29</f>
        <v>75095440.909815416</v>
      </c>
      <c r="WC29" s="160">
        <f t="shared" ref="WC29" si="297">WA29*$C$29</f>
        <v>77348304.137109876</v>
      </c>
      <c r="WE29" s="160">
        <f t="shared" ref="WE29" si="298">WC29*$C$29</f>
        <v>79668753.261223167</v>
      </c>
      <c r="WG29" s="160">
        <f t="shared" ref="WG29" si="299">WE29*$C$29</f>
        <v>82058815.85905987</v>
      </c>
      <c r="WI29" s="160">
        <f t="shared" ref="WI29" si="300">WG29*$C$29</f>
        <v>84520580.33483167</v>
      </c>
      <c r="WK29" s="160">
        <f t="shared" ref="WK29" si="301">WI29*$C$29</f>
        <v>87056197.744876623</v>
      </c>
      <c r="WM29" s="160">
        <f t="shared" ref="WM29" si="302">WK29*$C$29</f>
        <v>89667883.677222922</v>
      </c>
      <c r="WO29" s="160">
        <f t="shared" ref="WO29" si="303">WM29*$C$29</f>
        <v>92357920.187539607</v>
      </c>
      <c r="WQ29" s="160">
        <f t="shared" ref="WQ29" si="304">WO29*$C$29</f>
        <v>95128657.793165803</v>
      </c>
      <c r="WS29" s="160">
        <f t="shared" ref="WS29" si="305">WQ29*$C$29</f>
        <v>97982517.526960775</v>
      </c>
      <c r="WU29" s="160">
        <f t="shared" ref="WU29" si="306">WS29*$C$29</f>
        <v>100921993.0527696</v>
      </c>
      <c r="WW29" s="160">
        <f t="shared" ref="WW29" si="307">WU29*$C$29</f>
        <v>103949652.84435269</v>
      </c>
      <c r="WY29" s="160">
        <f t="shared" ref="WY29" si="308">WW29*$C$29</f>
        <v>107068142.42968328</v>
      </c>
      <c r="XA29" s="160">
        <f t="shared" ref="XA29" si="309">WY29*$C$29</f>
        <v>110280186.70257379</v>
      </c>
      <c r="XC29" s="160">
        <f t="shared" ref="XC29" si="310">XA29*$C$29</f>
        <v>113588592.30365101</v>
      </c>
      <c r="XE29" s="160">
        <f t="shared" ref="XE29" si="311">XC29*$C$29</f>
        <v>116996250.07276054</v>
      </c>
      <c r="XG29" s="160">
        <f t="shared" ref="XG29" si="312">XE29*$C$29</f>
        <v>120506137.57494336</v>
      </c>
      <c r="XI29" s="160">
        <f t="shared" ref="XI29" si="313">XG29*$C$29</f>
        <v>124121321.70219167</v>
      </c>
      <c r="XK29" s="160">
        <f t="shared" ref="XK29" si="314">XI29*$C$29</f>
        <v>127844961.35325742</v>
      </c>
      <c r="XM29" s="160">
        <f t="shared" ref="XM29" si="315">XK29*$C$29</f>
        <v>131680310.19385514</v>
      </c>
      <c r="XO29" s="160">
        <f t="shared" ref="XO29" si="316">XM29*$C$29</f>
        <v>135630719.4996708</v>
      </c>
      <c r="XQ29" s="160">
        <f t="shared" ref="XQ29" si="317">XO29*$C$29</f>
        <v>139699641.08466092</v>
      </c>
      <c r="XS29" s="160">
        <f t="shared" ref="XS29" si="318">XQ29*$C$29</f>
        <v>143890630.31720075</v>
      </c>
      <c r="XU29" s="160">
        <f t="shared" ref="XU29" si="319">XS29*$C$29</f>
        <v>148207349.22671679</v>
      </c>
      <c r="XW29" s="160">
        <f t="shared" ref="XW29" si="320">XU29*$C$29</f>
        <v>152653569.7035183</v>
      </c>
      <c r="XY29" s="160">
        <f t="shared" ref="XY29" si="321">XW29*$C$29</f>
        <v>157233176.79462385</v>
      </c>
      <c r="YA29" s="160">
        <f t="shared" ref="YA29" si="322">XY29*$C$29</f>
        <v>161950172.09846258</v>
      </c>
      <c r="YC29" s="160">
        <f t="shared" ref="YC29" si="323">YA29*$C$29</f>
        <v>166808677.26141647</v>
      </c>
      <c r="YE29" s="160">
        <f t="shared" ref="YE29" si="324">YC29*$C$29</f>
        <v>171812937.57925895</v>
      </c>
      <c r="YG29" s="160">
        <f t="shared" ref="YG29" si="325">YE29*$C$29</f>
        <v>176967325.70663673</v>
      </c>
      <c r="YI29" s="160">
        <f t="shared" ref="YI29" si="326">YG29*$C$29</f>
        <v>182276345.47783583</v>
      </c>
      <c r="YK29" s="160">
        <f t="shared" ref="YK29" si="327">YI29*$C$29</f>
        <v>187744635.84217092</v>
      </c>
      <c r="YM29" s="160">
        <f t="shared" ref="YM29" si="328">YK29*$C$29</f>
        <v>193376974.91743606</v>
      </c>
      <c r="YO29" s="160">
        <f t="shared" ref="YO29" si="329">YM29*$C$29</f>
        <v>199178284.16495916</v>
      </c>
      <c r="YQ29" s="160">
        <f t="shared" ref="YQ29" si="330">YO29*$C$29</f>
        <v>205153632.68990794</v>
      </c>
      <c r="YS29" s="160">
        <f t="shared" ref="YS29" si="331">YQ29*$C$29</f>
        <v>211308241.67060518</v>
      </c>
      <c r="YU29" s="160">
        <f t="shared" ref="YU29" si="332">YS29*$C$29</f>
        <v>217647488.92072335</v>
      </c>
      <c r="YW29" s="160">
        <f t="shared" ref="YW29" si="333">YU29*$C$29</f>
        <v>224176913.58834505</v>
      </c>
      <c r="YY29" s="160">
        <f t="shared" ref="YY29" si="334">YW29*$C$29</f>
        <v>230902220.9959954</v>
      </c>
      <c r="ZA29" s="160">
        <f t="shared" ref="ZA29" si="335">YY29*$C$29</f>
        <v>237829287.62587526</v>
      </c>
      <c r="ZC29" s="160">
        <f t="shared" ref="ZC29" si="336">ZA29*$C$29</f>
        <v>244964166.25465152</v>
      </c>
      <c r="ZE29" s="160">
        <f t="shared" ref="ZE29" si="337">ZC29*$C$29</f>
        <v>252313091.24229106</v>
      </c>
      <c r="ZG29" s="160">
        <f t="shared" ref="ZG29" si="338">ZE29*$C$29</f>
        <v>259882483.97955981</v>
      </c>
      <c r="ZI29" s="160">
        <f t="shared" ref="ZI29" si="339">ZG29*$C$29</f>
        <v>267678958.49894661</v>
      </c>
      <c r="ZK29" s="160">
        <f t="shared" ref="ZK29" si="340">ZI29*$C$29</f>
        <v>275709327.25391501</v>
      </c>
      <c r="ZM29" s="160">
        <f t="shared" ref="ZM29" si="341">ZK29*$C$29</f>
        <v>283980607.07153249</v>
      </c>
      <c r="ZO29" s="160">
        <f t="shared" ref="ZO29" si="342">ZM29*$C$29</f>
        <v>292500025.28367847</v>
      </c>
      <c r="ZQ29" s="160">
        <f t="shared" ref="ZQ29" si="343">ZO29*$C$29</f>
        <v>301275026.04218882</v>
      </c>
      <c r="ZS29" s="160">
        <f t="shared" ref="ZS29" si="344">ZQ29*$C$29</f>
        <v>310313276.8234545</v>
      </c>
      <c r="ZU29" s="160">
        <f t="shared" ref="ZU29" si="345">ZS29*$C$29</f>
        <v>319622675.12815815</v>
      </c>
      <c r="ZW29" s="160">
        <f t="shared" ref="ZW29" si="346">ZU29*$C$29</f>
        <v>329211355.38200289</v>
      </c>
      <c r="ZY29" s="160">
        <f t="shared" ref="ZY29" si="347">ZW29*$C$29</f>
        <v>339087696.04346299</v>
      </c>
      <c r="AAA29" s="160">
        <f t="shared" ref="AAA29" si="348">ZY29*$C$29</f>
        <v>349260326.9247669</v>
      </c>
      <c r="AAC29" s="160">
        <f t="shared" ref="AAC29" si="349">AAA29*$C$29</f>
        <v>359738136.73250991</v>
      </c>
      <c r="AAE29" s="160">
        <f t="shared" ref="AAE29" si="350">AAC29*$C$29</f>
        <v>370530280.83448523</v>
      </c>
      <c r="AAG29" s="160">
        <f t="shared" ref="AAG29" si="351">AAE29*$C$29</f>
        <v>381646189.25951982</v>
      </c>
      <c r="AAI29" s="160">
        <f t="shared" ref="AAI29" si="352">AAG29*$C$29</f>
        <v>393095574.93730539</v>
      </c>
      <c r="AAK29" s="160">
        <f t="shared" ref="AAK29" si="353">AAI29*$C$29</f>
        <v>404888442.18542457</v>
      </c>
      <c r="AAM29" s="160">
        <f t="shared" ref="AAM29" si="354">AAK29*$C$29</f>
        <v>417035095.45098734</v>
      </c>
      <c r="AAO29" s="160">
        <f t="shared" ref="AAO29" si="355">AAM29*$C$29</f>
        <v>429546148.31451696</v>
      </c>
      <c r="AAQ29" s="160">
        <f t="shared" ref="AAQ29" si="356">AAO29*$C$29</f>
        <v>442432532.76395249</v>
      </c>
      <c r="AAS29" s="160">
        <f t="shared" ref="AAS29" si="357">AAQ29*$C$29</f>
        <v>455705508.74687105</v>
      </c>
      <c r="AAU29" s="160">
        <f t="shared" ref="AAU29" si="358">AAS29*$C$29</f>
        <v>469376674.00927722</v>
      </c>
      <c r="AAW29" s="160">
        <f t="shared" ref="AAW29" si="359">AAU29*$C$29</f>
        <v>483457974.22955555</v>
      </c>
      <c r="AAY29" s="160">
        <f t="shared" ref="AAY29" si="360">AAW29*$C$29</f>
        <v>497961713.45644224</v>
      </c>
      <c r="ABA29" s="160">
        <f t="shared" ref="ABA29" si="361">AAY29*$C$29</f>
        <v>512900564.8601355</v>
      </c>
      <c r="ABC29" s="160">
        <f t="shared" ref="ABC29" si="362">ABA29*$C$29</f>
        <v>528287581.80593956</v>
      </c>
      <c r="ABE29" s="160">
        <f t="shared" ref="ABE29" si="363">ABC29*$C$29</f>
        <v>544136209.26011777</v>
      </c>
      <c r="ABG29" s="160">
        <f t="shared" ref="ABG29" si="364">ABE29*$C$29</f>
        <v>560460295.53792131</v>
      </c>
      <c r="ABI29" s="160">
        <f t="shared" ref="ABI29" si="365">ABG29*$C$29</f>
        <v>577274104.40405893</v>
      </c>
      <c r="ABK29" s="160">
        <f t="shared" ref="ABK29" si="366">ABI29*$C$29</f>
        <v>594592327.53618073</v>
      </c>
      <c r="ABM29" s="160">
        <f t="shared" ref="ABM29" si="367">ABK29*$C$29</f>
        <v>612430097.36226618</v>
      </c>
      <c r="ABO29" s="160">
        <f t="shared" ref="ABO29" si="368">ABM29*$C$29</f>
        <v>630803000.28313422</v>
      </c>
      <c r="ABQ29" s="160">
        <f t="shared" ref="ABQ29" si="369">ABO29*$C$29</f>
        <v>649727090.29162824</v>
      </c>
      <c r="ABS29" s="160">
        <f t="shared" ref="ABS29" si="370">ABQ29*$C$29</f>
        <v>669218903.00037706</v>
      </c>
      <c r="ABU29" s="160">
        <f t="shared" ref="ABU29" si="371">ABS29*$C$29</f>
        <v>689295470.09038842</v>
      </c>
      <c r="ABW29" s="160">
        <f t="shared" ref="ABW29" si="372">ABU29*$C$29</f>
        <v>709974334.19310009</v>
      </c>
      <c r="ABY29" s="160">
        <f t="shared" ref="ABY29" si="373">ABW29*$C$29</f>
        <v>731273564.21889317</v>
      </c>
      <c r="ACA29" s="160">
        <f t="shared" ref="ACA29" si="374">ABY29*$C$29</f>
        <v>753211771.14546001</v>
      </c>
      <c r="ACC29" s="160">
        <f t="shared" ref="ACC29" si="375">ACA29*$C$29</f>
        <v>775808124.27982378</v>
      </c>
      <c r="ACE29" s="160">
        <f t="shared" ref="ACE29" si="376">ACC29*$C$29</f>
        <v>799082368.00821853</v>
      </c>
      <c r="ACG29" s="160">
        <f t="shared" ref="ACG29" si="377">ACE29*$C$29</f>
        <v>823054839.04846513</v>
      </c>
      <c r="ACI29" s="160">
        <f t="shared" ref="ACI29" si="378">ACG29*$C$29</f>
        <v>847746484.21991909</v>
      </c>
      <c r="ACK29" s="160">
        <f t="shared" ref="ACK29" si="379">ACI29*$C$29</f>
        <v>873178878.7465167</v>
      </c>
      <c r="ACM29" s="160">
        <f t="shared" ref="ACM29" si="380">ACK29*$C$29</f>
        <v>899374245.10891223</v>
      </c>
      <c r="ACO29" s="160">
        <f t="shared" ref="ACO29" si="381">ACM29*$C$29</f>
        <v>926355472.46217966</v>
      </c>
      <c r="ACQ29" s="160">
        <f t="shared" ref="ACQ29" si="382">ACO29*$C$29</f>
        <v>954146136.6360451</v>
      </c>
      <c r="ACS29" s="160">
        <f t="shared" ref="ACS29" si="383">ACQ29*$C$29</f>
        <v>982770520.7351265</v>
      </c>
      <c r="ACU29" s="160">
        <f t="shared" ref="ACU29" si="384">ACS29*$C$29</f>
        <v>1012253636.3571804</v>
      </c>
      <c r="ACW29" s="160">
        <f t="shared" ref="ACW29" si="385">ACU29*$C$29</f>
        <v>1042621245.4478958</v>
      </c>
      <c r="ACY29" s="160">
        <f t="shared" ref="ACY29" si="386">ACW29*$C$29</f>
        <v>1073899882.8113327</v>
      </c>
      <c r="ADA29" s="160">
        <f t="shared" ref="ADA29" si="387">ACY29*$C$29</f>
        <v>1106116879.2956727</v>
      </c>
      <c r="ADC29" s="160">
        <f t="shared" ref="ADC29" si="388">ADA29*$C$29</f>
        <v>1139300385.6745429</v>
      </c>
      <c r="ADE29" s="160">
        <f t="shared" ref="ADE29" si="389">ADC29*$C$29</f>
        <v>1173479397.2447791</v>
      </c>
      <c r="ADG29" s="160">
        <f t="shared" ref="ADG29" si="390">ADE29*$C$29</f>
        <v>1208683779.1621225</v>
      </c>
      <c r="ADI29" s="160">
        <f t="shared" ref="ADI29" si="391">ADG29*$C$29</f>
        <v>1244944292.5369861</v>
      </c>
      <c r="ADK29" s="160">
        <f t="shared" ref="ADK29" si="392">ADI29*$C$29</f>
        <v>1282292621.3130958</v>
      </c>
      <c r="ADM29" s="160">
        <f t="shared" ref="ADM29" si="393">ADK29*$C$29</f>
        <v>1320761399.9524887</v>
      </c>
      <c r="ADO29" s="160">
        <f t="shared" ref="ADO29" si="394">ADM29*$C$29</f>
        <v>1360384241.9510634</v>
      </c>
      <c r="ADQ29" s="160">
        <f t="shared" ref="ADQ29" si="395">ADO29*$C$29</f>
        <v>1401195769.2095954</v>
      </c>
      <c r="ADS29" s="160">
        <f t="shared" ref="ADS29" si="396">ADQ29*$C$29</f>
        <v>1443231642.2858834</v>
      </c>
      <c r="ADU29" s="160">
        <f t="shared" ref="ADU29" si="397">ADS29*$C$29</f>
        <v>1486528591.55446</v>
      </c>
      <c r="ADW29" s="160">
        <f t="shared" ref="ADW29" si="398">ADU29*$C$29</f>
        <v>1531124449.3010938</v>
      </c>
      <c r="ADY29" s="160">
        <f t="shared" ref="ADY29" si="399">ADW29*$C$29</f>
        <v>1577058182.7801266</v>
      </c>
      <c r="AEA29" s="160">
        <f t="shared" ref="AEA29" si="400">ADY29*$C$29</f>
        <v>1624369928.2635305</v>
      </c>
      <c r="AEC29" s="160">
        <f t="shared" ref="AEC29" si="401">AEA29*$C$29</f>
        <v>1673101026.1114364</v>
      </c>
      <c r="AEE29" s="160">
        <f t="shared" ref="AEE29" si="402">AEC29*$C$29</f>
        <v>1723294056.8947794</v>
      </c>
      <c r="AEG29" s="160">
        <f t="shared" ref="AEG29" si="403">AEE29*$C$29</f>
        <v>1774992878.6016228</v>
      </c>
      <c r="AEI29" s="160">
        <f t="shared" ref="AEI29" si="404">AEG29*$C$29</f>
        <v>1828242664.9596715</v>
      </c>
      <c r="AEK29" s="160">
        <f t="shared" ref="AEK29" si="405">AEI29*$C$29</f>
        <v>1883089944.9084618</v>
      </c>
      <c r="AEM29" s="160">
        <f t="shared" ref="AEM29" si="406">AEK29*$C$29</f>
        <v>1939582643.2557156</v>
      </c>
      <c r="AEO29" s="160">
        <f t="shared" ref="AEO29" si="407">AEM29*$C$29</f>
        <v>1997770122.5533872</v>
      </c>
      <c r="AEQ29" s="160">
        <f t="shared" ref="AEQ29" si="408">AEO29*$C$29</f>
        <v>2057703226.2299888</v>
      </c>
      <c r="AES29" s="160">
        <f t="shared" ref="AES29" si="409">AEQ29*$C$29</f>
        <v>2119434323.0168886</v>
      </c>
      <c r="AEU29" s="160">
        <f t="shared" ref="AEU29" si="410">AES29*$C$29</f>
        <v>2183017352.7073956</v>
      </c>
      <c r="AEW29" s="160">
        <f t="shared" ref="AEW29" si="411">AEU29*$C$29</f>
        <v>2248507873.2886176</v>
      </c>
      <c r="AEY29" s="160">
        <f t="shared" ref="AEY29" si="412">AEW29*$C$29</f>
        <v>2315963109.4872761</v>
      </c>
      <c r="AFA29" s="160">
        <f t="shared" ref="AFA29" si="413">AEY29*$C$29</f>
        <v>2385442002.7718945</v>
      </c>
      <c r="AFC29" s="160">
        <f t="shared" ref="AFC29" si="414">AFA29*$C$29</f>
        <v>2457005262.8550515</v>
      </c>
      <c r="AFE29" s="160">
        <f t="shared" ref="AFE29" si="415">AFC29*$C$29</f>
        <v>2530715420.7407031</v>
      </c>
      <c r="AFG29" s="160">
        <f t="shared" ref="AFG29" si="416">AFE29*$C$29</f>
        <v>2606636883.3629241</v>
      </c>
      <c r="AFI29" s="160">
        <f t="shared" ref="AFI29" si="417">AFG29*$C$29</f>
        <v>2684835989.863812</v>
      </c>
      <c r="AFK29" s="160">
        <f t="shared" ref="AFK29" si="418">AFI29*$C$29</f>
        <v>2765381069.5597262</v>
      </c>
      <c r="AFM29" s="160">
        <f t="shared" ref="AFM29" si="419">AFK29*$C$29</f>
        <v>2848342501.6465182</v>
      </c>
      <c r="AFO29" s="160">
        <f t="shared" ref="AFO29" si="420">AFM29*$C$29</f>
        <v>2933792776.6959138</v>
      </c>
      <c r="AFQ29" s="160">
        <f t="shared" ref="AFQ29" si="421">AFO29*$C$29</f>
        <v>3021806559.9967914</v>
      </c>
      <c r="AFS29" s="160">
        <f t="shared" ref="AFS29" si="422">AFQ29*$C$29</f>
        <v>3112460756.7966952</v>
      </c>
      <c r="AFU29" s="160">
        <f t="shared" ref="AFU29" si="423">AFS29*$C$29</f>
        <v>3205834579.500596</v>
      </c>
      <c r="AFW29" s="160">
        <f t="shared" ref="AFW29" si="424">AFU29*$C$29</f>
        <v>3302009616.8856139</v>
      </c>
      <c r="AFY29" s="160">
        <f t="shared" ref="AFY29" si="425">AFW29*$C$29</f>
        <v>3401069905.3921824</v>
      </c>
      <c r="AGA29" s="160">
        <f t="shared" ref="AGA29" si="426">AFY29*$C$29</f>
        <v>3503102002.5539479</v>
      </c>
      <c r="AGC29" s="160">
        <f t="shared" ref="AGC29" si="427">AGA29*$C$29</f>
        <v>3608195062.6305666</v>
      </c>
      <c r="AGE29" s="160">
        <f t="shared" ref="AGE29" si="428">AGC29*$C$29</f>
        <v>3716440914.5094838</v>
      </c>
      <c r="AGG29" s="160">
        <f t="shared" ref="AGG29" si="429">AGE29*$C$29</f>
        <v>3827934141.9447684</v>
      </c>
      <c r="AGI29" s="160">
        <f t="shared" ref="AGI29" si="430">AGG29*$C$29</f>
        <v>3942772166.2031116</v>
      </c>
      <c r="AGK29" s="160">
        <f t="shared" ref="AGK29" si="431">AGI29*$C$29</f>
        <v>4061055331.1892052</v>
      </c>
      <c r="AGM29" s="160">
        <f t="shared" ref="AGM29" si="432">AGK29*$C$29</f>
        <v>4182886991.1248813</v>
      </c>
      <c r="AGO29" s="160">
        <f t="shared" ref="AGO29" si="433">AGM29*$C$29</f>
        <v>4308373600.8586283</v>
      </c>
      <c r="AGQ29" s="160">
        <f t="shared" ref="AGQ29" si="434">AGO29*$C$29</f>
        <v>4437624808.884387</v>
      </c>
      <c r="AGS29" s="160">
        <f t="shared" ref="AGS29" si="435">AGQ29*$C$29</f>
        <v>4570753553.150919</v>
      </c>
      <c r="AGU29" s="160">
        <f t="shared" ref="AGU29" si="436">AGS29*$C$29</f>
        <v>4707876159.7454462</v>
      </c>
      <c r="AGW29" s="160">
        <f t="shared" ref="AGW29" si="437">AGU29*$C$29</f>
        <v>4849112444.5378094</v>
      </c>
      <c r="AGY29" s="160">
        <f t="shared" ref="AGY29" si="438">AGW29*$C$29</f>
        <v>4994585817.8739433</v>
      </c>
      <c r="AHA29" s="160">
        <f t="shared" ref="AHA29" si="439">AGY29*$C$29</f>
        <v>5144423392.410162</v>
      </c>
      <c r="AHC29" s="160">
        <f t="shared" ref="AHC29" si="440">AHA29*$C$29</f>
        <v>5298756094.1824665</v>
      </c>
      <c r="AHE29" s="160">
        <f t="shared" ref="AHE29" si="441">AHC29*$C$29</f>
        <v>5457718777.0079403</v>
      </c>
      <c r="AHG29" s="160">
        <f t="shared" ref="AHG29" si="442">AHE29*$C$29</f>
        <v>5621450340.3181782</v>
      </c>
      <c r="AHI29" s="160">
        <f t="shared" ref="AHI29" si="443">AHG29*$C$29</f>
        <v>5790093850.5277233</v>
      </c>
      <c r="AHK29" s="160">
        <f t="shared" ref="AHK29" si="444">AHI29*$C$29</f>
        <v>5963796666.0435553</v>
      </c>
      <c r="AHM29" s="160">
        <f t="shared" ref="AHM29" si="445">AHK29*$C$29</f>
        <v>6142710566.0248623</v>
      </c>
      <c r="AHO29" s="160">
        <f t="shared" ref="AHO29" si="446">AHM29*$C$29</f>
        <v>6326991883.0056086</v>
      </c>
      <c r="AHQ29" s="160">
        <f t="shared" ref="AHQ29" si="447">AHO29*$C$29</f>
        <v>6516801639.4957771</v>
      </c>
      <c r="AHS29" s="160">
        <f t="shared" ref="AHS29" si="448">AHQ29*$C$29</f>
        <v>6712305688.6806507</v>
      </c>
      <c r="AHU29" s="160">
        <f t="shared" ref="AHU29" si="449">AHS29*$C$29</f>
        <v>6913674859.3410702</v>
      </c>
      <c r="AHW29" s="160">
        <f t="shared" ref="AHW29" si="450">AHU29*$C$29</f>
        <v>7121085105.1213026</v>
      </c>
      <c r="AHY29" s="160">
        <f t="shared" ref="AHY29" si="451">AHW29*$C$29</f>
        <v>7334717658.2749414</v>
      </c>
      <c r="AIA29" s="160">
        <f t="shared" ref="AIA29" si="452">AHY29*$C$29</f>
        <v>7554759188.0231895</v>
      </c>
      <c r="AIC29" s="160">
        <f t="shared" ref="AIC29" si="453">AIA29*$C$29</f>
        <v>7781401963.6638851</v>
      </c>
      <c r="AIE29" s="160">
        <f t="shared" ref="AIE29" si="454">AIC29*$C$29</f>
        <v>8014844022.573802</v>
      </c>
      <c r="AIG29" s="160">
        <f t="shared" ref="AIG29" si="455">AIE29*$C$29</f>
        <v>8255289343.2510166</v>
      </c>
      <c r="AII29" s="160">
        <f t="shared" ref="AII29" si="456">AIG29*$C$29</f>
        <v>8502948023.5485477</v>
      </c>
      <c r="AIK29" s="160">
        <f t="shared" ref="AIK29" si="457">AII29*$C$29</f>
        <v>8758036464.2550049</v>
      </c>
      <c r="AIM29" s="160">
        <f t="shared" ref="AIM29" si="458">AIK29*$C$29</f>
        <v>9020777558.1826553</v>
      </c>
      <c r="AIO29" s="160">
        <f t="shared" ref="AIO29" si="459">AIM29*$C$29</f>
        <v>9291400884.9281349</v>
      </c>
      <c r="AIQ29" s="160">
        <f t="shared" ref="AIQ29" si="460">AIO29*$C$29</f>
        <v>9570142911.4759789</v>
      </c>
      <c r="AIS29" s="160">
        <f t="shared" ref="AIS29" si="461">AIQ29*$C$29</f>
        <v>9857247198.8202591</v>
      </c>
      <c r="AIU29" s="160">
        <f t="shared" ref="AIU29" si="462">AIS29*$C$29</f>
        <v>10152964614.784866</v>
      </c>
      <c r="AIW29" s="160">
        <f t="shared" ref="AIW29" si="463">AIU29*$C$29</f>
        <v>10457553553.228413</v>
      </c>
      <c r="AIY29" s="160">
        <f t="shared" ref="AIY29" si="464">AIW29*$C$29</f>
        <v>10771280159.825266</v>
      </c>
      <c r="AJA29" s="160">
        <f t="shared" ref="AJA29" si="465">AIY29*$C$29</f>
        <v>11094418564.620024</v>
      </c>
      <c r="AJC29" s="160">
        <f t="shared" ref="AJC29" si="466">AJA29*$C$29</f>
        <v>11427251121.558624</v>
      </c>
      <c r="AJE29" s="160">
        <f t="shared" ref="AJE29" si="467">AJC29*$C$29</f>
        <v>11770068655.205383</v>
      </c>
      <c r="AJG29" s="160">
        <f t="shared" ref="AJG29" si="468">AJE29*$C$29</f>
        <v>12123170714.861546</v>
      </c>
      <c r="AJI29" s="160">
        <f t="shared" ref="AJI29" si="469">AJG29*$C$29</f>
        <v>12486865836.307392</v>
      </c>
      <c r="AJK29" s="160">
        <f t="shared" ref="AJK29" si="470">AJI29*$C$29</f>
        <v>12861471811.396614</v>
      </c>
      <c r="AJM29" s="160">
        <f t="shared" ref="AJM29" si="471">AJK29*$C$29</f>
        <v>13247315965.738512</v>
      </c>
      <c r="AJO29" s="160">
        <f t="shared" ref="AJO29" si="472">AJM29*$C$29</f>
        <v>13644735444.710669</v>
      </c>
      <c r="AJQ29" s="160">
        <f t="shared" ref="AJQ29" si="473">AJO29*$C$29</f>
        <v>14054077508.051989</v>
      </c>
      <c r="AJS29" s="160">
        <f t="shared" ref="AJS29" si="474">AJQ29*$C$29</f>
        <v>14475699833.293549</v>
      </c>
      <c r="AJU29" s="160">
        <f t="shared" ref="AJU29" si="475">AJS29*$C$29</f>
        <v>14909970828.292355</v>
      </c>
      <c r="AJW29" s="160">
        <f t="shared" ref="AJW29" si="476">AJU29*$C$29</f>
        <v>15357269953.141125</v>
      </c>
      <c r="AJY29" s="160">
        <f t="shared" ref="AJY29" si="477">AJW29*$C$29</f>
        <v>15817988051.735359</v>
      </c>
      <c r="AKA29" s="160">
        <f t="shared" ref="AKA29" si="478">AJY29*$C$29</f>
        <v>16292527693.28742</v>
      </c>
      <c r="AKC29" s="160">
        <f t="shared" ref="AKC29" si="479">AKA29*$C$29</f>
        <v>16781303524.086042</v>
      </c>
      <c r="AKE29" s="160">
        <f t="shared" ref="AKE29" si="480">AKC29*$C$29</f>
        <v>17284742629.808624</v>
      </c>
      <c r="AKG29" s="160">
        <f t="shared" ref="AKG29" si="481">AKE29*$C$29</f>
        <v>17803284908.702885</v>
      </c>
      <c r="AKI29" s="160">
        <f t="shared" ref="AKI29" si="482">AKG29*$C$29</f>
        <v>18337383455.96397</v>
      </c>
      <c r="AKK29" s="160">
        <f t="shared" ref="AKK29" si="483">AKI29*$C$29</f>
        <v>18887504959.642891</v>
      </c>
      <c r="AKM29" s="160">
        <f t="shared" ref="AKM29" si="484">AKK29*$C$29</f>
        <v>19454130108.432178</v>
      </c>
      <c r="AKO29" s="160">
        <f t="shared" ref="AKO29" si="485">AKM29*$C$29</f>
        <v>20037754011.685143</v>
      </c>
      <c r="AKQ29" s="160">
        <f t="shared" ref="AKQ29" si="486">AKO29*$C$29</f>
        <v>20638886632.035698</v>
      </c>
      <c r="AKS29" s="160">
        <f t="shared" ref="AKS29" si="487">AKQ29*$C$29</f>
        <v>21258053230.996769</v>
      </c>
      <c r="AKU29" s="160">
        <f t="shared" ref="AKU29" si="488">AKS29*$C$29</f>
        <v>21895794827.926674</v>
      </c>
      <c r="AKW29" s="160">
        <f t="shared" ref="AKW29" si="489">AKU29*$C$29</f>
        <v>22552668672.764473</v>
      </c>
      <c r="AKY29" s="160">
        <f t="shared" ref="AKY29" si="490">AKW29*$C$29</f>
        <v>23229248732.947407</v>
      </c>
      <c r="ALA29" s="160">
        <f t="shared" ref="ALA29" si="491">AKY29*$C$29</f>
        <v>23926126194.935829</v>
      </c>
      <c r="ALC29" s="160">
        <f t="shared" ref="ALC29" si="492">ALA29*$C$29</f>
        <v>24643909980.783905</v>
      </c>
      <c r="ALE29" s="160">
        <f t="shared" ref="ALE29" si="493">ALC29*$C$29</f>
        <v>25383227280.207424</v>
      </c>
      <c r="ALG29" s="160">
        <f t="shared" ref="ALG29" si="494">ALE29*$C$29</f>
        <v>26144724098.613647</v>
      </c>
      <c r="ALI29" s="160">
        <f t="shared" ref="ALI29" si="495">ALG29*$C$29</f>
        <v>26929065821.572056</v>
      </c>
      <c r="ALK29" s="160">
        <f t="shared" ref="ALK29" si="496">ALI29*$C$29</f>
        <v>27736937796.219219</v>
      </c>
      <c r="ALM29" s="160">
        <f t="shared" ref="ALM29" si="497">ALK29*$C$29</f>
        <v>28569045930.105797</v>
      </c>
      <c r="ALO29" s="160">
        <f t="shared" ref="ALO29" si="498">ALM29*$C$29</f>
        <v>29426117308.008972</v>
      </c>
      <c r="ALQ29" s="160">
        <f t="shared" ref="ALQ29" si="499">ALO29*$C$29</f>
        <v>30308900827.249241</v>
      </c>
      <c r="ALS29" s="160">
        <f t="shared" ref="ALS29" si="500">ALQ29*$C$29</f>
        <v>31218167852.066719</v>
      </c>
      <c r="ALU29" s="160">
        <f t="shared" ref="ALU29" si="501">ALS29*$C$29</f>
        <v>32154712887.628723</v>
      </c>
      <c r="ALW29" s="160">
        <f t="shared" ref="ALW29" si="502">ALU29*$C$29</f>
        <v>33119354274.257587</v>
      </c>
      <c r="ALY29" s="160">
        <f t="shared" ref="ALY29" si="503">ALW29*$C$29</f>
        <v>34112934902.485317</v>
      </c>
      <c r="AMA29" s="160">
        <f t="shared" ref="AMA29" si="504">ALY29*$C$29</f>
        <v>35136322949.559875</v>
      </c>
      <c r="AMC29" s="160">
        <f t="shared" ref="AMC29" si="505">AMA29*$C$29</f>
        <v>36190412638.046669</v>
      </c>
      <c r="AME29" s="160">
        <f t="shared" ref="AME29" si="506">AMC29*$C$29</f>
        <v>37276125017.188072</v>
      </c>
      <c r="AMG29" s="160">
        <f t="shared" ref="AMG29" si="507">AME29*$C$29</f>
        <v>38394408767.703712</v>
      </c>
      <c r="AMI29" s="160">
        <f t="shared" ref="AMI29" si="508">AMG29*$C$29</f>
        <v>39546241030.734825</v>
      </c>
      <c r="AMK29" s="160">
        <f t="shared" ref="AMK29" si="509">AMI29*$C$29</f>
        <v>40732628261.656868</v>
      </c>
      <c r="AMM29" s="160">
        <f t="shared" ref="AMM29" si="510">AMK29*$C$29</f>
        <v>41954607109.506577</v>
      </c>
      <c r="AMO29" s="160">
        <f t="shared" ref="AMO29" si="511">AMM29*$C$29</f>
        <v>43213245322.791779</v>
      </c>
      <c r="AMQ29" s="160">
        <f t="shared" ref="AMQ29" si="512">AMO29*$C$29</f>
        <v>44509642682.475533</v>
      </c>
      <c r="AMS29" s="160">
        <f t="shared" ref="AMS29" si="513">AMQ29*$C$29</f>
        <v>45844931962.949799</v>
      </c>
      <c r="AMU29" s="160">
        <f t="shared" ref="AMU29" si="514">AMS29*$C$29</f>
        <v>47220279921.838295</v>
      </c>
      <c r="AMW29" s="160">
        <f t="shared" ref="AMW29" si="515">AMU29*$C$29</f>
        <v>48636888319.493446</v>
      </c>
      <c r="AMY29" s="160">
        <f t="shared" ref="AMY29" si="516">AMW29*$C$29</f>
        <v>50095994969.078255</v>
      </c>
      <c r="ANA29" s="160">
        <f t="shared" ref="ANA29" si="517">AMY29*$C$29</f>
        <v>51598874818.150604</v>
      </c>
      <c r="ANC29" s="160">
        <f t="shared" ref="ANC29" si="518">ANA29*$C$29</f>
        <v>53146841062.695122</v>
      </c>
      <c r="ANE29" s="160">
        <f t="shared" ref="ANE29" si="519">ANC29*$C$29</f>
        <v>54741246294.575974</v>
      </c>
      <c r="ANG29" s="160">
        <f t="shared" ref="ANG29" si="520">ANE29*$C$29</f>
        <v>56383483683.413254</v>
      </c>
      <c r="ANI29" s="160">
        <f t="shared" ref="ANI29" si="521">ANG29*$C$29</f>
        <v>58074988193.915649</v>
      </c>
      <c r="ANK29" s="160">
        <f t="shared" ref="ANK29" si="522">ANI29*$C$29</f>
        <v>59817237839.733124</v>
      </c>
      <c r="ANM29" s="160">
        <f t="shared" ref="ANM29" si="523">ANK29*$C$29</f>
        <v>61611754974.925117</v>
      </c>
      <c r="ANO29" s="160">
        <f t="shared" ref="ANO29" si="524">ANM29*$C$29</f>
        <v>63460107624.172874</v>
      </c>
      <c r="ANQ29" s="160">
        <f t="shared" ref="ANQ29" si="525">ANO29*$C$29</f>
        <v>65363910852.898064</v>
      </c>
      <c r="ANS29" s="160">
        <f t="shared" ref="ANS29" si="526">ANQ29*$C$29</f>
        <v>67324828178.485008</v>
      </c>
      <c r="ANU29" s="160">
        <f t="shared" ref="ANU29" si="527">ANS29*$C$29</f>
        <v>69344573023.839554</v>
      </c>
      <c r="ANW29" s="160">
        <f t="shared" ref="ANW29" si="528">ANU29*$C$29</f>
        <v>71424910214.554749</v>
      </c>
      <c r="ANY29" s="160">
        <f t="shared" ref="ANY29" si="529">ANW29*$C$29</f>
        <v>73567657520.991394</v>
      </c>
      <c r="AOA29" s="160">
        <f t="shared" ref="AOA29" si="530">ANY29*$C$29</f>
        <v>75774687246.62114</v>
      </c>
      <c r="AOC29" s="160">
        <f t="shared" ref="AOC29" si="531">AOA29*$C$29</f>
        <v>78047927864.019775</v>
      </c>
      <c r="AOE29" s="160">
        <f t="shared" ref="AOE29" si="532">AOC29*$C$29</f>
        <v>80389365699.940369</v>
      </c>
      <c r="AOG29" s="160">
        <f t="shared" ref="AOG29" si="533">AOE29*$C$29</f>
        <v>82801046670.938583</v>
      </c>
      <c r="AOI29" s="160">
        <f t="shared" ref="AOI29" si="534">AOG29*$C$29</f>
        <v>85285078071.066742</v>
      </c>
      <c r="AOK29" s="160">
        <f t="shared" ref="AOK29" si="535">AOI29*$C$29</f>
        <v>87843630413.198746</v>
      </c>
      <c r="AOM29" s="160">
        <f t="shared" ref="AOM29" si="536">AOK29*$C$29</f>
        <v>90478939325.594711</v>
      </c>
      <c r="AOO29" s="160">
        <f t="shared" ref="AOO29" si="537">AOM29*$C$29</f>
        <v>93193307505.362549</v>
      </c>
      <c r="AOQ29" s="160">
        <f t="shared" ref="AOQ29" si="538">AOO29*$C$29</f>
        <v>95989106730.523422</v>
      </c>
      <c r="AOS29" s="160">
        <f t="shared" ref="AOS29" si="539">AOQ29*$C$29</f>
        <v>98868779932.439133</v>
      </c>
      <c r="AOU29" s="160">
        <f t="shared" ref="AOU29" si="540">AOS29*$C$29</f>
        <v>101834843330.41231</v>
      </c>
      <c r="AOW29" s="160">
        <f t="shared" ref="AOW29" si="541">AOU29*$C$29</f>
        <v>104889888630.32468</v>
      </c>
      <c r="AOY29" s="160">
        <f t="shared" ref="AOY29" si="542">AOW29*$C$29</f>
        <v>108036585289.23442</v>
      </c>
      <c r="APA29" s="160">
        <f t="shared" ref="APA29" si="543">AOY29*$C$29</f>
        <v>111277682847.91145</v>
      </c>
      <c r="APC29" s="160">
        <f t="shared" ref="APC29" si="544">APA29*$C$29</f>
        <v>114616013333.3488</v>
      </c>
      <c r="APE29" s="160">
        <f t="shared" ref="APE29" si="545">APC29*$C$29</f>
        <v>118054493733.34927</v>
      </c>
      <c r="APG29" s="160">
        <f t="shared" ref="APG29" si="546">APE29*$C$29</f>
        <v>121596128545.34976</v>
      </c>
      <c r="API29" s="160">
        <f t="shared" ref="API29" si="547">APG29*$C$29</f>
        <v>125244012401.71025</v>
      </c>
      <c r="APK29" s="160">
        <f t="shared" ref="APK29" si="548">API29*$C$29</f>
        <v>129001332773.76157</v>
      </c>
      <c r="APM29" s="160">
        <f t="shared" ref="APM29" si="549">APK29*$C$29</f>
        <v>132871372756.97441</v>
      </c>
      <c r="APO29" s="160">
        <f t="shared" ref="APO29" si="550">APM29*$C$29</f>
        <v>136857513939.68364</v>
      </c>
      <c r="APQ29" s="160">
        <f t="shared" ref="APQ29" si="551">APO29*$C$29</f>
        <v>140963239357.87415</v>
      </c>
      <c r="APS29" s="160">
        <f t="shared" ref="APS29" si="552">APQ29*$C$29</f>
        <v>145192136538.61038</v>
      </c>
      <c r="APU29" s="160">
        <f t="shared" ref="APU29" si="553">APS29*$C$29</f>
        <v>149547900634.76871</v>
      </c>
      <c r="APW29" s="160">
        <f t="shared" ref="APW29" si="554">APU29*$C$29</f>
        <v>154034337653.81177</v>
      </c>
      <c r="APY29" s="160">
        <f t="shared" ref="APY29" si="555">APW29*$C$29</f>
        <v>158655367783.42612</v>
      </c>
      <c r="AQA29" s="160">
        <f t="shared" ref="AQA29" si="556">APY29*$C$29</f>
        <v>163415028816.92889</v>
      </c>
      <c r="AQC29" s="160">
        <f t="shared" ref="AQC29" si="557">AQA29*$C$29</f>
        <v>168317479681.43677</v>
      </c>
      <c r="AQE29" s="160">
        <f t="shared" ref="AQE29" si="558">AQC29*$C$29</f>
        <v>173367004071.87988</v>
      </c>
      <c r="AQG29" s="160">
        <f t="shared" ref="AQG29" si="559">AQE29*$C$29</f>
        <v>178568014194.03629</v>
      </c>
      <c r="AQI29" s="160">
        <f t="shared" ref="AQI29" si="560">AQG29*$C$29</f>
        <v>183925054619.85739</v>
      </c>
      <c r="AQK29" s="160">
        <f t="shared" ref="AQK29" si="561">AQI29*$C$29</f>
        <v>189442806258.45313</v>
      </c>
      <c r="AQM29" s="160">
        <f t="shared" ref="AQM29" si="562">AQK29*$C$29</f>
        <v>195126090446.20673</v>
      </c>
      <c r="AQO29" s="160">
        <f t="shared" ref="AQO29" si="563">AQM29*$C$29</f>
        <v>200979873159.59293</v>
      </c>
      <c r="AQQ29" s="160">
        <f t="shared" ref="AQQ29" si="564">AQO29*$C$29</f>
        <v>207009269354.38071</v>
      </c>
      <c r="AQS29" s="160">
        <f t="shared" ref="AQS29" si="565">AQQ29*$C$29</f>
        <v>213219547435.01215</v>
      </c>
      <c r="AQU29" s="160">
        <f t="shared" ref="AQU29" si="566">AQS29*$C$29</f>
        <v>219616133858.06253</v>
      </c>
      <c r="AQW29" s="160">
        <f t="shared" ref="AQW29" si="567">AQU29*$C$29</f>
        <v>226204617873.80441</v>
      </c>
      <c r="AQY29" s="160">
        <f t="shared" ref="AQY29" si="568">AQW29*$C$29</f>
        <v>232990756410.01855</v>
      </c>
      <c r="ARA29" s="160">
        <f t="shared" ref="ARA29" si="569">AQY29*$C$29</f>
        <v>239980479102.31912</v>
      </c>
      <c r="ARC29" s="160">
        <f t="shared" ref="ARC29" si="570">ARA29*$C$29</f>
        <v>247179893475.3887</v>
      </c>
      <c r="ARE29" s="160">
        <f t="shared" ref="ARE29" si="571">ARC29*$C$29</f>
        <v>254595290279.65036</v>
      </c>
      <c r="ARG29" s="160">
        <f t="shared" ref="ARG29" si="572">ARE29*$C$29</f>
        <v>262233148988.03989</v>
      </c>
      <c r="ARI29" s="160">
        <f t="shared" ref="ARI29" si="573">ARG29*$C$29</f>
        <v>270100143457.68109</v>
      </c>
      <c r="ARK29" s="160">
        <f t="shared" ref="ARK29" si="574">ARI29*$C$29</f>
        <v>278203147761.41156</v>
      </c>
      <c r="ARM29" s="160">
        <f t="shared" ref="ARM29" si="575">ARK29*$C$29</f>
        <v>286549242194.25391</v>
      </c>
      <c r="ARO29" s="160">
        <f t="shared" ref="ARO29" si="576">ARM29*$C$29</f>
        <v>295145719460.08154</v>
      </c>
      <c r="ARQ29" s="160">
        <f t="shared" ref="ARQ29" si="577">ARO29*$C$29</f>
        <v>304000091043.88397</v>
      </c>
      <c r="ARS29" s="160">
        <f t="shared" ref="ARS29" si="578">ARQ29*$C$29</f>
        <v>313120093775.2005</v>
      </c>
      <c r="ARU29" s="160">
        <f t="shared" ref="ARU29" si="579">ARS29*$C$29</f>
        <v>322513696588.45654</v>
      </c>
      <c r="ARW29" s="160">
        <f t="shared" ref="ARW29" si="580">ARU29*$C$29</f>
        <v>332189107486.11023</v>
      </c>
      <c r="ARY29" s="160">
        <f t="shared" ref="ARY29" si="581">ARW29*$C$29</f>
        <v>342154780710.69354</v>
      </c>
      <c r="ASA29" s="160">
        <f t="shared" ref="ASA29" si="582">ARY29*$C$29</f>
        <v>352419424132.01434</v>
      </c>
      <c r="ASC29" s="160">
        <f t="shared" ref="ASC29" si="583">ASA29*$C$29</f>
        <v>362992006855.97479</v>
      </c>
      <c r="ASE29" s="160">
        <f t="shared" ref="ASE29" si="584">ASC29*$C$29</f>
        <v>373881767061.65405</v>
      </c>
      <c r="ASG29" s="160">
        <f t="shared" ref="ASG29" si="585">ASE29*$C$29</f>
        <v>385098220073.50366</v>
      </c>
      <c r="ASI29" s="160">
        <f t="shared" ref="ASI29" si="586">ASG29*$C$29</f>
        <v>396651166675.7088</v>
      </c>
      <c r="ASK29" s="160">
        <f t="shared" ref="ASK29" si="587">ASI29*$C$29</f>
        <v>408550701675.9801</v>
      </c>
      <c r="ASM29" s="160">
        <f t="shared" ref="ASM29" si="588">ASK29*$C$29</f>
        <v>420807222726.25952</v>
      </c>
      <c r="ASO29" s="160">
        <f t="shared" ref="ASO29" si="589">ASM29*$C$29</f>
        <v>433431439408.0473</v>
      </c>
      <c r="ASQ29" s="160">
        <f t="shared" ref="ASQ29" si="590">ASO29*$C$29</f>
        <v>446434382590.28876</v>
      </c>
      <c r="ASS29" s="160">
        <f t="shared" ref="ASS29" si="591">ASQ29*$C$29</f>
        <v>459827414067.99744</v>
      </c>
      <c r="ASU29" s="160">
        <f t="shared" ref="ASU29" si="592">ASS29*$C$29</f>
        <v>473622236490.03735</v>
      </c>
      <c r="ASW29" s="160">
        <f t="shared" ref="ASW29" si="593">ASU29*$C$29</f>
        <v>487830903584.73846</v>
      </c>
      <c r="ASY29" s="160">
        <f t="shared" ref="ASY29" si="594">ASW29*$C$29</f>
        <v>502465830692.28064</v>
      </c>
      <c r="ATA29" s="160">
        <f t="shared" ref="ATA29" si="595">ASY29*$C$29</f>
        <v>517539805613.04907</v>
      </c>
      <c r="ATC29" s="160">
        <f t="shared" ref="ATC29" si="596">ATA29*$C$29</f>
        <v>533065999781.44055</v>
      </c>
      <c r="ATE29" s="160">
        <f t="shared" ref="ATE29" si="597">ATC29*$C$29</f>
        <v>549057979774.88379</v>
      </c>
      <c r="ATG29" s="160">
        <f t="shared" ref="ATG29" si="598">ATE29*$C$29</f>
        <v>565529719168.13037</v>
      </c>
      <c r="ATI29" s="160">
        <f t="shared" ref="ATI29" si="599">ATG29*$C$29</f>
        <v>582495610743.17432</v>
      </c>
      <c r="ATK29" s="160">
        <f t="shared" ref="ATK29" si="600">ATI29*$C$29</f>
        <v>599970479065.4696</v>
      </c>
      <c r="ATM29" s="160">
        <f t="shared" ref="ATM29" si="601">ATK29*$C$29</f>
        <v>617969593437.43372</v>
      </c>
      <c r="ATO29" s="160">
        <f t="shared" ref="ATO29" si="602">ATM29*$C$29</f>
        <v>636508681240.55676</v>
      </c>
      <c r="ATQ29" s="160">
        <f t="shared" ref="ATQ29" si="603">ATO29*$C$29</f>
        <v>655603941677.77344</v>
      </c>
      <c r="ATS29" s="160">
        <f t="shared" ref="ATS29" si="604">ATQ29*$C$29</f>
        <v>675272059928.10669</v>
      </c>
      <c r="ATU29" s="160">
        <f t="shared" ref="ATU29" si="605">ATS29*$C$29</f>
        <v>695530221725.94995</v>
      </c>
      <c r="ATW29" s="160">
        <f t="shared" ref="ATW29" si="606">ATU29*$C$29</f>
        <v>716396128377.72852</v>
      </c>
      <c r="ATY29" s="160">
        <f t="shared" ref="ATY29" si="607">ATW29*$C$29</f>
        <v>737888012229.06042</v>
      </c>
      <c r="AUA29" s="160">
        <f t="shared" ref="AUA29" si="608">ATY29*$C$29</f>
        <v>760024652595.93225</v>
      </c>
      <c r="AUC29" s="160">
        <f t="shared" ref="AUC29" si="609">AUA29*$C$29</f>
        <v>782825392173.81018</v>
      </c>
      <c r="AUE29" s="160">
        <f t="shared" ref="AUE29" si="610">AUC29*$C$29</f>
        <v>806310153939.02454</v>
      </c>
      <c r="AUG29" s="160">
        <f t="shared" ref="AUG29" si="611">AUE29*$C$29</f>
        <v>830499458557.19531</v>
      </c>
      <c r="AUI29" s="160">
        <f t="shared" ref="AUI29" si="612">AUG29*$C$29</f>
        <v>855414442313.91125</v>
      </c>
      <c r="AUK29" s="160">
        <f t="shared" ref="AUK29" si="613">AUI29*$C$29</f>
        <v>881076875583.32861</v>
      </c>
      <c r="AUM29" s="160">
        <f t="shared" ref="AUM29" si="614">AUK29*$C$29</f>
        <v>907509181850.82849</v>
      </c>
      <c r="AUO29" s="160">
        <f t="shared" ref="AUO29" si="615">AUM29*$C$29</f>
        <v>934734457306.35339</v>
      </c>
      <c r="AUQ29" s="160">
        <f t="shared" ref="AUQ29" si="616">AUO29*$C$29</f>
        <v>962776491025.54407</v>
      </c>
      <c r="AUS29" s="160">
        <f t="shared" ref="AUS29" si="617">AUQ29*$C$29</f>
        <v>991659785756.31042</v>
      </c>
      <c r="AUU29" s="160">
        <f t="shared" ref="AUU29" si="618">AUS29*$C$29</f>
        <v>1021409579328.9998</v>
      </c>
      <c r="AUW29" s="160">
        <f t="shared" ref="AUW29" si="619">AUU29*$C$29</f>
        <v>1052051866708.8698</v>
      </c>
      <c r="AUY29" s="160">
        <f t="shared" ref="AUY29" si="620">AUW29*$C$29</f>
        <v>1083613422710.1359</v>
      </c>
      <c r="AVA29" s="160">
        <f t="shared" ref="AVA29" si="621">AUY29*$C$29</f>
        <v>1116121825391.4399</v>
      </c>
      <c r="AVC29" s="160">
        <f t="shared" ref="AVC29" si="622">AVA29*$C$29</f>
        <v>1149605480153.1831</v>
      </c>
      <c r="AVE29" s="160">
        <f t="shared" ref="AVE29" si="623">AVC29*$C$29</f>
        <v>1184093644557.7786</v>
      </c>
      <c r="AVG29" s="160">
        <f t="shared" ref="AVG29" si="624">AVE29*$C$29</f>
        <v>1219616453894.512</v>
      </c>
      <c r="AVI29" s="160">
        <f t="shared" ref="AVI29" si="625">AVG29*$C$29</f>
        <v>1256204947511.3474</v>
      </c>
      <c r="AVK29" s="160">
        <f t="shared" ref="AVK29" si="626">AVI29*$C$29</f>
        <v>1293891095936.688</v>
      </c>
      <c r="AVM29" s="160">
        <f t="shared" ref="AVM29" si="627">AVK29*$C$29</f>
        <v>1332707828814.7886</v>
      </c>
      <c r="AVO29" s="160">
        <f t="shared" ref="AVO29" si="628">AVM29*$C$29</f>
        <v>1372689063679.2322</v>
      </c>
      <c r="AVQ29" s="160">
        <f t="shared" ref="AVQ29" si="629">AVO29*$C$29</f>
        <v>1413869735589.6091</v>
      </c>
      <c r="AVS29" s="160">
        <f t="shared" ref="AVS29" si="630">AVQ29*$C$29</f>
        <v>1456285827657.2974</v>
      </c>
      <c r="AVU29" s="160">
        <f t="shared" ref="AVU29" si="631">AVS29*$C$29</f>
        <v>1499974402487.0164</v>
      </c>
      <c r="AVW29" s="160">
        <f t="shared" ref="AVW29" si="632">AVU29*$C$29</f>
        <v>1544973634561.627</v>
      </c>
      <c r="AVY29" s="160">
        <f t="shared" ref="AVY29" si="633">AVW29*$C$29</f>
        <v>1591322843598.4758</v>
      </c>
      <c r="AWA29" s="160">
        <f t="shared" ref="AWA29" si="634">AVY29*$C$29</f>
        <v>1639062528906.4302</v>
      </c>
      <c r="AWC29" s="160">
        <f t="shared" ref="AWC29" si="635">AWA29*$C$29</f>
        <v>1688234404773.623</v>
      </c>
      <c r="AWE29" s="160">
        <f t="shared" ref="AWE29" si="636">AWC29*$C$29</f>
        <v>1738881436916.8318</v>
      </c>
      <c r="AWG29" s="160">
        <f t="shared" ref="AWG29" si="637">AWE29*$C$29</f>
        <v>1791047880024.3367</v>
      </c>
      <c r="AWI29" s="160">
        <f t="shared" ref="AWI29" si="638">AWG29*$C$29</f>
        <v>1844779316425.0669</v>
      </c>
      <c r="AWK29" s="160">
        <f t="shared" ref="AWK29" si="639">AWI29*$C$29</f>
        <v>1900122695917.8188</v>
      </c>
      <c r="AWM29" s="160">
        <f t="shared" ref="AWM29" si="640">AWK29*$C$29</f>
        <v>1957126376795.3535</v>
      </c>
      <c r="AWO29" s="160">
        <f t="shared" ref="AWO29" si="641">AWM29*$C$29</f>
        <v>2015840168099.2141</v>
      </c>
      <c r="AWQ29" s="160">
        <f t="shared" ref="AWQ29" si="642">AWO29*$C$29</f>
        <v>2076315373142.1907</v>
      </c>
      <c r="AWS29" s="160">
        <f t="shared" ref="AWS29" si="643">AWQ29*$C$29</f>
        <v>2138604834336.4565</v>
      </c>
      <c r="AWU29" s="160">
        <f t="shared" ref="AWU29" si="644">AWS29*$C$29</f>
        <v>2202762979366.5503</v>
      </c>
      <c r="AWW29" s="160">
        <f t="shared" ref="AWW29" si="645">AWU29*$C$29</f>
        <v>2268845868747.5469</v>
      </c>
      <c r="AWY29" s="160">
        <f t="shared" ref="AWY29" si="646">AWW29*$C$29</f>
        <v>2336911244809.9731</v>
      </c>
      <c r="AXA29" s="160">
        <f t="shared" ref="AXA29" si="647">AWY29*$C$29</f>
        <v>2407018582154.2725</v>
      </c>
      <c r="AXC29" s="160">
        <f t="shared" ref="AXC29" si="648">AXA29*$C$29</f>
        <v>2479229139618.9009</v>
      </c>
      <c r="AXE29" s="160">
        <f t="shared" ref="AXE29" si="649">AXC29*$C$29</f>
        <v>2553606013807.4678</v>
      </c>
      <c r="AXG29" s="160">
        <f t="shared" ref="AXG29" si="650">AXE29*$C$29</f>
        <v>2630214194221.6919</v>
      </c>
      <c r="AXI29" s="160">
        <f t="shared" ref="AXI29" si="651">AXG29*$C$29</f>
        <v>2709120620048.3428</v>
      </c>
      <c r="AXK29" s="160">
        <f t="shared" ref="AXK29" si="652">AXI29*$C$29</f>
        <v>2790394238649.793</v>
      </c>
      <c r="AXM29" s="160">
        <f t="shared" ref="AXM29" si="653">AXK29*$C$29</f>
        <v>2874106065809.2866</v>
      </c>
      <c r="AXO29" s="160">
        <f t="shared" ref="AXO29" si="654">AXM29*$C$29</f>
        <v>2960329247783.5654</v>
      </c>
      <c r="AXQ29" s="160">
        <f t="shared" ref="AXQ29" si="655">AXO29*$C$29</f>
        <v>3049139125217.0723</v>
      </c>
      <c r="AXS29" s="160">
        <f t="shared" ref="AXS29" si="656">AXQ29*$C$29</f>
        <v>3140613298973.5845</v>
      </c>
      <c r="AXU29" s="160">
        <f t="shared" ref="AXU29" si="657">AXS29*$C$29</f>
        <v>3234831697942.792</v>
      </c>
      <c r="AXW29" s="160">
        <f t="shared" ref="AXW29" si="658">AXU29*$C$29</f>
        <v>3331876648881.0757</v>
      </c>
      <c r="AXY29" s="160">
        <f t="shared" ref="AXY29" si="659">AXW29*$C$29</f>
        <v>3431832948347.5078</v>
      </c>
      <c r="AYA29" s="160">
        <f t="shared" ref="AYA29" si="660">AXY29*$C$29</f>
        <v>3534787936797.9331</v>
      </c>
      <c r="AYC29" s="160">
        <f t="shared" ref="AYC29" si="661">AYA29*$C$29</f>
        <v>3640831574901.8711</v>
      </c>
      <c r="AYE29" s="160">
        <f t="shared" ref="AYE29" si="662">AYC29*$C$29</f>
        <v>3750056522148.9272</v>
      </c>
      <c r="AYG29" s="160">
        <f t="shared" ref="AYG29" si="663">AYE29*$C$29</f>
        <v>3862558217813.395</v>
      </c>
      <c r="AYI29" s="160">
        <f t="shared" ref="AYI29" si="664">AYG29*$C$29</f>
        <v>3978434964347.7969</v>
      </c>
      <c r="AYK29" s="160">
        <f t="shared" ref="AYK29" si="665">AYI29*$C$29</f>
        <v>4097788013278.231</v>
      </c>
      <c r="AYM29" s="160">
        <f t="shared" ref="AYM29" si="666">AYK29*$C$29</f>
        <v>4220721653676.5781</v>
      </c>
      <c r="AYO29" s="160">
        <f t="shared" ref="AYO29" si="667">AYM29*$C$29</f>
        <v>4347343303286.8755</v>
      </c>
      <c r="AYQ29" s="160">
        <f t="shared" ref="AYQ29" si="668">AYO29*$C$29</f>
        <v>4477763602385.4814</v>
      </c>
      <c r="AYS29" s="160">
        <f t="shared" ref="AYS29" si="669">AYQ29*$C$29</f>
        <v>4612096510457.0459</v>
      </c>
      <c r="AYU29" s="160">
        <f t="shared" ref="AYU29" si="670">AYS29*$C$29</f>
        <v>4750459405770.7578</v>
      </c>
      <c r="AYW29" s="160">
        <f t="shared" ref="AYW29" si="671">AYU29*$C$29</f>
        <v>4892973187943.8809</v>
      </c>
      <c r="AYY29" s="160">
        <f t="shared" ref="AYY29" si="672">AYW29*$C$29</f>
        <v>5039762383582.1973</v>
      </c>
      <c r="AZA29" s="160">
        <f t="shared" ref="AZA29" si="673">AYY29*$C$29</f>
        <v>5190955255089.6631</v>
      </c>
      <c r="AZC29" s="160">
        <f t="shared" ref="AZC29" si="674">AZA29*$C$29</f>
        <v>5346683912742.3535</v>
      </c>
      <c r="AZE29" s="160">
        <f t="shared" ref="AZE29" si="675">AZC29*$C$29</f>
        <v>5507084430124.624</v>
      </c>
      <c r="AZG29" s="160">
        <f t="shared" ref="AZG29" si="676">AZE29*$C$29</f>
        <v>5672296963028.3633</v>
      </c>
      <c r="AZI29" s="160">
        <f t="shared" ref="AZI29" si="677">AZG29*$C$29</f>
        <v>5842465871919.2139</v>
      </c>
      <c r="AZK29" s="160">
        <f t="shared" ref="AZK29" si="678">AZI29*$C$29</f>
        <v>6017739848076.79</v>
      </c>
      <c r="AZM29" s="160">
        <f t="shared" ref="AZM29" si="679">AZK29*$C$29</f>
        <v>6198272043519.0938</v>
      </c>
      <c r="AZO29" s="160">
        <f t="shared" ref="AZO29" si="680">AZM29*$C$29</f>
        <v>6384220204824.667</v>
      </c>
      <c r="AZQ29" s="160">
        <f t="shared" ref="AZQ29" si="681">AZO29*$C$29</f>
        <v>6575746810969.4072</v>
      </c>
      <c r="AZS29" s="160">
        <f t="shared" ref="AZS29" si="682">AZQ29*$C$29</f>
        <v>6773019215298.4893</v>
      </c>
      <c r="AZU29" s="160">
        <f t="shared" ref="AZU29" si="683">AZS29*$C$29</f>
        <v>6976209791757.4443</v>
      </c>
      <c r="AZW29" s="160">
        <f t="shared" ref="AZW29" si="684">AZU29*$C$29</f>
        <v>7185496085510.168</v>
      </c>
      <c r="AZY29" s="160">
        <f t="shared" ref="AZY29" si="685">AZW29*$C$29</f>
        <v>7401060968075.4736</v>
      </c>
      <c r="BAA29" s="160">
        <f t="shared" ref="BAA29" si="686">AZY29*$C$29</f>
        <v>7623092797117.7383</v>
      </c>
      <c r="BAC29" s="160">
        <f t="shared" ref="BAC29" si="687">BAA29*$C$29</f>
        <v>7851785581031.2705</v>
      </c>
      <c r="BAE29" s="160">
        <f t="shared" ref="BAE29" si="688">BAC29*$C$29</f>
        <v>8087339148462.209</v>
      </c>
      <c r="BAG29" s="160">
        <f t="shared" ref="BAG29" si="689">BAE29*$C$29</f>
        <v>8329959322916.0752</v>
      </c>
      <c r="BAI29" s="160">
        <f t="shared" ref="BAI29" si="690">BAG29*$C$29</f>
        <v>8579858102603.5576</v>
      </c>
      <c r="BAK29" s="160">
        <f t="shared" ref="BAK29" si="691">BAI29*$C$29</f>
        <v>8837253845681.6641</v>
      </c>
      <c r="BAM29" s="160">
        <f t="shared" ref="BAM29" si="692">BAK29*$C$29</f>
        <v>9102371461052.1133</v>
      </c>
      <c r="BAO29" s="160">
        <f t="shared" ref="BAO29" si="693">BAM29*$C$29</f>
        <v>9375442604883.6777</v>
      </c>
      <c r="BAQ29" s="160">
        <f t="shared" ref="BAQ29" si="694">BAO29*$C$29</f>
        <v>9656705883030.1875</v>
      </c>
      <c r="BAS29" s="160">
        <f t="shared" ref="BAS29" si="695">BAQ29*$C$29</f>
        <v>9946407059521.0938</v>
      </c>
      <c r="BAU29" s="160">
        <f t="shared" ref="BAU29" si="696">BAS29*$C$29</f>
        <v>10244799271306.727</v>
      </c>
      <c r="BAW29" s="160">
        <f t="shared" ref="BAW29" si="697">BAU29*$C$29</f>
        <v>10552143249445.928</v>
      </c>
      <c r="BAY29" s="160">
        <f t="shared" ref="BAY29" si="698">BAW29*$C$29</f>
        <v>10868707546929.307</v>
      </c>
      <c r="BBA29" s="160">
        <f t="shared" ref="BBA29" si="699">BAY29*$C$29</f>
        <v>11194768773337.186</v>
      </c>
      <c r="BBC29" s="160">
        <f t="shared" ref="BBC29" si="700">BBA29*$C$29</f>
        <v>11530611836537.301</v>
      </c>
      <c r="BBE29" s="160">
        <f t="shared" ref="BBE29" si="701">BBC29*$C$29</f>
        <v>11876530191633.42</v>
      </c>
      <c r="BBG29" s="160">
        <f t="shared" ref="BBG29" si="702">BBE29*$C$29</f>
        <v>12232826097382.422</v>
      </c>
      <c r="BBI29" s="160">
        <f t="shared" ref="BBI29" si="703">BBG29*$C$29</f>
        <v>12599810880303.895</v>
      </c>
      <c r="BBK29" s="160">
        <f t="shared" ref="BBK29" si="704">BBI29*$C$29</f>
        <v>12977805206713.012</v>
      </c>
      <c r="BBM29" s="160">
        <f t="shared" ref="BBM29" si="705">BBK29*$C$29</f>
        <v>13367139362914.402</v>
      </c>
      <c r="BBO29" s="160">
        <f t="shared" ref="BBO29" si="706">BBM29*$C$29</f>
        <v>13768153543801.834</v>
      </c>
      <c r="BBQ29" s="160">
        <f t="shared" ref="BBQ29" si="707">BBO29*$C$29</f>
        <v>14181198150115.889</v>
      </c>
      <c r="BBS29" s="160">
        <f t="shared" ref="BBS29" si="708">BBQ29*$C$29</f>
        <v>14606634094619.365</v>
      </c>
      <c r="BBU29" s="160">
        <f t="shared" ref="BBU29" si="709">BBS29*$C$29</f>
        <v>15044833117457.947</v>
      </c>
      <c r="BBW29" s="160">
        <f t="shared" ref="BBW29" si="710">BBU29*$C$29</f>
        <v>15496178110981.686</v>
      </c>
      <c r="BBY29" s="160">
        <f t="shared" ref="BBY29" si="711">BBW29*$C$29</f>
        <v>15961063454311.137</v>
      </c>
      <c r="BCA29" s="160">
        <f t="shared" ref="BCA29" si="712">BBY29*$C$29</f>
        <v>16439895357940.471</v>
      </c>
      <c r="BCC29" s="160">
        <f t="shared" ref="BCC29" si="713">BCA29*$C$29</f>
        <v>16933092218678.686</v>
      </c>
      <c r="BCE29" s="160">
        <f t="shared" ref="BCE29" si="714">BCC29*$C$29</f>
        <v>17441084985239.047</v>
      </c>
      <c r="BCG29" s="160">
        <f t="shared" ref="BCG29" si="715">BCE29*$C$29</f>
        <v>17964317534796.219</v>
      </c>
      <c r="BCI29" s="160">
        <f t="shared" ref="BCI29" si="716">BCG29*$C$29</f>
        <v>18503247060840.105</v>
      </c>
      <c r="BCK29" s="160">
        <f t="shared" ref="BCK29" si="717">BCI29*$C$29</f>
        <v>19058344472665.309</v>
      </c>
      <c r="BCM29" s="160">
        <f t="shared" ref="BCM29" si="718">BCK29*$C$29</f>
        <v>19630094806845.27</v>
      </c>
      <c r="BCO29" s="160">
        <f t="shared" ref="BCO29" si="719">BCM29*$C$29</f>
        <v>20218997651050.629</v>
      </c>
      <c r="BCQ29" s="160">
        <f t="shared" ref="BCQ29" si="720">BCO29*$C$29</f>
        <v>20825567580582.148</v>
      </c>
      <c r="BCS29" s="160">
        <f t="shared" ref="BCS29" si="721">BCQ29*$C$29</f>
        <v>21450334607999.613</v>
      </c>
      <c r="BCU29" s="160">
        <f t="shared" ref="BCU29" si="722">BCS29*$C$29</f>
        <v>22093844646239.602</v>
      </c>
      <c r="BCW29" s="160">
        <f t="shared" ref="BCW29" si="723">BCU29*$C$29</f>
        <v>22756659985626.789</v>
      </c>
      <c r="BCY29" s="160">
        <f t="shared" ref="BCY29" si="724">BCW29*$C$29</f>
        <v>23439359785195.594</v>
      </c>
      <c r="BDA29" s="160">
        <f t="shared" ref="BDA29" si="725">BCY29*$C$29</f>
        <v>24142540578751.461</v>
      </c>
      <c r="BDC29" s="160">
        <f t="shared" ref="BDC29" si="726">BDA29*$C$29</f>
        <v>24866816796114.004</v>
      </c>
      <c r="BDE29" s="160">
        <f t="shared" ref="BDE29" si="727">BDC29*$C$29</f>
        <v>25612821299997.426</v>
      </c>
      <c r="BDG29" s="160">
        <f t="shared" ref="BDG29" si="728">BDE29*$C$29</f>
        <v>26381205938997.348</v>
      </c>
      <c r="BDI29" s="160">
        <f t="shared" ref="BDI29" si="729">BDG29*$C$29</f>
        <v>27172642117167.27</v>
      </c>
      <c r="BDK29" s="160">
        <f t="shared" ref="BDK29" si="730">BDI29*$C$29</f>
        <v>27987821380682.289</v>
      </c>
      <c r="BDM29" s="160">
        <f t="shared" ref="BDM29" si="731">BDK29*$C$29</f>
        <v>28827456022102.758</v>
      </c>
      <c r="BDO29" s="160">
        <f t="shared" ref="BDO29" si="732">BDM29*$C$29</f>
        <v>29692279702765.84</v>
      </c>
      <c r="BDQ29" s="160">
        <f t="shared" ref="BDQ29" si="733">BDO29*$C$29</f>
        <v>30583048093848.816</v>
      </c>
      <c r="BDS29" s="160">
        <f t="shared" ref="BDS29" si="734">BDQ29*$C$29</f>
        <v>31500539536664.281</v>
      </c>
      <c r="BDU29" s="160">
        <f t="shared" ref="BDU29" si="735">BDS29*$C$29</f>
        <v>32445555722764.211</v>
      </c>
      <c r="BDW29" s="160">
        <f t="shared" ref="BDW29" si="736">BDU29*$C$29</f>
        <v>33418922394447.137</v>
      </c>
      <c r="BDY29" s="160">
        <f t="shared" ref="BDY29" si="737">BDW29*$C$29</f>
        <v>34421490066280.551</v>
      </c>
      <c r="BEA29" s="160">
        <f t="shared" ref="BEA29" si="738">BDY29*$C$29</f>
        <v>35454134768268.969</v>
      </c>
      <c r="BEC29" s="160">
        <f t="shared" ref="BEC29" si="739">BEA29*$C$29</f>
        <v>36517758811317.039</v>
      </c>
      <c r="BEE29" s="160">
        <f t="shared" ref="BEE29" si="740">BEC29*$C$29</f>
        <v>37613291575656.555</v>
      </c>
      <c r="BEG29" s="160">
        <f t="shared" ref="BEG29" si="741">BEE29*$C$29</f>
        <v>38741690322926.25</v>
      </c>
      <c r="BEI29" s="160">
        <f t="shared" ref="BEI29" si="742">BEG29*$C$29</f>
        <v>39903941032614.039</v>
      </c>
      <c r="BEK29" s="160">
        <f t="shared" ref="BEK29" si="743">BEI29*$C$29</f>
        <v>41101059263592.461</v>
      </c>
      <c r="BEM29" s="160">
        <f t="shared" ref="BEM29" si="744">BEK29*$C$29</f>
        <v>42334091041500.234</v>
      </c>
      <c r="BEO29" s="160">
        <f t="shared" ref="BEO29" si="745">BEM29*$C$29</f>
        <v>43604113772745.242</v>
      </c>
      <c r="BEQ29" s="160">
        <f t="shared" ref="BEQ29" si="746">BEO29*$C$29</f>
        <v>44912237185927.602</v>
      </c>
      <c r="BES29" s="160">
        <f t="shared" ref="BES29" si="747">BEQ29*$C$29</f>
        <v>46259604301505.43</v>
      </c>
      <c r="BEU29" s="160">
        <f t="shared" ref="BEU29" si="748">BES29*$C$29</f>
        <v>47647392430550.594</v>
      </c>
      <c r="BEW29" s="160">
        <f t="shared" ref="BEW29" si="749">BEU29*$C$29</f>
        <v>49076814203467.109</v>
      </c>
      <c r="BEY29" s="160">
        <f t="shared" ref="BEY29" si="750">BEW29*$C$29</f>
        <v>50549118629571.125</v>
      </c>
      <c r="BFA29" s="160">
        <f t="shared" ref="BFA29" si="751">BEY29*$C$29</f>
        <v>52065592188458.258</v>
      </c>
      <c r="BFC29" s="160">
        <f t="shared" ref="BFC29" si="752">BFA29*$C$29</f>
        <v>53627559954112.008</v>
      </c>
      <c r="BFE29" s="160">
        <f t="shared" ref="BFE29" si="753">BFC29*$C$29</f>
        <v>55236386752735.367</v>
      </c>
      <c r="BFG29" s="160">
        <f t="shared" ref="BFG29" si="754">BFE29*$C$29</f>
        <v>56893478355317.43</v>
      </c>
      <c r="BFI29" s="160">
        <f t="shared" ref="BFI29" si="755">BFG29*$C$29</f>
        <v>58600282705976.953</v>
      </c>
      <c r="BFK29" s="160">
        <f t="shared" ref="BFK29" si="756">BFI29*$C$29</f>
        <v>60358291187156.266</v>
      </c>
      <c r="BFM29" s="160">
        <f t="shared" ref="BFM29" si="757">BFK29*$C$29</f>
        <v>62169039922770.953</v>
      </c>
      <c r="BFO29" s="160">
        <f t="shared" ref="BFO29" si="758">BFM29*$C$29</f>
        <v>64034111120454.086</v>
      </c>
      <c r="BFQ29" s="160">
        <f t="shared" ref="BFQ29" si="759">BFO29*$C$29</f>
        <v>65955134454067.711</v>
      </c>
      <c r="BFS29" s="160">
        <f t="shared" ref="BFS29" si="760">BFQ29*$C$29</f>
        <v>67933788487689.742</v>
      </c>
      <c r="BFU29" s="160">
        <f t="shared" ref="BFU29" si="761">BFS29*$C$29</f>
        <v>69971802142320.438</v>
      </c>
      <c r="BFW29" s="160">
        <f t="shared" ref="BFW29" si="762">BFU29*$C$29</f>
        <v>72070956206590.047</v>
      </c>
      <c r="BFY29" s="160">
        <f t="shared" ref="BFY29" si="763">BFW29*$C$29</f>
        <v>74233084892787.75</v>
      </c>
      <c r="BGA29" s="160">
        <f t="shared" ref="BGA29" si="764">BFY29*$C$29</f>
        <v>76460077439571.391</v>
      </c>
      <c r="BGC29" s="160">
        <f t="shared" ref="BGC29" si="765">BGA29*$C$29</f>
        <v>78753879762758.531</v>
      </c>
      <c r="BGE29" s="160">
        <f t="shared" ref="BGE29" si="766">BGC29*$C$29</f>
        <v>81116496155641.297</v>
      </c>
      <c r="BGG29" s="160">
        <f t="shared" ref="BGG29" si="767">BGE29*$C$29</f>
        <v>83549991040310.531</v>
      </c>
      <c r="BGI29" s="160">
        <f t="shared" ref="BGI29" si="768">BGG29*$C$29</f>
        <v>86056490771519.844</v>
      </c>
      <c r="BGK29" s="160">
        <f t="shared" ref="BGK29" si="769">BGI29*$C$29</f>
        <v>88638185494665.438</v>
      </c>
      <c r="BGM29" s="160">
        <f t="shared" ref="BGM29" si="770">BGK29*$C$29</f>
        <v>91297331059505.406</v>
      </c>
      <c r="BGO29" s="160">
        <f t="shared" ref="BGO29" si="771">BGM29*$C$29</f>
        <v>94036250991290.578</v>
      </c>
      <c r="BGQ29" s="160">
        <f t="shared" ref="BGQ29" si="772">BGO29*$C$29</f>
        <v>96857338521029.297</v>
      </c>
      <c r="BGS29" s="160">
        <f t="shared" ref="BGS29" si="773">BGQ29*$C$29</f>
        <v>99763058676660.172</v>
      </c>
      <c r="BGU29" s="160">
        <f t="shared" ref="BGU29" si="774">BGS29*$C$29</f>
        <v>102755950436959.98</v>
      </c>
      <c r="BGW29" s="160">
        <f t="shared" ref="BGW29" si="775">BGU29*$C$29</f>
        <v>105838628950068.78</v>
      </c>
      <c r="BGY29" s="160">
        <f t="shared" ref="BGY29" si="776">BGW29*$C$29</f>
        <v>109013787818570.84</v>
      </c>
      <c r="BHA29" s="160">
        <f t="shared" ref="BHA29" si="777">BGY29*$C$29</f>
        <v>112284201453127.97</v>
      </c>
      <c r="BHC29" s="160">
        <f t="shared" ref="BHC29" si="778">BHA29*$C$29</f>
        <v>115652727496721.81</v>
      </c>
      <c r="BHE29" s="160">
        <f t="shared" ref="BHE29" si="779">BHC29*$C$29</f>
        <v>119122309321623.47</v>
      </c>
      <c r="BHG29" s="160">
        <f t="shared" ref="BHG29" si="780">BHE29*$C$29</f>
        <v>122695978601272.17</v>
      </c>
      <c r="BHI29" s="160">
        <f t="shared" ref="BHI29" si="781">BHG29*$C$29</f>
        <v>126376857959310.34</v>
      </c>
      <c r="BHK29" s="160">
        <f t="shared" ref="BHK29" si="782">BHI29*$C$29</f>
        <v>130168163698089.66</v>
      </c>
      <c r="BHM29" s="160">
        <f t="shared" ref="BHM29" si="783">BHK29*$C$29</f>
        <v>134073208609032.34</v>
      </c>
      <c r="BHO29" s="160">
        <f t="shared" ref="BHO29" si="784">BHM29*$C$29</f>
        <v>138095404867303.31</v>
      </c>
      <c r="BHQ29" s="160">
        <f t="shared" ref="BHQ29" si="785">BHO29*$C$29</f>
        <v>142238267013322.41</v>
      </c>
      <c r="BHS29" s="160">
        <f t="shared" ref="BHS29" si="786">BHQ29*$C$29</f>
        <v>146505415023722.09</v>
      </c>
      <c r="BHU29" s="160">
        <f t="shared" ref="BHU29" si="787">BHS29*$C$29</f>
        <v>150900577474433.75</v>
      </c>
      <c r="BHW29" s="160">
        <f t="shared" ref="BHW29" si="788">BHU29*$C$29</f>
        <v>155427594798666.78</v>
      </c>
      <c r="BHY29" s="160">
        <f t="shared" ref="BHY29" si="789">BHW29*$C$29</f>
        <v>160090422642626.78</v>
      </c>
      <c r="BIA29" s="160">
        <f t="shared" ref="BIA29" si="790">BHY29*$C$29</f>
        <v>164893135321905.59</v>
      </c>
      <c r="BIC29" s="160">
        <f t="shared" ref="BIC29" si="791">BIA29*$C$29</f>
        <v>169839929381562.78</v>
      </c>
      <c r="BIE29" s="160">
        <f t="shared" ref="BIE29" si="792">BIC29*$C$29</f>
        <v>174935127263009.66</v>
      </c>
      <c r="BIG29" s="160">
        <f t="shared" ref="BIG29" si="793">BIE29*$C$29</f>
        <v>180183181080899.94</v>
      </c>
      <c r="BII29" s="160">
        <f t="shared" ref="BII29" si="794">BIG29*$C$29</f>
        <v>185588676513326.94</v>
      </c>
      <c r="BIK29" s="160">
        <f t="shared" ref="BIK29" si="795">BII29*$C$29</f>
        <v>191156336808726.75</v>
      </c>
      <c r="BIM29" s="160">
        <f t="shared" ref="BIM29" si="796">BIK29*$C$29</f>
        <v>196891026912988.56</v>
      </c>
      <c r="BIO29" s="160">
        <f t="shared" ref="BIO29" si="797">BIM29*$C$29</f>
        <v>202797757720378.22</v>
      </c>
      <c r="BIQ29" s="160">
        <f t="shared" ref="BIQ29" si="798">BIO29*$C$29</f>
        <v>208881690451989.56</v>
      </c>
      <c r="BIS29" s="160">
        <f t="shared" ref="BIS29" si="799">BIQ29*$C$29</f>
        <v>215148141165549.25</v>
      </c>
      <c r="BIU29" s="160">
        <f t="shared" ref="BIU29" si="800">BIS29*$C$29</f>
        <v>221602585400515.72</v>
      </c>
      <c r="BIW29" s="160">
        <f t="shared" ref="BIW29" si="801">BIU29*$C$29</f>
        <v>228250662962531.19</v>
      </c>
      <c r="BIY29" s="160">
        <f t="shared" ref="BIY29" si="802">BIW29*$C$29</f>
        <v>235098182851407.13</v>
      </c>
      <c r="BJA29" s="160">
        <f t="shared" ref="BJA29" si="803">BIY29*$C$29</f>
        <v>242151128336949.34</v>
      </c>
      <c r="BJC29" s="160">
        <f t="shared" ref="BJC29" si="804">BJA29*$C$29</f>
        <v>249415662187057.84</v>
      </c>
      <c r="BJE29" s="160">
        <f t="shared" ref="BJE29" si="805">BJC29*$C$29</f>
        <v>256898132052669.59</v>
      </c>
      <c r="BJG29" s="160">
        <f t="shared" ref="BJG29" si="806">BJE29*$C$29</f>
        <v>264605076014249.69</v>
      </c>
      <c r="BJI29" s="160">
        <f t="shared" ref="BJI29" si="807">BJG29*$C$29</f>
        <v>272543228294677.19</v>
      </c>
      <c r="BJK29" s="160">
        <f t="shared" ref="BJK29" si="808">BJI29*$C$29</f>
        <v>280719525143517.5</v>
      </c>
      <c r="BJM29" s="160">
        <f t="shared" ref="BJM29" si="809">BJK29*$C$29</f>
        <v>289141110897823.06</v>
      </c>
      <c r="BJO29" s="160">
        <f t="shared" ref="BJO29" si="810">BJM29*$C$29</f>
        <v>297815344224757.75</v>
      </c>
      <c r="BJQ29" s="160">
        <f t="shared" ref="BJQ29" si="811">BJO29*$C$29</f>
        <v>306749804551500.5</v>
      </c>
      <c r="BJS29" s="160">
        <f t="shared" ref="BJS29" si="812">BJQ29*$C$29</f>
        <v>315952298688045.5</v>
      </c>
      <c r="BJU29" s="160">
        <f t="shared" ref="BJU29" si="813">BJS29*$C$29</f>
        <v>325430867648686.88</v>
      </c>
      <c r="BJW29" s="160">
        <f t="shared" ref="BJW29" si="814">BJU29*$C$29</f>
        <v>335193793678147.5</v>
      </c>
      <c r="BJY29" s="160">
        <f t="shared" ref="BJY29" si="815">BJW29*$C$29</f>
        <v>345249607488491.94</v>
      </c>
      <c r="BKA29" s="160">
        <f t="shared" ref="BKA29" si="816">BJY29*$C$29</f>
        <v>355607095713146.69</v>
      </c>
      <c r="BKC29" s="160">
        <f t="shared" ref="BKC29" si="817">BKA29*$C$29</f>
        <v>366275308584541.13</v>
      </c>
      <c r="BKE29" s="160">
        <f t="shared" ref="BKE29" si="818">BKC29*$C$29</f>
        <v>377263567842077.38</v>
      </c>
      <c r="BKG29" s="160">
        <f t="shared" ref="BKG29" si="819">BKE29*$C$29</f>
        <v>388581474877339.69</v>
      </c>
      <c r="BKI29" s="160">
        <f t="shared" ref="BKI29" si="820">BKG29*$C$29</f>
        <v>400238919123659.88</v>
      </c>
      <c r="BKK29" s="160">
        <f t="shared" ref="BKK29" si="821">BKI29*$C$29</f>
        <v>412246086697369.69</v>
      </c>
      <c r="BKM29" s="160">
        <f t="shared" ref="BKM29" si="822">BKK29*$C$29</f>
        <v>424613469298290.81</v>
      </c>
      <c r="BKO29" s="160">
        <f t="shared" ref="BKO29" si="823">BKM29*$C$29</f>
        <v>437351873377239.56</v>
      </c>
      <c r="BKQ29" s="160">
        <f t="shared" ref="BKQ29" si="824">BKO29*$C$29</f>
        <v>450472429578556.75</v>
      </c>
      <c r="BKS29" s="160">
        <f t="shared" ref="BKS29" si="825">BKQ29*$C$29</f>
        <v>463986602465913.44</v>
      </c>
      <c r="BKU29" s="160">
        <f t="shared" ref="BKU29" si="826">BKS29*$C$29</f>
        <v>477906200539890.88</v>
      </c>
      <c r="BKW29" s="160">
        <f t="shared" ref="BKW29" si="827">BKU29*$C$29</f>
        <v>492243386556087.63</v>
      </c>
      <c r="BKY29" s="160">
        <f t="shared" ref="BKY29" si="828">BKW29*$C$29</f>
        <v>507010688152770.25</v>
      </c>
      <c r="BLA29" s="160">
        <f t="shared" ref="BLA29" si="829">BKY29*$C$29</f>
        <v>522221008797353.38</v>
      </c>
      <c r="BLC29" s="160">
        <f t="shared" ref="BLC29" si="830">BLA29*$C$29</f>
        <v>537887639061274</v>
      </c>
      <c r="BLE29" s="160">
        <f t="shared" ref="BLE29" si="831">BLC29*$C$29</f>
        <v>554024268233112.25</v>
      </c>
      <c r="BLG29" s="160">
        <f t="shared" ref="BLG29" si="832">BLE29*$C$29</f>
        <v>570644996280105.63</v>
      </c>
      <c r="BLI29" s="160">
        <f t="shared" ref="BLI29" si="833">BLG29*$C$29</f>
        <v>587764346168508.75</v>
      </c>
      <c r="BLK29" s="160">
        <f t="shared" ref="BLK29" si="834">BLI29*$C$29</f>
        <v>605397276553564</v>
      </c>
      <c r="BLM29" s="160">
        <f t="shared" ref="BLM29" si="835">BLK29*$C$29</f>
        <v>623559194850170.88</v>
      </c>
      <c r="BLO29" s="160">
        <f t="shared" ref="BLO29" si="836">BLM29*$C$29</f>
        <v>642265970695676</v>
      </c>
      <c r="BLQ29" s="160">
        <f t="shared" ref="BLQ29" si="837">BLO29*$C$29</f>
        <v>661533949816546.25</v>
      </c>
      <c r="BLS29" s="160">
        <f t="shared" ref="BLS29" si="838">BLQ29*$C$29</f>
        <v>681379968311042.63</v>
      </c>
      <c r="BLU29" s="160">
        <f t="shared" ref="BLU29" si="839">BLS29*$C$29</f>
        <v>701821367360373.88</v>
      </c>
      <c r="BLW29" s="160">
        <f t="shared" ref="BLW29" si="840">BLU29*$C$29</f>
        <v>722876008381185.13</v>
      </c>
      <c r="BLY29" s="160">
        <f t="shared" ref="BLY29" si="841">BLW29*$C$29</f>
        <v>744562288632620.75</v>
      </c>
      <c r="BMA29" s="160">
        <f t="shared" ref="BMA29" si="842">BLY29*$C$29</f>
        <v>766899157291599.38</v>
      </c>
      <c r="BMC29" s="160">
        <f t="shared" ref="BMC29" si="843">BMA29*$C$29</f>
        <v>789906132010347.38</v>
      </c>
      <c r="BME29" s="160">
        <f t="shared" ref="BME29" si="844">BMC29*$C$29</f>
        <v>813603315970657.88</v>
      </c>
      <c r="BMG29" s="160">
        <f t="shared" ref="BMG29" si="845">BME29*$C$29</f>
        <v>838011415449777.63</v>
      </c>
      <c r="BMI29" s="160">
        <f t="shared" ref="BMI29" si="846">BMG29*$C$29</f>
        <v>863151757913271</v>
      </c>
      <c r="BMK29" s="160">
        <f t="shared" ref="BMK29" si="847">BMI29*$C$29</f>
        <v>889046310650669.13</v>
      </c>
      <c r="BMM29" s="160">
        <f t="shared" ref="BMM29" si="848">BMK29*$C$29</f>
        <v>915717699970189.25</v>
      </c>
      <c r="BMO29" s="160">
        <f t="shared" ref="BMO29" si="849">BMM29*$C$29</f>
        <v>943189230969295</v>
      </c>
      <c r="BMQ29" s="160">
        <f t="shared" ref="BMQ29" si="850">BMO29*$C$29</f>
        <v>971484907898373.88</v>
      </c>
      <c r="BMS29" s="160">
        <f t="shared" ref="BMS29" si="851">BMQ29*$C$29</f>
        <v>1000629455135325.1</v>
      </c>
      <c r="BMU29" s="160">
        <f t="shared" ref="BMU29" si="852">BMS29*$C$29</f>
        <v>1030648338789384.9</v>
      </c>
      <c r="BMW29" s="160">
        <f t="shared" ref="BMW29" si="853">BMU29*$C$29</f>
        <v>1061567788953066.5</v>
      </c>
      <c r="BMY29" s="160">
        <f t="shared" ref="BMY29" si="854">BMW29*$C$29</f>
        <v>1093414822621658.5</v>
      </c>
      <c r="BNA29" s="160">
        <f t="shared" ref="BNA29" si="855">BMY29*$C$29</f>
        <v>1126217267300308.3</v>
      </c>
      <c r="BNC29" s="160">
        <f t="shared" ref="BNC29" si="856">BNA29*$C$29</f>
        <v>1160003785319317.5</v>
      </c>
      <c r="BNE29" s="160">
        <f t="shared" ref="BNE29" si="857">BNC29*$C$29</f>
        <v>1194803898878897</v>
      </c>
      <c r="BNG29" s="160">
        <f t="shared" ref="BNG29" si="858">BNE29*$C$29</f>
        <v>1230648015845264</v>
      </c>
      <c r="BNI29" s="160">
        <f t="shared" ref="BNI29" si="859">BNG29*$C$29</f>
        <v>1267567456320622</v>
      </c>
      <c r="BNK29" s="160">
        <f t="shared" ref="BNK29" si="860">BNI29*$C$29</f>
        <v>1305594480010240.8</v>
      </c>
      <c r="BNM29" s="160">
        <f t="shared" ref="BNM29" si="861">BNK29*$C$29</f>
        <v>1344762314410548</v>
      </c>
      <c r="BNO29" s="160">
        <f t="shared" ref="BNO29" si="862">BNM29*$C$29</f>
        <v>1385105183842864.5</v>
      </c>
      <c r="BNQ29" s="160">
        <f t="shared" ref="BNQ29" si="863">BNO29*$C$29</f>
        <v>1426658339358150.5</v>
      </c>
      <c r="BNS29" s="160">
        <f t="shared" ref="BNS29" si="864">BNQ29*$C$29</f>
        <v>1469458089538895</v>
      </c>
      <c r="BNU29" s="160">
        <f t="shared" ref="BNU29" si="865">BNS29*$C$29</f>
        <v>1513541832225062</v>
      </c>
      <c r="BNW29" s="160">
        <f t="shared" ref="BNW29" si="866">BNU29*$C$29</f>
        <v>1558948087191814</v>
      </c>
      <c r="BNY29" s="160">
        <f t="shared" ref="BNY29" si="867">BNW29*$C$29</f>
        <v>1605716529807568.5</v>
      </c>
      <c r="BOA29" s="160">
        <f t="shared" ref="BOA29" si="868">BNY29*$C$29</f>
        <v>1653888025701795.5</v>
      </c>
      <c r="BOC29" s="160">
        <f t="shared" ref="BOC29" si="869">BOA29*$C$29</f>
        <v>1703504666472849.5</v>
      </c>
      <c r="BOE29" s="160">
        <f t="shared" ref="BOE29" si="870">BOC29*$C$29</f>
        <v>1754609806467035</v>
      </c>
      <c r="BOG29" s="160">
        <f t="shared" ref="BOG29" si="871">BOE29*$C$29</f>
        <v>1807248100661046</v>
      </c>
      <c r="BOI29" s="160">
        <f t="shared" ref="BOI29" si="872">BOG29*$C$29</f>
        <v>1861465543680877.5</v>
      </c>
      <c r="BOK29" s="160">
        <f t="shared" ref="BOK29" si="873">BOI29*$C$29</f>
        <v>1917309509991303.8</v>
      </c>
      <c r="BOM29" s="160">
        <f t="shared" ref="BOM29" si="874">BOK29*$C$29</f>
        <v>1974828795291043</v>
      </c>
      <c r="BOO29" s="160">
        <f t="shared" ref="BOO29" si="875">BOM29*$C$29</f>
        <v>2034073659149774.3</v>
      </c>
      <c r="BOQ29" s="160">
        <f t="shared" ref="BOQ29" si="876">BOO29*$C$29</f>
        <v>2095095868924267.5</v>
      </c>
      <c r="BOS29" s="160">
        <f t="shared" ref="BOS29" si="877">BOQ29*$C$29</f>
        <v>2157948744991995.5</v>
      </c>
      <c r="BOU29" s="160">
        <f t="shared" ref="BOU29" si="878">BOS29*$C$29</f>
        <v>2222687207341755.5</v>
      </c>
      <c r="BOW29" s="160">
        <f t="shared" ref="BOW29" si="879">BOU29*$C$29</f>
        <v>2289367823562008</v>
      </c>
      <c r="BOY29" s="160">
        <f t="shared" ref="BOY29" si="880">BOW29*$C$29</f>
        <v>2358048858268868.5</v>
      </c>
      <c r="BPA29" s="160">
        <f t="shared" ref="BPA29" si="881">BOY29*$C$29</f>
        <v>2428790324016934.5</v>
      </c>
      <c r="BPC29" s="160">
        <f t="shared" ref="BPC29" si="882">BPA29*$C$29</f>
        <v>2501654033737442.5</v>
      </c>
      <c r="BPE29" s="160">
        <f t="shared" ref="BPE29" si="883">BPC29*$C$29</f>
        <v>2576703654749566</v>
      </c>
      <c r="BPG29" s="160">
        <f t="shared" ref="BPG29" si="884">BPE29*$C$29</f>
        <v>2654004764392053</v>
      </c>
      <c r="BPI29" s="160">
        <f t="shared" ref="BPI29" si="885">BPG29*$C$29</f>
        <v>2733624907323814.5</v>
      </c>
      <c r="BPK29" s="160">
        <f t="shared" ref="BPK29" si="886">BPI29*$C$29</f>
        <v>2815633654543529</v>
      </c>
      <c r="BPM29" s="160">
        <f t="shared" ref="BPM29" si="887">BPK29*$C$29</f>
        <v>2900102664179835</v>
      </c>
      <c r="BPO29" s="160">
        <f t="shared" ref="BPO29" si="888">BPM29*$C$29</f>
        <v>2987105744105230</v>
      </c>
      <c r="BPQ29" s="160">
        <f t="shared" ref="BPQ29" si="889">BPO29*$C$29</f>
        <v>3076718916428387</v>
      </c>
      <c r="BPS29" s="160">
        <f t="shared" ref="BPS29" si="890">BPQ29*$C$29</f>
        <v>3169020483921238.5</v>
      </c>
      <c r="BPU29" s="160">
        <f t="shared" ref="BPU29" si="891">BPS29*$C$29</f>
        <v>3264091098438875.5</v>
      </c>
      <c r="BPW29" s="160">
        <f t="shared" ref="BPW29" si="892">BPU29*$C$29</f>
        <v>3362013831392042</v>
      </c>
      <c r="BPY29" s="160">
        <f t="shared" ref="BPY29" si="893">BPW29*$C$29</f>
        <v>3462874246333803.5</v>
      </c>
      <c r="BQA29" s="160">
        <f t="shared" ref="BQA29" si="894">BPY29*$C$29</f>
        <v>3566760473723817.5</v>
      </c>
      <c r="BQC29" s="160">
        <f t="shared" ref="BQC29" si="895">BQA29*$C$29</f>
        <v>3673763287935532</v>
      </c>
      <c r="BQE29" s="160">
        <f t="shared" ref="BQE29" si="896">BQC29*$C$29</f>
        <v>3783976186573598</v>
      </c>
      <c r="BQG29" s="160">
        <f t="shared" ref="BQG29" si="897">BQE29*$C$29</f>
        <v>3897495472170806</v>
      </c>
      <c r="BQI29" s="160">
        <f t="shared" ref="BQI29" si="898">BQG29*$C$29</f>
        <v>4014420336335930.5</v>
      </c>
      <c r="BQK29" s="160">
        <f t="shared" ref="BQK29" si="899">BQI29*$C$29</f>
        <v>4134852946426008.5</v>
      </c>
      <c r="BQM29" s="160">
        <f t="shared" ref="BQM29" si="900">BQK29*$C$29</f>
        <v>4258898534818789</v>
      </c>
      <c r="BQO29" s="160">
        <f t="shared" ref="BQO29" si="901">BQM29*$C$29</f>
        <v>4386665490863353</v>
      </c>
      <c r="BQQ29" s="160">
        <f t="shared" ref="BQQ29" si="902">BQO29*$C$29</f>
        <v>4518265455589254</v>
      </c>
      <c r="BQS29" s="160">
        <f t="shared" ref="BQS29" si="903">BQQ29*$C$29</f>
        <v>4653813419256932</v>
      </c>
      <c r="BQU29" s="160">
        <f t="shared" ref="BQU29" si="904">BQS29*$C$29</f>
        <v>4793427821834640</v>
      </c>
      <c r="BQW29" s="160">
        <f t="shared" ref="BQW29" si="905">BQU29*$C$29</f>
        <v>4937230656489679</v>
      </c>
      <c r="BQY29" s="160">
        <f t="shared" ref="BQY29" si="906">BQW29*$C$29</f>
        <v>5085347576184370</v>
      </c>
      <c r="BRA29" s="160">
        <f t="shared" ref="BRA29" si="907">BQY29*$C$29</f>
        <v>5237908003469901</v>
      </c>
      <c r="BRC29" s="160">
        <f t="shared" ref="BRC29" si="908">BRA29*$C$29</f>
        <v>5395045243573998</v>
      </c>
      <c r="BRE29" s="160">
        <f t="shared" ref="BRE29" si="909">BRC29*$C$29</f>
        <v>5556896600881218</v>
      </c>
      <c r="BRG29" s="160">
        <f t="shared" ref="BRG29" si="910">BRE29*$C$29</f>
        <v>5723603498907655</v>
      </c>
      <c r="BRI29" s="160">
        <f t="shared" ref="BRI29" si="911">BRG29*$C$29</f>
        <v>5895311603874885</v>
      </c>
      <c r="BRK29" s="160">
        <f t="shared" ref="BRK29" si="912">BRI29*$C$29</f>
        <v>6072170951991132</v>
      </c>
      <c r="BRM29" s="160">
        <f t="shared" ref="BRM29" si="913">BRK29*$C$29</f>
        <v>6254336080550866</v>
      </c>
      <c r="BRO29" s="160">
        <f t="shared" ref="BRO29" si="914">BRM29*$C$29</f>
        <v>6441966162967392</v>
      </c>
      <c r="BRQ29" s="160">
        <f t="shared" ref="BRQ29" si="915">BRO29*$C$29</f>
        <v>6635225147856414</v>
      </c>
      <c r="BRS29" s="160">
        <f t="shared" ref="BRS29" si="916">BRQ29*$C$29</f>
        <v>6834281902292107</v>
      </c>
      <c r="BRU29" s="160">
        <f t="shared" ref="BRU29" si="917">BRS29*$C$29</f>
        <v>7039310359360870</v>
      </c>
      <c r="BRW29" s="160">
        <f t="shared" ref="BRW29" si="918">BRU29*$C$29</f>
        <v>7250489670141696</v>
      </c>
      <c r="BRY29" s="160">
        <f t="shared" ref="BRY29" si="919">BRW29*$C$29</f>
        <v>7468004360245947</v>
      </c>
      <c r="BSA29" s="160">
        <f t="shared" ref="BSA29" si="920">BRY29*$C$29</f>
        <v>7692044491053326</v>
      </c>
      <c r="BSC29" s="160">
        <f t="shared" ref="BSC29" si="921">BSA29*$C$29</f>
        <v>7922805825784926</v>
      </c>
      <c r="BSE29" s="160">
        <f t="shared" ref="BSE29" si="922">BSC29*$C$29</f>
        <v>8160490000558474</v>
      </c>
      <c r="BSG29" s="160">
        <f t="shared" ref="BSG29" si="923">BSE29*$C$29</f>
        <v>8405304700575228</v>
      </c>
      <c r="BSI29" s="160">
        <f t="shared" ref="BSI29" si="924">BSG29*$C$29</f>
        <v>8657463841592485</v>
      </c>
      <c r="BSK29" s="160">
        <f t="shared" ref="BSK29" si="925">BSI29*$C$29</f>
        <v>8917187756840260</v>
      </c>
      <c r="BSM29" s="160">
        <f t="shared" ref="BSM29" si="926">BSK29*$C$29</f>
        <v>9184703389545468</v>
      </c>
      <c r="BSO29" s="160">
        <f t="shared" ref="BSO29" si="927">BSM29*$C$29</f>
        <v>9460244491231832</v>
      </c>
      <c r="BSQ29" s="160">
        <f t="shared" ref="BSQ29" si="928">BSO29*$C$29</f>
        <v>9744051825968788</v>
      </c>
      <c r="BSS29" s="160">
        <f t="shared" ref="BSS29" si="929">BSQ29*$C$29</f>
        <v>1.0036373380747852E+16</v>
      </c>
      <c r="BSU29" s="160">
        <f t="shared" ref="BSU29" si="930">BSS29*$C$29</f>
        <v>1.0337464582170288E+16</v>
      </c>
      <c r="BSW29" s="160">
        <f t="shared" ref="BSW29" si="931">BSU29*$C$29</f>
        <v>1.0647588519635396E+16</v>
      </c>
      <c r="BSY29" s="160">
        <f t="shared" ref="BSY29" si="932">BSW29*$C$29</f>
        <v>1.0967016175224458E+16</v>
      </c>
      <c r="BTA29" s="160">
        <f t="shared" ref="BTA29" si="933">BSY29*$C$29</f>
        <v>1.1296026660481192E+16</v>
      </c>
      <c r="BTC29" s="160">
        <f t="shared" ref="BTC29" si="934">BTA29*$C$29</f>
        <v>1.1634907460295628E+16</v>
      </c>
      <c r="BTE29" s="160">
        <f t="shared" ref="BTE29" si="935">BTC29*$C$29</f>
        <v>1.1983954684104498E+16</v>
      </c>
      <c r="BTG29" s="160">
        <f t="shared" ref="BTG29" si="936">BTE29*$C$29</f>
        <v>1.2343473324627634E+16</v>
      </c>
      <c r="BTI29" s="160">
        <f t="shared" ref="BTI29" si="937">BTG29*$C$29</f>
        <v>1.2713777524366464E+16</v>
      </c>
      <c r="BTK29" s="160">
        <f t="shared" ref="BTK29" si="938">BTI29*$C$29</f>
        <v>1.3095190850097458E+16</v>
      </c>
      <c r="BTM29" s="160">
        <f t="shared" ref="BTM29" si="939">BTK29*$C$29</f>
        <v>1.3488046575600382E+16</v>
      </c>
      <c r="BTO29" s="160">
        <f t="shared" ref="BTO29" si="940">BTM29*$C$29</f>
        <v>1.3892687972868394E+16</v>
      </c>
      <c r="BTQ29" s="160">
        <f t="shared" ref="BTQ29" si="941">BTO29*$C$29</f>
        <v>1.4309468612054446E+16</v>
      </c>
      <c r="BTS29" s="160">
        <f t="shared" ref="BTS29" si="942">BTQ29*$C$29</f>
        <v>1.473875267041608E+16</v>
      </c>
      <c r="BTU29" s="160">
        <f t="shared" ref="BTU29" si="943">BTS29*$C$29</f>
        <v>1.5180915250528562E+16</v>
      </c>
      <c r="BTW29" s="160">
        <f t="shared" ref="BTW29" si="944">BTU29*$C$29</f>
        <v>1.563634270804442E+16</v>
      </c>
      <c r="BTY29" s="160">
        <f t="shared" ref="BTY29" si="945">BTW29*$C$29</f>
        <v>1.6105432989285754E+16</v>
      </c>
      <c r="BUA29" s="160">
        <f t="shared" ref="BUA29" si="946">BTY29*$C$29</f>
        <v>1.6588595978964328E+16</v>
      </c>
      <c r="BUC29" s="160">
        <f t="shared" ref="BUC29" si="947">BUA29*$C$29</f>
        <v>1.7086253858333258E+16</v>
      </c>
      <c r="BUE29" s="160">
        <f t="shared" ref="BUE29" si="948">BUC29*$C$29</f>
        <v>1.7598841474083256E+16</v>
      </c>
      <c r="BUG29" s="160">
        <f t="shared" ref="BUG29" si="949">BUE29*$C$29</f>
        <v>1.8126806718305756E+16</v>
      </c>
      <c r="BUI29" s="160">
        <f t="shared" ref="BUI29" si="950">BUG29*$C$29</f>
        <v>1.8670610919854928E+16</v>
      </c>
      <c r="BUK29" s="160">
        <f t="shared" ref="BUK29" si="951">BUI29*$C$29</f>
        <v>1.9230729247450576E+16</v>
      </c>
      <c r="BUM29" s="160">
        <f t="shared" ref="BUM29" si="952">BUK29*$C$29</f>
        <v>1.9807651124874092E+16</v>
      </c>
      <c r="BUO29" s="160">
        <f t="shared" ref="BUO29" si="953">BUM29*$C$29</f>
        <v>2.0401880658620316E+16</v>
      </c>
      <c r="BUQ29" s="160">
        <f t="shared" ref="BUQ29" si="954">BUO29*$C$29</f>
        <v>2.1013937078378928E+16</v>
      </c>
      <c r="BUS29" s="160">
        <f t="shared" ref="BUS29" si="955">BUQ29*$C$29</f>
        <v>2.1644355190730296E+16</v>
      </c>
      <c r="BUU29" s="160">
        <f t="shared" ref="BUU29" si="956">BUS29*$C$29</f>
        <v>2.2293685846452204E+16</v>
      </c>
      <c r="BUW29" s="160">
        <f t="shared" ref="BUW29" si="957">BUU29*$C$29</f>
        <v>2.2962496421845772E+16</v>
      </c>
      <c r="BUY29" s="160">
        <f t="shared" ref="BUY29" si="958">BUW29*$C$29</f>
        <v>2.3651371314501144E+16</v>
      </c>
      <c r="BVA29" s="160">
        <f t="shared" ref="BVA29" si="959">BUY29*$C$29</f>
        <v>2.436091245393618E+16</v>
      </c>
      <c r="BVC29" s="160">
        <f t="shared" ref="BVC29" si="960">BVA29*$C$29</f>
        <v>2.5091739827554268E+16</v>
      </c>
      <c r="BVE29" s="160">
        <f t="shared" ref="BVE29" si="961">BVC29*$C$29</f>
        <v>2.5844492022380896E+16</v>
      </c>
      <c r="BVG29" s="160">
        <f t="shared" ref="BVG29" si="962">BVE29*$C$29</f>
        <v>2.6619826783052324E+16</v>
      </c>
      <c r="BVI29" s="160">
        <f t="shared" ref="BVI29" si="963">BVG29*$C$29</f>
        <v>2.7418421586543896E+16</v>
      </c>
      <c r="BVK29" s="160">
        <f t="shared" ref="BVK29" si="964">BVI29*$C$29</f>
        <v>2.8240974234140212E+16</v>
      </c>
      <c r="BVM29" s="160">
        <f t="shared" ref="BVM29" si="965">BVK29*$C$29</f>
        <v>2.908820346116442E+16</v>
      </c>
      <c r="BVO29" s="160">
        <f t="shared" ref="BVO29" si="966">BVM29*$C$29</f>
        <v>2.9960849564999352E+16</v>
      </c>
      <c r="BVQ29" s="160">
        <f t="shared" ref="BVQ29" si="967">BVO29*$C$29</f>
        <v>3.0859675051949332E+16</v>
      </c>
      <c r="BVS29" s="160">
        <f t="shared" ref="BVS29" si="968">BVQ29*$C$29</f>
        <v>3.1785465303507812E+16</v>
      </c>
      <c r="BVU29" s="160">
        <f t="shared" ref="BVU29" si="969">BVS29*$C$29</f>
        <v>3.2739029262613048E+16</v>
      </c>
      <c r="BVW29" s="160">
        <f t="shared" ref="BVW29" si="970">BVU29*$C$29</f>
        <v>3.372120014049144E+16</v>
      </c>
      <c r="BVY29" s="160">
        <f t="shared" ref="BVY29" si="971">BVW29*$C$29</f>
        <v>3.4732836144706184E+16</v>
      </c>
      <c r="BWA29" s="160">
        <f t="shared" ref="BWA29" si="972">BVY29*$C$29</f>
        <v>3.5774821229047372E+16</v>
      </c>
      <c r="BWC29" s="160">
        <f t="shared" ref="BWC29" si="973">BWA29*$C$29</f>
        <v>3.6848065865918792E+16</v>
      </c>
      <c r="BWE29" s="160">
        <f t="shared" ref="BWE29" si="974">BWC29*$C$29</f>
        <v>3.795350784189636E+16</v>
      </c>
      <c r="BWG29" s="160">
        <f t="shared" ref="BWG29" si="975">BWE29*$C$29</f>
        <v>3.9092113077153248E+16</v>
      </c>
      <c r="BWI29" s="160">
        <f t="shared" ref="BWI29" si="976">BWG29*$C$29</f>
        <v>4.0264876469467848E+16</v>
      </c>
      <c r="BWK29" s="160">
        <f t="shared" ref="BWK29" si="977">BWI29*$C$29</f>
        <v>4.1472822763551888E+16</v>
      </c>
      <c r="BWM29" s="160">
        <f t="shared" ref="BWM29" si="978">BWK29*$C$29</f>
        <v>4.2717007446458448E+16</v>
      </c>
      <c r="BWO29" s="160">
        <f t="shared" ref="BWO29" si="979">BWM29*$C$29</f>
        <v>4.39985176698522E+16</v>
      </c>
      <c r="BWQ29" s="160">
        <f t="shared" ref="BWQ29" si="980">BWO29*$C$29</f>
        <v>4.5318473199947768E+16</v>
      </c>
      <c r="BWS29" s="160">
        <f t="shared" ref="BWS29" si="981">BWQ29*$C$29</f>
        <v>4.66780273959462E+16</v>
      </c>
      <c r="BWU29" s="160">
        <f t="shared" ref="BWU29" si="982">BWS29*$C$29</f>
        <v>4.8078368217824584E+16</v>
      </c>
      <c r="BWW29" s="160">
        <f t="shared" ref="BWW29" si="983">BWU29*$C$29</f>
        <v>4.952071926435932E+16</v>
      </c>
      <c r="BWY29" s="160">
        <f t="shared" ref="BWY29" si="984">BWW29*$C$29</f>
        <v>5.1006340842290104E+16</v>
      </c>
      <c r="BXA29" s="160">
        <f t="shared" ref="BXA29" si="985">BWY29*$C$29</f>
        <v>5.2536531067558808E+16</v>
      </c>
      <c r="BXC29" s="160">
        <f t="shared" ref="BXC29" si="986">BXA29*$C$29</f>
        <v>5.4112626999585576E+16</v>
      </c>
      <c r="BXE29" s="160">
        <f t="shared" ref="BXE29" si="987">BXC29*$C$29</f>
        <v>5.5736005809573144E+16</v>
      </c>
      <c r="BXG29" s="160">
        <f t="shared" ref="BXG29" si="988">BXE29*$C$29</f>
        <v>5.7408085983860336E+16</v>
      </c>
      <c r="BXI29" s="160">
        <f t="shared" ref="BXI29" si="989">BXG29*$C$29</f>
        <v>5.9130328563376144E+16</v>
      </c>
      <c r="BXK29" s="160">
        <f t="shared" ref="BXK29" si="990">BXI29*$C$29</f>
        <v>6.0904238420277432E+16</v>
      </c>
      <c r="BXM29" s="160">
        <f t="shared" ref="BXM29" si="991">BXK29*$C$29</f>
        <v>6.273136557288576E+16</v>
      </c>
      <c r="BXO29" s="160">
        <f t="shared" ref="BXO29" si="992">BXM29*$C$29</f>
        <v>6.4613306540072336E+16</v>
      </c>
      <c r="BXQ29" s="160">
        <f t="shared" ref="BXQ29" si="993">BXO29*$C$29</f>
        <v>6.6551705736274504E+16</v>
      </c>
      <c r="BXS29" s="160">
        <f t="shared" ref="BXS29" si="994">BXQ29*$C$29</f>
        <v>6.8548256908362744E+16</v>
      </c>
      <c r="BXU29" s="160">
        <f t="shared" ref="BXU29" si="995">BXS29*$C$29</f>
        <v>7.0604704615613632E+16</v>
      </c>
      <c r="BXW29" s="160">
        <f t="shared" ref="BXW29" si="996">BXU29*$C$29</f>
        <v>7.2722845754082048E+16</v>
      </c>
      <c r="BXY29" s="160">
        <f t="shared" ref="BXY29" si="997">BXW29*$C$29</f>
        <v>7.4904531126704512E+16</v>
      </c>
      <c r="BYA29" s="160">
        <f t="shared" ref="BYA29" si="998">BXY29*$C$29</f>
        <v>7.7151667060505648E+16</v>
      </c>
      <c r="BYC29" s="160">
        <f t="shared" ref="BYC29" si="999">BYA29*$C$29</f>
        <v>7.9466217072320816E+16</v>
      </c>
      <c r="BYE29" s="160">
        <f t="shared" ref="BYE29" si="1000">BYC29*$C$29</f>
        <v>8.1850203584490448E+16</v>
      </c>
      <c r="BYG29" s="160">
        <f t="shared" ref="BYG29" si="1001">BYE29*$C$29</f>
        <v>8.4305709692025168E+16</v>
      </c>
      <c r="BYI29" s="160">
        <f t="shared" ref="BYI29" si="1002">BYG29*$C$29</f>
        <v>8.683488098278592E+16</v>
      </c>
      <c r="BYK29" s="160">
        <f t="shared" ref="BYK29" si="1003">BYI29*$C$29</f>
        <v>8.9439927412269504E+16</v>
      </c>
      <c r="BYM29" s="160">
        <f t="shared" ref="BYM29" si="1004">BYK29*$C$29</f>
        <v>9.2123125234637584E+16</v>
      </c>
      <c r="BYO29" s="160">
        <f t="shared" ref="BYO29" si="1005">BYM29*$C$29</f>
        <v>9.488681899167672E+16</v>
      </c>
      <c r="BYQ29" s="160">
        <f t="shared" ref="BYQ29" si="1006">BYO29*$C$29</f>
        <v>9.7733423561427024E+16</v>
      </c>
      <c r="BYS29" s="160">
        <f t="shared" ref="BYS29" si="1007">BYQ29*$C$29</f>
        <v>1.0066542626826984E+17</v>
      </c>
      <c r="BYU29" s="160">
        <f t="shared" ref="BYU29" si="1008">BYS29*$C$29</f>
        <v>1.0368538905631794E+17</v>
      </c>
      <c r="BYW29" s="160">
        <f t="shared" ref="BYW29" si="1009">BYU29*$C$29</f>
        <v>1.0679595072800747E+17</v>
      </c>
      <c r="BYY29" s="160">
        <f t="shared" ref="BYY29" si="1010">BYW29*$C$29</f>
        <v>1.099998292498477E+17</v>
      </c>
      <c r="BZA29" s="160">
        <f t="shared" ref="BZA29" si="1011">BYY29*$C$29</f>
        <v>1.1329982412734314E+17</v>
      </c>
      <c r="BZC29" s="160">
        <f t="shared" ref="BZC29" si="1012">BZA29*$C$29</f>
        <v>1.1669881885116344E+17</v>
      </c>
      <c r="BZE29" s="160">
        <f t="shared" ref="BZE29" si="1013">BZC29*$C$29</f>
        <v>1.2019978341669835E+17</v>
      </c>
      <c r="BZG29" s="160">
        <f t="shared" ref="BZG29" si="1014">BZE29*$C$29</f>
        <v>1.2380577691919931E+17</v>
      </c>
      <c r="BZI29" s="160">
        <f t="shared" ref="BZI29" si="1015">BZG29*$C$29</f>
        <v>1.275199502267753E+17</v>
      </c>
      <c r="BZK29" s="160">
        <f t="shared" ref="BZK29" si="1016">BZI29*$C$29</f>
        <v>1.3134554873357856E+17</v>
      </c>
      <c r="BZM29" s="160">
        <f t="shared" ref="BZM29" si="1017">BZK29*$C$29</f>
        <v>1.3528591519558592E+17</v>
      </c>
      <c r="BZO29" s="160">
        <f t="shared" ref="BZO29" si="1018">BZM29*$C$29</f>
        <v>1.393444926514535E+17</v>
      </c>
      <c r="BZQ29" s="160">
        <f t="shared" ref="BZQ29" si="1019">BZO29*$C$29</f>
        <v>1.4352482743099712E+17</v>
      </c>
      <c r="BZS29" s="160">
        <f t="shared" ref="BZS29" si="1020">BZQ29*$C$29</f>
        <v>1.4783057225392704E+17</v>
      </c>
      <c r="BZU29" s="160">
        <f t="shared" ref="BZU29" si="1021">BZS29*$C$29</f>
        <v>1.5226548942154486E+17</v>
      </c>
      <c r="BZW29" s="160">
        <f t="shared" ref="BZW29" si="1022">BZU29*$C$29</f>
        <v>1.568334541041912E+17</v>
      </c>
      <c r="BZY29" s="160">
        <f t="shared" ref="BZY29" si="1023">BZW29*$C$29</f>
        <v>1.6153845772731693E+17</v>
      </c>
      <c r="CAA29" s="160">
        <f t="shared" ref="CAA29" si="1024">BZY29*$C$29</f>
        <v>1.6638461145913645E+17</v>
      </c>
      <c r="CAC29" s="160">
        <f t="shared" ref="CAC29" si="1025">CAA29*$C$29</f>
        <v>1.7137614980291056E+17</v>
      </c>
      <c r="CAE29" s="160">
        <f t="shared" ref="CAE29" si="1026">CAC29*$C$29</f>
        <v>1.7651743429699789E+17</v>
      </c>
      <c r="CAG29" s="160">
        <f t="shared" ref="CAG29" si="1027">CAE29*$C$29</f>
        <v>1.8181295732590784E+17</v>
      </c>
      <c r="CAI29" s="160">
        <f t="shared" ref="CAI29" si="1028">CAG29*$C$29</f>
        <v>1.8726734604568509E+17</v>
      </c>
      <c r="CAK29" s="160">
        <f t="shared" ref="CAK29" si="1029">CAI29*$C$29</f>
        <v>1.9288536642705565E+17</v>
      </c>
      <c r="CAM29" s="160">
        <f t="shared" ref="CAM29" si="1030">CAK29*$C$29</f>
        <v>1.9867192741986733E+17</v>
      </c>
      <c r="CAO29" s="160">
        <f t="shared" ref="CAO29" si="1031">CAM29*$C$29</f>
        <v>2.0463208524246336E+17</v>
      </c>
      <c r="CAQ29" s="160">
        <f t="shared" ref="CAQ29" si="1032">CAO29*$C$29</f>
        <v>2.1077104779973728E+17</v>
      </c>
      <c r="CAS29" s="160">
        <f t="shared" ref="CAS29" si="1033">CAQ29*$C$29</f>
        <v>2.1709417923372941E+17</v>
      </c>
      <c r="CAU29" s="160">
        <f t="shared" ref="CAU29" si="1034">CAS29*$C$29</f>
        <v>2.2360700461074131E+17</v>
      </c>
      <c r="CAW29" s="160">
        <f t="shared" ref="CAW29" si="1035">CAU29*$C$29</f>
        <v>2.3031521474906355E+17</v>
      </c>
      <c r="CAY29" s="160">
        <f t="shared" ref="CAY29" si="1036">CAW29*$C$29</f>
        <v>2.3722467119153546E+17</v>
      </c>
      <c r="CBA29" s="160">
        <f t="shared" ref="CBA29" si="1037">CAY29*$C$29</f>
        <v>2.4434141132728154E+17</v>
      </c>
      <c r="CBC29" s="160">
        <f t="shared" ref="CBC29" si="1038">CBA29*$C$29</f>
        <v>2.516716536671E+17</v>
      </c>
      <c r="CBE29" s="160">
        <f t="shared" ref="CBE29" si="1039">CBC29*$C$29</f>
        <v>2.5922180327711299E+17</v>
      </c>
      <c r="CBG29" s="160">
        <f t="shared" ref="CBG29" si="1040">CBE29*$C$29</f>
        <v>2.669984573754264E+17</v>
      </c>
      <c r="CBI29" s="160">
        <f t="shared" ref="CBI29" si="1041">CBG29*$C$29</f>
        <v>2.7500841109668918E+17</v>
      </c>
      <c r="CBK29" s="160">
        <f t="shared" ref="CBK29" si="1042">CBI29*$C$29</f>
        <v>2.8325866342958986E+17</v>
      </c>
      <c r="CBM29" s="160">
        <f t="shared" ref="CBM29" si="1043">CBK29*$C$29</f>
        <v>2.9175642333247757E+17</v>
      </c>
      <c r="CBO29" s="160">
        <f t="shared" ref="CBO29" si="1044">CBM29*$C$29</f>
        <v>3.005091160324519E+17</v>
      </c>
      <c r="CBQ29" s="160">
        <f t="shared" ref="CBQ29" si="1045">CBO29*$C$29</f>
        <v>3.0952438951342547E+17</v>
      </c>
      <c r="CBS29" s="160">
        <f t="shared" ref="CBS29" si="1046">CBQ29*$C$29</f>
        <v>3.1881012119882822E+17</v>
      </c>
      <c r="CBU29" s="160">
        <f t="shared" ref="CBU29" si="1047">CBS29*$C$29</f>
        <v>3.2837442483479309E+17</v>
      </c>
      <c r="CBW29" s="160">
        <f t="shared" ref="CBW29" si="1048">CBU29*$C$29</f>
        <v>3.3822565757983686E+17</v>
      </c>
      <c r="CBY29" s="160">
        <f t="shared" ref="CBY29" si="1049">CBW29*$C$29</f>
        <v>3.48372427307232E+17</v>
      </c>
      <c r="CCA29" s="160">
        <f t="shared" ref="CCA29" si="1050">CBY29*$C$29</f>
        <v>3.5882360012644896E+17</v>
      </c>
      <c r="CCC29" s="160">
        <f t="shared" ref="CCC29" si="1051">CCA29*$C$29</f>
        <v>3.6958830813024243E+17</v>
      </c>
      <c r="CCE29" s="160">
        <f t="shared" ref="CCE29" si="1052">CCC29*$C$29</f>
        <v>3.806759573741497E+17</v>
      </c>
      <c r="CCG29" s="160">
        <f t="shared" ref="CCG29" si="1053">CCE29*$C$29</f>
        <v>3.9209623609537421E+17</v>
      </c>
      <c r="CCI29" s="160">
        <f t="shared" ref="CCI29" si="1054">CCG29*$C$29</f>
        <v>4.0385912317823546E+17</v>
      </c>
      <c r="CCK29" s="160">
        <f t="shared" ref="CCK29" si="1055">CCI29*$C$29</f>
        <v>4.1597489687358253E+17</v>
      </c>
      <c r="CCM29" s="160">
        <f t="shared" ref="CCM29" si="1056">CCK29*$C$29</f>
        <v>4.2845414377979002E+17</v>
      </c>
      <c r="CCO29" s="160">
        <f t="shared" ref="CCO29" si="1057">CCM29*$C$29</f>
        <v>4.4130776809318374E+17</v>
      </c>
      <c r="CCQ29" s="160">
        <f t="shared" ref="CCQ29" si="1058">CCO29*$C$29</f>
        <v>4.5454700113597926E+17</v>
      </c>
      <c r="CCS29" s="160">
        <f t="shared" ref="CCS29" si="1059">CCQ29*$C$29</f>
        <v>4.6818341117005862E+17</v>
      </c>
      <c r="CCU29" s="160">
        <f t="shared" ref="CCU29" si="1060">CCS29*$C$29</f>
        <v>4.8222891350516038E+17</v>
      </c>
      <c r="CCW29" s="160">
        <f t="shared" ref="CCW29" si="1061">CCU29*$C$29</f>
        <v>4.966957809103152E+17</v>
      </c>
      <c r="CCY29" s="160">
        <f t="shared" ref="CCY29" si="1062">CCW29*$C$29</f>
        <v>5.1159665433762464E+17</v>
      </c>
      <c r="CDA29" s="160">
        <f t="shared" ref="CDA29" si="1063">CCY29*$C$29</f>
        <v>5.2694455396775341E+17</v>
      </c>
      <c r="CDC29" s="160">
        <f t="shared" ref="CDC29" si="1064">CDA29*$C$29</f>
        <v>5.4275289058678605E+17</v>
      </c>
      <c r="CDE29" s="160">
        <f t="shared" ref="CDE29" si="1065">CDC29*$C$29</f>
        <v>5.5903547730438963E+17</v>
      </c>
      <c r="CDG29" s="160">
        <f t="shared" ref="CDG29" si="1066">CDE29*$C$29</f>
        <v>5.7580654162352134E+17</v>
      </c>
      <c r="CDI29" s="160">
        <f t="shared" ref="CDI29" si="1067">CDG29*$C$29</f>
        <v>5.9308073787222694E+17</v>
      </c>
      <c r="CDK29" s="160">
        <f t="shared" ref="CDK29" si="1068">CDI29*$C$29</f>
        <v>6.1087316000839373E+17</v>
      </c>
      <c r="CDM29" s="160">
        <f t="shared" ref="CDM29" si="1069">CDK29*$C$29</f>
        <v>6.291993548086455E+17</v>
      </c>
      <c r="CDO29" s="160">
        <f t="shared" ref="CDO29" si="1070">CDM29*$C$29</f>
        <v>6.4807533545290483E+17</v>
      </c>
      <c r="CDQ29" s="160">
        <f t="shared" ref="CDQ29" si="1071">CDO29*$C$29</f>
        <v>6.6751759551649203E+17</v>
      </c>
      <c r="CDS29" s="160">
        <f t="shared" ref="CDS29" si="1072">CDQ29*$C$29</f>
        <v>6.8754312338198682E+17</v>
      </c>
      <c r="CDU29" s="160">
        <f t="shared" ref="CDU29" si="1073">CDS29*$C$29</f>
        <v>7.081694170834464E+17</v>
      </c>
      <c r="CDW29" s="160">
        <f t="shared" ref="CDW29" si="1074">CDU29*$C$29</f>
        <v>7.2941449959594982E+17</v>
      </c>
      <c r="CDY29" s="160">
        <f t="shared" ref="CDY29" si="1075">CDW29*$C$29</f>
        <v>7.5129693458382835E+17</v>
      </c>
      <c r="CEA29" s="160">
        <f t="shared" ref="CEA29" si="1076">CDY29*$C$29</f>
        <v>7.7383584262134323E+17</v>
      </c>
      <c r="CEC29" s="160">
        <f t="shared" ref="CEC29" si="1077">CEA29*$C$29</f>
        <v>7.9705091789998349E+17</v>
      </c>
      <c r="CEE29" s="160">
        <f t="shared" ref="CEE29" si="1078">CEC29*$C$29</f>
        <v>8.2096244543698304E+17</v>
      </c>
      <c r="CEG29" s="160">
        <f t="shared" ref="CEG29" si="1079">CEE29*$C$29</f>
        <v>8.4559131880009254E+17</v>
      </c>
      <c r="CEI29" s="160">
        <f t="shared" ref="CEI29" si="1080">CEG29*$C$29</f>
        <v>8.7095905836409536E+17</v>
      </c>
      <c r="CEK29" s="160">
        <f t="shared" ref="CEK29" si="1081">CEI29*$C$29</f>
        <v>8.9708783011501824E+17</v>
      </c>
      <c r="CEM29" s="160">
        <f t="shared" ref="CEM29" si="1082">CEK29*$C$29</f>
        <v>9.2400046501846886E+17</v>
      </c>
      <c r="CEO29" s="160">
        <f t="shared" ref="CEO29" si="1083">CEM29*$C$29</f>
        <v>9.5172047896902298E+17</v>
      </c>
      <c r="CEQ29" s="160">
        <f t="shared" ref="CEQ29" si="1084">CEO29*$C$29</f>
        <v>9.802720933380937E+17</v>
      </c>
      <c r="CES29" s="160">
        <f t="shared" ref="CES29" si="1085">CEQ29*$C$29</f>
        <v>1.0096802561382365E+18</v>
      </c>
      <c r="CEU29" s="160">
        <f t="shared" ref="CEU29" si="1086">CES29*$C$29</f>
        <v>1.0399706638223836E+18</v>
      </c>
      <c r="CEW29" s="160">
        <f t="shared" ref="CEW29" si="1087">CEU29*$C$29</f>
        <v>1.0711697837370551E+18</v>
      </c>
      <c r="CEY29" s="160">
        <f t="shared" ref="CEY29" si="1088">CEW29*$C$29</f>
        <v>1.1033048772491668E+18</v>
      </c>
      <c r="CFA29" s="160">
        <f t="shared" ref="CFA29" si="1089">CEY29*$C$29</f>
        <v>1.1364040235666419E+18</v>
      </c>
      <c r="CFC29" s="160">
        <f t="shared" ref="CFC29" si="1090">CFA29*$C$29</f>
        <v>1.1704961442736412E+18</v>
      </c>
      <c r="CFE29" s="160">
        <f t="shared" ref="CFE29" si="1091">CFC29*$C$29</f>
        <v>1.2056110286018504E+18</v>
      </c>
      <c r="CFG29" s="160">
        <f t="shared" ref="CFG29" si="1092">CFE29*$C$29</f>
        <v>1.2417793594599058E+18</v>
      </c>
      <c r="CFI29" s="160">
        <f t="shared" ref="CFI29" si="1093">CFG29*$C$29</f>
        <v>1.279032740243703E+18</v>
      </c>
      <c r="CFK29" s="160">
        <f t="shared" ref="CFK29" si="1094">CFI29*$C$29</f>
        <v>1.3174037224510141E+18</v>
      </c>
      <c r="CFM29" s="160">
        <f t="shared" ref="CFM29" si="1095">CFK29*$C$29</f>
        <v>1.3569258341245445E+18</v>
      </c>
      <c r="CFO29" s="160">
        <f t="shared" ref="CFO29" si="1096">CFM29*$C$29</f>
        <v>1.3976336091482808E+18</v>
      </c>
      <c r="CFQ29" s="160">
        <f t="shared" ref="CFQ29" si="1097">CFO29*$C$29</f>
        <v>1.4395626174227292E+18</v>
      </c>
      <c r="CFS29" s="160">
        <f t="shared" ref="CFS29" si="1098">CFQ29*$C$29</f>
        <v>1.4827494959454111E+18</v>
      </c>
      <c r="CFU29" s="160">
        <f t="shared" ref="CFU29" si="1099">CFS29*$C$29</f>
        <v>1.5272319808237734E+18</v>
      </c>
      <c r="CFW29" s="160">
        <f t="shared" ref="CFW29" si="1100">CFU29*$C$29</f>
        <v>1.5730489402484867E+18</v>
      </c>
      <c r="CFY29" s="160">
        <f t="shared" ref="CFY29" si="1101">CFW29*$C$29</f>
        <v>1.6202404084559414E+18</v>
      </c>
      <c r="CGA29" s="160">
        <f t="shared" ref="CGA29" si="1102">CFY29*$C$29</f>
        <v>1.6688476207096197E+18</v>
      </c>
      <c r="CGC29" s="160">
        <f t="shared" ref="CGC29" si="1103">CGA29*$C$29</f>
        <v>1.7189130493309084E+18</v>
      </c>
      <c r="CGE29" s="160">
        <f t="shared" ref="CGE29" si="1104">CGC29*$C$29</f>
        <v>1.7704804408108357E+18</v>
      </c>
      <c r="CGG29" s="160">
        <f t="shared" ref="CGG29" si="1105">CGE29*$C$29</f>
        <v>1.8235948540351608E+18</v>
      </c>
      <c r="CGI29" s="160">
        <f t="shared" ref="CGI29" si="1106">CGG29*$C$29</f>
        <v>1.8783026996562158E+18</v>
      </c>
      <c r="CGK29" s="160">
        <f t="shared" ref="CGK29" si="1107">CGI29*$C$29</f>
        <v>1.9346517806459023E+18</v>
      </c>
      <c r="CGM29" s="160">
        <f t="shared" ref="CGM29" si="1108">CGK29*$C$29</f>
        <v>1.9926913340652795E+18</v>
      </c>
      <c r="CGO29" s="160">
        <f t="shared" ref="CGO29" si="1109">CGM29*$C$29</f>
        <v>2.0524720740872379E+18</v>
      </c>
      <c r="CGQ29" s="160">
        <f t="shared" ref="CGQ29" si="1110">CGO29*$C$29</f>
        <v>2.114046236309855E+18</v>
      </c>
      <c r="CGS29" s="160">
        <f t="shared" ref="CGS29" si="1111">CGQ29*$C$29</f>
        <v>2.1774676233991506E+18</v>
      </c>
      <c r="CGU29" s="160">
        <f t="shared" ref="CGU29" si="1112">CGS29*$C$29</f>
        <v>2.2427916521011251E+18</v>
      </c>
      <c r="CGW29" s="160">
        <f t="shared" ref="CGW29" si="1113">CGU29*$C$29</f>
        <v>2.3100754016641587E+18</v>
      </c>
      <c r="CGY29" s="160">
        <f t="shared" ref="CGY29" si="1114">CGW29*$C$29</f>
        <v>2.3793776637140833E+18</v>
      </c>
      <c r="CHA29" s="160">
        <f t="shared" ref="CHA29" si="1115">CGY29*$C$29</f>
        <v>2.4507589936255058E+18</v>
      </c>
      <c r="CHC29" s="160">
        <f t="shared" ref="CHC29" si="1116">CHA29*$C$29</f>
        <v>2.5242817634342712E+18</v>
      </c>
      <c r="CHE29" s="160">
        <f t="shared" ref="CHE29" si="1117">CHC29*$C$29</f>
        <v>2.6000102163372995E+18</v>
      </c>
      <c r="CHG29" s="160">
        <f t="shared" ref="CHG29" si="1118">CHE29*$C$29</f>
        <v>2.6780105228274186E+18</v>
      </c>
      <c r="CHI29" s="160">
        <f t="shared" ref="CHI29" si="1119">CHG29*$C$29</f>
        <v>2.7583508385122412E+18</v>
      </c>
      <c r="CHK29" s="160">
        <f t="shared" ref="CHK29" si="1120">CHI29*$C$29</f>
        <v>2.8411013636676086E+18</v>
      </c>
      <c r="CHM29" s="160">
        <f t="shared" ref="CHM29" si="1121">CHK29*$C$29</f>
        <v>2.9263344045776369E+18</v>
      </c>
      <c r="CHO29" s="160">
        <f t="shared" ref="CHO29" si="1122">CHM29*$C$29</f>
        <v>3.014124436714966E+18</v>
      </c>
      <c r="CHQ29" s="160">
        <f t="shared" ref="CHQ29" si="1123">CHO29*$C$29</f>
        <v>3.1045481698164152E+18</v>
      </c>
      <c r="CHS29" s="160">
        <f t="shared" ref="CHS29" si="1124">CHQ29*$C$29</f>
        <v>3.1976846149109079E+18</v>
      </c>
      <c r="CHU29" s="160">
        <f t="shared" ref="CHU29" si="1125">CHS29*$C$29</f>
        <v>3.2936151533582351E+18</v>
      </c>
      <c r="CHW29" s="160">
        <f t="shared" ref="CHW29" si="1126">CHU29*$C$29</f>
        <v>3.3924236079589821E+18</v>
      </c>
      <c r="CHY29" s="160">
        <f t="shared" ref="CHY29" si="1127">CHW29*$C$29</f>
        <v>3.4941963161977518E+18</v>
      </c>
      <c r="CIA29" s="160">
        <f t="shared" ref="CIA29" si="1128">CHY29*$C$29</f>
        <v>3.5990222056836844E+18</v>
      </c>
      <c r="CIC29" s="160">
        <f t="shared" ref="CIC29" si="1129">CIA29*$C$29</f>
        <v>3.7069928718541952E+18</v>
      </c>
      <c r="CIE29" s="160">
        <f t="shared" ref="CIE29" si="1130">CIC29*$C$29</f>
        <v>3.8182026580098212E+18</v>
      </c>
      <c r="CIG29" s="160">
        <f t="shared" ref="CIG29" si="1131">CIE29*$C$29</f>
        <v>3.9327487377501158E+18</v>
      </c>
      <c r="CII29" s="160">
        <f t="shared" ref="CII29" si="1132">CIG29*$C$29</f>
        <v>4.0507311998826194E+18</v>
      </c>
      <c r="CIK29" s="160">
        <f t="shared" ref="CIK29" si="1133">CII29*$C$29</f>
        <v>4.1722531358790979E+18</v>
      </c>
      <c r="CIM29" s="160">
        <f t="shared" ref="CIM29" si="1134">CIK29*$C$29</f>
        <v>4.2974207299554708E+18</v>
      </c>
      <c r="CIO29" s="160">
        <f t="shared" ref="CIO29" si="1135">CIM29*$C$29</f>
        <v>4.4263433518541353E+18</v>
      </c>
      <c r="CIQ29" s="160">
        <f t="shared" ref="CIQ29" si="1136">CIO29*$C$29</f>
        <v>4.5591336524097592E+18</v>
      </c>
      <c r="CIS29" s="160">
        <f t="shared" ref="CIS29" si="1137">CIQ29*$C$29</f>
        <v>4.6959076619820524E+18</v>
      </c>
      <c r="CIU29" s="160">
        <f t="shared" ref="CIU29" si="1138">CIS29*$C$29</f>
        <v>4.8367848918415145E+18</v>
      </c>
      <c r="CIW29" s="160">
        <f t="shared" ref="CIW29" si="1139">CIU29*$C$29</f>
        <v>4.9818884385967596E+18</v>
      </c>
      <c r="CIY29" s="160">
        <f t="shared" ref="CIY29" si="1140">CIW29*$C$29</f>
        <v>5.1313450917546629E+18</v>
      </c>
      <c r="CJA29" s="160">
        <f t="shared" ref="CJA29" si="1141">CIY29*$C$29</f>
        <v>5.2852854445073029E+18</v>
      </c>
      <c r="CJC29" s="160">
        <f t="shared" ref="CJC29" si="1142">CJA29*$C$29</f>
        <v>5.4438440078425221E+18</v>
      </c>
      <c r="CJE29" s="160">
        <f t="shared" ref="CJE29" si="1143">CJC29*$C$29</f>
        <v>5.6071593280777984E+18</v>
      </c>
      <c r="CJG29" s="160">
        <f t="shared" ref="CJG29" si="1144">CJE29*$C$29</f>
        <v>5.7753741079201321E+18</v>
      </c>
      <c r="CJI29" s="160">
        <f t="shared" ref="CJI29" si="1145">CJG29*$C$29</f>
        <v>5.9486353311577364E+18</v>
      </c>
      <c r="CJK29" s="160">
        <f t="shared" ref="CJK29" si="1146">CJI29*$C$29</f>
        <v>6.1270943910924687E+18</v>
      </c>
      <c r="CJM29" s="160">
        <f t="shared" ref="CJM29" si="1147">CJK29*$C$29</f>
        <v>6.3109072228252426E+18</v>
      </c>
      <c r="CJO29" s="160">
        <f t="shared" ref="CJO29" si="1148">CJM29*$C$29</f>
        <v>6.5002344395099996E+18</v>
      </c>
      <c r="CJQ29" s="160">
        <f t="shared" ref="CJQ29" si="1149">CJO29*$C$29</f>
        <v>6.6952414726953001E+18</v>
      </c>
      <c r="CJS29" s="160">
        <f t="shared" ref="CJS29" si="1150">CJQ29*$C$29</f>
        <v>6.896098716876159E+18</v>
      </c>
      <c r="CJU29" s="160">
        <f t="shared" ref="CJU29" si="1151">CJS29*$C$29</f>
        <v>7.1029816783824435E+18</v>
      </c>
      <c r="CJW29" s="160">
        <f t="shared" ref="CJW29" si="1152">CJU29*$C$29</f>
        <v>7.3160711287339172E+18</v>
      </c>
      <c r="CJY29" s="160">
        <f t="shared" ref="CJY29" si="1153">CJW29*$C$29</f>
        <v>7.5355532625959352E+18</v>
      </c>
      <c r="CKA29" s="160">
        <f t="shared" ref="CKA29" si="1154">CJY29*$C$29</f>
        <v>7.761619860473813E+18</v>
      </c>
      <c r="CKC29" s="160">
        <f t="shared" ref="CKC29" si="1155">CKA29*$C$29</f>
        <v>7.9944684562880276E+18</v>
      </c>
      <c r="CKE29" s="160">
        <f t="shared" ref="CKE29" si="1156">CKC29*$C$29</f>
        <v>8.2343025099766692E+18</v>
      </c>
      <c r="CKG29" s="160">
        <f t="shared" ref="CKG29" si="1157">CKE29*$C$29</f>
        <v>8.4813315852759695E+18</v>
      </c>
      <c r="CKI29" s="160">
        <f t="shared" ref="CKI29" si="1158">CKG29*$C$29</f>
        <v>8.7357715328342487E+18</v>
      </c>
      <c r="CKK29" s="160">
        <f t="shared" ref="CKK29" si="1159">CKI29*$C$29</f>
        <v>8.9978446788192768E+18</v>
      </c>
      <c r="CKM29" s="160">
        <f t="shared" ref="CKM29" si="1160">CKK29*$C$29</f>
        <v>9.2677800191838556E+18</v>
      </c>
      <c r="CKO29" s="160">
        <f t="shared" ref="CKO29" si="1161">CKM29*$C$29</f>
        <v>9.5458134197593723E+18</v>
      </c>
      <c r="CKQ29" s="160">
        <f t="shared" ref="CKQ29" si="1162">CKO29*$C$29</f>
        <v>9.8321878223521546E+18</v>
      </c>
      <c r="CKS29" s="160">
        <f t="shared" ref="CKS29" si="1163">CKQ29*$C$29</f>
        <v>1.012715345702272E+19</v>
      </c>
      <c r="CKU29" s="160">
        <f t="shared" ref="CKU29" si="1164">CKS29*$C$29</f>
        <v>1.0430968060733401E+19</v>
      </c>
      <c r="CKW29" s="160">
        <f t="shared" ref="CKW29" si="1165">CKU29*$C$29</f>
        <v>1.0743897102555404E+19</v>
      </c>
      <c r="CKY29" s="160">
        <f t="shared" ref="CKY29" si="1166">CKW29*$C$29</f>
        <v>1.1066214015632067E+19</v>
      </c>
      <c r="CLA29" s="160">
        <f t="shared" ref="CLA29" si="1167">CKY29*$C$29</f>
        <v>1.1398200436101028E+19</v>
      </c>
      <c r="CLC29" s="160">
        <f t="shared" ref="CLC29" si="1168">CLA29*$C$29</f>
        <v>1.1740146449184059E+19</v>
      </c>
      <c r="CLE29" s="160">
        <f t="shared" ref="CLE29" si="1169">CLC29*$C$29</f>
        <v>1.2092350842659582E+19</v>
      </c>
      <c r="CLG29" s="160">
        <f t="shared" ref="CLG29" si="1170">CLE29*$C$29</f>
        <v>1.2455121367939369E+19</v>
      </c>
      <c r="CLI29" s="160">
        <f t="shared" ref="CLI29" si="1171">CLG29*$C$29</f>
        <v>1.2828775008977551E+19</v>
      </c>
      <c r="CLK29" s="160">
        <f t="shared" ref="CLK29" si="1172">CLI29*$C$29</f>
        <v>1.3213638259246879E+19</v>
      </c>
      <c r="CLM29" s="160">
        <f t="shared" ref="CLM29" si="1173">CLK29*$C$29</f>
        <v>1.3610047407024286E+19</v>
      </c>
      <c r="CLO29" s="160">
        <f t="shared" ref="CLO29" si="1174">CLM29*$C$29</f>
        <v>1.4018348829235014E+19</v>
      </c>
      <c r="CLQ29" s="160">
        <f t="shared" ref="CLQ29" si="1175">CLO29*$C$29</f>
        <v>1.4438899294112063E+19</v>
      </c>
      <c r="CLS29" s="160">
        <f t="shared" ref="CLS29" si="1176">CLQ29*$C$29</f>
        <v>1.4872066272935426E+19</v>
      </c>
      <c r="CLU29" s="160">
        <f t="shared" ref="CLU29" si="1177">CLS29*$C$29</f>
        <v>1.531822826112349E+19</v>
      </c>
      <c r="CLW29" s="160">
        <f t="shared" ref="CLW29" si="1178">CLU29*$C$29</f>
        <v>1.5777775108957194E+19</v>
      </c>
      <c r="CLY29" s="160">
        <f t="shared" ref="CLY29" si="1179">CLW29*$C$29</f>
        <v>1.625110836222591E+19</v>
      </c>
      <c r="CMA29" s="160">
        <f t="shared" ref="CMA29" si="1180">CLY29*$C$29</f>
        <v>1.6738641613092688E+19</v>
      </c>
      <c r="CMC29" s="160">
        <f t="shared" ref="CMC29" si="1181">CMA29*$C$29</f>
        <v>1.724080086148547E+19</v>
      </c>
      <c r="CME29" s="160">
        <f t="shared" ref="CME29" si="1182">CMC29*$C$29</f>
        <v>1.7758024887330034E+19</v>
      </c>
      <c r="CMG29" s="160">
        <f t="shared" ref="CMG29" si="1183">CME29*$C$29</f>
        <v>1.8290765633949936E+19</v>
      </c>
      <c r="CMI29" s="160">
        <f t="shared" ref="CMI29" si="1184">CMG29*$C$29</f>
        <v>1.8839488602968433E+19</v>
      </c>
      <c r="CMK29" s="160">
        <f t="shared" ref="CMK29" si="1185">CMI29*$C$29</f>
        <v>1.9404673261057487E+19</v>
      </c>
      <c r="CMM29" s="160">
        <f t="shared" ref="CMM29" si="1186">CMK29*$C$29</f>
        <v>1.9986813458889212E+19</v>
      </c>
      <c r="CMO29" s="160">
        <f t="shared" ref="CMO29" si="1187">CMM29*$C$29</f>
        <v>2.0586417862655889E+19</v>
      </c>
      <c r="CMQ29" s="160">
        <f t="shared" ref="CMQ29" si="1188">CMO29*$C$29</f>
        <v>2.1204010398535565E+19</v>
      </c>
      <c r="CMS29" s="160">
        <f t="shared" ref="CMS29" si="1189">CMQ29*$C$29</f>
        <v>2.1840130710491632E+19</v>
      </c>
      <c r="CMU29" s="160">
        <f t="shared" ref="CMU29" si="1190">CMS29*$C$29</f>
        <v>2.2495334631806382E+19</v>
      </c>
      <c r="CMW29" s="160">
        <f t="shared" ref="CMW29" si="1191">CMU29*$C$29</f>
        <v>2.3170194670760575E+19</v>
      </c>
      <c r="CMY29" s="160">
        <f t="shared" ref="CMY29" si="1192">CMW29*$C$29</f>
        <v>2.3865300510883394E+19</v>
      </c>
      <c r="CNA29" s="160">
        <f t="shared" ref="CNA29" si="1193">CMY29*$C$29</f>
        <v>2.4581259526209896E+19</v>
      </c>
      <c r="CNC29" s="160">
        <f t="shared" ref="CNC29" si="1194">CNA29*$C$29</f>
        <v>2.5318697311996195E+19</v>
      </c>
      <c r="CNE29" s="160">
        <f t="shared" ref="CNE29" si="1195">CNC29*$C$29</f>
        <v>2.607825823135608E+19</v>
      </c>
      <c r="CNG29" s="160">
        <f t="shared" ref="CNG29" si="1196">CNE29*$C$29</f>
        <v>2.6860605978296762E+19</v>
      </c>
      <c r="CNI29" s="160">
        <f t="shared" ref="CNI29" si="1197">CNG29*$C$29</f>
        <v>2.7666424157645664E+19</v>
      </c>
      <c r="CNK29" s="160">
        <f t="shared" ref="CNK29" si="1198">CNI29*$C$29</f>
        <v>2.8496416882375037E+19</v>
      </c>
      <c r="CNM29" s="160">
        <f t="shared" ref="CNM29" si="1199">CNK29*$C$29</f>
        <v>2.9351309388846289E+19</v>
      </c>
      <c r="CNO29" s="160">
        <f t="shared" ref="CNO29" si="1200">CNM29*$C$29</f>
        <v>3.0231848670511677E+19</v>
      </c>
      <c r="CNQ29" s="160">
        <f t="shared" ref="CNQ29" si="1201">CNO29*$C$29</f>
        <v>3.1138804130627027E+19</v>
      </c>
      <c r="CNS29" s="160">
        <f t="shared" ref="CNS29" si="1202">CNQ29*$C$29</f>
        <v>3.2072968254545838E+19</v>
      </c>
      <c r="CNU29" s="160">
        <f t="shared" ref="CNU29" si="1203">CNS29*$C$29</f>
        <v>3.3035157302182216E+19</v>
      </c>
      <c r="CNW29" s="160">
        <f t="shared" ref="CNW29" si="1204">CNU29*$C$29</f>
        <v>3.4026212021247685E+19</v>
      </c>
      <c r="CNY29" s="160">
        <f t="shared" ref="CNY29" si="1205">CNW29*$C$29</f>
        <v>3.5046998381885116E+19</v>
      </c>
      <c r="COA29" s="160">
        <f t="shared" ref="COA29" si="1206">CNY29*$C$29</f>
        <v>3.6098408333341671E+19</v>
      </c>
      <c r="COC29" s="160">
        <f t="shared" ref="COC29" si="1207">COA29*$C$29</f>
        <v>3.7181360583341924E+19</v>
      </c>
      <c r="COE29" s="160">
        <f t="shared" ref="COE29" si="1208">COC29*$C$29</f>
        <v>3.8296801400842183E+19</v>
      </c>
      <c r="COG29" s="160">
        <f t="shared" ref="COG29" si="1209">COE29*$C$29</f>
        <v>3.9445705442867446E+19</v>
      </c>
      <c r="COI29" s="160">
        <f t="shared" ref="COI29" si="1210">COG29*$C$29</f>
        <v>4.0629076606153474E+19</v>
      </c>
      <c r="COK29" s="160">
        <f t="shared" ref="COK29" si="1211">COI29*$C$29</f>
        <v>4.184794890433808E+19</v>
      </c>
      <c r="COM29" s="160">
        <f t="shared" ref="COM29" si="1212">COK29*$C$29</f>
        <v>4.3103387371468227E+19</v>
      </c>
      <c r="COO29" s="160">
        <f t="shared" ref="COO29" si="1213">COM29*$C$29</f>
        <v>4.4396488992612278E+19</v>
      </c>
      <c r="COQ29" s="160">
        <f t="shared" ref="COQ29" si="1214">COO29*$C$29</f>
        <v>4.5728383662390649E+19</v>
      </c>
      <c r="COS29" s="160">
        <f t="shared" ref="COS29" si="1215">COQ29*$C$29</f>
        <v>4.7100235172262371E+19</v>
      </c>
      <c r="COU29" s="160">
        <f t="shared" ref="COU29" si="1216">COS29*$C$29</f>
        <v>4.8513242227430244E+19</v>
      </c>
      <c r="COW29" s="160">
        <f t="shared" ref="COW29" si="1217">COU29*$C$29</f>
        <v>4.996863949425315E+19</v>
      </c>
      <c r="COY29" s="160">
        <f t="shared" ref="COY29" si="1218">COW29*$C$29</f>
        <v>5.1467698679080747E+19</v>
      </c>
      <c r="CPA29" s="160">
        <f t="shared" ref="CPA29" si="1219">COY29*$C$29</f>
        <v>5.3011729639453172E+19</v>
      </c>
      <c r="CPC29" s="160">
        <f t="shared" ref="CPC29" si="1220">CPA29*$C$29</f>
        <v>5.4602081528636768E+19</v>
      </c>
      <c r="CPE29" s="160">
        <f t="shared" ref="CPE29" si="1221">CPC29*$C$29</f>
        <v>5.6240143974495871E+19</v>
      </c>
      <c r="CPG29" s="160">
        <f t="shared" ref="CPG29" si="1222">CPE29*$C$29</f>
        <v>5.7927348293730746E+19</v>
      </c>
      <c r="CPI29" s="160">
        <f t="shared" ref="CPI29" si="1223">CPG29*$C$29</f>
        <v>5.9665168742542672E+19</v>
      </c>
      <c r="CPK29" s="160">
        <f t="shared" ref="CPK29" si="1224">CPI29*$C$29</f>
        <v>6.1455123804818956E+19</v>
      </c>
      <c r="CPM29" s="160">
        <f t="shared" ref="CPM29" si="1225">CPK29*$C$29</f>
        <v>6.3298777518963524E+19</v>
      </c>
      <c r="CPO29" s="160">
        <f t="shared" ref="CPO29" si="1226">CPM29*$C$29</f>
        <v>6.5197740844532433E+19</v>
      </c>
      <c r="CPQ29" s="160">
        <f t="shared" ref="CPQ29" si="1227">CPO29*$C$29</f>
        <v>6.7153673069868409E+19</v>
      </c>
      <c r="CPS29" s="160">
        <f t="shared" ref="CPS29" si="1228">CPQ29*$C$29</f>
        <v>6.916828326196446E+19</v>
      </c>
      <c r="CPU29" s="160">
        <f t="shared" ref="CPU29" si="1229">CPS29*$C$29</f>
        <v>7.1243331759823397E+19</v>
      </c>
      <c r="CPW29" s="160">
        <f t="shared" ref="CPW29" si="1230">CPU29*$C$29</f>
        <v>7.3380631712618103E+19</v>
      </c>
      <c r="CPY29" s="160">
        <f t="shared" ref="CPY29" si="1231">CPW29*$C$29</f>
        <v>7.5582050663996654E+19</v>
      </c>
      <c r="CQA29" s="160">
        <f t="shared" ref="CQA29" si="1232">CPY29*$C$29</f>
        <v>7.784951218391656E+19</v>
      </c>
      <c r="CQC29" s="160">
        <f t="shared" ref="CQC29" si="1233">CQA29*$C$29</f>
        <v>8.0184997549434061E+19</v>
      </c>
      <c r="CQE29" s="160">
        <f t="shared" ref="CQE29" si="1234">CQC29*$C$29</f>
        <v>8.2590547475917079E+19</v>
      </c>
      <c r="CQG29" s="160">
        <f t="shared" ref="CQG29" si="1235">CQE29*$C$29</f>
        <v>8.5068263900194587E+19</v>
      </c>
      <c r="CQI29" s="160">
        <f t="shared" ref="CQI29" si="1236">CQG29*$C$29</f>
        <v>8.7620311817200419E+19</v>
      </c>
      <c r="CQK29" s="160">
        <f t="shared" ref="CQK29" si="1237">CQI29*$C$29</f>
        <v>9.024892117171644E+19</v>
      </c>
      <c r="CQM29" s="160">
        <f t="shared" ref="CQM29" si="1238">CQK29*$C$29</f>
        <v>9.2956388806867943E+19</v>
      </c>
      <c r="CQO29" s="160">
        <f t="shared" ref="CQO29" si="1239">CQM29*$C$29</f>
        <v>9.574508047107398E+19</v>
      </c>
      <c r="CQQ29" s="160">
        <f t="shared" ref="CQQ29" si="1240">CQO29*$C$29</f>
        <v>9.8617432885206204E+19</v>
      </c>
      <c r="CQS29" s="160">
        <f t="shared" ref="CQS29" si="1241">CQQ29*$C$29</f>
        <v>1.015759558717624E+20</v>
      </c>
      <c r="CQU29" s="160">
        <f t="shared" ref="CQU29" si="1242">CQS29*$C$29</f>
        <v>1.0462323454791528E+20</v>
      </c>
      <c r="CQW29" s="160">
        <f t="shared" ref="CQW29" si="1243">CQU29*$C$29</f>
        <v>1.0776193158435273E+20</v>
      </c>
      <c r="CQY29" s="160">
        <f t="shared" ref="CQY29" si="1244">CQW29*$C$29</f>
        <v>1.1099478953188332E+20</v>
      </c>
      <c r="CRA29" s="160">
        <f t="shared" ref="CRA29" si="1245">CQY29*$C$29</f>
        <v>1.1432463321783982E+20</v>
      </c>
      <c r="CRC29" s="160">
        <f t="shared" ref="CRC29" si="1246">CRA29*$C$29</f>
        <v>1.1775437221437502E+20</v>
      </c>
      <c r="CRE29" s="160">
        <f t="shared" ref="CRE29" si="1247">CRC29*$C$29</f>
        <v>1.2128700338080627E+20</v>
      </c>
      <c r="CRG29" s="160">
        <f t="shared" ref="CRG29" si="1248">CRE29*$C$29</f>
        <v>1.2492561348223046E+20</v>
      </c>
      <c r="CRI29" s="160">
        <f t="shared" ref="CRI29" si="1249">CRG29*$C$29</f>
        <v>1.2867338188669737E+20</v>
      </c>
      <c r="CRK29" s="160">
        <f t="shared" ref="CRK29" si="1250">CRI29*$C$29</f>
        <v>1.325335833432983E+20</v>
      </c>
      <c r="CRM29" s="160">
        <f t="shared" ref="CRM29" si="1251">CRK29*$C$29</f>
        <v>1.3650959084359724E+20</v>
      </c>
      <c r="CRO29" s="160">
        <f t="shared" ref="CRO29" si="1252">CRM29*$C$29</f>
        <v>1.4060487856890516E+20</v>
      </c>
      <c r="CRQ29" s="160">
        <f t="shared" ref="CRQ29" si="1253">CRO29*$C$29</f>
        <v>1.4482302492597232E+20</v>
      </c>
      <c r="CRS29" s="160">
        <f t="shared" ref="CRS29" si="1254">CRQ29*$C$29</f>
        <v>1.4916771567375149E+20</v>
      </c>
      <c r="CRU29" s="160">
        <f t="shared" ref="CRU29" si="1255">CRS29*$C$29</f>
        <v>1.5364274714396403E+20</v>
      </c>
      <c r="CRW29" s="160">
        <f t="shared" ref="CRW29" si="1256">CRU29*$C$29</f>
        <v>1.5825202955828294E+20</v>
      </c>
      <c r="CRY29" s="160">
        <f t="shared" ref="CRY29" si="1257">CRW29*$C$29</f>
        <v>1.6299959044503142E+20</v>
      </c>
      <c r="CSA29" s="160">
        <f t="shared" ref="CSA29" si="1258">CRY29*$C$29</f>
        <v>1.6788957815838238E+20</v>
      </c>
      <c r="CSC29" s="160">
        <f t="shared" ref="CSC29" si="1259">CSA29*$C$29</f>
        <v>1.7292626550313386E+20</v>
      </c>
      <c r="CSE29" s="160">
        <f t="shared" ref="CSE29" si="1260">CSC29*$C$29</f>
        <v>1.781140534682279E+20</v>
      </c>
      <c r="CSG29" s="160">
        <f t="shared" ref="CSG29" si="1261">CSE29*$C$29</f>
        <v>1.8345747507227473E+20</v>
      </c>
      <c r="CSI29" s="160">
        <f t="shared" ref="CSI29" si="1262">CSG29*$C$29</f>
        <v>1.8896119932444298E+20</v>
      </c>
      <c r="CSK29" s="160">
        <f t="shared" ref="CSK29" si="1263">CSI29*$C$29</f>
        <v>1.9463003530417629E+20</v>
      </c>
      <c r="CSM29" s="160">
        <f t="shared" ref="CSM29" si="1264">CSK29*$C$29</f>
        <v>2.0046893636330157E+20</v>
      </c>
      <c r="CSO29" s="160">
        <f t="shared" ref="CSO29" si="1265">CSM29*$C$29</f>
        <v>2.0648300445420061E+20</v>
      </c>
      <c r="CSQ29" s="160">
        <f t="shared" ref="CSQ29" si="1266">CSO29*$C$29</f>
        <v>2.1267749458782663E+20</v>
      </c>
      <c r="CSS29" s="160">
        <f t="shared" ref="CSS29" si="1267">CSQ29*$C$29</f>
        <v>2.1905781942546144E+20</v>
      </c>
      <c r="CSU29" s="160">
        <f t="shared" ref="CSU29" si="1268">CSS29*$C$29</f>
        <v>2.2562955400822528E+20</v>
      </c>
      <c r="CSW29" s="160">
        <f t="shared" ref="CSW29" si="1269">CSU29*$C$29</f>
        <v>2.3239844062847205E+20</v>
      </c>
      <c r="CSY29" s="160">
        <f t="shared" ref="CSY29" si="1270">CSW29*$C$29</f>
        <v>2.3937039384732621E+20</v>
      </c>
      <c r="CTA29" s="160">
        <f t="shared" ref="CTA29" si="1271">CSY29*$C$29</f>
        <v>2.46551505662746E+20</v>
      </c>
      <c r="CTC29" s="160">
        <f t="shared" ref="CTC29" si="1272">CTA29*$C$29</f>
        <v>2.5394805083262838E+20</v>
      </c>
      <c r="CTE29" s="160">
        <f t="shared" ref="CTE29" si="1273">CTC29*$C$29</f>
        <v>2.6156649235760723E+20</v>
      </c>
      <c r="CTG29" s="160">
        <f t="shared" ref="CTG29" si="1274">CTE29*$C$29</f>
        <v>2.6941348712833545E+20</v>
      </c>
      <c r="CTI29" s="160">
        <f t="shared" ref="CTI29" si="1275">CTG29*$C$29</f>
        <v>2.7749589174218552E+20</v>
      </c>
      <c r="CTK29" s="160">
        <f t="shared" ref="CTK29" si="1276">CTI29*$C$29</f>
        <v>2.858207684944511E+20</v>
      </c>
      <c r="CTM29" s="160">
        <f t="shared" ref="CTM29" si="1277">CTK29*$C$29</f>
        <v>2.9439539154928465E+20</v>
      </c>
      <c r="CTO29" s="160">
        <f t="shared" ref="CTO29" si="1278">CTM29*$C$29</f>
        <v>3.0322725329576323E+20</v>
      </c>
      <c r="CTQ29" s="160">
        <f t="shared" ref="CTQ29" si="1279">CTO29*$C$29</f>
        <v>3.1232407089463611E+20</v>
      </c>
      <c r="CTS29" s="160">
        <f t="shared" ref="CTS29" si="1280">CTQ29*$C$29</f>
        <v>3.2169379302147523E+20</v>
      </c>
      <c r="CTU29" s="160">
        <f t="shared" ref="CTU29" si="1281">CTS29*$C$29</f>
        <v>3.313446068121195E+20</v>
      </c>
      <c r="CTW29" s="160">
        <f t="shared" ref="CTW29" si="1282">CTU29*$C$29</f>
        <v>3.4128494501648309E+20</v>
      </c>
      <c r="CTY29" s="160">
        <f t="shared" ref="CTY29" si="1283">CTW29*$C$29</f>
        <v>3.5152349336697759E+20</v>
      </c>
      <c r="CUA29" s="160">
        <f t="shared" ref="CUA29" si="1284">CTY29*$C$29</f>
        <v>3.6206919816798693E+20</v>
      </c>
      <c r="CUC29" s="160">
        <f t="shared" ref="CUC29" si="1285">CUA29*$C$29</f>
        <v>3.7293127411302656E+20</v>
      </c>
      <c r="CUE29" s="160">
        <f t="shared" ref="CUE29" si="1286">CUC29*$C$29</f>
        <v>3.8411921233641734E+20</v>
      </c>
      <c r="CUG29" s="160">
        <f t="shared" ref="CUG29" si="1287">CUE29*$C$29</f>
        <v>3.9564278870650985E+20</v>
      </c>
      <c r="CUI29" s="160">
        <f t="shared" ref="CUI29" si="1288">CUG29*$C$29</f>
        <v>4.0751207236770516E+20</v>
      </c>
      <c r="CUK29" s="160">
        <f t="shared" ref="CUK29" si="1289">CUI29*$C$29</f>
        <v>4.1973743453873635E+20</v>
      </c>
      <c r="CUM29" s="160">
        <f t="shared" ref="CUM29" si="1290">CUK29*$C$29</f>
        <v>4.3232955757489848E+20</v>
      </c>
      <c r="CUO29" s="160">
        <f t="shared" ref="CUO29" si="1291">CUM29*$C$29</f>
        <v>4.4529944430214545E+20</v>
      </c>
      <c r="CUQ29" s="160">
        <f t="shared" ref="CUQ29" si="1292">CUO29*$C$29</f>
        <v>4.5865842763120981E+20</v>
      </c>
      <c r="CUS29" s="160">
        <f t="shared" ref="CUS29" si="1293">CUQ29*$C$29</f>
        <v>4.7241818046014613E+20</v>
      </c>
      <c r="CUU29" s="160">
        <f t="shared" ref="CUU29" si="1294">CUS29*$C$29</f>
        <v>4.8659072587395052E+20</v>
      </c>
      <c r="CUW29" s="160">
        <f t="shared" ref="CUW29" si="1295">CUU29*$C$29</f>
        <v>5.0118844765016903E+20</v>
      </c>
      <c r="CUY29" s="160">
        <f t="shared" ref="CUY29" si="1296">CUW29*$C$29</f>
        <v>5.1622410107967413E+20</v>
      </c>
      <c r="CVA29" s="160">
        <f t="shared" ref="CVA29" si="1297">CUY29*$C$29</f>
        <v>5.3171082411206436E+20</v>
      </c>
      <c r="CVC29" s="160">
        <f t="shared" ref="CVC29" si="1298">CVA29*$C$29</f>
        <v>5.476621488354263E+20</v>
      </c>
      <c r="CVE29" s="160">
        <f t="shared" ref="CVE29" si="1299">CVC29*$C$29</f>
        <v>5.6409201330048913E+20</v>
      </c>
      <c r="CVG29" s="160">
        <f t="shared" ref="CVG29" si="1300">CVE29*$C$29</f>
        <v>5.8101477369950378E+20</v>
      </c>
      <c r="CVI29" s="160">
        <f t="shared" ref="CVI29" si="1301">CVG29*$C$29</f>
        <v>5.984452169104889E+20</v>
      </c>
      <c r="CVK29" s="160">
        <f t="shared" ref="CVK29" si="1302">CVI29*$C$29</f>
        <v>6.1639857341780355E+20</v>
      </c>
      <c r="CVM29" s="160">
        <f t="shared" ref="CVM29" si="1303">CVK29*$C$29</f>
        <v>6.3489053062033768E+20</v>
      </c>
      <c r="CVO29" s="160">
        <f t="shared" ref="CVO29" si="1304">CVM29*$C$29</f>
        <v>6.5393724653894789E+20</v>
      </c>
      <c r="CVQ29" s="160">
        <f t="shared" ref="CVQ29" si="1305">CVO29*$C$29</f>
        <v>6.7355536393511633E+20</v>
      </c>
      <c r="CVS29" s="160">
        <f t="shared" ref="CVS29" si="1306">CVQ29*$C$29</f>
        <v>6.937620248531699E+20</v>
      </c>
      <c r="CVU29" s="160">
        <f t="shared" ref="CVU29" si="1307">CVS29*$C$29</f>
        <v>7.1457488559876499E+20</v>
      </c>
      <c r="CVW29" s="160">
        <f t="shared" ref="CVW29" si="1308">CVU29*$C$29</f>
        <v>7.3601213216672802E+20</v>
      </c>
      <c r="CVY29" s="160">
        <f t="shared" ref="CVY29" si="1309">CVW29*$C$29</f>
        <v>7.5809249613172992E+20</v>
      </c>
      <c r="CWA29" s="160">
        <f t="shared" ref="CWA29" si="1310">CVY29*$C$29</f>
        <v>7.8083527101568188E+20</v>
      </c>
      <c r="CWC29" s="160">
        <f t="shared" ref="CWC29" si="1311">CWA29*$C$29</f>
        <v>8.0426032914615239E+20</v>
      </c>
      <c r="CWE29" s="160">
        <f t="shared" ref="CWE29" si="1312">CWC29*$C$29</f>
        <v>8.2838813902053704E+20</v>
      </c>
      <c r="CWG29" s="160">
        <f t="shared" ref="CWG29" si="1313">CWE29*$C$29</f>
        <v>8.5323978319115321E+20</v>
      </c>
      <c r="CWI29" s="160">
        <f t="shared" ref="CWI29" si="1314">CWG29*$C$29</f>
        <v>8.7883697668688786E+20</v>
      </c>
      <c r="CWK29" s="160">
        <f t="shared" ref="CWK29" si="1315">CWI29*$C$29</f>
        <v>9.0520208598749453E+20</v>
      </c>
      <c r="CWM29" s="160">
        <f t="shared" ref="CWM29" si="1316">CWK29*$C$29</f>
        <v>9.3235814856711943E+20</v>
      </c>
      <c r="CWO29" s="160">
        <f t="shared" ref="CWO29" si="1317">CWM29*$C$29</f>
        <v>9.6032889302413305E+20</v>
      </c>
      <c r="CWQ29" s="160">
        <f t="shared" ref="CWQ29" si="1318">CWO29*$C$29</f>
        <v>9.891387598148571E+20</v>
      </c>
      <c r="CWS29" s="160">
        <f t="shared" ref="CWS29" si="1319">CWQ29*$C$29</f>
        <v>1.0188129226093029E+21</v>
      </c>
      <c r="CWU29" s="160">
        <f t="shared" ref="CWU29" si="1320">CWS29*$C$29</f>
        <v>1.0493773102875821E+21</v>
      </c>
      <c r="CWW29" s="160">
        <f t="shared" ref="CWW29" si="1321">CWU29*$C$29</f>
        <v>1.0808586295962096E+21</v>
      </c>
      <c r="CWY29" s="160">
        <f t="shared" ref="CWY29" si="1322">CWW29*$C$29</f>
        <v>1.1132843884840959E+21</v>
      </c>
      <c r="CXA29" s="160">
        <f t="shared" ref="CXA29" si="1323">CWY29*$C$29</f>
        <v>1.1466829201386188E+21</v>
      </c>
      <c r="CXC29" s="160">
        <f t="shared" ref="CXC29" si="1324">CXA29*$C$29</f>
        <v>1.1810834077427774E+21</v>
      </c>
      <c r="CXE29" s="160">
        <f t="shared" ref="CXE29" si="1325">CXC29*$C$29</f>
        <v>1.2165159099750608E+21</v>
      </c>
      <c r="CXG29" s="160">
        <f t="shared" ref="CXG29" si="1326">CXE29*$C$29</f>
        <v>1.2530113872743125E+21</v>
      </c>
      <c r="CXI29" s="160">
        <f t="shared" ref="CXI29" si="1327">CXG29*$C$29</f>
        <v>1.2906017288925419E+21</v>
      </c>
      <c r="CXK29" s="160">
        <f t="shared" ref="CXK29" si="1328">CXI29*$C$29</f>
        <v>1.329319780759318E+21</v>
      </c>
      <c r="CXM29" s="160">
        <f t="shared" ref="CXM29" si="1329">CXK29*$C$29</f>
        <v>1.3691993741820976E+21</v>
      </c>
      <c r="CXO29" s="160">
        <f t="shared" ref="CXO29" si="1330">CXM29*$C$29</f>
        <v>1.4102753554075605E+21</v>
      </c>
      <c r="CXQ29" s="160">
        <f t="shared" ref="CXQ29" si="1331">CXO29*$C$29</f>
        <v>1.4525836160697875E+21</v>
      </c>
      <c r="CXS29" s="160">
        <f t="shared" ref="CXS29" si="1332">CXQ29*$C$29</f>
        <v>1.4961611245518811E+21</v>
      </c>
      <c r="CXU29" s="160">
        <f t="shared" ref="CXU29" si="1333">CXS29*$C$29</f>
        <v>1.5410459582884377E+21</v>
      </c>
      <c r="CXW29" s="160">
        <f t="shared" ref="CXW29" si="1334">CXU29*$C$29</f>
        <v>1.5872773370370908E+21</v>
      </c>
      <c r="CXY29" s="160">
        <f t="shared" ref="CXY29" si="1335">CXW29*$C$29</f>
        <v>1.6348956571482037E+21</v>
      </c>
      <c r="CYA29" s="160">
        <f t="shared" ref="CYA29" si="1336">CXY29*$C$29</f>
        <v>1.6839425268626497E+21</v>
      </c>
      <c r="CYC29" s="160">
        <f t="shared" ref="CYC29" si="1337">CYA29*$C$29</f>
        <v>1.7344608026685292E+21</v>
      </c>
      <c r="CYE29" s="160">
        <f t="shared" ref="CYE29" si="1338">CYC29*$C$29</f>
        <v>1.7864946267485852E+21</v>
      </c>
      <c r="CYG29" s="160">
        <f t="shared" ref="CYG29" si="1339">CYE29*$C$29</f>
        <v>1.8400894655510429E+21</v>
      </c>
      <c r="CYI29" s="160">
        <f t="shared" ref="CYI29" si="1340">CYG29*$C$29</f>
        <v>1.8952921495175742E+21</v>
      </c>
      <c r="CYK29" s="160">
        <f t="shared" ref="CYK29" si="1341">CYI29*$C$29</f>
        <v>1.9521509140031015E+21</v>
      </c>
      <c r="CYM29" s="160">
        <f t="shared" ref="CYM29" si="1342">CYK29*$C$29</f>
        <v>2.0107154414231945E+21</v>
      </c>
      <c r="CYO29" s="160">
        <f t="shared" ref="CYO29" si="1343">CYM29*$C$29</f>
        <v>2.0710369046658904E+21</v>
      </c>
      <c r="CYQ29" s="160">
        <f t="shared" ref="CYQ29" si="1344">CYO29*$C$29</f>
        <v>2.1331680118058671E+21</v>
      </c>
      <c r="CYS29" s="160">
        <f t="shared" ref="CYS29" si="1345">CYQ29*$C$29</f>
        <v>2.1971630521600432E+21</v>
      </c>
      <c r="CYU29" s="160">
        <f t="shared" ref="CYU29" si="1346">CYS29*$C$29</f>
        <v>2.2630779437248445E+21</v>
      </c>
      <c r="CYW29" s="160">
        <f t="shared" ref="CYW29" si="1347">CYU29*$C$29</f>
        <v>2.33097028203659E+21</v>
      </c>
      <c r="CYY29" s="160">
        <f t="shared" ref="CYY29" si="1348">CYW29*$C$29</f>
        <v>2.4008993904976876E+21</v>
      </c>
      <c r="CZA29" s="160">
        <f t="shared" ref="CZA29" si="1349">CYY29*$C$29</f>
        <v>2.4729263722126183E+21</v>
      </c>
      <c r="CZC29" s="160">
        <f t="shared" ref="CZC29" si="1350">CZA29*$C$29</f>
        <v>2.5471141633789972E+21</v>
      </c>
      <c r="CZE29" s="160">
        <f t="shared" ref="CZE29" si="1351">CZC29*$C$29</f>
        <v>2.6235275882803673E+21</v>
      </c>
      <c r="CZG29" s="160">
        <f t="shared" ref="CZG29" si="1352">CZE29*$C$29</f>
        <v>2.7022334159287783E+21</v>
      </c>
      <c r="CZI29" s="160">
        <f t="shared" ref="CZI29" si="1353">CZG29*$C$29</f>
        <v>2.7833004184066416E+21</v>
      </c>
      <c r="CZK29" s="160">
        <f t="shared" ref="CZK29" si="1354">CZI29*$C$29</f>
        <v>2.8667994309588408E+21</v>
      </c>
      <c r="CZM29" s="160">
        <f t="shared" ref="CZM29" si="1355">CZK29*$C$29</f>
        <v>2.9528034138876061E+21</v>
      </c>
      <c r="CZO29" s="160">
        <f t="shared" ref="CZO29" si="1356">CZM29*$C$29</f>
        <v>3.0413875163042341E+21</v>
      </c>
      <c r="CZQ29" s="160">
        <f t="shared" ref="CZQ29" si="1357">CZO29*$C$29</f>
        <v>3.1326291417933614E+21</v>
      </c>
      <c r="CZS29" s="160">
        <f t="shared" ref="CZS29" si="1358">CZQ29*$C$29</f>
        <v>3.2266080160471623E+21</v>
      </c>
      <c r="CZU29" s="160">
        <f t="shared" ref="CZU29" si="1359">CZS29*$C$29</f>
        <v>3.323406256528577E+21</v>
      </c>
      <c r="CZW29" s="160">
        <f t="shared" ref="CZW29" si="1360">CZU29*$C$29</f>
        <v>3.4231084442244345E+21</v>
      </c>
      <c r="CZY29" s="160">
        <f t="shared" ref="CZY29" si="1361">CZW29*$C$29</f>
        <v>3.5258016975511675E+21</v>
      </c>
      <c r="DAA29" s="160">
        <f t="shared" ref="DAA29" si="1362">CZY29*$C$29</f>
        <v>3.6315757484777029E+21</v>
      </c>
      <c r="DAC29" s="160">
        <f t="shared" ref="DAC29" si="1363">DAA29*$C$29</f>
        <v>3.7405230209320343E+21</v>
      </c>
      <c r="DAE29" s="160">
        <f t="shared" ref="DAE29" si="1364">DAC29*$C$29</f>
        <v>3.8527387115599954E+21</v>
      </c>
      <c r="DAG29" s="160">
        <f t="shared" ref="DAG29" si="1365">DAE29*$C$29</f>
        <v>3.9683208729067955E+21</v>
      </c>
      <c r="DAI29" s="160">
        <f t="shared" ref="DAI29" si="1366">DAG29*$C$29</f>
        <v>4.0873704990939996E+21</v>
      </c>
      <c r="DAK29" s="160">
        <f t="shared" ref="DAK29" si="1367">DAI29*$C$29</f>
        <v>4.2099916140668199E+21</v>
      </c>
      <c r="DAM29" s="160">
        <f t="shared" ref="DAM29" si="1368">DAK29*$C$29</f>
        <v>4.3362913624888244E+21</v>
      </c>
      <c r="DAO29" s="160">
        <f t="shared" ref="DAO29" si="1369">DAM29*$C$29</f>
        <v>4.4663801033634894E+21</v>
      </c>
      <c r="DAQ29" s="160">
        <f t="shared" ref="DAQ29" si="1370">DAO29*$C$29</f>
        <v>4.6003715064643941E+21</v>
      </c>
      <c r="DAS29" s="160">
        <f t="shared" ref="DAS29" si="1371">DAQ29*$C$29</f>
        <v>4.7383826516583257E+21</v>
      </c>
      <c r="DAU29" s="160">
        <f t="shared" ref="DAU29" si="1372">DAS29*$C$29</f>
        <v>4.8805341312080759E+21</v>
      </c>
      <c r="DAW29" s="160">
        <f t="shared" ref="DAW29" si="1373">DAU29*$C$29</f>
        <v>5.0269501551443182E+21</v>
      </c>
      <c r="DAY29" s="160">
        <f t="shared" ref="DAY29" si="1374">DAW29*$C$29</f>
        <v>5.1777586597986482E+21</v>
      </c>
      <c r="DBA29" s="160">
        <f t="shared" ref="DBA29" si="1375">DAY29*$C$29</f>
        <v>5.3330914195926082E+21</v>
      </c>
      <c r="DBC29" s="160">
        <f t="shared" ref="DBC29" si="1376">DBA29*$C$29</f>
        <v>5.4930841621803869E+21</v>
      </c>
      <c r="DBE29" s="160">
        <f t="shared" ref="DBE29" si="1377">DBC29*$C$29</f>
        <v>5.6578766870457992E+21</v>
      </c>
      <c r="DBG29" s="160">
        <f t="shared" ref="DBG29" si="1378">DBE29*$C$29</f>
        <v>5.8276129876571733E+21</v>
      </c>
      <c r="DBI29" s="160">
        <f t="shared" ref="DBI29" si="1379">DBG29*$C$29</f>
        <v>6.0024413772868884E+21</v>
      </c>
      <c r="DBK29" s="160">
        <f t="shared" ref="DBK29" si="1380">DBI29*$C$29</f>
        <v>6.1825146186054951E+21</v>
      </c>
      <c r="DBM29" s="160">
        <f t="shared" ref="DBM29" si="1381">DBK29*$C$29</f>
        <v>6.3679900571636597E+21</v>
      </c>
      <c r="DBO29" s="160">
        <f t="shared" ref="DBO29" si="1382">DBM29*$C$29</f>
        <v>6.55902975887857E+21</v>
      </c>
      <c r="DBQ29" s="160">
        <f t="shared" ref="DBQ29" si="1383">DBO29*$C$29</f>
        <v>6.755800651644927E+21</v>
      </c>
      <c r="DBS29" s="160">
        <f t="shared" ref="DBS29" si="1384">DBQ29*$C$29</f>
        <v>6.9584746711942745E+21</v>
      </c>
      <c r="DBU29" s="160">
        <f t="shared" ref="DBU29" si="1385">DBS29*$C$29</f>
        <v>7.1672289113301026E+21</v>
      </c>
      <c r="DBW29" s="160">
        <f t="shared" ref="DBW29" si="1386">DBU29*$C$29</f>
        <v>7.3822457786700063E+21</v>
      </c>
      <c r="DBY29" s="160">
        <f t="shared" ref="DBY29" si="1387">DBW29*$C$29</f>
        <v>7.6037131520301062E+21</v>
      </c>
      <c r="DCA29" s="160">
        <f t="shared" ref="DCA29" si="1388">DBY29*$C$29</f>
        <v>7.8318245465910097E+21</v>
      </c>
      <c r="DCC29" s="160">
        <f t="shared" ref="DCC29" si="1389">DCA29*$C$29</f>
        <v>8.0667792829887399E+21</v>
      </c>
      <c r="DCE29" s="160">
        <f t="shared" ref="DCE29" si="1390">DCC29*$C$29</f>
        <v>8.3087826614784025E+21</v>
      </c>
      <c r="DCG29" s="160">
        <f t="shared" ref="DCG29" si="1391">DCE29*$C$29</f>
        <v>8.558046141322755E+21</v>
      </c>
      <c r="DCI29" s="160">
        <f t="shared" ref="DCI29" si="1392">DCG29*$C$29</f>
        <v>8.814787525562438E+21</v>
      </c>
      <c r="DCK29" s="160">
        <f t="shared" ref="DCK29" si="1393">DCI29*$C$29</f>
        <v>9.0792311513293112E+21</v>
      </c>
      <c r="DCM29" s="160">
        <f t="shared" ref="DCM29" si="1394">DCK29*$C$29</f>
        <v>9.3516080858691912E+21</v>
      </c>
      <c r="DCO29" s="160">
        <f t="shared" ref="DCO29" si="1395">DCM29*$C$29</f>
        <v>9.6321563284452682E+21</v>
      </c>
      <c r="DCQ29" s="160">
        <f t="shared" ref="DCQ29" si="1396">DCO29*$C$29</f>
        <v>9.921121018298627E+21</v>
      </c>
      <c r="DCS29" s="160">
        <f t="shared" ref="DCS29" si="1397">DCQ29*$C$29</f>
        <v>1.0218754648847585E+22</v>
      </c>
      <c r="DCU29" s="160">
        <f t="shared" ref="DCU29" si="1398">DCS29*$C$29</f>
        <v>1.0525317288313013E+22</v>
      </c>
      <c r="DCW29" s="160">
        <f t="shared" ref="DCW29" si="1399">DCU29*$C$29</f>
        <v>1.0841076806962404E+22</v>
      </c>
      <c r="DCY29" s="160">
        <f t="shared" ref="DCY29" si="1400">DCW29*$C$29</f>
        <v>1.1166309111171276E+22</v>
      </c>
      <c r="DDA29" s="160">
        <f t="shared" ref="DDA29" si="1401">DCY29*$C$29</f>
        <v>1.1501298384506414E+22</v>
      </c>
      <c r="DDC29" s="160">
        <f t="shared" ref="DDC29" si="1402">DDA29*$C$29</f>
        <v>1.1846337336041607E+22</v>
      </c>
      <c r="DDE29" s="160">
        <f t="shared" ref="DDE29" si="1403">DDC29*$C$29</f>
        <v>1.2201727456122855E+22</v>
      </c>
      <c r="DDG29" s="160">
        <f t="shared" ref="DDG29" si="1404">DDE29*$C$29</f>
        <v>1.2567779279806541E+22</v>
      </c>
      <c r="DDI29" s="160">
        <f t="shared" ref="DDI29" si="1405">DDG29*$C$29</f>
        <v>1.2944812658200737E+22</v>
      </c>
      <c r="DDK29" s="160">
        <f t="shared" ref="DDK29" si="1406">DDI29*$C$29</f>
        <v>1.3333157037946761E+22</v>
      </c>
      <c r="DDM29" s="160">
        <f t="shared" ref="DDM29" si="1407">DDK29*$C$29</f>
        <v>1.3733151749085164E+22</v>
      </c>
      <c r="DDO29" s="160">
        <f t="shared" ref="DDO29" si="1408">DDM29*$C$29</f>
        <v>1.414514630155772E+22</v>
      </c>
      <c r="DDQ29" s="160">
        <f t="shared" ref="DDQ29" si="1409">DDO29*$C$29</f>
        <v>1.4569500690604452E+22</v>
      </c>
      <c r="DDS29" s="160">
        <f t="shared" ref="DDS29" si="1410">DDQ29*$C$29</f>
        <v>1.5006585711322586E+22</v>
      </c>
      <c r="DDU29" s="160">
        <f t="shared" ref="DDU29" si="1411">DDS29*$C$29</f>
        <v>1.5456783282662265E+22</v>
      </c>
      <c r="DDW29" s="160">
        <f t="shared" ref="DDW29" si="1412">DDU29*$C$29</f>
        <v>1.5920486781142134E+22</v>
      </c>
      <c r="DDY29" s="160">
        <f t="shared" ref="DDY29" si="1413">DDW29*$C$29</f>
        <v>1.6398101384576398E+22</v>
      </c>
      <c r="DEA29" s="160">
        <f t="shared" ref="DEA29" si="1414">DDY29*$C$29</f>
        <v>1.689004442611369E+22</v>
      </c>
      <c r="DEC29" s="160">
        <f t="shared" ref="DEC29" si="1415">DEA29*$C$29</f>
        <v>1.7396745758897101E+22</v>
      </c>
      <c r="DEE29" s="160">
        <f t="shared" ref="DEE29" si="1416">DEC29*$C$29</f>
        <v>1.7918648131664015E+22</v>
      </c>
      <c r="DEG29" s="160">
        <f t="shared" ref="DEG29" si="1417">DEE29*$C$29</f>
        <v>1.8456207575613935E+22</v>
      </c>
      <c r="DEI29" s="160">
        <f t="shared" ref="DEI29" si="1418">DEG29*$C$29</f>
        <v>1.9009893802882353E+22</v>
      </c>
      <c r="DEK29" s="160">
        <f t="shared" ref="DEK29" si="1419">DEI29*$C$29</f>
        <v>1.9580190616968822E+22</v>
      </c>
      <c r="DEM29" s="160">
        <f t="shared" ref="DEM29" si="1420">DEK29*$C$29</f>
        <v>2.0167596335477889E+22</v>
      </c>
      <c r="DEO29" s="160">
        <f t="shared" ref="DEO29" si="1421">DEM29*$C$29</f>
        <v>2.0772624225542227E+22</v>
      </c>
      <c r="DEQ29" s="160">
        <f t="shared" ref="DEQ29" si="1422">DEO29*$C$29</f>
        <v>2.1395802952308493E+22</v>
      </c>
      <c r="DES29" s="160">
        <f t="shared" ref="DES29" si="1423">DEQ29*$C$29</f>
        <v>2.2037677040877747E+22</v>
      </c>
      <c r="DEU29" s="160">
        <f t="shared" ref="DEU29" si="1424">DES29*$C$29</f>
        <v>2.269880735210408E+22</v>
      </c>
      <c r="DEW29" s="160">
        <f t="shared" ref="DEW29" si="1425">DEU29*$C$29</f>
        <v>2.3379771572667204E+22</v>
      </c>
      <c r="DEY29" s="160">
        <f t="shared" ref="DEY29" si="1426">DEW29*$C$29</f>
        <v>2.4081164719847222E+22</v>
      </c>
      <c r="DFA29" s="160">
        <f t="shared" ref="DFA29" si="1427">DEY29*$C$29</f>
        <v>2.480359966144264E+22</v>
      </c>
      <c r="DFC29" s="160">
        <f t="shared" ref="DFC29" si="1428">DFA29*$C$29</f>
        <v>2.5547707651285922E+22</v>
      </c>
      <c r="DFE29" s="160">
        <f t="shared" ref="DFE29" si="1429">DFC29*$C$29</f>
        <v>2.6314138880824498E+22</v>
      </c>
      <c r="DFG29" s="160">
        <f t="shared" ref="DFG29" si="1430">DFE29*$C$29</f>
        <v>2.7103563047249235E+22</v>
      </c>
      <c r="DFI29" s="160">
        <f t="shared" ref="DFI29" si="1431">DFG29*$C$29</f>
        <v>2.7916669938666714E+22</v>
      </c>
      <c r="DFK29" s="160">
        <f t="shared" ref="DFK29" si="1432">DFI29*$C$29</f>
        <v>2.8754170036826717E+22</v>
      </c>
      <c r="DFM29" s="160">
        <f t="shared" ref="DFM29" si="1433">DFK29*$C$29</f>
        <v>2.9616795137931521E+22</v>
      </c>
      <c r="DFO29" s="160">
        <f t="shared" ref="DFO29" si="1434">DFM29*$C$29</f>
        <v>3.0505298992069467E+22</v>
      </c>
      <c r="DFQ29" s="160">
        <f t="shared" ref="DFQ29" si="1435">DFO29*$C$29</f>
        <v>3.1420457961831551E+22</v>
      </c>
      <c r="DFS29" s="160">
        <f t="shared" ref="DFS29" si="1436">DFQ29*$C$29</f>
        <v>3.2363071700686499E+22</v>
      </c>
      <c r="DFU29" s="160">
        <f t="shared" ref="DFU29" si="1437">DFS29*$C$29</f>
        <v>3.3333963851707095E+22</v>
      </c>
      <c r="DFW29" s="160">
        <f t="shared" ref="DFW29" si="1438">DFU29*$C$29</f>
        <v>3.4333982767258309E+22</v>
      </c>
      <c r="DFY29" s="160">
        <f t="shared" ref="DFY29" si="1439">DFW29*$C$29</f>
        <v>3.536400225027606E+22</v>
      </c>
      <c r="DGA29" s="160">
        <f t="shared" ref="DGA29" si="1440">DFY29*$C$29</f>
        <v>3.6424922317784344E+22</v>
      </c>
      <c r="DGC29" s="160">
        <f t="shared" ref="DGC29" si="1441">DGA29*$C$29</f>
        <v>3.7517669987317874E+22</v>
      </c>
      <c r="DGE29" s="160">
        <f t="shared" ref="DGE29" si="1442">DGC29*$C$29</f>
        <v>3.8643200086937411E+22</v>
      </c>
      <c r="DGG29" s="160">
        <f t="shared" ref="DGG29" si="1443">DGE29*$C$29</f>
        <v>3.9802496089545534E+22</v>
      </c>
      <c r="DGI29" s="160">
        <f t="shared" ref="DGI29" si="1444">DGG29*$C$29</f>
        <v>4.0996570972231899E+22</v>
      </c>
      <c r="DGK29" s="160">
        <f t="shared" ref="DGK29" si="1445">DGI29*$C$29</f>
        <v>4.2226468101398861E+22</v>
      </c>
      <c r="DGM29" s="160">
        <f t="shared" ref="DGM29" si="1446">DGK29*$C$29</f>
        <v>4.3493262144440831E+22</v>
      </c>
      <c r="DGO29" s="160">
        <f t="shared" ref="DGO29" si="1447">DGM29*$C$29</f>
        <v>4.479806000877406E+22</v>
      </c>
      <c r="DGQ29" s="160">
        <f t="shared" ref="DGQ29" si="1448">DGO29*$C$29</f>
        <v>4.6142001809037285E+22</v>
      </c>
      <c r="DGS29" s="160">
        <f t="shared" ref="DGS29" si="1449">DGQ29*$C$29</f>
        <v>4.7526261863308404E+22</v>
      </c>
      <c r="DGU29" s="160">
        <f t="shared" ref="DGU29" si="1450">DGS29*$C$29</f>
        <v>4.8952049719207661E+22</v>
      </c>
      <c r="DGW29" s="160">
        <f t="shared" ref="DGW29" si="1451">DGU29*$C$29</f>
        <v>5.0420611210783891E+22</v>
      </c>
      <c r="DGY29" s="160">
        <f t="shared" ref="DGY29" si="1452">DGW29*$C$29</f>
        <v>5.1933229547107406E+22</v>
      </c>
      <c r="DHA29" s="160">
        <f t="shared" ref="DHA29" si="1453">DGY29*$C$29</f>
        <v>5.3491226433520633E+22</v>
      </c>
      <c r="DHC29" s="160">
        <f t="shared" ref="DHC29" si="1454">DHA29*$C$29</f>
        <v>5.5095963226526253E+22</v>
      </c>
      <c r="DHE29" s="160">
        <f t="shared" ref="DHE29" si="1455">DHC29*$C$29</f>
        <v>5.6748842123322041E+22</v>
      </c>
      <c r="DHG29" s="160">
        <f t="shared" ref="DHG29" si="1456">DHE29*$C$29</f>
        <v>5.8451307387021701E+22</v>
      </c>
      <c r="DHI29" s="160">
        <f t="shared" ref="DHI29" si="1457">DHG29*$C$29</f>
        <v>6.0204846608632355E+22</v>
      </c>
      <c r="DHK29" s="160">
        <f t="shared" ref="DHK29" si="1458">DHI29*$C$29</f>
        <v>6.2010992006891328E+22</v>
      </c>
      <c r="DHM29" s="160">
        <f t="shared" ref="DHM29" si="1459">DHK29*$C$29</f>
        <v>6.387132176709807E+22</v>
      </c>
      <c r="DHO29" s="160">
        <f t="shared" ref="DHO29" si="1460">DHM29*$C$29</f>
        <v>6.5787461420111018E+22</v>
      </c>
      <c r="DHQ29" s="160">
        <f t="shared" ref="DHQ29" si="1461">DHO29*$C$29</f>
        <v>6.7761085262714349E+22</v>
      </c>
      <c r="DHS29" s="160">
        <f t="shared" ref="DHS29" si="1462">DHQ29*$C$29</f>
        <v>6.9793917820595782E+22</v>
      </c>
      <c r="DHU29" s="160">
        <f t="shared" ref="DHU29" si="1463">DHS29*$C$29</f>
        <v>7.1887735355213655E+22</v>
      </c>
      <c r="DHW29" s="160">
        <f t="shared" ref="DHW29" si="1464">DHU29*$C$29</f>
        <v>7.4044367415870065E+22</v>
      </c>
      <c r="DHY29" s="160">
        <f t="shared" ref="DHY29" si="1465">DHW29*$C$29</f>
        <v>7.626569843834617E+22</v>
      </c>
      <c r="DIA29" s="160">
        <f t="shared" ref="DIA29" si="1466">DHY29*$C$29</f>
        <v>7.8553669391496562E+22</v>
      </c>
      <c r="DIC29" s="160">
        <f t="shared" ref="DIC29" si="1467">DIA29*$C$29</f>
        <v>8.0910279473241461E+22</v>
      </c>
      <c r="DIE29" s="160">
        <f t="shared" ref="DIE29" si="1468">DIC29*$C$29</f>
        <v>8.3337587857438703E+22</v>
      </c>
      <c r="DIG29" s="160">
        <f t="shared" ref="DIG29" si="1469">DIE29*$C$29</f>
        <v>8.5837715493161861E+22</v>
      </c>
      <c r="DII29" s="160">
        <f t="shared" ref="DII29" si="1470">DIG29*$C$29</f>
        <v>8.8412846957956721E+22</v>
      </c>
      <c r="DIK29" s="160">
        <f t="shared" ref="DIK29" si="1471">DII29*$C$29</f>
        <v>9.106523236669543E+22</v>
      </c>
      <c r="DIM29" s="160">
        <f t="shared" ref="DIM29" si="1472">DIK29*$C$29</f>
        <v>9.37971893376963E+22</v>
      </c>
      <c r="DIO29" s="160">
        <f t="shared" ref="DIO29" si="1473">DIM29*$C$29</f>
        <v>9.6611105017827183E+22</v>
      </c>
      <c r="DIQ29" s="160">
        <f t="shared" ref="DIQ29" si="1474">DIO29*$C$29</f>
        <v>9.9509438168362008E+22</v>
      </c>
      <c r="DIS29" s="160">
        <f t="shared" ref="DIS29" si="1475">DIQ29*$C$29</f>
        <v>1.0249472131341288E+23</v>
      </c>
      <c r="DIU29" s="160">
        <f t="shared" ref="DIU29" si="1476">DIS29*$C$29</f>
        <v>1.0556956295281526E+23</v>
      </c>
      <c r="DIW29" s="160">
        <f t="shared" ref="DIW29" si="1477">DIU29*$C$29</f>
        <v>1.0873664984139973E+23</v>
      </c>
      <c r="DIY29" s="160">
        <f t="shared" ref="DIY29" si="1478">DIW29*$C$29</f>
        <v>1.1199874933664172E+23</v>
      </c>
      <c r="DJA29" s="160">
        <f t="shared" ref="DJA29" si="1479">DIY29*$C$29</f>
        <v>1.1535871181674098E+23</v>
      </c>
      <c r="DJC29" s="160">
        <f t="shared" ref="DJC29" si="1480">DJA29*$C$29</f>
        <v>1.1881947317124321E+23</v>
      </c>
      <c r="DJE29" s="160">
        <f t="shared" ref="DJE29" si="1481">DJC29*$C$29</f>
        <v>1.223840573663805E+23</v>
      </c>
      <c r="DJG29" s="160">
        <f t="shared" ref="DJG29" si="1482">DJE29*$C$29</f>
        <v>1.2605557908737191E+23</v>
      </c>
      <c r="DJI29" s="160">
        <f t="shared" ref="DJI29" si="1483">DJG29*$C$29</f>
        <v>1.2983724645999307E+23</v>
      </c>
      <c r="DJK29" s="160">
        <f t="shared" ref="DJK29" si="1484">DJI29*$C$29</f>
        <v>1.3373236385379287E+23</v>
      </c>
      <c r="DJM29" s="160">
        <f t="shared" ref="DJM29" si="1485">DJK29*$C$29</f>
        <v>1.3774433476940666E+23</v>
      </c>
      <c r="DJO29" s="160">
        <f t="shared" ref="DJO29" si="1486">DJM29*$C$29</f>
        <v>1.4187666481248886E+23</v>
      </c>
      <c r="DJQ29" s="160">
        <f t="shared" ref="DJQ29" si="1487">DJO29*$C$29</f>
        <v>1.4613296475686353E+23</v>
      </c>
      <c r="DJS29" s="160">
        <f t="shared" ref="DJS29" si="1488">DJQ29*$C$29</f>
        <v>1.5051695369956944E+23</v>
      </c>
      <c r="DJU29" s="160">
        <f t="shared" ref="DJU29" si="1489">DJS29*$C$29</f>
        <v>1.5503246231055651E+23</v>
      </c>
      <c r="DJW29" s="160">
        <f t="shared" ref="DJW29" si="1490">DJU29*$C$29</f>
        <v>1.5968343617987321E+23</v>
      </c>
      <c r="DJY29" s="160">
        <f t="shared" ref="DJY29" si="1491">DJW29*$C$29</f>
        <v>1.6447393926526942E+23</v>
      </c>
      <c r="DKA29" s="160">
        <f t="shared" ref="DKA29" si="1492">DJY29*$C$29</f>
        <v>1.6940815744322749E+23</v>
      </c>
      <c r="DKC29" s="160">
        <f t="shared" ref="DKC29" si="1493">DKA29*$C$29</f>
        <v>1.7449040216652431E+23</v>
      </c>
      <c r="DKE29" s="160">
        <f t="shared" ref="DKE29" si="1494">DKC29*$C$29</f>
        <v>1.7972511423152004E+23</v>
      </c>
      <c r="DKG29" s="160">
        <f t="shared" ref="DKG29" si="1495">DKE29*$C$29</f>
        <v>1.8511686765846564E+23</v>
      </c>
      <c r="DKI29" s="160">
        <f t="shared" ref="DKI29" si="1496">DKG29*$C$29</f>
        <v>1.9067037368821963E+23</v>
      </c>
      <c r="DKK29" s="160">
        <f t="shared" ref="DKK29" si="1497">DKI29*$C$29</f>
        <v>1.9639048489886622E+23</v>
      </c>
      <c r="DKM29" s="160">
        <f t="shared" ref="DKM29" si="1498">DKK29*$C$29</f>
        <v>2.0228219944583222E+23</v>
      </c>
      <c r="DKO29" s="160">
        <f t="shared" ref="DKO29" si="1499">DKM29*$C$29</f>
        <v>2.0835066542920718E+23</v>
      </c>
      <c r="DKQ29" s="160">
        <f t="shared" ref="DKQ29" si="1500">DKO29*$C$29</f>
        <v>2.1460118539208339E+23</v>
      </c>
      <c r="DKS29" s="160">
        <f t="shared" ref="DKS29" si="1501">DKQ29*$C$29</f>
        <v>2.2103922095384588E+23</v>
      </c>
      <c r="DKU29" s="160">
        <f t="shared" ref="DKU29" si="1502">DKS29*$C$29</f>
        <v>2.2767039758246126E+23</v>
      </c>
      <c r="DKW29" s="160">
        <f t="shared" ref="DKW29" si="1503">DKU29*$C$29</f>
        <v>2.3450050950993512E+23</v>
      </c>
      <c r="DKY29" s="160">
        <f t="shared" ref="DKY29" si="1504">DKW29*$C$29</f>
        <v>2.4153552479523318E+23</v>
      </c>
      <c r="DLA29" s="160">
        <f t="shared" ref="DLA29" si="1505">DKY29*$C$29</f>
        <v>2.4878159053909019E+23</v>
      </c>
      <c r="DLC29" s="160">
        <f t="shared" ref="DLC29" si="1506">DLA29*$C$29</f>
        <v>2.5624503825526289E+23</v>
      </c>
      <c r="DLE29" s="160">
        <f t="shared" ref="DLE29" si="1507">DLC29*$C$29</f>
        <v>2.6393238940292078E+23</v>
      </c>
      <c r="DLG29" s="160">
        <f t="shared" ref="DLG29" si="1508">DLE29*$C$29</f>
        <v>2.7185036108500842E+23</v>
      </c>
      <c r="DLI29" s="160">
        <f t="shared" ref="DLI29" si="1509">DLG29*$C$29</f>
        <v>2.8000587191755867E+23</v>
      </c>
      <c r="DLK29" s="160">
        <f t="shared" ref="DLK29" si="1510">DLI29*$C$29</f>
        <v>2.8840604807508543E+23</v>
      </c>
      <c r="DLM29" s="160">
        <f t="shared" ref="DLM29" si="1511">DLK29*$C$29</f>
        <v>2.9705822951733801E+23</v>
      </c>
      <c r="DLO29" s="160">
        <f t="shared" ref="DLO29" si="1512">DLM29*$C$29</f>
        <v>3.0596997640285815E+23</v>
      </c>
      <c r="DLQ29" s="160">
        <f t="shared" ref="DLQ29" si="1513">DLO29*$C$29</f>
        <v>3.1514907569494392E+23</v>
      </c>
      <c r="DLS29" s="160">
        <f t="shared" ref="DLS29" si="1514">DLQ29*$C$29</f>
        <v>3.2460354796579226E+23</v>
      </c>
      <c r="DLU29" s="160">
        <f t="shared" ref="DLU29" si="1515">DLS29*$C$29</f>
        <v>3.3434165440476604E+23</v>
      </c>
      <c r="DLW29" s="160">
        <f t="shared" ref="DLW29" si="1516">DLU29*$C$29</f>
        <v>3.4437190403690904E+23</v>
      </c>
      <c r="DLY29" s="160">
        <f t="shared" ref="DLY29" si="1517">DLW29*$C$29</f>
        <v>3.5470306115801634E+23</v>
      </c>
      <c r="DMA29" s="160">
        <f t="shared" ref="DMA29" si="1518">DLY29*$C$29</f>
        <v>3.6534415299275682E+23</v>
      </c>
      <c r="DMC29" s="160">
        <f t="shared" ref="DMC29" si="1519">DMA29*$C$29</f>
        <v>3.7630447758253951E+23</v>
      </c>
      <c r="DME29" s="160">
        <f t="shared" ref="DME29" si="1520">DMC29*$C$29</f>
        <v>3.8759361191001572E+23</v>
      </c>
      <c r="DMG29" s="160">
        <f t="shared" ref="DMG29" si="1521">DME29*$C$29</f>
        <v>3.9922142026731617E+23</v>
      </c>
      <c r="DMI29" s="160">
        <f t="shared" ref="DMI29" si="1522">DMG29*$C$29</f>
        <v>4.1119806287533564E+23</v>
      </c>
      <c r="DMK29" s="160">
        <f t="shared" ref="DMK29" si="1523">DMI29*$C$29</f>
        <v>4.2353400476159575E+23</v>
      </c>
      <c r="DMM29" s="160">
        <f t="shared" ref="DMM29" si="1524">DMK29*$C$29</f>
        <v>4.3624002490444366E+23</v>
      </c>
      <c r="DMO29" s="160">
        <f t="shared" ref="DMO29" si="1525">DMM29*$C$29</f>
        <v>4.4932722565157698E+23</v>
      </c>
      <c r="DMQ29" s="160">
        <f t="shared" ref="DMQ29" si="1526">DMO29*$C$29</f>
        <v>4.6280704242112427E+23</v>
      </c>
      <c r="DMS29" s="160">
        <f t="shared" ref="DMS29" si="1527">DMQ29*$C$29</f>
        <v>4.76691253693758E+23</v>
      </c>
      <c r="DMU29" s="160">
        <f t="shared" ref="DMU29" si="1528">DMS29*$C$29</f>
        <v>4.9099199130457078E+23</v>
      </c>
      <c r="DMW29" s="160">
        <f t="shared" ref="DMW29" si="1529">DMU29*$C$29</f>
        <v>5.0572175104370793E+23</v>
      </c>
      <c r="DMY29" s="160">
        <f t="shared" ref="DMY29" si="1530">DMW29*$C$29</f>
        <v>5.2089340357501919E+23</v>
      </c>
      <c r="DNA29" s="160">
        <f t="shared" ref="DNA29" si="1531">DMY29*$C$29</f>
        <v>5.3652020568226976E+23</v>
      </c>
      <c r="DNC29" s="160">
        <f t="shared" ref="DNC29" si="1532">DNA29*$C$29</f>
        <v>5.5261581185273785E+23</v>
      </c>
      <c r="DNE29" s="160">
        <f t="shared" ref="DNE29" si="1533">DNC29*$C$29</f>
        <v>5.6919428620831999E+23</v>
      </c>
      <c r="DNG29" s="160">
        <f t="shared" ref="DNG29" si="1534">DNE29*$C$29</f>
        <v>5.8627011479456959E+23</v>
      </c>
      <c r="DNI29" s="160">
        <f t="shared" ref="DNI29" si="1535">DNG29*$C$29</f>
        <v>6.038582182384067E+23</v>
      </c>
      <c r="DNK29" s="160">
        <f t="shared" ref="DNK29" si="1536">DNI29*$C$29</f>
        <v>6.2197396478555897E+23</v>
      </c>
      <c r="DNM29" s="160">
        <f t="shared" ref="DNM29" si="1537">DNK29*$C$29</f>
        <v>6.4063318372912573E+23</v>
      </c>
      <c r="DNO29" s="160">
        <f t="shared" ref="DNO29" si="1538">DNM29*$C$29</f>
        <v>6.5985217924099952E+23</v>
      </c>
      <c r="DNQ29" s="160">
        <f t="shared" ref="DNQ29" si="1539">DNO29*$C$29</f>
        <v>6.7964774461822952E+23</v>
      </c>
      <c r="DNS29" s="160">
        <f t="shared" ref="DNS29" si="1540">DNQ29*$C$29</f>
        <v>7.0003717695677645E+23</v>
      </c>
      <c r="DNU29" s="160">
        <f t="shared" ref="DNU29" si="1541">DNS29*$C$29</f>
        <v>7.2103829226547978E+23</v>
      </c>
      <c r="DNW29" s="160">
        <f t="shared" ref="DNW29" si="1542">DNU29*$C$29</f>
        <v>7.4266944103344414E+23</v>
      </c>
      <c r="DNY29" s="160">
        <f t="shared" ref="DNY29" si="1543">DNW29*$C$29</f>
        <v>7.6494952426444742E+23</v>
      </c>
      <c r="DOA29" s="160">
        <f t="shared" ref="DOA29" si="1544">DNY29*$C$29</f>
        <v>7.8789800999238082E+23</v>
      </c>
      <c r="DOC29" s="160">
        <f t="shared" ref="DOC29" si="1545">DOA29*$C$29</f>
        <v>8.1153495029215226E+23</v>
      </c>
      <c r="DOE29" s="160">
        <f t="shared" ref="DOE29" si="1546">DOC29*$C$29</f>
        <v>8.3588099880091689E+23</v>
      </c>
      <c r="DOG29" s="160">
        <f t="shared" ref="DOG29" si="1547">DOE29*$C$29</f>
        <v>8.6095742876494444E+23</v>
      </c>
      <c r="DOI29" s="160">
        <f t="shared" ref="DOI29" si="1548">DOG29*$C$29</f>
        <v>8.8678615162789281E+23</v>
      </c>
      <c r="DOK29" s="160">
        <f t="shared" ref="DOK29" si="1549">DOI29*$C$29</f>
        <v>9.1338973617672961E+23</v>
      </c>
      <c r="DOM29" s="160">
        <f t="shared" ref="DOM29" si="1550">DOK29*$C$29</f>
        <v>9.4079142826203157E+23</v>
      </c>
      <c r="DOO29" s="160">
        <f t="shared" ref="DOO29" si="1551">DOM29*$C$29</f>
        <v>9.6901517110989259E+23</v>
      </c>
      <c r="DOQ29" s="160">
        <f t="shared" ref="DOQ29" si="1552">DOO29*$C$29</f>
        <v>9.9808562624318941E+23</v>
      </c>
      <c r="DOS29" s="160">
        <f t="shared" ref="DOS29" si="1553">DOQ29*$C$29</f>
        <v>1.0280281950304851E+24</v>
      </c>
      <c r="DOU29" s="160">
        <f t="shared" ref="DOU29" si="1554">DOS29*$C$29</f>
        <v>1.0588690408813997E+24</v>
      </c>
      <c r="DOW29" s="160">
        <f t="shared" ref="DOW29" si="1555">DOU29*$C$29</f>
        <v>1.0906351121078416E+24</v>
      </c>
      <c r="DOY29" s="160">
        <f t="shared" ref="DOY29" si="1556">DOW29*$C$29</f>
        <v>1.1233541654710769E+24</v>
      </c>
      <c r="DPA29" s="160">
        <f t="shared" ref="DPA29" si="1557">DOY29*$C$29</f>
        <v>1.1570547904352092E+24</v>
      </c>
      <c r="DPC29" s="160">
        <f t="shared" ref="DPC29" si="1558">DPA29*$C$29</f>
        <v>1.1917664341482655E+24</v>
      </c>
      <c r="DPE29" s="160">
        <f t="shared" ref="DPE29" si="1559">DPC29*$C$29</f>
        <v>1.2275194271727136E+24</v>
      </c>
      <c r="DPG29" s="160">
        <f t="shared" ref="DPG29" si="1560">DPE29*$C$29</f>
        <v>1.264345009987895E+24</v>
      </c>
      <c r="DPI29" s="160">
        <f t="shared" ref="DPI29" si="1561">DPG29*$C$29</f>
        <v>1.3022753602875318E+24</v>
      </c>
      <c r="DPK29" s="160">
        <f t="shared" ref="DPK29" si="1562">DPI29*$C$29</f>
        <v>1.3413436210961577E+24</v>
      </c>
      <c r="DPM29" s="160">
        <f t="shared" ref="DPM29" si="1563">DPK29*$C$29</f>
        <v>1.3815839297290425E+24</v>
      </c>
      <c r="DPO29" s="160">
        <f t="shared" ref="DPO29" si="1564">DPM29*$C$29</f>
        <v>1.4230314476209139E+24</v>
      </c>
      <c r="DPQ29" s="160">
        <f t="shared" ref="DPQ29" si="1565">DPO29*$C$29</f>
        <v>1.4657223910495413E+24</v>
      </c>
      <c r="DPS29" s="160">
        <f t="shared" ref="DPS29" si="1566">DPQ29*$C$29</f>
        <v>1.5096940627810276E+24</v>
      </c>
      <c r="DPU29" s="160">
        <f t="shared" ref="DPU29" si="1567">DPS29*$C$29</f>
        <v>1.5549848846644586E+24</v>
      </c>
      <c r="DPW29" s="160">
        <f t="shared" ref="DPW29" si="1568">DPU29*$C$29</f>
        <v>1.6016344312043924E+24</v>
      </c>
      <c r="DPY29" s="160">
        <f t="shared" ref="DPY29" si="1569">DPW29*$C$29</f>
        <v>1.6496834641405243E+24</v>
      </c>
      <c r="DQA29" s="160">
        <f t="shared" ref="DQA29" si="1570">DPY29*$C$29</f>
        <v>1.69917396806474E+24</v>
      </c>
      <c r="DQC29" s="160">
        <f t="shared" ref="DQC29" si="1571">DQA29*$C$29</f>
        <v>1.7501491871066821E+24</v>
      </c>
      <c r="DQE29" s="160">
        <f t="shared" ref="DQE29" si="1572">DQC29*$C$29</f>
        <v>1.8026536627198826E+24</v>
      </c>
      <c r="DQG29" s="160">
        <f t="shared" ref="DQG29" si="1573">DQE29*$C$29</f>
        <v>1.8567332726014792E+24</v>
      </c>
      <c r="DQI29" s="160">
        <f t="shared" ref="DQI29" si="1574">DQG29*$C$29</f>
        <v>1.9124352707795236E+24</v>
      </c>
      <c r="DQK29" s="160">
        <f t="shared" ref="DQK29" si="1575">DQI29*$C$29</f>
        <v>1.9698083289029093E+24</v>
      </c>
      <c r="DQM29" s="160">
        <f t="shared" ref="DQM29" si="1576">DQK29*$C$29</f>
        <v>2.0289025787699967E+24</v>
      </c>
      <c r="DQO29" s="160">
        <f t="shared" ref="DQO29" si="1577">DQM29*$C$29</f>
        <v>2.0897696561330966E+24</v>
      </c>
      <c r="DQQ29" s="160">
        <f t="shared" ref="DQQ29" si="1578">DQO29*$C$29</f>
        <v>2.1524627458170897E+24</v>
      </c>
      <c r="DQS29" s="160">
        <f t="shared" ref="DQS29" si="1579">DQQ29*$C$29</f>
        <v>2.2170366281916024E+24</v>
      </c>
      <c r="DQU29" s="160">
        <f t="shared" ref="DQU29" si="1580">DQS29*$C$29</f>
        <v>2.2835477270373505E+24</v>
      </c>
      <c r="DQW29" s="160">
        <f t="shared" ref="DQW29" si="1581">DQU29*$C$29</f>
        <v>2.3520541588484711E+24</v>
      </c>
      <c r="DQY29" s="160">
        <f t="shared" ref="DQY29" si="1582">DQW29*$C$29</f>
        <v>2.4226157836139254E+24</v>
      </c>
      <c r="DRA29" s="160">
        <f t="shared" ref="DRA29" si="1583">DQY29*$C$29</f>
        <v>2.4952942571223432E+24</v>
      </c>
      <c r="DRC29" s="160">
        <f t="shared" ref="DRC29" si="1584">DRA29*$C$29</f>
        <v>2.5701530848360135E+24</v>
      </c>
      <c r="DRE29" s="160">
        <f t="shared" ref="DRE29" si="1585">DRC29*$C$29</f>
        <v>2.6472576773810942E+24</v>
      </c>
      <c r="DRG29" s="160">
        <f t="shared" ref="DRG29" si="1586">DRE29*$C$29</f>
        <v>2.726675407702527E+24</v>
      </c>
      <c r="DRI29" s="160">
        <f t="shared" ref="DRI29" si="1587">DRG29*$C$29</f>
        <v>2.808475669933603E+24</v>
      </c>
      <c r="DRK29" s="160">
        <f t="shared" ref="DRK29" si="1588">DRI29*$C$29</f>
        <v>2.8927299400316113E+24</v>
      </c>
      <c r="DRM29" s="160">
        <f t="shared" ref="DRM29" si="1589">DRK29*$C$29</f>
        <v>2.9795118382325596E+24</v>
      </c>
      <c r="DRO29" s="160">
        <f t="shared" ref="DRO29" si="1590">DRM29*$C$29</f>
        <v>3.0688971933795365E+24</v>
      </c>
      <c r="DRQ29" s="160">
        <f t="shared" ref="DRQ29" si="1591">DRO29*$C$29</f>
        <v>3.1609641091809227E+24</v>
      </c>
      <c r="DRS29" s="160">
        <f t="shared" ref="DRS29" si="1592">DRQ29*$C$29</f>
        <v>3.2557930324563504E+24</v>
      </c>
      <c r="DRU29" s="160">
        <f t="shared" ref="DRU29" si="1593">DRS29*$C$29</f>
        <v>3.3534668234300409E+24</v>
      </c>
      <c r="DRW29" s="160">
        <f t="shared" ref="DRW29" si="1594">DRU29*$C$29</f>
        <v>3.4540708281329425E+24</v>
      </c>
      <c r="DRY29" s="160">
        <f t="shared" ref="DRY29" si="1595">DRW29*$C$29</f>
        <v>3.5576929529769311E+24</v>
      </c>
      <c r="DSA29" s="160">
        <f t="shared" ref="DSA29" si="1596">DRY29*$C$29</f>
        <v>3.6644237415662389E+24</v>
      </c>
      <c r="DSC29" s="160">
        <f t="shared" ref="DSC29" si="1597">DSA29*$C$29</f>
        <v>3.7743564538132259E+24</v>
      </c>
      <c r="DSE29" s="160">
        <f t="shared" ref="DSE29" si="1598">DSC29*$C$29</f>
        <v>3.8875871474276228E+24</v>
      </c>
      <c r="DSG29" s="160">
        <f t="shared" ref="DSG29" si="1599">DSE29*$C$29</f>
        <v>4.0042147618504513E+24</v>
      </c>
      <c r="DSI29" s="160">
        <f t="shared" ref="DSI29" si="1600">DSG29*$C$29</f>
        <v>4.1243412047059649E+24</v>
      </c>
      <c r="DSK29" s="160">
        <f t="shared" ref="DSK29" si="1601">DSI29*$C$29</f>
        <v>4.2480714408471439E+24</v>
      </c>
      <c r="DSM29" s="160">
        <f t="shared" ref="DSM29" si="1602">DSK29*$C$29</f>
        <v>4.3755135840725583E+24</v>
      </c>
      <c r="DSO29" s="160">
        <f t="shared" ref="DSO29" si="1603">DSM29*$C$29</f>
        <v>4.5067789915947354E+24</v>
      </c>
      <c r="DSQ29" s="160">
        <f t="shared" ref="DSQ29" si="1604">DSO29*$C$29</f>
        <v>4.6419823613425777E+24</v>
      </c>
      <c r="DSS29" s="160">
        <f t="shared" ref="DSS29" si="1605">DSQ29*$C$29</f>
        <v>4.7812418321828553E+24</v>
      </c>
      <c r="DSU29" s="160">
        <f t="shared" ref="DSU29" si="1606">DSS29*$C$29</f>
        <v>4.9246790871483416E+24</v>
      </c>
      <c r="DSW29" s="160">
        <f t="shared" ref="DSW29" si="1607">DSU29*$C$29</f>
        <v>5.0724194597627919E+24</v>
      </c>
      <c r="DSY29" s="160">
        <f t="shared" ref="DSY29" si="1608">DSW29*$C$29</f>
        <v>5.2245920435556755E+24</v>
      </c>
      <c r="DTA29" s="160">
        <f t="shared" ref="DTA29" si="1609">DSY29*$C$29</f>
        <v>5.3813298048623464E+24</v>
      </c>
      <c r="DTC29" s="160">
        <f t="shared" ref="DTC29" si="1610">DTA29*$C$29</f>
        <v>5.5427696990082164E+24</v>
      </c>
      <c r="DTE29" s="160">
        <f t="shared" ref="DTE29" si="1611">DTC29*$C$29</f>
        <v>5.7090527899784631E+24</v>
      </c>
      <c r="DTG29" s="160">
        <f t="shared" ref="DTG29" si="1612">DTE29*$C$29</f>
        <v>5.8803243736778173E+24</v>
      </c>
      <c r="DTI29" s="160">
        <f t="shared" ref="DTI29" si="1613">DTG29*$C$29</f>
        <v>6.0567341048881515E+24</v>
      </c>
      <c r="DTK29" s="160">
        <f t="shared" ref="DTK29" si="1614">DTI29*$C$29</f>
        <v>6.2384361280347958E+24</v>
      </c>
      <c r="DTM29" s="160">
        <f t="shared" ref="DTM29" si="1615">DTK29*$C$29</f>
        <v>6.4255892118758402E+24</v>
      </c>
      <c r="DTO29" s="160">
        <f t="shared" ref="DTO29" si="1616">DTM29*$C$29</f>
        <v>6.6183568882321159E+24</v>
      </c>
      <c r="DTQ29" s="160">
        <f t="shared" ref="DTQ29" si="1617">DTO29*$C$29</f>
        <v>6.8169075948790798E+24</v>
      </c>
      <c r="DTS29" s="160">
        <f t="shared" ref="DTS29" si="1618">DTQ29*$C$29</f>
        <v>7.0214148227254524E+24</v>
      </c>
      <c r="DTU29" s="160">
        <f t="shared" ref="DTU29" si="1619">DTS29*$C$29</f>
        <v>7.2320572674072164E+24</v>
      </c>
      <c r="DTW29" s="160">
        <f t="shared" ref="DTW29" si="1620">DTU29*$C$29</f>
        <v>7.4490189854294328E+24</v>
      </c>
      <c r="DTY29" s="160">
        <f t="shared" ref="DTY29" si="1621">DTW29*$C$29</f>
        <v>7.6724895549923162E+24</v>
      </c>
      <c r="DUA29" s="160">
        <f t="shared" ref="DUA29" si="1622">DTY29*$C$29</f>
        <v>7.9026642416420865E+24</v>
      </c>
      <c r="DUC29" s="160">
        <f t="shared" ref="DUC29" si="1623">DUA29*$C$29</f>
        <v>8.1397441688913495E+24</v>
      </c>
      <c r="DUE29" s="160">
        <f t="shared" ref="DUE29" si="1624">DUC29*$C$29</f>
        <v>8.3839364939580904E+24</v>
      </c>
      <c r="DUG29" s="160">
        <f t="shared" ref="DUG29" si="1625">DUE29*$C$29</f>
        <v>8.6354545887768337E+24</v>
      </c>
      <c r="DUI29" s="160">
        <f t="shared" ref="DUI29" si="1626">DUG29*$C$29</f>
        <v>8.894518226440139E+24</v>
      </c>
      <c r="DUK29" s="160">
        <f t="shared" ref="DUK29" si="1627">DUI29*$C$29</f>
        <v>9.1613537732333433E+24</v>
      </c>
      <c r="DUM29" s="160">
        <f t="shared" ref="DUM29" si="1628">DUK29*$C$29</f>
        <v>9.4361943864303434E+24</v>
      </c>
      <c r="DUO29" s="160">
        <f t="shared" ref="DUO29" si="1629">DUM29*$C$29</f>
        <v>9.7192802180232537E+24</v>
      </c>
      <c r="DUQ29" s="160">
        <f t="shared" ref="DUQ29" si="1630">DUO29*$C$29</f>
        <v>1.0010858624563952E+25</v>
      </c>
      <c r="DUS29" s="160">
        <f t="shared" ref="DUS29" si="1631">DUQ29*$C$29</f>
        <v>1.0311184383300871E+25</v>
      </c>
      <c r="DUU29" s="160">
        <f t="shared" ref="DUU29" si="1632">DUS29*$C$29</f>
        <v>1.0620519914799896E+25</v>
      </c>
      <c r="DUW29" s="160">
        <f t="shared" ref="DUW29" si="1633">DUU29*$C$29</f>
        <v>1.0939135512243893E+25</v>
      </c>
      <c r="DUY29" s="160">
        <f t="shared" ref="DUY29" si="1634">DUW29*$C$29</f>
        <v>1.126730957761121E+25</v>
      </c>
      <c r="DVA29" s="160">
        <f t="shared" ref="DVA29" si="1635">DUY29*$C$29</f>
        <v>1.1605328864939547E+25</v>
      </c>
      <c r="DVC29" s="160">
        <f t="shared" ref="DVC29" si="1636">DVA29*$C$29</f>
        <v>1.1953488730887735E+25</v>
      </c>
      <c r="DVE29" s="160">
        <f t="shared" ref="DVE29" si="1637">DVC29*$C$29</f>
        <v>1.2312093392814367E+25</v>
      </c>
      <c r="DVG29" s="160">
        <f t="shared" ref="DVG29" si="1638">DVE29*$C$29</f>
        <v>1.2681456194598799E+25</v>
      </c>
      <c r="DVI29" s="160">
        <f t="shared" ref="DVI29" si="1639">DVG29*$C$29</f>
        <v>1.3061899880436764E+25</v>
      </c>
      <c r="DVK29" s="160">
        <f t="shared" ref="DVK29" si="1640">DVI29*$C$29</f>
        <v>1.3453756876849868E+25</v>
      </c>
      <c r="DVM29" s="160">
        <f t="shared" ref="DVM29" si="1641">DVK29*$C$29</f>
        <v>1.3857369583155364E+25</v>
      </c>
      <c r="DVO29" s="160">
        <f t="shared" ref="DVO29" si="1642">DVM29*$C$29</f>
        <v>1.4273090670650025E+25</v>
      </c>
      <c r="DVQ29" s="160">
        <f t="shared" ref="DVQ29" si="1643">DVO29*$C$29</f>
        <v>1.4701283390769525E+25</v>
      </c>
      <c r="DVS29" s="160">
        <f t="shared" ref="DVS29" si="1644">DVQ29*$C$29</f>
        <v>1.5142321892492611E+25</v>
      </c>
      <c r="DVU29" s="160">
        <f t="shared" ref="DVU29" si="1645">DVS29*$C$29</f>
        <v>1.5596591549267389E+25</v>
      </c>
      <c r="DVW29" s="160">
        <f t="shared" ref="DVW29" si="1646">DVU29*$C$29</f>
        <v>1.6064489295745412E+25</v>
      </c>
      <c r="DVY29" s="160">
        <f t="shared" ref="DVY29" si="1647">DVW29*$C$29</f>
        <v>1.6546423974617774E+25</v>
      </c>
      <c r="DWA29" s="160">
        <f t="shared" ref="DWA29" si="1648">DVY29*$C$29</f>
        <v>1.7042816693856308E+25</v>
      </c>
      <c r="DWC29" s="160">
        <f t="shared" ref="DWC29" si="1649">DWA29*$C$29</f>
        <v>1.7554101194671998E+25</v>
      </c>
      <c r="DWE29" s="160">
        <f t="shared" ref="DWE29" si="1650">DWC29*$C$29</f>
        <v>1.8080724230512158E+25</v>
      </c>
      <c r="DWG29" s="160">
        <f t="shared" ref="DWG29" si="1651">DWE29*$C$29</f>
        <v>1.8623145957427524E+25</v>
      </c>
      <c r="DWI29" s="160">
        <f t="shared" ref="DWI29" si="1652">DWG29*$C$29</f>
        <v>1.918184033615035E+25</v>
      </c>
      <c r="DWK29" s="160">
        <f t="shared" ref="DWK29" si="1653">DWI29*$C$29</f>
        <v>1.9757295546234859E+25</v>
      </c>
      <c r="DWM29" s="160">
        <f t="shared" ref="DWM29" si="1654">DWK29*$C$29</f>
        <v>2.0350014412621906E+25</v>
      </c>
      <c r="DWO29" s="160">
        <f t="shared" ref="DWO29" si="1655">DWM29*$C$29</f>
        <v>2.0960514845000565E+25</v>
      </c>
      <c r="DWQ29" s="160">
        <f t="shared" ref="DWQ29" si="1656">DWO29*$C$29</f>
        <v>2.1589330290350582E+25</v>
      </c>
      <c r="DWS29" s="160">
        <f t="shared" ref="DWS29" si="1657">DWQ29*$C$29</f>
        <v>2.2237010199061098E+25</v>
      </c>
      <c r="DWU29" s="160">
        <f t="shared" ref="DWU29" si="1658">DWS29*$C$29</f>
        <v>2.2904120505032932E+25</v>
      </c>
      <c r="DWW29" s="160">
        <f t="shared" ref="DWW29" si="1659">DWU29*$C$29</f>
        <v>2.3591244120183918E+25</v>
      </c>
      <c r="DWY29" s="160">
        <f t="shared" ref="DWY29" si="1660">DWW29*$C$29</f>
        <v>2.4298981443789437E+25</v>
      </c>
      <c r="DXA29" s="160">
        <f t="shared" ref="DXA29" si="1661">DWY29*$C$29</f>
        <v>2.5027950887103121E+25</v>
      </c>
      <c r="DXC29" s="160">
        <f t="shared" ref="DXC29" si="1662">DXA29*$C$29</f>
        <v>2.5778789413716216E+25</v>
      </c>
      <c r="DXE29" s="160">
        <f t="shared" ref="DXE29" si="1663">DXC29*$C$29</f>
        <v>2.6552153096127701E+25</v>
      </c>
      <c r="DXG29" s="160">
        <f t="shared" ref="DXG29" si="1664">DXE29*$C$29</f>
        <v>2.7348717689011532E+25</v>
      </c>
      <c r="DXI29" s="160">
        <f t="shared" ref="DXI29" si="1665">DXG29*$C$29</f>
        <v>2.8169179219681879E+25</v>
      </c>
      <c r="DXK29" s="160">
        <f t="shared" ref="DXK29" si="1666">DXI29*$C$29</f>
        <v>2.9014254596272335E+25</v>
      </c>
      <c r="DXM29" s="160">
        <f t="shared" ref="DXM29" si="1667">DXK29*$C$29</f>
        <v>2.9884682234160505E+25</v>
      </c>
      <c r="DXO29" s="160">
        <f t="shared" ref="DXO29" si="1668">DXM29*$C$29</f>
        <v>3.0781222701185322E+25</v>
      </c>
      <c r="DXQ29" s="160">
        <f t="shared" ref="DXQ29" si="1669">DXO29*$C$29</f>
        <v>3.1704659382220884E+25</v>
      </c>
      <c r="DXS29" s="160">
        <f t="shared" ref="DXS29" si="1670">DXQ29*$C$29</f>
        <v>3.2655799163687512E+25</v>
      </c>
      <c r="DXU29" s="160">
        <f t="shared" ref="DXU29" si="1671">DXS29*$C$29</f>
        <v>3.3635473138598138E+25</v>
      </c>
      <c r="DXW29" s="160">
        <f t="shared" ref="DXW29" si="1672">DXU29*$C$29</f>
        <v>3.4644537332756085E+25</v>
      </c>
      <c r="DXY29" s="160">
        <f t="shared" ref="DXY29" si="1673">DXW29*$C$29</f>
        <v>3.568387345273877E+25</v>
      </c>
      <c r="DYA29" s="160">
        <f t="shared" ref="DYA29" si="1674">DXY29*$C$29</f>
        <v>3.6754389656320933E+25</v>
      </c>
      <c r="DYC29" s="160">
        <f t="shared" ref="DYC29" si="1675">DYA29*$C$29</f>
        <v>3.7857021346010561E+25</v>
      </c>
      <c r="DYE29" s="160">
        <f t="shared" ref="DYE29" si="1676">DYC29*$C$29</f>
        <v>3.8992731986390876E+25</v>
      </c>
      <c r="DYG29" s="160">
        <f t="shared" ref="DYG29" si="1677">DYE29*$C$29</f>
        <v>4.01625139459826E+25</v>
      </c>
      <c r="DYI29" s="160">
        <f t="shared" ref="DYI29" si="1678">DYG29*$C$29</f>
        <v>4.136738936436208E+25</v>
      </c>
      <c r="DYK29" s="160">
        <f t="shared" ref="DYK29" si="1679">DYI29*$C$29</f>
        <v>4.2608411045292943E+25</v>
      </c>
      <c r="DYM29" s="160">
        <f t="shared" ref="DYM29" si="1680">DYK29*$C$29</f>
        <v>4.3886663376651731E+25</v>
      </c>
      <c r="DYO29" s="160">
        <f t="shared" ref="DYO29" si="1681">DYM29*$C$29</f>
        <v>4.5203263277951283E+25</v>
      </c>
      <c r="DYQ29" s="160">
        <f t="shared" ref="DYQ29" si="1682">DYO29*$C$29</f>
        <v>4.6559361176289823E+25</v>
      </c>
      <c r="DYS29" s="160">
        <f t="shared" ref="DYS29" si="1683">DYQ29*$C$29</f>
        <v>4.7956142011578516E+25</v>
      </c>
      <c r="DYU29" s="160">
        <f t="shared" ref="DYU29" si="1684">DYS29*$C$29</f>
        <v>4.939482627192587E+25</v>
      </c>
      <c r="DYW29" s="160">
        <f t="shared" ref="DYW29" si="1685">DYU29*$C$29</f>
        <v>5.087667106008365E+25</v>
      </c>
      <c r="DYY29" s="160">
        <f t="shared" ref="DYY29" si="1686">DYW29*$C$29</f>
        <v>5.2402971191886159E+25</v>
      </c>
      <c r="DZA29" s="160">
        <f t="shared" ref="DZA29" si="1687">DYY29*$C$29</f>
        <v>5.3975060327642746E+25</v>
      </c>
      <c r="DZC29" s="160">
        <f t="shared" ref="DZC29" si="1688">DZA29*$C$29</f>
        <v>5.5594312137472033E+25</v>
      </c>
      <c r="DZE29" s="160">
        <f t="shared" ref="DZE29" si="1689">DZC29*$C$29</f>
        <v>5.7262141501596191E+25</v>
      </c>
      <c r="DZG29" s="160">
        <f t="shared" ref="DZG29" si="1690">DZE29*$C$29</f>
        <v>5.8980005746644077E+25</v>
      </c>
      <c r="DZI29" s="160">
        <f t="shared" ref="DZI29" si="1691">DZG29*$C$29</f>
        <v>6.0749405919043399E+25</v>
      </c>
      <c r="DZK29" s="160">
        <f t="shared" ref="DZK29" si="1692">DZI29*$C$29</f>
        <v>6.25718880966147E+25</v>
      </c>
      <c r="DZM29" s="160">
        <f t="shared" ref="DZM29" si="1693">DZK29*$C$29</f>
        <v>6.4449044739513145E+25</v>
      </c>
      <c r="DZO29" s="160">
        <f t="shared" ref="DZO29" si="1694">DZM29*$C$29</f>
        <v>6.6382516081698537E+25</v>
      </c>
      <c r="DZQ29" s="160">
        <f t="shared" ref="DZQ29" si="1695">DZO29*$C$29</f>
        <v>6.8373991564149499E+25</v>
      </c>
      <c r="DZS29" s="160">
        <f t="shared" ref="DZS29" si="1696">DZQ29*$C$29</f>
        <v>7.0425211311073986E+25</v>
      </c>
      <c r="DZU29" s="160">
        <f t="shared" ref="DZU29" si="1697">DZS29*$C$29</f>
        <v>7.2537967650406205E+25</v>
      </c>
      <c r="DZW29" s="160">
        <f t="shared" ref="DZW29" si="1698">DZU29*$C$29</f>
        <v>7.4714106679918394E+25</v>
      </c>
      <c r="DZY29" s="160">
        <f t="shared" ref="DZY29" si="1699">DZW29*$C$29</f>
        <v>7.6955529880315944E+25</v>
      </c>
      <c r="EAA29" s="160">
        <f t="shared" ref="EAA29" si="1700">DZY29*$C$29</f>
        <v>7.9264195776725428E+25</v>
      </c>
      <c r="EAC29" s="160">
        <f t="shared" ref="EAC29" si="1701">EAA29*$C$29</f>
        <v>8.1642121650027193E+25</v>
      </c>
      <c r="EAE29" s="160">
        <f t="shared" ref="EAE29" si="1702">EAC29*$C$29</f>
        <v>8.4091385299528005E+25</v>
      </c>
      <c r="EAG29" s="160">
        <f t="shared" ref="EAG29" si="1703">EAE29*$C$29</f>
        <v>8.6614126858513847E+25</v>
      </c>
      <c r="EAI29" s="160">
        <f t="shared" ref="EAI29" si="1704">EAG29*$C$29</f>
        <v>8.9212550664269267E+25</v>
      </c>
      <c r="EAK29" s="160">
        <f t="shared" ref="EAK29" si="1705">EAI29*$C$29</f>
        <v>9.1888927184197354E+25</v>
      </c>
      <c r="EAM29" s="160">
        <f t="shared" ref="EAM29" si="1706">EAK29*$C$29</f>
        <v>9.4645594999723279E+25</v>
      </c>
      <c r="EAO29" s="160">
        <f t="shared" ref="EAO29" si="1707">EAM29*$C$29</f>
        <v>9.7484962849714982E+25</v>
      </c>
      <c r="EAQ29" s="160">
        <f t="shared" ref="EAQ29" si="1708">EAO29*$C$29</f>
        <v>1.0040951173520643E+26</v>
      </c>
      <c r="EAS29" s="160">
        <f t="shared" ref="EAS29" si="1709">EAQ29*$C$29</f>
        <v>1.0342179708726262E+26</v>
      </c>
      <c r="EAU29" s="160">
        <f t="shared" ref="EAU29" si="1710">EAS29*$C$29</f>
        <v>1.0652445099988051E+26</v>
      </c>
      <c r="EAW29" s="160">
        <f t="shared" ref="EAW29" si="1711">EAU29*$C$29</f>
        <v>1.0972018452987694E+26</v>
      </c>
      <c r="EAY29" s="160">
        <f t="shared" ref="EAY29" si="1712">EAW29*$C$29</f>
        <v>1.1301179006577325E+26</v>
      </c>
      <c r="EBA29" s="160">
        <f t="shared" ref="EBA29" si="1713">EAY29*$C$29</f>
        <v>1.1640214376774645E+26</v>
      </c>
      <c r="EBC29" s="160">
        <f t="shared" ref="EBC29" si="1714">EBA29*$C$29</f>
        <v>1.1989420808077885E+26</v>
      </c>
      <c r="EBE29" s="160">
        <f t="shared" ref="EBE29" si="1715">EBC29*$C$29</f>
        <v>1.2349103432320222E+26</v>
      </c>
      <c r="EBG29" s="160">
        <f t="shared" ref="EBG29" si="1716">EBE29*$C$29</f>
        <v>1.271957653528983E+26</v>
      </c>
      <c r="EBI29" s="160">
        <f t="shared" ref="EBI29" si="1717">EBG29*$C$29</f>
        <v>1.3101163831348524E+26</v>
      </c>
      <c r="EBK29" s="160">
        <f t="shared" ref="EBK29" si="1718">EBI29*$C$29</f>
        <v>1.3494198746288981E+26</v>
      </c>
      <c r="EBM29" s="160">
        <f t="shared" ref="EBM29" si="1719">EBK29*$C$29</f>
        <v>1.3899024708677651E+26</v>
      </c>
      <c r="EBO29" s="160">
        <f t="shared" ref="EBO29" si="1720">EBM29*$C$29</f>
        <v>1.431599544993798E+26</v>
      </c>
      <c r="EBQ29" s="160">
        <f t="shared" ref="EBQ29" si="1721">EBO29*$C$29</f>
        <v>1.474547531343612E+26</v>
      </c>
      <c r="EBS29" s="160">
        <f t="shared" ref="EBS29" si="1722">EBQ29*$C$29</f>
        <v>1.5187839572839203E+26</v>
      </c>
      <c r="EBU29" s="160">
        <f t="shared" ref="EBU29" si="1723">EBS29*$C$29</f>
        <v>1.5643474760024379E+26</v>
      </c>
      <c r="EBW29" s="160">
        <f t="shared" ref="EBW29" si="1724">EBU29*$C$29</f>
        <v>1.6112779002825112E+26</v>
      </c>
      <c r="EBY29" s="160">
        <f t="shared" ref="EBY29" si="1725">EBW29*$C$29</f>
        <v>1.6596162372909864E+26</v>
      </c>
      <c r="ECA29" s="160">
        <f t="shared" ref="ECA29" si="1726">EBY29*$C$29</f>
        <v>1.7094047244097162E+26</v>
      </c>
      <c r="ECC29" s="160">
        <f t="shared" ref="ECC29" si="1727">ECA29*$C$29</f>
        <v>1.7606868661420077E+26</v>
      </c>
      <c r="ECE29" s="160">
        <f t="shared" ref="ECE29" si="1728">ECC29*$C$29</f>
        <v>1.8135074721262678E+26</v>
      </c>
      <c r="ECG29" s="160">
        <f t="shared" ref="ECG29" si="1729">ECE29*$C$29</f>
        <v>1.8679126962900559E+26</v>
      </c>
      <c r="ECI29" s="160">
        <f t="shared" ref="ECI29" si="1730">ECG29*$C$29</f>
        <v>1.9239500771787574E+26</v>
      </c>
      <c r="ECK29" s="160">
        <f t="shared" ref="ECK29" si="1731">ECI29*$C$29</f>
        <v>1.9816685794941202E+26</v>
      </c>
      <c r="ECM29" s="160">
        <f t="shared" ref="ECM29" si="1732">ECK29*$C$29</f>
        <v>2.041118636878944E+26</v>
      </c>
      <c r="ECO29" s="160">
        <f t="shared" ref="ECO29" si="1733">ECM29*$C$29</f>
        <v>2.1023521959853124E+26</v>
      </c>
      <c r="ECQ29" s="160">
        <f t="shared" ref="ECQ29" si="1734">ECO29*$C$29</f>
        <v>2.1654227618648718E+26</v>
      </c>
      <c r="ECS29" s="160">
        <f t="shared" ref="ECS29" si="1735">ECQ29*$C$29</f>
        <v>2.230385444720818E+26</v>
      </c>
      <c r="ECU29" s="160">
        <f t="shared" ref="ECU29" si="1736">ECS29*$C$29</f>
        <v>2.2972970080624426E+26</v>
      </c>
      <c r="ECW29" s="160">
        <f t="shared" ref="ECW29" si="1737">ECU29*$C$29</f>
        <v>2.366215918304316E+26</v>
      </c>
      <c r="ECY29" s="160">
        <f t="shared" ref="ECY29" si="1738">ECW29*$C$29</f>
        <v>2.4372023958534455E+26</v>
      </c>
      <c r="EDA29" s="160">
        <f t="shared" ref="EDA29" si="1739">ECY29*$C$29</f>
        <v>2.510318467729049E+26</v>
      </c>
      <c r="EDC29" s="160">
        <f t="shared" ref="EDC29" si="1740">EDA29*$C$29</f>
        <v>2.5856280217609207E+26</v>
      </c>
      <c r="EDE29" s="160">
        <f t="shared" ref="EDE29" si="1741">EDC29*$C$29</f>
        <v>2.6631968624137484E+26</v>
      </c>
      <c r="EDG29" s="160">
        <f t="shared" ref="EDG29" si="1742">EDE29*$C$29</f>
        <v>2.743092768286161E+26</v>
      </c>
      <c r="EDI29" s="160">
        <f t="shared" ref="EDI29" si="1743">EDG29*$C$29</f>
        <v>2.8253855513347457E+26</v>
      </c>
      <c r="EDK29" s="160">
        <f t="shared" ref="EDK29" si="1744">EDI29*$C$29</f>
        <v>2.9101471178747883E+26</v>
      </c>
      <c r="EDM29" s="160">
        <f t="shared" ref="EDM29" si="1745">EDK29*$C$29</f>
        <v>2.9974515314110318E+26</v>
      </c>
      <c r="EDO29" s="160">
        <f t="shared" ref="EDO29" si="1746">EDM29*$C$29</f>
        <v>3.087375077353363E+26</v>
      </c>
      <c r="EDQ29" s="160">
        <f t="shared" ref="EDQ29" si="1747">EDO29*$C$29</f>
        <v>3.1799963296739638E+26</v>
      </c>
      <c r="EDS29" s="160">
        <f t="shared" ref="EDS29" si="1748">EDQ29*$C$29</f>
        <v>3.2753962195641829E+26</v>
      </c>
      <c r="EDU29" s="160">
        <f t="shared" ref="EDU29" si="1749">EDS29*$C$29</f>
        <v>3.3736581061511086E+26</v>
      </c>
      <c r="EDW29" s="160">
        <f t="shared" ref="EDW29" si="1750">EDU29*$C$29</f>
        <v>3.474867849335642E+26</v>
      </c>
      <c r="EDY29" s="160">
        <f t="shared" ref="EDY29" si="1751">EDW29*$C$29</f>
        <v>3.5791138848157112E+26</v>
      </c>
      <c r="EEA29" s="160">
        <f t="shared" ref="EEA29" si="1752">EDY29*$C$29</f>
        <v>3.6864873013601825E+26</v>
      </c>
      <c r="EEC29" s="160">
        <f t="shared" ref="EEC29" si="1753">EEA29*$C$29</f>
        <v>3.7970819204009882E+26</v>
      </c>
      <c r="EEE29" s="160">
        <f t="shared" ref="EEE29" si="1754">EEC29*$C$29</f>
        <v>3.910994378013018E+26</v>
      </c>
      <c r="EEG29" s="160">
        <f t="shared" ref="EEG29" si="1755">EEE29*$C$29</f>
        <v>4.0283242093534083E+26</v>
      </c>
      <c r="EEI29" s="160">
        <f t="shared" ref="EEI29" si="1756">EEG29*$C$29</f>
        <v>4.1491739356340104E+26</v>
      </c>
      <c r="EEK29" s="160">
        <f t="shared" ref="EEK29" si="1757">EEI29*$C$29</f>
        <v>4.2736491537030306E+26</v>
      </c>
      <c r="EEM29" s="160">
        <f t="shared" ref="EEM29" si="1758">EEK29*$C$29</f>
        <v>4.4018586283141217E+26</v>
      </c>
      <c r="EEO29" s="160">
        <f t="shared" ref="EEO29" si="1759">EEM29*$C$29</f>
        <v>4.5339143871635455E+26</v>
      </c>
      <c r="EEQ29" s="160">
        <f t="shared" ref="EEQ29" si="1760">EEO29*$C$29</f>
        <v>4.6699318187784517E+26</v>
      </c>
      <c r="EES29" s="160">
        <f t="shared" ref="EES29" si="1761">EEQ29*$C$29</f>
        <v>4.8100297733418051E+26</v>
      </c>
      <c r="EEU29" s="160">
        <f t="shared" ref="EEU29" si="1762">EES29*$C$29</f>
        <v>4.9543306665420594E+26</v>
      </c>
      <c r="EEW29" s="160">
        <f t="shared" ref="EEW29" si="1763">EEU29*$C$29</f>
        <v>5.1029605865383213E+26</v>
      </c>
      <c r="EEY29" s="160">
        <f t="shared" ref="EEY29" si="1764">EEW29*$C$29</f>
        <v>5.2560494041344713E+26</v>
      </c>
      <c r="EFA29" s="160">
        <f t="shared" ref="EFA29" si="1765">EEY29*$C$29</f>
        <v>5.4137308862585056E+26</v>
      </c>
      <c r="EFC29" s="160">
        <f t="shared" ref="EFC29" si="1766">EFA29*$C$29</f>
        <v>5.5761428128462612E+26</v>
      </c>
      <c r="EFE29" s="160">
        <f t="shared" ref="EFE29" si="1767">EFC29*$C$29</f>
        <v>5.7434270972316493E+26</v>
      </c>
      <c r="EFG29" s="160">
        <f t="shared" ref="EFG29" si="1768">EFE29*$C$29</f>
        <v>5.9157299101485986E+26</v>
      </c>
      <c r="EFI29" s="160">
        <f t="shared" ref="EFI29" si="1769">EFG29*$C$29</f>
        <v>6.0932018074530566E+26</v>
      </c>
      <c r="EFK29" s="160">
        <f t="shared" ref="EFK29" si="1770">EFI29*$C$29</f>
        <v>6.2759978616766485E+26</v>
      </c>
      <c r="EFM29" s="160">
        <f t="shared" ref="EFM29" si="1771">EFK29*$C$29</f>
        <v>6.4642777975269475E+26</v>
      </c>
      <c r="EFO29" s="160">
        <f t="shared" ref="EFO29" si="1772">EFM29*$C$29</f>
        <v>6.6582061314527557E+26</v>
      </c>
      <c r="EFQ29" s="160">
        <f t="shared" ref="EFQ29" si="1773">EFO29*$C$29</f>
        <v>6.8579523153963379E+26</v>
      </c>
      <c r="EFS29" s="160">
        <f t="shared" ref="EFS29" si="1774">EFQ29*$C$29</f>
        <v>7.0636908848582287E+26</v>
      </c>
      <c r="EFU29" s="160">
        <f t="shared" ref="EFU29" si="1775">EFS29*$C$29</f>
        <v>7.2756016114039757E+26</v>
      </c>
      <c r="EFW29" s="160">
        <f t="shared" ref="EFW29" si="1776">EFU29*$C$29</f>
        <v>7.4938696597460951E+26</v>
      </c>
      <c r="EFY29" s="160">
        <f t="shared" ref="EFY29" si="1777">EFW29*$C$29</f>
        <v>7.7186857495384776E+26</v>
      </c>
      <c r="EGA29" s="160">
        <f t="shared" ref="EGA29" si="1778">EFY29*$C$29</f>
        <v>7.9502463220246322E+26</v>
      </c>
      <c r="EGC29" s="160">
        <f t="shared" ref="EGC29" si="1779">EGA29*$C$29</f>
        <v>8.1887537116853716E+26</v>
      </c>
      <c r="EGE29" s="160">
        <f t="shared" ref="EGE29" si="1780">EGC29*$C$29</f>
        <v>8.4344163230359329E+26</v>
      </c>
      <c r="EGG29" s="160">
        <f t="shared" ref="EGG29" si="1781">EGE29*$C$29</f>
        <v>8.6874488127270111E+26</v>
      </c>
      <c r="EGI29" s="160">
        <f t="shared" ref="EGI29" si="1782">EGG29*$C$29</f>
        <v>8.9480722771088221E+26</v>
      </c>
      <c r="EGK29" s="160">
        <f t="shared" ref="EGK29" si="1783">EGI29*$C$29</f>
        <v>9.2165144454220872E+26</v>
      </c>
      <c r="EGM29" s="160">
        <f t="shared" ref="EGM29" si="1784">EGK29*$C$29</f>
        <v>9.4930098787847496E+26</v>
      </c>
      <c r="EGO29" s="160">
        <f t="shared" ref="EGO29" si="1785">EGM29*$C$29</f>
        <v>9.7778001751482919E+26</v>
      </c>
      <c r="EGQ29" s="160">
        <f t="shared" ref="EGQ29" si="1786">EGO29*$C$29</f>
        <v>1.0071134180402741E+27</v>
      </c>
      <c r="EGS29" s="160">
        <f t="shared" ref="EGS29" si="1787">EGQ29*$C$29</f>
        <v>1.0373268205814823E+27</v>
      </c>
      <c r="EGU29" s="160">
        <f t="shared" ref="EGU29" si="1788">EGS29*$C$29</f>
        <v>1.0684466251989269E+27</v>
      </c>
      <c r="EGW29" s="160">
        <f t="shared" ref="EGW29" si="1789">EGU29*$C$29</f>
        <v>1.1005000239548947E+27</v>
      </c>
      <c r="EGY29" s="160">
        <f t="shared" ref="EGY29" si="1790">EGW29*$C$29</f>
        <v>1.1335150246735416E+27</v>
      </c>
      <c r="EHA29" s="160">
        <f t="shared" ref="EHA29" si="1791">EGY29*$C$29</f>
        <v>1.1675204754137479E+27</v>
      </c>
      <c r="EHC29" s="160">
        <f t="shared" ref="EHC29" si="1792">EHA29*$C$29</f>
        <v>1.2025460896761604E+27</v>
      </c>
      <c r="EHE29" s="160">
        <f t="shared" ref="EHE29" si="1793">EHC29*$C$29</f>
        <v>1.2386224723664453E+27</v>
      </c>
      <c r="EHG29" s="160">
        <f t="shared" ref="EHG29" si="1794">EHE29*$C$29</f>
        <v>1.2757811465374387E+27</v>
      </c>
      <c r="EHI29" s="160">
        <f t="shared" ref="EHI29" si="1795">EHG29*$C$29</f>
        <v>1.3140545809335618E+27</v>
      </c>
      <c r="EHK29" s="160">
        <f t="shared" ref="EHK29" si="1796">EHI29*$C$29</f>
        <v>1.3534762183615688E+27</v>
      </c>
      <c r="EHM29" s="160">
        <f t="shared" ref="EHM29" si="1797">EHK29*$C$29</f>
        <v>1.394080504912416E+27</v>
      </c>
      <c r="EHO29" s="160">
        <f t="shared" ref="EHO29" si="1798">EHM29*$C$29</f>
        <v>1.4359029200597886E+27</v>
      </c>
      <c r="EHQ29" s="160">
        <f t="shared" ref="EHQ29" si="1799">EHO29*$C$29</f>
        <v>1.4789800076615824E+27</v>
      </c>
      <c r="EHS29" s="160">
        <f t="shared" ref="EHS29" si="1800">EHQ29*$C$29</f>
        <v>1.5233494078914298E+27</v>
      </c>
      <c r="EHU29" s="160">
        <f t="shared" ref="EHU29" si="1801">EHS29*$C$29</f>
        <v>1.5690498901281727E+27</v>
      </c>
      <c r="EHW29" s="160">
        <f t="shared" ref="EHW29" si="1802">EHU29*$C$29</f>
        <v>1.6161213868320178E+27</v>
      </c>
      <c r="EHY29" s="160">
        <f t="shared" ref="EHY29" si="1803">EHW29*$C$29</f>
        <v>1.6646050284369785E+27</v>
      </c>
      <c r="EIA29" s="160">
        <f t="shared" ref="EIA29" si="1804">EHY29*$C$29</f>
        <v>1.7145431792900879E+27</v>
      </c>
      <c r="EIC29" s="160">
        <f t="shared" ref="EIC29" si="1805">EIA29*$C$29</f>
        <v>1.7659794746687907E+27</v>
      </c>
      <c r="EIE29" s="160">
        <f t="shared" ref="EIE29" si="1806">EIC29*$C$29</f>
        <v>1.8189588589088545E+27</v>
      </c>
      <c r="EIG29" s="160">
        <f t="shared" ref="EIG29" si="1807">EIE29*$C$29</f>
        <v>1.8735276246761201E+27</v>
      </c>
      <c r="EII29" s="160">
        <f t="shared" ref="EII29" si="1808">EIG29*$C$29</f>
        <v>1.9297334534164037E+27</v>
      </c>
      <c r="EIK29" s="160">
        <f t="shared" ref="EIK29" si="1809">EII29*$C$29</f>
        <v>1.987625457018896E+27</v>
      </c>
      <c r="EIM29" s="160">
        <f t="shared" ref="EIM29" si="1810">EIK29*$C$29</f>
        <v>2.0472542207294629E+27</v>
      </c>
      <c r="EIO29" s="160">
        <f t="shared" ref="EIO29" si="1811">EIM29*$C$29</f>
        <v>2.108671847351347E+27</v>
      </c>
      <c r="EIQ29" s="160">
        <f t="shared" ref="EIQ29" si="1812">EIO29*$C$29</f>
        <v>2.1719320027718874E+27</v>
      </c>
      <c r="EIS29" s="160">
        <f t="shared" ref="EIS29" si="1813">EIQ29*$C$29</f>
        <v>2.2370899628550442E+27</v>
      </c>
      <c r="EIU29" s="160">
        <f t="shared" ref="EIU29" si="1814">EIS29*$C$29</f>
        <v>2.3042026617406954E+27</v>
      </c>
      <c r="EIW29" s="160">
        <f t="shared" ref="EIW29" si="1815">EIU29*$C$29</f>
        <v>2.3733287415929163E+27</v>
      </c>
      <c r="EIY29" s="160">
        <f t="shared" ref="EIY29" si="1816">EIW29*$C$29</f>
        <v>2.4445286038407038E+27</v>
      </c>
      <c r="EJA29" s="160">
        <f t="shared" ref="EJA29" si="1817">EIY29*$C$29</f>
        <v>2.5178644619559251E+27</v>
      </c>
      <c r="EJC29" s="160">
        <f t="shared" ref="EJC29" si="1818">EJA29*$C$29</f>
        <v>2.5934003958146031E+27</v>
      </c>
      <c r="EJE29" s="160">
        <f t="shared" ref="EJE29" si="1819">EJC29*$C$29</f>
        <v>2.6712024076890413E+27</v>
      </c>
      <c r="EJG29" s="160">
        <f t="shared" ref="EJG29" si="1820">EJE29*$C$29</f>
        <v>2.7513384799197124E+27</v>
      </c>
      <c r="EJI29" s="160">
        <f t="shared" ref="EJI29" si="1821">EJG29*$C$29</f>
        <v>2.8338786343173039E+27</v>
      </c>
      <c r="EJK29" s="160">
        <f t="shared" ref="EJK29" si="1822">EJI29*$C$29</f>
        <v>2.9188949933468234E+27</v>
      </c>
      <c r="EJM29" s="160">
        <f t="shared" ref="EJM29" si="1823">EJK29*$C$29</f>
        <v>3.0064618431472282E+27</v>
      </c>
      <c r="EJO29" s="160">
        <f t="shared" ref="EJO29" si="1824">EJM29*$C$29</f>
        <v>3.0966556984416453E+27</v>
      </c>
      <c r="EJQ29" s="160">
        <f t="shared" ref="EJQ29" si="1825">EJO29*$C$29</f>
        <v>3.189555369394895E+27</v>
      </c>
      <c r="EJS29" s="160">
        <f t="shared" ref="EJS29" si="1826">EJQ29*$C$29</f>
        <v>3.2852420304767418E+27</v>
      </c>
      <c r="EJU29" s="160">
        <f t="shared" ref="EJU29" si="1827">EJS29*$C$29</f>
        <v>3.383799291391044E+27</v>
      </c>
      <c r="EJW29" s="160">
        <f t="shared" ref="EJW29" si="1828">EJU29*$C$29</f>
        <v>3.4853132701327756E+27</v>
      </c>
      <c r="EJY29" s="160">
        <f t="shared" ref="EJY29" si="1829">EJW29*$C$29</f>
        <v>3.5898726682367587E+27</v>
      </c>
      <c r="EKA29" s="160">
        <f t="shared" ref="EKA29" si="1830">EJY29*$C$29</f>
        <v>3.6975688482838617E+27</v>
      </c>
      <c r="EKC29" s="160">
        <f t="shared" ref="EKC29" si="1831">EKA29*$C$29</f>
        <v>3.8084959137323775E+27</v>
      </c>
      <c r="EKE29" s="160">
        <f t="shared" ref="EKE29" si="1832">EKC29*$C$29</f>
        <v>3.922750791144349E+27</v>
      </c>
      <c r="EKG29" s="160">
        <f t="shared" ref="EKG29" si="1833">EKE29*$C$29</f>
        <v>4.0404333148786795E+27</v>
      </c>
      <c r="EKI29" s="160">
        <f t="shared" ref="EKI29" si="1834">EKG29*$C$29</f>
        <v>4.1616463143250403E+27</v>
      </c>
      <c r="EKK29" s="160">
        <f t="shared" ref="EKK29" si="1835">EKI29*$C$29</f>
        <v>4.2864957037547918E+27</v>
      </c>
      <c r="EKM29" s="160">
        <f t="shared" ref="EKM29" si="1836">EKK29*$C$29</f>
        <v>4.4150905748674355E+27</v>
      </c>
      <c r="EKO29" s="160">
        <f t="shared" ref="EKO29" si="1837">EKM29*$C$29</f>
        <v>4.5475432921134588E+27</v>
      </c>
      <c r="EKQ29" s="160">
        <f t="shared" ref="EKQ29" si="1838">EKO29*$C$29</f>
        <v>4.6839695908768628E+27</v>
      </c>
      <c r="EKS29" s="160">
        <f t="shared" ref="EKS29" si="1839">EKQ29*$C$29</f>
        <v>4.8244886786031686E+27</v>
      </c>
      <c r="EKU29" s="160">
        <f t="shared" ref="EKU29" si="1840">EKS29*$C$29</f>
        <v>4.9692233389612635E+27</v>
      </c>
      <c r="EKW29" s="160">
        <f t="shared" ref="EKW29" si="1841">EKU29*$C$29</f>
        <v>5.1183000391301019E+27</v>
      </c>
      <c r="EKY29" s="160">
        <f t="shared" ref="EKY29" si="1842">EKW29*$C$29</f>
        <v>5.271849040304005E+27</v>
      </c>
      <c r="ELA29" s="160">
        <f t="shared" ref="ELA29" si="1843">EKY29*$C$29</f>
        <v>5.4300045115131256E+27</v>
      </c>
      <c r="ELC29" s="160">
        <f t="shared" ref="ELC29" si="1844">ELA29*$C$29</f>
        <v>5.5929046468585198E+27</v>
      </c>
      <c r="ELE29" s="160">
        <f t="shared" ref="ELE29" si="1845">ELC29*$C$29</f>
        <v>5.760691786264276E+27</v>
      </c>
      <c r="ELG29" s="160">
        <f t="shared" ref="ELG29" si="1846">ELE29*$C$29</f>
        <v>5.9335125398522048E+27</v>
      </c>
      <c r="ELI29" s="160">
        <f t="shared" ref="ELI29" si="1847">ELG29*$C$29</f>
        <v>6.1115179160477706E+27</v>
      </c>
      <c r="ELK29" s="160">
        <f t="shared" ref="ELK29" si="1848">ELI29*$C$29</f>
        <v>6.2948634535292034E+27</v>
      </c>
      <c r="ELM29" s="160">
        <f t="shared" ref="ELM29" si="1849">ELK29*$C$29</f>
        <v>6.4837093571350802E+27</v>
      </c>
      <c r="ELO29" s="160">
        <f t="shared" ref="ELO29" si="1850">ELM29*$C$29</f>
        <v>6.6782206378491332E+27</v>
      </c>
      <c r="ELQ29" s="160">
        <f t="shared" ref="ELQ29" si="1851">ELO29*$C$29</f>
        <v>6.8785672569846079E+27</v>
      </c>
      <c r="ELS29" s="160">
        <f t="shared" ref="ELS29" si="1852">ELQ29*$C$29</f>
        <v>7.0849242746941469E+27</v>
      </c>
      <c r="ELU29" s="160">
        <f t="shared" ref="ELU29" si="1853">ELS29*$C$29</f>
        <v>7.2974720029349713E+27</v>
      </c>
      <c r="ELW29" s="160">
        <f t="shared" ref="ELW29" si="1854">ELU29*$C$29</f>
        <v>7.5163961630230204E+27</v>
      </c>
      <c r="ELY29" s="160">
        <f t="shared" ref="ELY29" si="1855">ELW29*$C$29</f>
        <v>7.7418880479137108E+27</v>
      </c>
      <c r="EMA29" s="160">
        <f t="shared" ref="EMA29" si="1856">ELY29*$C$29</f>
        <v>7.9741446893511229E+27</v>
      </c>
      <c r="EMC29" s="160">
        <f t="shared" ref="EMC29" si="1857">EMA29*$C$29</f>
        <v>8.2133690300316573E+27</v>
      </c>
      <c r="EME29" s="160">
        <f t="shared" ref="EME29" si="1858">EMC29*$C$29</f>
        <v>8.4597701009326076E+27</v>
      </c>
      <c r="EMG29" s="160">
        <f t="shared" ref="EMG29" si="1859">EME29*$C$29</f>
        <v>8.7135632039605857E+27</v>
      </c>
      <c r="EMI29" s="160">
        <f t="shared" ref="EMI29" si="1860">EMG29*$C$29</f>
        <v>8.9749701000794035E+27</v>
      </c>
      <c r="EMK29" s="160">
        <f t="shared" ref="EMK29" si="1861">EMI29*$C$29</f>
        <v>9.2442192030817857E+27</v>
      </c>
      <c r="EMM29" s="160">
        <f t="shared" ref="EMM29" si="1862">EMK29*$C$29</f>
        <v>9.52154577917424E+27</v>
      </c>
      <c r="EMO29" s="160">
        <f t="shared" ref="EMO29" si="1863">EMM29*$C$29</f>
        <v>9.8071921525494674E+27</v>
      </c>
      <c r="EMQ29" s="160">
        <f t="shared" ref="EMQ29" si="1864">EMO29*$C$29</f>
        <v>1.0101407917125952E+28</v>
      </c>
      <c r="EMS29" s="160">
        <f t="shared" ref="EMS29" si="1865">EMQ29*$C$29</f>
        <v>1.0404450154639732E+28</v>
      </c>
      <c r="EMU29" s="160">
        <f t="shared" ref="EMU29" si="1866">EMS29*$C$29</f>
        <v>1.0716583659278925E+28</v>
      </c>
      <c r="EMW29" s="160">
        <f t="shared" ref="EMW29" si="1867">EMU29*$C$29</f>
        <v>1.1038081169057293E+28</v>
      </c>
      <c r="EMY29" s="160">
        <f t="shared" ref="EMY29" si="1868">EMW29*$C$29</f>
        <v>1.1369223604129012E+28</v>
      </c>
      <c r="ENA29" s="160">
        <f t="shared" ref="ENA29" si="1869">EMY29*$C$29</f>
        <v>1.1710300312252883E+28</v>
      </c>
      <c r="ENC29" s="160">
        <f t="shared" ref="ENC29" si="1870">ENA29*$C$29</f>
        <v>1.2061609321620469E+28</v>
      </c>
      <c r="ENE29" s="160">
        <f t="shared" ref="ENE29" si="1871">ENC29*$C$29</f>
        <v>1.2423457601269084E+28</v>
      </c>
      <c r="ENG29" s="160">
        <f t="shared" ref="ENG29" si="1872">ENE29*$C$29</f>
        <v>1.2796161329307157E+28</v>
      </c>
      <c r="ENI29" s="160">
        <f t="shared" ref="ENI29" si="1873">ENG29*$C$29</f>
        <v>1.3180046169186373E+28</v>
      </c>
      <c r="ENK29" s="160">
        <f t="shared" ref="ENK29" si="1874">ENI29*$C$29</f>
        <v>1.3575447554261965E+28</v>
      </c>
      <c r="ENM29" s="160">
        <f t="shared" ref="ENM29" si="1875">ENK29*$C$29</f>
        <v>1.3982710980889825E+28</v>
      </c>
      <c r="ENO29" s="160">
        <f t="shared" ref="ENO29" si="1876">ENM29*$C$29</f>
        <v>1.440219231031652E+28</v>
      </c>
      <c r="ENQ29" s="160">
        <f t="shared" ref="ENQ29" si="1877">ENO29*$C$29</f>
        <v>1.4834258079626015E+28</v>
      </c>
      <c r="ENS29" s="160">
        <f t="shared" ref="ENS29" si="1878">ENQ29*$C$29</f>
        <v>1.5279285822014796E+28</v>
      </c>
      <c r="ENU29" s="160">
        <f t="shared" ref="ENU29" si="1879">ENS29*$C$29</f>
        <v>1.573766439667524E+28</v>
      </c>
      <c r="ENW29" s="160">
        <f t="shared" ref="ENW29" si="1880">ENU29*$C$29</f>
        <v>1.6209794328575498E+28</v>
      </c>
      <c r="ENY29" s="160">
        <f t="shared" ref="ENY29" si="1881">ENW29*$C$29</f>
        <v>1.6696088158432763E+28</v>
      </c>
      <c r="EOA29" s="160">
        <f t="shared" ref="EOA29" si="1882">ENY29*$C$29</f>
        <v>1.7196970803185746E+28</v>
      </c>
      <c r="EOC29" s="160">
        <f t="shared" ref="EOC29" si="1883">EOA29*$C$29</f>
        <v>1.7712879927281319E+28</v>
      </c>
      <c r="EOE29" s="160">
        <f t="shared" ref="EOE29" si="1884">EOC29*$C$29</f>
        <v>1.8244266325099758E+28</v>
      </c>
      <c r="EOG29" s="160">
        <f t="shared" ref="EOG29" si="1885">EOE29*$C$29</f>
        <v>1.879159431485275E+28</v>
      </c>
      <c r="EOI29" s="160">
        <f t="shared" ref="EOI29" si="1886">EOG29*$C$29</f>
        <v>1.9355342144298333E+28</v>
      </c>
      <c r="EOK29" s="160">
        <f t="shared" ref="EOK29" si="1887">EOI29*$C$29</f>
        <v>1.9936002408627285E+28</v>
      </c>
      <c r="EOM29" s="160">
        <f t="shared" ref="EOM29" si="1888">EOK29*$C$29</f>
        <v>2.0534082480886107E+28</v>
      </c>
      <c r="EOO29" s="160">
        <f t="shared" ref="EOO29" si="1889">EOM29*$C$29</f>
        <v>2.1150104955312691E+28</v>
      </c>
      <c r="EOQ29" s="160">
        <f t="shared" ref="EOQ29" si="1890">EOO29*$C$29</f>
        <v>2.1784608103972073E+28</v>
      </c>
      <c r="EOS29" s="160">
        <f t="shared" ref="EOS29" si="1891">EOQ29*$C$29</f>
        <v>2.2438146347091237E+28</v>
      </c>
      <c r="EOU29" s="160">
        <f t="shared" ref="EOU29" si="1892">EOS29*$C$29</f>
        <v>2.3111290737503975E+28</v>
      </c>
      <c r="EOW29" s="160">
        <f t="shared" ref="EOW29" si="1893">EOU29*$C$29</f>
        <v>2.3804629459629093E+28</v>
      </c>
      <c r="EOY29" s="160">
        <f t="shared" ref="EOY29" si="1894">EOW29*$C$29</f>
        <v>2.4518768343417965E+28</v>
      </c>
      <c r="EPA29" s="160">
        <f t="shared" ref="EPA29" si="1895">EOY29*$C$29</f>
        <v>2.5254331393720503E+28</v>
      </c>
      <c r="EPC29" s="160">
        <f t="shared" ref="EPC29" si="1896">EPA29*$C$29</f>
        <v>2.6011961335532118E+28</v>
      </c>
      <c r="EPE29" s="160">
        <f t="shared" ref="EPE29" si="1897">EPC29*$C$29</f>
        <v>2.6792320175598084E+28</v>
      </c>
      <c r="EPG29" s="160">
        <f t="shared" ref="EPG29" si="1898">EPE29*$C$29</f>
        <v>2.7596089780866027E+28</v>
      </c>
      <c r="EPI29" s="160">
        <f t="shared" ref="EPI29" si="1899">EPG29*$C$29</f>
        <v>2.8423972474292009E+28</v>
      </c>
      <c r="EPK29" s="160">
        <f t="shared" ref="EPK29" si="1900">EPI29*$C$29</f>
        <v>2.9276691648520769E+28</v>
      </c>
      <c r="EPM29" s="160">
        <f t="shared" ref="EPM29" si="1901">EPK29*$C$29</f>
        <v>3.0154992397976391E+28</v>
      </c>
      <c r="EPO29" s="160">
        <f t="shared" ref="EPO29" si="1902">EPM29*$C$29</f>
        <v>3.1059642169915685E+28</v>
      </c>
      <c r="EPQ29" s="160">
        <f t="shared" ref="EPQ29" si="1903">EPO29*$C$29</f>
        <v>3.1991431435013156E+28</v>
      </c>
      <c r="EPS29" s="160">
        <f t="shared" ref="EPS29" si="1904">EPQ29*$C$29</f>
        <v>3.2951174378063552E+28</v>
      </c>
      <c r="EPU29" s="160">
        <f t="shared" ref="EPU29" si="1905">EPS29*$C$29</f>
        <v>3.3939709609405458E+28</v>
      </c>
      <c r="EPW29" s="160">
        <f t="shared" ref="EPW29" si="1906">EPU29*$C$29</f>
        <v>3.4957900897687622E+28</v>
      </c>
      <c r="EPY29" s="160">
        <f t="shared" ref="EPY29" si="1907">EPW29*$C$29</f>
        <v>3.6006637924618251E+28</v>
      </c>
      <c r="EQA29" s="160">
        <f t="shared" ref="EQA29" si="1908">EPY29*$C$29</f>
        <v>3.70868370623568E+28</v>
      </c>
      <c r="EQC29" s="160">
        <f t="shared" ref="EQC29" si="1909">EQA29*$C$29</f>
        <v>3.8199442174227507E+28</v>
      </c>
      <c r="EQE29" s="160">
        <f t="shared" ref="EQE29" si="1910">EQC29*$C$29</f>
        <v>3.9345425439454335E+28</v>
      </c>
      <c r="EQG29" s="160">
        <f t="shared" ref="EQG29" si="1911">EQE29*$C$29</f>
        <v>4.0525788202637968E+28</v>
      </c>
      <c r="EQI29" s="160">
        <f t="shared" ref="EQI29" si="1912">EQG29*$C$29</f>
        <v>4.1741561848717111E+28</v>
      </c>
      <c r="EQK29" s="160">
        <f t="shared" ref="EQK29" si="1913">EQI29*$C$29</f>
        <v>4.2993808704178624E+28</v>
      </c>
      <c r="EQM29" s="160">
        <f t="shared" ref="EQM29" si="1914">EQK29*$C$29</f>
        <v>4.4283622965303985E+28</v>
      </c>
      <c r="EQO29" s="160">
        <f t="shared" ref="EQO29" si="1915">EQM29*$C$29</f>
        <v>4.5612131654263102E+28</v>
      </c>
      <c r="EQQ29" s="160">
        <f t="shared" ref="EQQ29" si="1916">EQO29*$C$29</f>
        <v>4.6980495603890997E+28</v>
      </c>
      <c r="EQS29" s="160">
        <f t="shared" ref="EQS29" si="1917">EQQ29*$C$29</f>
        <v>4.8389910472007731E+28</v>
      </c>
      <c r="EQU29" s="160">
        <f t="shared" ref="EQU29" si="1918">EQS29*$C$29</f>
        <v>4.9841607786167961E+28</v>
      </c>
      <c r="EQW29" s="160">
        <f t="shared" ref="EQW29" si="1919">EQU29*$C$29</f>
        <v>5.1336856019752997E+28</v>
      </c>
      <c r="EQY29" s="160">
        <f t="shared" ref="EQY29" si="1920">EQW29*$C$29</f>
        <v>5.2876961700345589E+28</v>
      </c>
      <c r="ERA29" s="160">
        <f t="shared" ref="ERA29" si="1921">EQY29*$C$29</f>
        <v>5.4463270551355958E+28</v>
      </c>
      <c r="ERC29" s="160">
        <f t="shared" ref="ERC29" si="1922">ERA29*$C$29</f>
        <v>5.6097168667896635E+28</v>
      </c>
      <c r="ERE29" s="160">
        <f t="shared" ref="ERE29" si="1923">ERC29*$C$29</f>
        <v>5.7780083727933537E+28</v>
      </c>
      <c r="ERG29" s="160">
        <f t="shared" ref="ERG29" si="1924">ERE29*$C$29</f>
        <v>5.9513486239771543E+28</v>
      </c>
      <c r="ERI29" s="160">
        <f t="shared" ref="ERI29" si="1925">ERG29*$C$29</f>
        <v>6.1298890826964689E+28</v>
      </c>
      <c r="ERK29" s="160">
        <f t="shared" ref="ERK29" si="1926">ERI29*$C$29</f>
        <v>6.3137857551773632E+28</v>
      </c>
      <c r="ERM29" s="160">
        <f t="shared" ref="ERM29" si="1927">ERK29*$C$29</f>
        <v>6.5031993278326841E+28</v>
      </c>
      <c r="ERO29" s="160">
        <f t="shared" ref="ERO29" si="1928">ERM29*$C$29</f>
        <v>6.6982953076676646E+28</v>
      </c>
      <c r="ERQ29" s="160">
        <f t="shared" ref="ERQ29" si="1929">ERO29*$C$29</f>
        <v>6.8992441668976947E+28</v>
      </c>
      <c r="ERS29" s="160">
        <f t="shared" ref="ERS29" si="1930">ERQ29*$C$29</f>
        <v>7.1062214919046253E+28</v>
      </c>
      <c r="ERU29" s="160">
        <f t="shared" ref="ERU29" si="1931">ERS29*$C$29</f>
        <v>7.3194081366617646E+28</v>
      </c>
      <c r="ERW29" s="160">
        <f t="shared" ref="ERW29" si="1932">ERU29*$C$29</f>
        <v>7.5389903807616179E+28</v>
      </c>
      <c r="ERY29" s="160">
        <f t="shared" ref="ERY29" si="1933">ERW29*$C$29</f>
        <v>7.7651600921844664E+28</v>
      </c>
      <c r="ESA29" s="160">
        <f t="shared" ref="ESA29" si="1934">ERY29*$C$29</f>
        <v>7.998114894950001E+28</v>
      </c>
      <c r="ESC29" s="160">
        <f t="shared" ref="ESC29" si="1935">ESA29*$C$29</f>
        <v>8.2380583417985008E+28</v>
      </c>
      <c r="ESE29" s="160">
        <f t="shared" ref="ESE29" si="1936">ESC29*$C$29</f>
        <v>8.4852000920524563E+28</v>
      </c>
      <c r="ESG29" s="160">
        <f t="shared" ref="ESG29" si="1937">ESE29*$C$29</f>
        <v>8.7397560948140294E+28</v>
      </c>
      <c r="ESI29" s="160">
        <f t="shared" ref="ESI29" si="1938">ESG29*$C$29</f>
        <v>9.0019487776584501E+28</v>
      </c>
      <c r="ESK29" s="160">
        <f t="shared" ref="ESK29" si="1939">ESI29*$C$29</f>
        <v>9.2720072409882047E+28</v>
      </c>
      <c r="ESM29" s="160">
        <f t="shared" ref="ESM29" si="1940">ESK29*$C$29</f>
        <v>9.5501674582178505E+28</v>
      </c>
      <c r="ESO29" s="160">
        <f t="shared" ref="ESO29" si="1941">ESM29*$C$29</f>
        <v>9.8366724819643866E+28</v>
      </c>
      <c r="ESQ29" s="160">
        <f t="shared" ref="ESQ29" si="1942">ESO29*$C$29</f>
        <v>1.0131772656423319E+29</v>
      </c>
      <c r="ESS29" s="160">
        <f t="shared" ref="ESS29" si="1943">ESQ29*$C$29</f>
        <v>1.0435725836116019E+29</v>
      </c>
      <c r="ESU29" s="160">
        <f t="shared" ref="ESU29" si="1944">ESS29*$C$29</f>
        <v>1.07487976111995E+29</v>
      </c>
      <c r="ESW29" s="160">
        <f t="shared" ref="ESW29" si="1945">ESU29*$C$29</f>
        <v>1.1071261539535486E+29</v>
      </c>
      <c r="ESY29" s="160">
        <f t="shared" ref="ESY29" si="1946">ESW29*$C$29</f>
        <v>1.140339938572155E+29</v>
      </c>
      <c r="ETA29" s="160">
        <f t="shared" ref="ETA29" si="1947">ESY29*$C$29</f>
        <v>1.1745501367293196E+29</v>
      </c>
      <c r="ETC29" s="160">
        <f t="shared" ref="ETC29" si="1948">ETA29*$C$29</f>
        <v>1.2097866408311992E+29</v>
      </c>
      <c r="ETE29" s="160">
        <f t="shared" ref="ETE29" si="1949">ETC29*$C$29</f>
        <v>1.2460802400561351E+29</v>
      </c>
      <c r="ETG29" s="160">
        <f t="shared" ref="ETG29" si="1950">ETE29*$C$29</f>
        <v>1.2834626472578191E+29</v>
      </c>
      <c r="ETI29" s="160">
        <f t="shared" ref="ETI29" si="1951">ETG29*$C$29</f>
        <v>1.3219665266755537E+29</v>
      </c>
      <c r="ETK29" s="160">
        <f t="shared" ref="ETK29" si="1952">ETI29*$C$29</f>
        <v>1.3616255224758203E+29</v>
      </c>
      <c r="ETM29" s="160">
        <f t="shared" ref="ETM29" si="1953">ETK29*$C$29</f>
        <v>1.4024742881500949E+29</v>
      </c>
      <c r="ETO29" s="160">
        <f t="shared" ref="ETO29" si="1954">ETM29*$C$29</f>
        <v>1.4445485167945977E+29</v>
      </c>
      <c r="ETQ29" s="160">
        <f t="shared" ref="ETQ29" si="1955">ETO29*$C$29</f>
        <v>1.4878849722984357E+29</v>
      </c>
      <c r="ETS29" s="160">
        <f t="shared" ref="ETS29" si="1956">ETQ29*$C$29</f>
        <v>1.5325215214673887E+29</v>
      </c>
      <c r="ETU29" s="160">
        <f t="shared" ref="ETU29" si="1957">ETS29*$C$29</f>
        <v>1.5784971671114105E+29</v>
      </c>
      <c r="ETW29" s="160">
        <f t="shared" ref="ETW29" si="1958">ETU29*$C$29</f>
        <v>1.6258520821247529E+29</v>
      </c>
      <c r="ETY29" s="160">
        <f t="shared" ref="ETY29" si="1959">ETW29*$C$29</f>
        <v>1.6746276445884954E+29</v>
      </c>
      <c r="EUA29" s="160">
        <f t="shared" ref="EUA29" si="1960">ETY29*$C$29</f>
        <v>1.7248664739261502E+29</v>
      </c>
      <c r="EUC29" s="160">
        <f t="shared" ref="EUC29" si="1961">EUA29*$C$29</f>
        <v>1.7766124681439348E+29</v>
      </c>
      <c r="EUE29" s="160">
        <f t="shared" ref="EUE29" si="1962">EUC29*$C$29</f>
        <v>1.829910842188253E+29</v>
      </c>
      <c r="EUG29" s="160">
        <f t="shared" ref="EUG29" si="1963">EUE29*$C$29</f>
        <v>1.8848081674539005E+29</v>
      </c>
      <c r="EUI29" s="160">
        <f t="shared" ref="EUI29" si="1964">EUG29*$C$29</f>
        <v>1.9413524124775175E+29</v>
      </c>
      <c r="EUK29" s="160">
        <f t="shared" ref="EUK29" si="1965">EUI29*$C$29</f>
        <v>1.9995929848518432E+29</v>
      </c>
      <c r="EUM29" s="160">
        <f t="shared" ref="EUM29" si="1966">EUK29*$C$29</f>
        <v>2.0595807743973985E+29</v>
      </c>
      <c r="EUO29" s="160">
        <f t="shared" ref="EUO29" si="1967">EUM29*$C$29</f>
        <v>2.1213681976293205E+29</v>
      </c>
      <c r="EUQ29" s="160">
        <f t="shared" ref="EUQ29" si="1968">EUO29*$C$29</f>
        <v>2.1850092435582E+29</v>
      </c>
      <c r="EUS29" s="160">
        <f t="shared" ref="EUS29" si="1969">EUQ29*$C$29</f>
        <v>2.250559520864946E+29</v>
      </c>
      <c r="EUU29" s="160">
        <f t="shared" ref="EUU29" si="1970">EUS29*$C$29</f>
        <v>2.3180763064908943E+29</v>
      </c>
      <c r="EUW29" s="160">
        <f t="shared" ref="EUW29" si="1971">EUU29*$C$29</f>
        <v>2.3876185956856211E+29</v>
      </c>
      <c r="EUY29" s="160">
        <f t="shared" ref="EUY29" si="1972">EUW29*$C$29</f>
        <v>2.4592471535561897E+29</v>
      </c>
      <c r="EVA29" s="160">
        <f t="shared" ref="EVA29" si="1973">EUY29*$C$29</f>
        <v>2.5330245681628756E+29</v>
      </c>
      <c r="EVC29" s="160">
        <f t="shared" ref="EVC29" si="1974">EVA29*$C$29</f>
        <v>2.609015305207762E+29</v>
      </c>
      <c r="EVE29" s="160">
        <f t="shared" ref="EVE29" si="1975">EVC29*$C$29</f>
        <v>2.6872857643639951E+29</v>
      </c>
      <c r="EVG29" s="160">
        <f t="shared" ref="EVG29" si="1976">EVE29*$C$29</f>
        <v>2.767904337294915E+29</v>
      </c>
      <c r="EVI29" s="160">
        <f t="shared" ref="EVI29" si="1977">EVG29*$C$29</f>
        <v>2.8509414674137624E+29</v>
      </c>
      <c r="EVK29" s="160">
        <f t="shared" ref="EVK29" si="1978">EVI29*$C$29</f>
        <v>2.9364697114361754E+29</v>
      </c>
      <c r="EVM29" s="160">
        <f t="shared" ref="EVM29" si="1979">EVK29*$C$29</f>
        <v>3.0245638027792607E+29</v>
      </c>
      <c r="EVO29" s="160">
        <f t="shared" ref="EVO29" si="1980">EVM29*$C$29</f>
        <v>3.1153007168626386E+29</v>
      </c>
      <c r="EVQ29" s="160">
        <f t="shared" ref="EVQ29" si="1981">EVO29*$C$29</f>
        <v>3.2087597383685179E+29</v>
      </c>
      <c r="EVS29" s="160">
        <f t="shared" ref="EVS29" si="1982">EVQ29*$C$29</f>
        <v>3.3050225305195735E+29</v>
      </c>
      <c r="EVU29" s="160">
        <f t="shared" ref="EVU29" si="1983">EVS29*$C$29</f>
        <v>3.4041732064351609E+29</v>
      </c>
      <c r="EVW29" s="160">
        <f t="shared" ref="EVW29" si="1984">EVU29*$C$29</f>
        <v>3.5062984026282155E+29</v>
      </c>
      <c r="EVY29" s="160">
        <f t="shared" ref="EVY29" si="1985">EVW29*$C$29</f>
        <v>3.6114873547070618E+29</v>
      </c>
      <c r="EWA29" s="160">
        <f t="shared" ref="EWA29" si="1986">EVY29*$C$29</f>
        <v>3.7198319753482738E+29</v>
      </c>
      <c r="EWC29" s="160">
        <f t="shared" ref="EWC29" si="1987">EWA29*$C$29</f>
        <v>3.8314269346087223E+29</v>
      </c>
      <c r="EWE29" s="160">
        <f t="shared" ref="EWE29" si="1988">EWC29*$C$29</f>
        <v>3.946369742646984E+29</v>
      </c>
      <c r="EWG29" s="160">
        <f t="shared" ref="EWG29" si="1989">EWE29*$C$29</f>
        <v>4.0647608349263933E+29</v>
      </c>
      <c r="EWI29" s="160">
        <f t="shared" ref="EWI29" si="1990">EWG29*$C$29</f>
        <v>4.1867036599741855E+29</v>
      </c>
      <c r="EWK29" s="160">
        <f t="shared" ref="EWK29" si="1991">EWI29*$C$29</f>
        <v>4.3123047697734111E+29</v>
      </c>
      <c r="EWM29" s="160">
        <f t="shared" ref="EWM29" si="1992">EWK29*$C$29</f>
        <v>4.4416739128666136E+29</v>
      </c>
      <c r="EWO29" s="160">
        <f t="shared" ref="EWO29" si="1993">EWM29*$C$29</f>
        <v>4.5749241302526122E+29</v>
      </c>
      <c r="EWQ29" s="160">
        <f t="shared" ref="EWQ29" si="1994">EWO29*$C$29</f>
        <v>4.7121718541601904E+29</v>
      </c>
      <c r="EWS29" s="160">
        <f t="shared" ref="EWS29" si="1995">EWQ29*$C$29</f>
        <v>4.8535370097849964E+29</v>
      </c>
      <c r="EWU29" s="160">
        <f t="shared" ref="EWU29" si="1996">EWS29*$C$29</f>
        <v>4.9991431200785466E+29</v>
      </c>
      <c r="EWW29" s="160">
        <f t="shared" ref="EWW29" si="1997">EWU29*$C$29</f>
        <v>5.1491174136809032E+29</v>
      </c>
      <c r="EWY29" s="160">
        <f t="shared" ref="EWY29" si="1998">EWW29*$C$29</f>
        <v>5.3035909360913303E+29</v>
      </c>
      <c r="EXA29" s="160">
        <f t="shared" ref="EXA29" si="1999">EWY29*$C$29</f>
        <v>5.46269866417407E+29</v>
      </c>
      <c r="EXC29" s="160">
        <f t="shared" ref="EXC29" si="2000">EXA29*$C$29</f>
        <v>5.6265796240992926E+29</v>
      </c>
      <c r="EXE29" s="160">
        <f t="shared" ref="EXE29" si="2001">EXC29*$C$29</f>
        <v>5.7953770128222715E+29</v>
      </c>
      <c r="EXG29" s="160">
        <f t="shared" ref="EXG29" si="2002">EXE29*$C$29</f>
        <v>5.9692383232069396E+29</v>
      </c>
      <c r="EXI29" s="160">
        <f t="shared" ref="EXI29" si="2003">EXG29*$C$29</f>
        <v>6.1483154729031481E+29</v>
      </c>
      <c r="EXK29" s="160">
        <f t="shared" ref="EXK29" si="2004">EXI29*$C$29</f>
        <v>6.332764937090243E+29</v>
      </c>
      <c r="EXM29" s="160">
        <f t="shared" ref="EXM29" si="2005">EXK29*$C$29</f>
        <v>6.52274788520295E+29</v>
      </c>
      <c r="EXO29" s="160">
        <f t="shared" ref="EXO29" si="2006">EXM29*$C$29</f>
        <v>6.718430321759038E+29</v>
      </c>
      <c r="EXQ29" s="160">
        <f t="shared" ref="EXQ29" si="2007">EXO29*$C$29</f>
        <v>6.9199832314118087E+29</v>
      </c>
      <c r="EXS29" s="160">
        <f t="shared" ref="EXS29" si="2008">EXQ29*$C$29</f>
        <v>7.127582728354163E+29</v>
      </c>
      <c r="EXU29" s="160">
        <f t="shared" ref="EXU29" si="2009">EXS29*$C$29</f>
        <v>7.3414102102047877E+29</v>
      </c>
      <c r="EXW29" s="160">
        <f t="shared" ref="EXW29" si="2010">EXU29*$C$29</f>
        <v>7.5616525165109309E+29</v>
      </c>
      <c r="EXY29" s="160">
        <f t="shared" ref="EXY29" si="2011">EXW29*$C$29</f>
        <v>7.7885020920062593E+29</v>
      </c>
      <c r="EYA29" s="160">
        <f t="shared" ref="EYA29" si="2012">EXY29*$C$29</f>
        <v>8.0221571547664474E+29</v>
      </c>
      <c r="EYC29" s="160">
        <f t="shared" ref="EYC29" si="2013">EYA29*$C$29</f>
        <v>8.2628218694094417E+29</v>
      </c>
      <c r="EYE29" s="160">
        <f t="shared" ref="EYE29" si="2014">EYC29*$C$29</f>
        <v>8.5107065254917248E+29</v>
      </c>
      <c r="EYG29" s="160">
        <f t="shared" ref="EYG29" si="2015">EYE29*$C$29</f>
        <v>8.7660277212564769E+29</v>
      </c>
      <c r="EYI29" s="160">
        <f t="shared" ref="EYI29" si="2016">EYG29*$C$29</f>
        <v>9.0290085528941717E+29</v>
      </c>
      <c r="EYK29" s="160">
        <f t="shared" ref="EYK29" si="2017">EYI29*$C$29</f>
        <v>9.2998788094809968E+29</v>
      </c>
      <c r="EYM29" s="160">
        <f t="shared" ref="EYM29" si="2018">EYK29*$C$29</f>
        <v>9.5788751737654276E+29</v>
      </c>
      <c r="EYO29" s="160">
        <f t="shared" ref="EYO29" si="2019">EYM29*$C$29</f>
        <v>9.8662414289783908E+29</v>
      </c>
      <c r="EYQ29" s="160">
        <f t="shared" ref="EYQ29" si="2020">EYO29*$C$29</f>
        <v>1.0162228671847743E+30</v>
      </c>
      <c r="EYS29" s="160">
        <f t="shared" ref="EYS29" si="2021">EYQ29*$C$29</f>
        <v>1.0467095532003176E+30</v>
      </c>
      <c r="EYU29" s="160">
        <f t="shared" ref="EYU29" si="2022">EYS29*$C$29</f>
        <v>1.0781108397963272E+30</v>
      </c>
      <c r="EYW29" s="160">
        <f t="shared" ref="EYW29" si="2023">EYU29*$C$29</f>
        <v>1.1104541649902171E+30</v>
      </c>
      <c r="EYY29" s="160">
        <f t="shared" ref="EYY29" si="2024">EYW29*$C$29</f>
        <v>1.1437677899399236E+30</v>
      </c>
      <c r="EZA29" s="160">
        <f t="shared" ref="EZA29" si="2025">EYY29*$C$29</f>
        <v>1.1780808236381213E+30</v>
      </c>
      <c r="EZC29" s="160">
        <f t="shared" ref="EZC29" si="2026">EZA29*$C$29</f>
        <v>1.2134232483472649E+30</v>
      </c>
      <c r="EZE29" s="160">
        <f t="shared" ref="EZE29" si="2027">EZC29*$C$29</f>
        <v>1.2498259457976829E+30</v>
      </c>
      <c r="EZG29" s="160">
        <f t="shared" ref="EZG29" si="2028">EZE29*$C$29</f>
        <v>1.2873207241716135E+30</v>
      </c>
      <c r="EZI29" s="160">
        <f t="shared" ref="EZI29" si="2029">EZG29*$C$29</f>
        <v>1.325940345896762E+30</v>
      </c>
      <c r="EZK29" s="160">
        <f t="shared" ref="EZK29" si="2030">EZI29*$C$29</f>
        <v>1.3657185562736649E+30</v>
      </c>
      <c r="EZM29" s="160">
        <f t="shared" ref="EZM29" si="2031">EZK29*$C$29</f>
        <v>1.406690112961875E+30</v>
      </c>
      <c r="EZO29" s="160">
        <f t="shared" ref="EZO29" si="2032">EZM29*$C$29</f>
        <v>1.4488908163507311E+30</v>
      </c>
      <c r="EZQ29" s="160">
        <f t="shared" ref="EZQ29" si="2033">EZO29*$C$29</f>
        <v>1.4923575408412531E+30</v>
      </c>
      <c r="EZS29" s="160">
        <f t="shared" ref="EZS29" si="2034">EZQ29*$C$29</f>
        <v>1.5371282670664907E+30</v>
      </c>
      <c r="EZU29" s="160">
        <f t="shared" ref="EZU29" si="2035">EZS29*$C$29</f>
        <v>1.5832421150784854E+30</v>
      </c>
      <c r="EZW29" s="160">
        <f t="shared" ref="EZW29" si="2036">EZU29*$C$29</f>
        <v>1.6307393785308399E+30</v>
      </c>
      <c r="EZY29" s="160">
        <f t="shared" ref="EZY29" si="2037">EZW29*$C$29</f>
        <v>1.6796615598867651E+30</v>
      </c>
      <c r="FAA29" s="160">
        <f t="shared" ref="FAA29" si="2038">EZY29*$C$29</f>
        <v>1.730051406683368E+30</v>
      </c>
      <c r="FAC29" s="160">
        <f t="shared" ref="FAC29" si="2039">FAA29*$C$29</f>
        <v>1.7819529488838692E+30</v>
      </c>
      <c r="FAE29" s="160">
        <f t="shared" ref="FAE29" si="2040">FAC29*$C$29</f>
        <v>1.8354115373503855E+30</v>
      </c>
      <c r="FAG29" s="160">
        <f t="shared" ref="FAG29" si="2041">FAE29*$C$29</f>
        <v>1.890473883470897E+30</v>
      </c>
      <c r="FAI29" s="160">
        <f t="shared" ref="FAI29" si="2042">FAG29*$C$29</f>
        <v>1.947188099975024E+30</v>
      </c>
      <c r="FAK29" s="160">
        <f t="shared" ref="FAK29" si="2043">FAI29*$C$29</f>
        <v>2.0056037429742748E+30</v>
      </c>
      <c r="FAM29" s="160">
        <f t="shared" ref="FAM29" si="2044">FAK29*$C$29</f>
        <v>2.0657718552635031E+30</v>
      </c>
      <c r="FAO29" s="160">
        <f t="shared" ref="FAO29" si="2045">FAM29*$C$29</f>
        <v>2.1277450109214082E+30</v>
      </c>
      <c r="FAQ29" s="160">
        <f t="shared" ref="FAQ29" si="2046">FAO29*$C$29</f>
        <v>2.1915773612490503E+30</v>
      </c>
      <c r="FAS29" s="160">
        <f t="shared" ref="FAS29" si="2047">FAQ29*$C$29</f>
        <v>2.2573246820865218E+30</v>
      </c>
      <c r="FAU29" s="160">
        <f t="shared" ref="FAU29" si="2048">FAS29*$C$29</f>
        <v>2.3250444225491176E+30</v>
      </c>
      <c r="FAW29" s="160">
        <f t="shared" ref="FAW29" si="2049">FAU29*$C$29</f>
        <v>2.3947957552255912E+30</v>
      </c>
      <c r="FAY29" s="160">
        <f t="shared" ref="FAY29" si="2050">FAW29*$C$29</f>
        <v>2.4666396278823589E+30</v>
      </c>
      <c r="FBA29" s="160">
        <f t="shared" ref="FBA29" si="2051">FAY29*$C$29</f>
        <v>2.54063881671883E+30</v>
      </c>
      <c r="FBC29" s="160">
        <f t="shared" ref="FBC29" si="2052">FBA29*$C$29</f>
        <v>2.6168579812203951E+30</v>
      </c>
      <c r="FBE29" s="160">
        <f t="shared" ref="FBE29" si="2053">FBC29*$C$29</f>
        <v>2.6953637206570073E+30</v>
      </c>
      <c r="FBG29" s="160">
        <f t="shared" ref="FBG29" si="2054">FBE29*$C$29</f>
        <v>2.7762246322767178E+30</v>
      </c>
      <c r="FBI29" s="160">
        <f t="shared" ref="FBI29" si="2055">FBG29*$C$29</f>
        <v>2.8595113712450195E+30</v>
      </c>
      <c r="FBK29" s="160">
        <f t="shared" ref="FBK29" si="2056">FBI29*$C$29</f>
        <v>2.9452967123823704E+30</v>
      </c>
      <c r="FBM29" s="160">
        <f t="shared" ref="FBM29" si="2057">FBK29*$C$29</f>
        <v>3.0336556137538416E+30</v>
      </c>
      <c r="FBO29" s="160">
        <f t="shared" ref="FBO29" si="2058">FBM29*$C$29</f>
        <v>3.1246652821664568E+30</v>
      </c>
      <c r="FBQ29" s="160">
        <f t="shared" ref="FBQ29" si="2059">FBO29*$C$29</f>
        <v>3.2184052406314505E+30</v>
      </c>
      <c r="FBS29" s="160">
        <f t="shared" ref="FBS29" si="2060">FBQ29*$C$29</f>
        <v>3.3149573978503943E+30</v>
      </c>
      <c r="FBU29" s="160">
        <f t="shared" ref="FBU29" si="2061">FBS29*$C$29</f>
        <v>3.414406119785906E+30</v>
      </c>
      <c r="FBW29" s="160">
        <f t="shared" ref="FBW29" si="2062">FBU29*$C$29</f>
        <v>3.5168383033794832E+30</v>
      </c>
      <c r="FBY29" s="160">
        <f t="shared" ref="FBY29" si="2063">FBW29*$C$29</f>
        <v>3.622343452480868E+30</v>
      </c>
      <c r="FCA29" s="160">
        <f t="shared" ref="FCA29" si="2064">FBY29*$C$29</f>
        <v>3.7310137560552939E+30</v>
      </c>
      <c r="FCC29" s="160">
        <f t="shared" ref="FCC29" si="2065">FCA29*$C$29</f>
        <v>3.8429441687369526E+30</v>
      </c>
      <c r="FCE29" s="160">
        <f t="shared" ref="FCE29" si="2066">FCC29*$C$29</f>
        <v>3.9582324937990613E+30</v>
      </c>
      <c r="FCG29" s="160">
        <f t="shared" ref="FCG29" si="2067">FCE29*$C$29</f>
        <v>4.076979468613033E+30</v>
      </c>
      <c r="FCI29" s="160">
        <f t="shared" ref="FCI29" si="2068">FCG29*$C$29</f>
        <v>4.1992888526714241E+30</v>
      </c>
      <c r="FCK29" s="160">
        <f t="shared" ref="FCK29" si="2069">FCI29*$C$29</f>
        <v>4.3252675182515672E+30</v>
      </c>
      <c r="FCM29" s="160">
        <f t="shared" ref="FCM29" si="2070">FCK29*$C$29</f>
        <v>4.4550255437991144E+30</v>
      </c>
      <c r="FCO29" s="160">
        <f t="shared" ref="FCO29" si="2071">FCM29*$C$29</f>
        <v>4.5886763101130882E+30</v>
      </c>
      <c r="FCQ29" s="160">
        <f t="shared" ref="FCQ29" si="2072">FCO29*$C$29</f>
        <v>4.7263365994164811E+30</v>
      </c>
      <c r="FCS29" s="160">
        <f t="shared" ref="FCS29" si="2073">FCQ29*$C$29</f>
        <v>4.8681266973989757E+30</v>
      </c>
      <c r="FCU29" s="160">
        <f t="shared" ref="FCU29" si="2074">FCS29*$C$29</f>
        <v>5.0141704983209451E+30</v>
      </c>
      <c r="FCW29" s="160">
        <f t="shared" ref="FCW29" si="2075">FCU29*$C$29</f>
        <v>5.1645956132705734E+30</v>
      </c>
      <c r="FCY29" s="160">
        <f t="shared" ref="FCY29" si="2076">FCW29*$C$29</f>
        <v>5.3195334816686909E+30</v>
      </c>
      <c r="FDA29" s="160">
        <f t="shared" ref="FDA29" si="2077">FCY29*$C$29</f>
        <v>5.4791194861187515E+30</v>
      </c>
      <c r="FDC29" s="160">
        <f t="shared" ref="FDC29" si="2078">FDA29*$C$29</f>
        <v>5.6434930707023147E+30</v>
      </c>
      <c r="FDE29" s="160">
        <f t="shared" ref="FDE29" si="2079">FDC29*$C$29</f>
        <v>5.8127978628233845E+30</v>
      </c>
      <c r="FDG29" s="160">
        <f t="shared" ref="FDG29" si="2080">FDE29*$C$29</f>
        <v>5.9871817987080859E+30</v>
      </c>
      <c r="FDI29" s="160">
        <f t="shared" ref="FDI29" si="2081">FDG29*$C$29</f>
        <v>6.1667972526693284E+30</v>
      </c>
      <c r="FDK29" s="160">
        <f t="shared" ref="FDK29" si="2082">FDI29*$C$29</f>
        <v>6.3518011702494088E+30</v>
      </c>
      <c r="FDM29" s="160">
        <f t="shared" ref="FDM29" si="2083">FDK29*$C$29</f>
        <v>6.5423552053568913E+30</v>
      </c>
      <c r="FDO29" s="160">
        <f t="shared" ref="FDO29" si="2084">FDM29*$C$29</f>
        <v>6.7386258615175979E+30</v>
      </c>
      <c r="FDQ29" s="160">
        <f t="shared" ref="FDQ29" si="2085">FDO29*$C$29</f>
        <v>6.940784637363126E+30</v>
      </c>
      <c r="FDS29" s="160">
        <f t="shared" ref="FDS29" si="2086">FDQ29*$C$29</f>
        <v>7.1490081764840201E+30</v>
      </c>
      <c r="FDU29" s="160">
        <f t="shared" ref="FDU29" si="2087">FDS29*$C$29</f>
        <v>7.3634784217785413E+30</v>
      </c>
      <c r="FDW29" s="160">
        <f t="shared" ref="FDW29" si="2088">FDU29*$C$29</f>
        <v>7.5843827744318974E+30</v>
      </c>
      <c r="FDY29" s="160">
        <f t="shared" ref="FDY29" si="2089">FDW29*$C$29</f>
        <v>7.8119142576648541E+30</v>
      </c>
      <c r="FEA29" s="160">
        <f t="shared" ref="FEA29" si="2090">FDY29*$C$29</f>
        <v>8.0462716853948004E+30</v>
      </c>
      <c r="FEC29" s="160">
        <f t="shared" ref="FEC29" si="2091">FEA29*$C$29</f>
        <v>8.2876598359566449E+30</v>
      </c>
      <c r="FEE29" s="160">
        <f t="shared" ref="FEE29" si="2092">FEC29*$C$29</f>
        <v>8.5362896310353441E+30</v>
      </c>
      <c r="FEG29" s="160">
        <f t="shared" ref="FEG29" si="2093">FEE29*$C$29</f>
        <v>8.7923783199664043E+30</v>
      </c>
      <c r="FEI29" s="160">
        <f t="shared" ref="FEI29" si="2094">FEG29*$C$29</f>
        <v>9.0561496695653963E+30</v>
      </c>
      <c r="FEK29" s="160">
        <f t="shared" ref="FEK29" si="2095">FEI29*$C$29</f>
        <v>9.327834159652358E+30</v>
      </c>
      <c r="FEM29" s="160">
        <f t="shared" ref="FEM29" si="2096">FEK29*$C$29</f>
        <v>9.6076691844419295E+30</v>
      </c>
      <c r="FEO29" s="160">
        <f t="shared" ref="FEO29" si="2097">FEM29*$C$29</f>
        <v>9.8958992599751877E+30</v>
      </c>
      <c r="FEQ29" s="160">
        <f t="shared" ref="FEQ29" si="2098">FEO29*$C$29</f>
        <v>1.0192776237774444E+31</v>
      </c>
      <c r="FES29" s="160">
        <f t="shared" ref="FES29" si="2099">FEQ29*$C$29</f>
        <v>1.0498559524907679E+31</v>
      </c>
      <c r="FEU29" s="160">
        <f t="shared" ref="FEU29" si="2100">FES29*$C$29</f>
        <v>1.081351631065491E+31</v>
      </c>
      <c r="FEW29" s="160">
        <f t="shared" ref="FEW29" si="2101">FEU29*$C$29</f>
        <v>1.1137921799974557E+31</v>
      </c>
      <c r="FEY29" s="160">
        <f t="shared" ref="FEY29" si="2102">FEW29*$C$29</f>
        <v>1.1472059453973794E+31</v>
      </c>
      <c r="FFA29" s="160">
        <f t="shared" ref="FFA29" si="2103">FEY29*$C$29</f>
        <v>1.1816221237593008E+31</v>
      </c>
      <c r="FFC29" s="160">
        <f t="shared" ref="FFC29" si="2104">FFA29*$C$29</f>
        <v>1.2170707874720798E+31</v>
      </c>
      <c r="FFE29" s="160">
        <f t="shared" ref="FFE29" si="2105">FFC29*$C$29</f>
        <v>1.2535829110962422E+31</v>
      </c>
      <c r="FFG29" s="160">
        <f t="shared" ref="FFG29" si="2106">FFE29*$C$29</f>
        <v>1.2911903984291296E+31</v>
      </c>
      <c r="FFI29" s="160">
        <f t="shared" ref="FFI29" si="2107">FFG29*$C$29</f>
        <v>1.3299261103820035E+31</v>
      </c>
      <c r="FFK29" s="160">
        <f t="shared" ref="FFK29" si="2108">FFI29*$C$29</f>
        <v>1.3698238936934636E+31</v>
      </c>
      <c r="FFM29" s="160">
        <f t="shared" ref="FFM29" si="2109">FFK29*$C$29</f>
        <v>1.4109186105042675E+31</v>
      </c>
      <c r="FFO29" s="160">
        <f t="shared" ref="FFO29" si="2110">FFM29*$C$29</f>
        <v>1.4532461688193956E+31</v>
      </c>
      <c r="FFQ29" s="160">
        <f t="shared" ref="FFQ29" si="2111">FFO29*$C$29</f>
        <v>1.4968435538839775E+31</v>
      </c>
      <c r="FFS29" s="160">
        <f t="shared" ref="FFS29" si="2112">FFQ29*$C$29</f>
        <v>1.5417488605004969E+31</v>
      </c>
      <c r="FFU29" s="160">
        <f t="shared" ref="FFU29" si="2113">FFS29*$C$29</f>
        <v>1.5880013263155118E+31</v>
      </c>
      <c r="FFW29" s="160">
        <f t="shared" ref="FFW29" si="2114">FFU29*$C$29</f>
        <v>1.6356413661049772E+31</v>
      </c>
      <c r="FFY29" s="160">
        <f t="shared" ref="FFY29" si="2115">FFW29*$C$29</f>
        <v>1.6847106070881265E+31</v>
      </c>
      <c r="FGA29" s="160">
        <f t="shared" ref="FGA29" si="2116">FFY29*$C$29</f>
        <v>1.7352519253007704E+31</v>
      </c>
      <c r="FGC29" s="160">
        <f t="shared" ref="FGC29" si="2117">FGA29*$C$29</f>
        <v>1.7873094830597936E+31</v>
      </c>
      <c r="FGE29" s="160">
        <f t="shared" ref="FGE29" si="2118">FGC29*$C$29</f>
        <v>1.8409287675515873E+31</v>
      </c>
      <c r="FGG29" s="160">
        <f t="shared" ref="FGG29" si="2119">FGE29*$C$29</f>
        <v>1.8961566305781349E+31</v>
      </c>
      <c r="FGI29" s="160">
        <f t="shared" ref="FGI29" si="2120">FGG29*$C$29</f>
        <v>1.9530413294954791E+31</v>
      </c>
      <c r="FGK29" s="160">
        <f t="shared" ref="FGK29" si="2121">FGI29*$C$29</f>
        <v>2.0116325693803435E+31</v>
      </c>
      <c r="FGM29" s="160">
        <f t="shared" ref="FGM29" si="2122">FGK29*$C$29</f>
        <v>2.0719815464617537E+31</v>
      </c>
      <c r="FGO29" s="160">
        <f t="shared" ref="FGO29" si="2123">FGM29*$C$29</f>
        <v>2.1341409928556065E+31</v>
      </c>
      <c r="FGQ29" s="160">
        <f t="shared" ref="FGQ29" si="2124">FGO29*$C$29</f>
        <v>2.1981652226412746E+31</v>
      </c>
      <c r="FGS29" s="160">
        <f t="shared" ref="FGS29" si="2125">FGQ29*$C$29</f>
        <v>2.264110179320513E+31</v>
      </c>
      <c r="FGU29" s="160">
        <f t="shared" ref="FGU29" si="2126">FGS29*$C$29</f>
        <v>2.3320334847001286E+31</v>
      </c>
      <c r="FGW29" s="160">
        <f t="shared" ref="FGW29" si="2127">FGU29*$C$29</f>
        <v>2.4019944892411324E+31</v>
      </c>
      <c r="FGY29" s="160">
        <f t="shared" ref="FGY29" si="2128">FGW29*$C$29</f>
        <v>2.4740543239183664E+31</v>
      </c>
      <c r="FHA29" s="160">
        <f t="shared" ref="FHA29" si="2129">FGY29*$C$29</f>
        <v>2.5482759536359175E+31</v>
      </c>
      <c r="FHC29" s="160">
        <f t="shared" ref="FHC29" si="2130">FHA29*$C$29</f>
        <v>2.6247242322449953E+31</v>
      </c>
      <c r="FHE29" s="160">
        <f t="shared" ref="FHE29" si="2131">FHC29*$C$29</f>
        <v>2.7034659592123452E+31</v>
      </c>
      <c r="FHG29" s="160">
        <f t="shared" ref="FHG29" si="2132">FHE29*$C$29</f>
        <v>2.7845699379887157E+31</v>
      </c>
      <c r="FHI29" s="160">
        <f t="shared" ref="FHI29" si="2133">FHG29*$C$29</f>
        <v>2.8681070361283771E+31</v>
      </c>
      <c r="FHK29" s="160">
        <f t="shared" ref="FHK29" si="2134">FHI29*$C$29</f>
        <v>2.9541502472122287E+31</v>
      </c>
      <c r="FHM29" s="160">
        <f t="shared" ref="FHM29" si="2135">FHK29*$C$29</f>
        <v>3.0427747546285957E+31</v>
      </c>
      <c r="FHO29" s="160">
        <f t="shared" ref="FHO29" si="2136">FHM29*$C$29</f>
        <v>3.1340579972674537E+31</v>
      </c>
      <c r="FHQ29" s="160">
        <f t="shared" ref="FHQ29" si="2137">FHO29*$C$29</f>
        <v>3.2280797371854773E+31</v>
      </c>
      <c r="FHS29" s="160">
        <f t="shared" ref="FHS29" si="2138">FHQ29*$C$29</f>
        <v>3.3249221293010418E+31</v>
      </c>
      <c r="FHU29" s="160">
        <f t="shared" ref="FHU29" si="2139">FHS29*$C$29</f>
        <v>3.4246697931800731E+31</v>
      </c>
      <c r="FHW29" s="160">
        <f t="shared" ref="FHW29" si="2140">FHU29*$C$29</f>
        <v>3.5274098869754755E+31</v>
      </c>
      <c r="FHY29" s="160">
        <f t="shared" ref="FHY29" si="2141">FHW29*$C$29</f>
        <v>3.6332321835847399E+31</v>
      </c>
      <c r="FIA29" s="160">
        <f t="shared" ref="FIA29" si="2142">FHY29*$C$29</f>
        <v>3.7422291490922823E+31</v>
      </c>
      <c r="FIC29" s="160">
        <f t="shared" ref="FIC29" si="2143">FIA29*$C$29</f>
        <v>3.8544960235650509E+31</v>
      </c>
      <c r="FIE29" s="160">
        <f t="shared" ref="FIE29" si="2144">FIC29*$C$29</f>
        <v>3.9701309042720026E+31</v>
      </c>
      <c r="FIG29" s="160">
        <f t="shared" ref="FIG29" si="2145">FIE29*$C$29</f>
        <v>4.089234831400163E+31</v>
      </c>
      <c r="FII29" s="160">
        <f t="shared" ref="FII29" si="2146">FIG29*$C$29</f>
        <v>4.2119118763421679E+31</v>
      </c>
      <c r="FIK29" s="160">
        <f t="shared" ref="FIK29" si="2147">FII29*$C$29</f>
        <v>4.3382692326324333E+31</v>
      </c>
      <c r="FIM29" s="160">
        <f t="shared" ref="FIM29" si="2148">FIK29*$C$29</f>
        <v>4.4684173096114062E+31</v>
      </c>
      <c r="FIO29" s="160">
        <f t="shared" ref="FIO29" si="2149">FIM29*$C$29</f>
        <v>4.602469828899749E+31</v>
      </c>
      <c r="FIQ29" s="160">
        <f t="shared" ref="FIQ29" si="2150">FIO29*$C$29</f>
        <v>4.7405439237667413E+31</v>
      </c>
      <c r="FIS29" s="160">
        <f t="shared" ref="FIS29" si="2151">FIQ29*$C$29</f>
        <v>4.8827602414797439E+31</v>
      </c>
      <c r="FIU29" s="160">
        <f t="shared" ref="FIU29" si="2152">FIS29*$C$29</f>
        <v>5.0292430487241362E+31</v>
      </c>
      <c r="FIW29" s="160">
        <f t="shared" ref="FIW29" si="2153">FIU29*$C$29</f>
        <v>5.1801203401858606E+31</v>
      </c>
      <c r="FIY29" s="160">
        <f t="shared" ref="FIY29" si="2154">FIW29*$C$29</f>
        <v>5.3355239503914362E+31</v>
      </c>
      <c r="FJA29" s="160">
        <f t="shared" ref="FJA29" si="2155">FIY29*$C$29</f>
        <v>5.495589668903179E+31</v>
      </c>
      <c r="FJC29" s="160">
        <f t="shared" ref="FJC29" si="2156">FJA29*$C$29</f>
        <v>5.6604573589702748E+31</v>
      </c>
      <c r="FJE29" s="160">
        <f t="shared" ref="FJE29" si="2157">FJC29*$C$29</f>
        <v>5.830271079739383E+31</v>
      </c>
      <c r="FJG29" s="160">
        <f t="shared" ref="FJG29" si="2158">FJE29*$C$29</f>
        <v>6.0051792121315644E+31</v>
      </c>
      <c r="FJI29" s="160">
        <f t="shared" ref="FJI29" si="2159">FJG29*$C$29</f>
        <v>6.1853345884955117E+31</v>
      </c>
      <c r="FJK29" s="160">
        <f t="shared" ref="FJK29" si="2160">FJI29*$C$29</f>
        <v>6.3708946261503775E+31</v>
      </c>
      <c r="FJM29" s="160">
        <f t="shared" ref="FJM29" si="2161">FJK29*$C$29</f>
        <v>6.5620214649348889E+31</v>
      </c>
      <c r="FJO29" s="160">
        <f t="shared" ref="FJO29" si="2162">FJM29*$C$29</f>
        <v>6.7588821088829362E+31</v>
      </c>
      <c r="FJQ29" s="160">
        <f t="shared" ref="FJQ29" si="2163">FJO29*$C$29</f>
        <v>6.9616485721494242E+31</v>
      </c>
      <c r="FJS29" s="160">
        <f t="shared" ref="FJS29" si="2164">FJQ29*$C$29</f>
        <v>7.1704980293139068E+31</v>
      </c>
      <c r="FJU29" s="160">
        <f t="shared" ref="FJU29" si="2165">FJS29*$C$29</f>
        <v>7.3856129701933246E+31</v>
      </c>
      <c r="FJW29" s="160">
        <f t="shared" ref="FJW29" si="2166">FJU29*$C$29</f>
        <v>7.6071813592991248E+31</v>
      </c>
      <c r="FJY29" s="160">
        <f t="shared" ref="FJY29" si="2167">FJW29*$C$29</f>
        <v>7.8353968000780989E+31</v>
      </c>
      <c r="FKA29" s="160">
        <f t="shared" ref="FKA29" si="2168">FJY29*$C$29</f>
        <v>8.0704587040804425E+31</v>
      </c>
      <c r="FKC29" s="160">
        <f t="shared" ref="FKC29" si="2169">FKA29*$C$29</f>
        <v>8.3125724652028555E+31</v>
      </c>
      <c r="FKE29" s="160">
        <f t="shared" ref="FKE29" si="2170">FKC29*$C$29</f>
        <v>8.5619496391589418E+31</v>
      </c>
      <c r="FKG29" s="160">
        <f t="shared" ref="FKG29" si="2171">FKE29*$C$29</f>
        <v>8.8188081283337107E+31</v>
      </c>
      <c r="FKI29" s="160">
        <f t="shared" ref="FKI29" si="2172">FKG29*$C$29</f>
        <v>9.0833723721837229E+31</v>
      </c>
      <c r="FKK29" s="160">
        <f t="shared" ref="FKK29" si="2173">FKI29*$C$29</f>
        <v>9.3558735433492347E+31</v>
      </c>
      <c r="FKM29" s="160">
        <f t="shared" ref="FKM29" si="2174">FKK29*$C$29</f>
        <v>9.6365497496497117E+31</v>
      </c>
      <c r="FKO29" s="160">
        <f t="shared" ref="FKO29" si="2175">FKM29*$C$29</f>
        <v>9.925646242139204E+31</v>
      </c>
      <c r="FKQ29" s="160">
        <f t="shared" ref="FKQ29" si="2176">FKO29*$C$29</f>
        <v>1.0223415629403381E+32</v>
      </c>
      <c r="FKS29" s="160">
        <f t="shared" ref="FKS29" si="2177">FKQ29*$C$29</f>
        <v>1.0530118098285483E+32</v>
      </c>
      <c r="FKU29" s="160">
        <f t="shared" ref="FKU29" si="2178">FKS29*$C$29</f>
        <v>1.0846021641234047E+32</v>
      </c>
      <c r="FKW29" s="160">
        <f t="shared" ref="FKW29" si="2179">FKU29*$C$29</f>
        <v>1.1171402290471069E+32</v>
      </c>
      <c r="FKY29" s="160">
        <f t="shared" ref="FKY29" si="2180">FKW29*$C$29</f>
        <v>1.1506544359185201E+32</v>
      </c>
      <c r="FLA29" s="160">
        <f t="shared" ref="FLA29" si="2181">FKY29*$C$29</f>
        <v>1.1851740689960758E+32</v>
      </c>
      <c r="FLC29" s="160">
        <f t="shared" ref="FLC29" si="2182">FLA29*$C$29</f>
        <v>1.220729291065958E+32</v>
      </c>
      <c r="FLE29" s="160">
        <f t="shared" ref="FLE29" si="2183">FLC29*$C$29</f>
        <v>1.2573511697979368E+32</v>
      </c>
      <c r="FLG29" s="160">
        <f t="shared" ref="FLG29" si="2184">FLE29*$C$29</f>
        <v>1.295071704891875E+32</v>
      </c>
      <c r="FLI29" s="160">
        <f t="shared" ref="FLI29" si="2185">FLG29*$C$29</f>
        <v>1.3339238560386314E+32</v>
      </c>
      <c r="FLK29" s="160">
        <f t="shared" ref="FLK29" si="2186">FLI29*$C$29</f>
        <v>1.3739415717197903E+32</v>
      </c>
      <c r="FLM29" s="160">
        <f t="shared" ref="FLM29" si="2187">FLK29*$C$29</f>
        <v>1.415159818871384E+32</v>
      </c>
      <c r="FLO29" s="160">
        <f t="shared" ref="FLO29" si="2188">FLM29*$C$29</f>
        <v>1.4576146134375256E+32</v>
      </c>
      <c r="FLQ29" s="160">
        <f t="shared" ref="FLQ29" si="2189">FLO29*$C$29</f>
        <v>1.5013430518406514E+32</v>
      </c>
      <c r="FLS29" s="160">
        <f t="shared" ref="FLS29" si="2190">FLQ29*$C$29</f>
        <v>1.546383343395871E+32</v>
      </c>
      <c r="FLU29" s="160">
        <f t="shared" ref="FLU29" si="2191">FLS29*$C$29</f>
        <v>1.5927748436977472E+32</v>
      </c>
      <c r="FLW29" s="160">
        <f t="shared" ref="FLW29" si="2192">FLU29*$C$29</f>
        <v>1.6405580890086797E+32</v>
      </c>
      <c r="FLY29" s="160">
        <f t="shared" ref="FLY29" si="2193">FLW29*$C$29</f>
        <v>1.68977483167894E+32</v>
      </c>
      <c r="FMA29" s="160">
        <f t="shared" ref="FMA29" si="2194">FLY29*$C$29</f>
        <v>1.7404680766293081E+32</v>
      </c>
      <c r="FMC29" s="160">
        <f t="shared" ref="FMC29" si="2195">FMA29*$C$29</f>
        <v>1.7926821189281874E+32</v>
      </c>
      <c r="FME29" s="160">
        <f t="shared" ref="FME29" si="2196">FMC29*$C$29</f>
        <v>1.8464625824960332E+32</v>
      </c>
      <c r="FMG29" s="160">
        <f t="shared" ref="FMG29" si="2197">FME29*$C$29</f>
        <v>1.9018564599709141E+32</v>
      </c>
      <c r="FMI29" s="160">
        <f t="shared" ref="FMI29" si="2198">FMG29*$C$29</f>
        <v>1.9589121537700415E+32</v>
      </c>
      <c r="FMK29" s="160">
        <f t="shared" ref="FMK29" si="2199">FMI29*$C$29</f>
        <v>2.0176795183831429E+32</v>
      </c>
      <c r="FMM29" s="160">
        <f t="shared" ref="FMM29" si="2200">FMK29*$C$29</f>
        <v>2.0782099039346371E+32</v>
      </c>
      <c r="FMO29" s="160">
        <f t="shared" ref="FMO29" si="2201">FMM29*$C$29</f>
        <v>2.1405562010526761E+32</v>
      </c>
      <c r="FMQ29" s="160">
        <f t="shared" ref="FMQ29" si="2202">FMO29*$C$29</f>
        <v>2.2047728870842565E+32</v>
      </c>
      <c r="FMS29" s="160">
        <f t="shared" ref="FMS29" si="2203">FMQ29*$C$29</f>
        <v>2.2709160736967843E+32</v>
      </c>
      <c r="FMU29" s="160">
        <f t="shared" ref="FMU29" si="2204">FMS29*$C$29</f>
        <v>2.339043555907688E+32</v>
      </c>
      <c r="FMW29" s="160">
        <f t="shared" ref="FMW29" si="2205">FMU29*$C$29</f>
        <v>2.4092148625849186E+32</v>
      </c>
      <c r="FMY29" s="160">
        <f t="shared" ref="FMY29" si="2206">FMW29*$C$29</f>
        <v>2.4814913084624661E+32</v>
      </c>
      <c r="FNA29" s="160">
        <f t="shared" ref="FNA29" si="2207">FMY29*$C$29</f>
        <v>2.5559360477163402E+32</v>
      </c>
      <c r="FNC29" s="160">
        <f t="shared" ref="FNC29" si="2208">FNA29*$C$29</f>
        <v>2.6326141291478304E+32</v>
      </c>
      <c r="FNE29" s="160">
        <f t="shared" ref="FNE29" si="2209">FNC29*$C$29</f>
        <v>2.7115925530222654E+32</v>
      </c>
      <c r="FNG29" s="160">
        <f t="shared" ref="FNG29" si="2210">FNE29*$C$29</f>
        <v>2.7929403296129332E+32</v>
      </c>
      <c r="FNI29" s="160">
        <f t="shared" ref="FNI29" si="2211">FNG29*$C$29</f>
        <v>2.8767285395013213E+32</v>
      </c>
      <c r="FNK29" s="160">
        <f t="shared" ref="FNK29" si="2212">FNI29*$C$29</f>
        <v>2.9630303956863609E+32</v>
      </c>
      <c r="FNM29" s="160">
        <f t="shared" ref="FNM29" si="2213">FNK29*$C$29</f>
        <v>3.0519213075569518E+32</v>
      </c>
      <c r="FNO29" s="160">
        <f t="shared" ref="FNO29" si="2214">FNM29*$C$29</f>
        <v>3.1434789467836603E+32</v>
      </c>
      <c r="FNQ29" s="160">
        <f t="shared" ref="FNQ29" si="2215">FNO29*$C$29</f>
        <v>3.23778331518717E+32</v>
      </c>
      <c r="FNS29" s="160">
        <f t="shared" ref="FNS29" si="2216">FNQ29*$C$29</f>
        <v>3.3349168146427853E+32</v>
      </c>
      <c r="FNU29" s="160">
        <f t="shared" ref="FNU29" si="2217">FNS29*$C$29</f>
        <v>3.4349643190820687E+32</v>
      </c>
      <c r="FNW29" s="160">
        <f t="shared" ref="FNW29" si="2218">FNU29*$C$29</f>
        <v>3.5380132486545311E+32</v>
      </c>
      <c r="FNY29" s="160">
        <f t="shared" ref="FNY29" si="2219">FNW29*$C$29</f>
        <v>3.6441536461141673E+32</v>
      </c>
      <c r="FOA29" s="160">
        <f t="shared" ref="FOA29" si="2220">FNY29*$C$29</f>
        <v>3.7534782554975928E+32</v>
      </c>
      <c r="FOC29" s="160">
        <f t="shared" ref="FOC29" si="2221">FOA29*$C$29</f>
        <v>3.866082603162521E+32</v>
      </c>
      <c r="FOE29" s="160">
        <f t="shared" ref="FOE29" si="2222">FOC29*$C$29</f>
        <v>3.9820650812573964E+32</v>
      </c>
      <c r="FOG29" s="160">
        <f t="shared" ref="FOG29" si="2223">FOE29*$C$29</f>
        <v>4.1015270336951185E+32</v>
      </c>
      <c r="FOI29" s="160">
        <f t="shared" ref="FOI29" si="2224">FOG29*$C$29</f>
        <v>4.2245728447059724E+32</v>
      </c>
      <c r="FOK29" s="160">
        <f t="shared" ref="FOK29" si="2225">FOI29*$C$29</f>
        <v>4.3513100300471517E+32</v>
      </c>
      <c r="FOM29" s="160">
        <f t="shared" ref="FOM29" si="2226">FOK29*$C$29</f>
        <v>4.4818493309485668E+32</v>
      </c>
      <c r="FOO29" s="160">
        <f t="shared" ref="FOO29" si="2227">FOM29*$C$29</f>
        <v>4.6163048108770236E+32</v>
      </c>
      <c r="FOQ29" s="160">
        <f t="shared" ref="FOQ29" si="2228">FOO29*$C$29</f>
        <v>4.7547939552033342E+32</v>
      </c>
      <c r="FOS29" s="160">
        <f t="shared" ref="FOS29" si="2229">FOQ29*$C$29</f>
        <v>4.8974377738594342E+32</v>
      </c>
      <c r="FOU29" s="160">
        <f t="shared" ref="FOU29" si="2230">FOS29*$C$29</f>
        <v>5.044360907075217E+32</v>
      </c>
      <c r="FOW29" s="160">
        <f t="shared" ref="FOW29" si="2231">FOU29*$C$29</f>
        <v>5.1956917342874735E+32</v>
      </c>
      <c r="FOY29" s="160">
        <f t="shared" ref="FOY29" si="2232">FOW29*$C$29</f>
        <v>5.3515624863160976E+32</v>
      </c>
      <c r="FPA29" s="160">
        <f t="shared" ref="FPA29" si="2233">FOY29*$C$29</f>
        <v>5.5121093609055803E+32</v>
      </c>
      <c r="FPC29" s="160">
        <f t="shared" ref="FPC29" si="2234">FPA29*$C$29</f>
        <v>5.6774726417327476E+32</v>
      </c>
      <c r="FPE29" s="160">
        <f t="shared" ref="FPE29" si="2235">FPC29*$C$29</f>
        <v>5.8477968209847303E+32</v>
      </c>
      <c r="FPG29" s="160">
        <f t="shared" ref="FPG29" si="2236">FPE29*$C$29</f>
        <v>6.0232307256142722E+32</v>
      </c>
      <c r="FPI29" s="160">
        <f t="shared" ref="FPI29" si="2237">FPG29*$C$29</f>
        <v>6.2039276473827007E+32</v>
      </c>
      <c r="FPK29" s="160">
        <f t="shared" ref="FPK29" si="2238">FPI29*$C$29</f>
        <v>6.3900454768041817E+32</v>
      </c>
      <c r="FPM29" s="160">
        <f t="shared" ref="FPM29" si="2239">FPK29*$C$29</f>
        <v>6.5817468411083072E+32</v>
      </c>
      <c r="FPO29" s="160">
        <f t="shared" ref="FPO29" si="2240">FPM29*$C$29</f>
        <v>6.779199246341556E+32</v>
      </c>
      <c r="FPQ29" s="160">
        <f t="shared" ref="FPQ29" si="2241">FPO29*$C$29</f>
        <v>6.9825752237318031E+32</v>
      </c>
      <c r="FPS29" s="160">
        <f t="shared" ref="FPS29" si="2242">FPQ29*$C$29</f>
        <v>7.1920524804437575E+32</v>
      </c>
      <c r="FPU29" s="160">
        <f t="shared" ref="FPU29" si="2243">FPS29*$C$29</f>
        <v>7.40781405485707E+32</v>
      </c>
      <c r="FPW29" s="160">
        <f t="shared" ref="FPW29" si="2244">FPU29*$C$29</f>
        <v>7.6300484765027821E+32</v>
      </c>
      <c r="FPY29" s="160">
        <f t="shared" ref="FPY29" si="2245">FPW29*$C$29</f>
        <v>7.8589499307978665E+32</v>
      </c>
      <c r="FQA29" s="160">
        <f t="shared" ref="FQA29" si="2246">FPY29*$C$29</f>
        <v>8.094718428721802E+32</v>
      </c>
      <c r="FQC29" s="160">
        <f t="shared" ref="FQC29" si="2247">FQA29*$C$29</f>
        <v>8.3375599815834566E+32</v>
      </c>
      <c r="FQE29" s="160">
        <f t="shared" ref="FQE29" si="2248">FQC29*$C$29</f>
        <v>8.5876867810309604E+32</v>
      </c>
      <c r="FQG29" s="160">
        <f t="shared" ref="FQG29" si="2249">FQE29*$C$29</f>
        <v>8.8453173844618888E+32</v>
      </c>
      <c r="FQI29" s="160">
        <f t="shared" ref="FQI29" si="2250">FQG29*$C$29</f>
        <v>9.1106769059957459E+32</v>
      </c>
      <c r="FQK29" s="160">
        <f t="shared" ref="FQK29" si="2251">FQI29*$C$29</f>
        <v>9.3839972131756186E+32</v>
      </c>
      <c r="FQM29" s="160">
        <f t="shared" ref="FQM29" si="2252">FQK29*$C$29</f>
        <v>9.665517129570887E+32</v>
      </c>
      <c r="FQO29" s="160">
        <f t="shared" ref="FQO29" si="2253">FQM29*$C$29</f>
        <v>9.9554826434580136E+32</v>
      </c>
      <c r="FQQ29" s="160">
        <f t="shared" ref="FQQ29" si="2254">FQO29*$C$29</f>
        <v>1.0254147122761754E+33</v>
      </c>
      <c r="FQS29" s="160">
        <f t="shared" ref="FQS29" si="2255">FQQ29*$C$29</f>
        <v>1.0561771536444606E+33</v>
      </c>
      <c r="FQU29" s="160">
        <f t="shared" ref="FQU29" si="2256">FQS29*$C$29</f>
        <v>1.0878624682537944E+33</v>
      </c>
      <c r="FQW29" s="160">
        <f t="shared" ref="FQW29" si="2257">FQU29*$C$29</f>
        <v>1.1204983423014083E+33</v>
      </c>
      <c r="FQY29" s="160">
        <f t="shared" ref="FQY29" si="2258">FQW29*$C$29</f>
        <v>1.1541132925704506E+33</v>
      </c>
      <c r="FRA29" s="160">
        <f t="shared" ref="FRA29" si="2259">FQY29*$C$29</f>
        <v>1.1887366913475641E+33</v>
      </c>
      <c r="FRC29" s="160">
        <f t="shared" ref="FRC29" si="2260">FRA29*$C$29</f>
        <v>1.224398792087991E+33</v>
      </c>
      <c r="FRE29" s="160">
        <f t="shared" ref="FRE29" si="2261">FRC29*$C$29</f>
        <v>1.2611307558506308E+33</v>
      </c>
      <c r="FRG29" s="160">
        <f t="shared" ref="FRG29" si="2262">FRE29*$C$29</f>
        <v>1.2989646785261496E+33</v>
      </c>
      <c r="FRI29" s="160">
        <f t="shared" ref="FRI29" si="2263">FRG29*$C$29</f>
        <v>1.3379336188819342E+33</v>
      </c>
      <c r="FRK29" s="160">
        <f t="shared" ref="FRK29" si="2264">FRI29*$C$29</f>
        <v>1.3780716274483922E+33</v>
      </c>
      <c r="FRM29" s="160">
        <f t="shared" ref="FRM29" si="2265">FRK29*$C$29</f>
        <v>1.4194137762718442E+33</v>
      </c>
      <c r="FRO29" s="160">
        <f t="shared" ref="FRO29" si="2266">FRM29*$C$29</f>
        <v>1.4619961895599996E+33</v>
      </c>
      <c r="FRQ29" s="160">
        <f t="shared" ref="FRQ29" si="2267">FRO29*$C$29</f>
        <v>1.5058560752467996E+33</v>
      </c>
      <c r="FRS29" s="160">
        <f t="shared" ref="FRS29" si="2268">FRQ29*$C$29</f>
        <v>1.5510317575042035E+33</v>
      </c>
      <c r="FRU29" s="160">
        <f t="shared" ref="FRU29" si="2269">FRS29*$C$29</f>
        <v>1.5975627102293297E+33</v>
      </c>
      <c r="FRW29" s="160">
        <f t="shared" ref="FRW29" si="2270">FRU29*$C$29</f>
        <v>1.6454895915362096E+33</v>
      </c>
      <c r="FRY29" s="160">
        <f t="shared" ref="FRY29" si="2271">FRW29*$C$29</f>
        <v>1.6948542792822959E+33</v>
      </c>
      <c r="FSA29" s="160">
        <f t="shared" ref="FSA29" si="2272">FRY29*$C$29</f>
        <v>1.7456999076607647E+33</v>
      </c>
      <c r="FSC29" s="160">
        <f t="shared" ref="FSC29" si="2273">FSA29*$C$29</f>
        <v>1.7980709048905879E+33</v>
      </c>
      <c r="FSE29" s="160">
        <f t="shared" ref="FSE29" si="2274">FSC29*$C$29</f>
        <v>1.8520130320373056E+33</v>
      </c>
      <c r="FSG29" s="160">
        <f t="shared" ref="FSG29" si="2275">FSE29*$C$29</f>
        <v>1.9075734229984247E+33</v>
      </c>
      <c r="FSI29" s="160">
        <f t="shared" ref="FSI29" si="2276">FSG29*$C$29</f>
        <v>1.9648006256883774E+33</v>
      </c>
      <c r="FSK29" s="160">
        <f t="shared" ref="FSK29" si="2277">FSI29*$C$29</f>
        <v>2.0237446444590288E+33</v>
      </c>
      <c r="FSM29" s="160">
        <f t="shared" ref="FSM29" si="2278">FSK29*$C$29</f>
        <v>2.0844569837927997E+33</v>
      </c>
      <c r="FSO29" s="160">
        <f t="shared" ref="FSO29" si="2279">FSM29*$C$29</f>
        <v>2.1469906933065838E+33</v>
      </c>
      <c r="FSQ29" s="160">
        <f t="shared" ref="FSQ29" si="2280">FSO29*$C$29</f>
        <v>2.2114004141057813E+33</v>
      </c>
      <c r="FSS29" s="160">
        <f t="shared" ref="FSS29" si="2281">FSQ29*$C$29</f>
        <v>2.2777424265289547E+33</v>
      </c>
      <c r="FSU29" s="160">
        <f t="shared" ref="FSU29" si="2282">FSS29*$C$29</f>
        <v>2.3460746993248236E+33</v>
      </c>
      <c r="FSW29" s="160">
        <f t="shared" ref="FSW29" si="2283">FSU29*$C$29</f>
        <v>2.4164569403045683E+33</v>
      </c>
      <c r="FSY29" s="160">
        <f t="shared" ref="FSY29" si="2284">FSW29*$C$29</f>
        <v>2.4889506485137052E+33</v>
      </c>
      <c r="FTA29" s="160">
        <f t="shared" ref="FTA29" si="2285">FSY29*$C$29</f>
        <v>2.5636191679691166E+33</v>
      </c>
      <c r="FTC29" s="160">
        <f t="shared" ref="FTC29" si="2286">FTA29*$C$29</f>
        <v>2.6405277430081903E+33</v>
      </c>
      <c r="FTE29" s="160">
        <f t="shared" ref="FTE29" si="2287">FTC29*$C$29</f>
        <v>2.7197435752984361E+33</v>
      </c>
      <c r="FTG29" s="160">
        <f t="shared" ref="FTG29" si="2288">FTE29*$C$29</f>
        <v>2.8013358825573893E+33</v>
      </c>
      <c r="FTI29" s="160">
        <f t="shared" ref="FTI29" si="2289">FTG29*$C$29</f>
        <v>2.8853759590341108E+33</v>
      </c>
      <c r="FTK29" s="160">
        <f t="shared" ref="FTK29" si="2290">FTI29*$C$29</f>
        <v>2.9719372378051341E+33</v>
      </c>
      <c r="FTM29" s="160">
        <f t="shared" ref="FTM29" si="2291">FTK29*$C$29</f>
        <v>3.0610953549392881E+33</v>
      </c>
      <c r="FTO29" s="160">
        <f t="shared" ref="FTO29" si="2292">FTM29*$C$29</f>
        <v>3.1529282155874667E+33</v>
      </c>
      <c r="FTQ29" s="160">
        <f t="shared" ref="FTQ29" si="2293">FTO29*$C$29</f>
        <v>3.2475160620550905E+33</v>
      </c>
      <c r="FTS29" s="160">
        <f t="shared" ref="FTS29" si="2294">FTQ29*$C$29</f>
        <v>3.3449415439167435E+33</v>
      </c>
      <c r="FTU29" s="160">
        <f t="shared" ref="FTU29" si="2295">FTS29*$C$29</f>
        <v>3.4452897902342461E+33</v>
      </c>
      <c r="FTW29" s="160">
        <f t="shared" ref="FTW29" si="2296">FTU29*$C$29</f>
        <v>3.5486484839412737E+33</v>
      </c>
      <c r="FTY29" s="160">
        <f t="shared" ref="FTY29" si="2297">FTW29*$C$29</f>
        <v>3.6551079384595119E+33</v>
      </c>
      <c r="FUA29" s="160">
        <f t="shared" ref="FUA29" si="2298">FTY29*$C$29</f>
        <v>3.7647611766132972E+33</v>
      </c>
      <c r="FUC29" s="160">
        <f t="shared" ref="FUC29" si="2299">FUA29*$C$29</f>
        <v>3.8777040119116963E+33</v>
      </c>
      <c r="FUE29" s="160">
        <f t="shared" ref="FUE29" si="2300">FUC29*$C$29</f>
        <v>3.9940351322690472E+33</v>
      </c>
      <c r="FUG29" s="160">
        <f t="shared" ref="FUG29" si="2301">FUE29*$C$29</f>
        <v>4.1138561862371189E+33</v>
      </c>
      <c r="FUI29" s="160">
        <f t="shared" ref="FUI29" si="2302">FUG29*$C$29</f>
        <v>4.2372718718242328E+33</v>
      </c>
      <c r="FUK29" s="160">
        <f t="shared" ref="FUK29" si="2303">FUI29*$C$29</f>
        <v>4.3643900279789601E+33</v>
      </c>
      <c r="FUM29" s="160">
        <f t="shared" ref="FUM29" si="2304">FUK29*$C$29</f>
        <v>4.4953217288183287E+33</v>
      </c>
      <c r="FUO29" s="160">
        <f t="shared" ref="FUO29" si="2305">FUM29*$C$29</f>
        <v>4.6301813806828786E+33</v>
      </c>
      <c r="FUQ29" s="160">
        <f t="shared" ref="FUQ29" si="2306">FUO29*$C$29</f>
        <v>4.769086822103365E+33</v>
      </c>
      <c r="FUS29" s="160">
        <f t="shared" ref="FUS29" si="2307">FUQ29*$C$29</f>
        <v>4.9121594267664659E+33</v>
      </c>
      <c r="FUU29" s="160">
        <f t="shared" ref="FUU29" si="2308">FUS29*$C$29</f>
        <v>5.05952420956946E+33</v>
      </c>
      <c r="FUW29" s="160">
        <f t="shared" ref="FUW29" si="2309">FUU29*$C$29</f>
        <v>5.2113099358565442E+33</v>
      </c>
      <c r="FUY29" s="160">
        <f t="shared" ref="FUY29" si="2310">FUW29*$C$29</f>
        <v>5.3676492339322405E+33</v>
      </c>
      <c r="FVA29" s="160">
        <f t="shared" ref="FVA29" si="2311">FUY29*$C$29</f>
        <v>5.528678710950208E+33</v>
      </c>
      <c r="FVC29" s="160">
        <f t="shared" ref="FVC29" si="2312">FVA29*$C$29</f>
        <v>5.6945390722787145E+33</v>
      </c>
      <c r="FVE29" s="160">
        <f t="shared" ref="FVE29" si="2313">FVC29*$C$29</f>
        <v>5.8653752444470758E+33</v>
      </c>
      <c r="FVG29" s="160">
        <f t="shared" ref="FVG29" si="2314">FVE29*$C$29</f>
        <v>6.0413365017804879E+33</v>
      </c>
      <c r="FVI29" s="160">
        <f t="shared" ref="FVI29" si="2315">FVG29*$C$29</f>
        <v>6.2225765968339023E+33</v>
      </c>
      <c r="FVK29" s="160">
        <f t="shared" ref="FVK29" si="2316">FVI29*$C$29</f>
        <v>6.4092538947389199E+33</v>
      </c>
      <c r="FVM29" s="160">
        <f t="shared" ref="FVM29" si="2317">FVK29*$C$29</f>
        <v>6.6015315115810877E+33</v>
      </c>
      <c r="FVO29" s="160">
        <f t="shared" ref="FVO29" si="2318">FVM29*$C$29</f>
        <v>6.7995774569285208E+33</v>
      </c>
      <c r="FVQ29" s="160">
        <f t="shared" ref="FVQ29" si="2319">FVO29*$C$29</f>
        <v>7.0035647806363768E+33</v>
      </c>
      <c r="FVS29" s="160">
        <f t="shared" ref="FVS29" si="2320">FVQ29*$C$29</f>
        <v>7.2136717240554679E+33</v>
      </c>
      <c r="FVU29" s="160">
        <f t="shared" ref="FVU29" si="2321">FVS29*$C$29</f>
        <v>7.4300818757771323E+33</v>
      </c>
      <c r="FVW29" s="160">
        <f t="shared" ref="FVW29" si="2322">FVU29*$C$29</f>
        <v>7.6529843320504466E+33</v>
      </c>
      <c r="FVY29" s="160">
        <f t="shared" ref="FVY29" si="2323">FVW29*$C$29</f>
        <v>7.8825738620119601E+33</v>
      </c>
      <c r="FWA29" s="160">
        <f t="shared" ref="FWA29" si="2324">FVY29*$C$29</f>
        <v>8.1190510778723193E+33</v>
      </c>
      <c r="FWC29" s="160">
        <f t="shared" ref="FWC29" si="2325">FWA29*$C$29</f>
        <v>8.3626226102084892E+33</v>
      </c>
      <c r="FWE29" s="160">
        <f t="shared" ref="FWE29" si="2326">FWC29*$C$29</f>
        <v>8.6135012885147443E+33</v>
      </c>
      <c r="FWG29" s="160">
        <f t="shared" ref="FWG29" si="2327">FWE29*$C$29</f>
        <v>8.8719063271701866E+33</v>
      </c>
      <c r="FWI29" s="160">
        <f t="shared" ref="FWI29" si="2328">FWG29*$C$29</f>
        <v>9.1380635169852928E+33</v>
      </c>
      <c r="FWK29" s="160">
        <f t="shared" ref="FWK29" si="2329">FWI29*$C$29</f>
        <v>9.4122054224948521E+33</v>
      </c>
      <c r="FWM29" s="160">
        <f t="shared" ref="FWM29" si="2330">FWK29*$C$29</f>
        <v>9.6945715851696984E+33</v>
      </c>
      <c r="FWO29" s="160">
        <f t="shared" ref="FWO29" si="2331">FWM29*$C$29</f>
        <v>9.98540873272479E+33</v>
      </c>
      <c r="FWQ29" s="160">
        <f t="shared" ref="FWQ29" si="2332">FWO29*$C$29</f>
        <v>1.0284970994706534E+34</v>
      </c>
      <c r="FWS29" s="160">
        <f t="shared" ref="FWS29" si="2333">FWQ29*$C$29</f>
        <v>1.059352012454773E+34</v>
      </c>
      <c r="FWU29" s="160">
        <f t="shared" ref="FWU29" si="2334">FWS29*$C$29</f>
        <v>1.0911325728284162E+34</v>
      </c>
      <c r="FWW29" s="160">
        <f t="shared" ref="FWW29" si="2335">FWU29*$C$29</f>
        <v>1.1238665500132687E+34</v>
      </c>
      <c r="FWY29" s="160">
        <f t="shared" ref="FWY29" si="2336">FWW29*$C$29</f>
        <v>1.1575825465136668E+34</v>
      </c>
      <c r="FXA29" s="160">
        <f t="shared" ref="FXA29" si="2337">FWY29*$C$29</f>
        <v>1.1923100229090769E+34</v>
      </c>
      <c r="FXC29" s="160">
        <f t="shared" ref="FXC29" si="2338">FXA29*$C$29</f>
        <v>1.2280793235963493E+34</v>
      </c>
      <c r="FXE29" s="160">
        <f t="shared" ref="FXE29" si="2339">FXC29*$C$29</f>
        <v>1.2649217033042398E+34</v>
      </c>
      <c r="FXG29" s="160">
        <f t="shared" ref="FXG29" si="2340">FXE29*$C$29</f>
        <v>1.3028693544033671E+34</v>
      </c>
      <c r="FXI29" s="160">
        <f t="shared" ref="FXI29" si="2341">FXG29*$C$29</f>
        <v>1.3419554350354681E+34</v>
      </c>
      <c r="FXK29" s="160">
        <f t="shared" ref="FXK29" si="2342">FXI29*$C$29</f>
        <v>1.3822140980865321E+34</v>
      </c>
      <c r="FXM29" s="160">
        <f t="shared" ref="FXM29" si="2343">FXK29*$C$29</f>
        <v>1.423680521029128E+34</v>
      </c>
      <c r="FXO29" s="160">
        <f t="shared" ref="FXO29" si="2344">FXM29*$C$29</f>
        <v>1.4663909366600019E+34</v>
      </c>
      <c r="FXQ29" s="160">
        <f t="shared" ref="FXQ29" si="2345">FXO29*$C$29</f>
        <v>1.5103826647598018E+34</v>
      </c>
      <c r="FXS29" s="160">
        <f t="shared" ref="FXS29" si="2346">FXQ29*$C$29</f>
        <v>1.555694144702596E+34</v>
      </c>
      <c r="FXU29" s="160">
        <f t="shared" ref="FXU29" si="2347">FXS29*$C$29</f>
        <v>1.6023649690436739E+34</v>
      </c>
      <c r="FXW29" s="160">
        <f t="shared" ref="FXW29" si="2348">FXU29*$C$29</f>
        <v>1.650435918114984E+34</v>
      </c>
      <c r="FXY29" s="160">
        <f t="shared" ref="FXY29" si="2349">FXW29*$C$29</f>
        <v>1.6999489956584335E+34</v>
      </c>
      <c r="FYA29" s="160">
        <f t="shared" ref="FYA29" si="2350">FXY29*$C$29</f>
        <v>1.7509474655281866E+34</v>
      </c>
      <c r="FYC29" s="160">
        <f t="shared" ref="FYC29" si="2351">FYA29*$C$29</f>
        <v>1.8034758894940322E+34</v>
      </c>
      <c r="FYE29" s="160">
        <f t="shared" ref="FYE29" si="2352">FYC29*$C$29</f>
        <v>1.8575801661788532E+34</v>
      </c>
      <c r="FYG29" s="160">
        <f t="shared" ref="FYG29" si="2353">FYE29*$C$29</f>
        <v>1.9133075711642189E+34</v>
      </c>
      <c r="FYI29" s="160">
        <f t="shared" ref="FYI29" si="2354">FYG29*$C$29</f>
        <v>1.9707067982991454E+34</v>
      </c>
      <c r="FYK29" s="160">
        <f t="shared" ref="FYK29" si="2355">FYI29*$C$29</f>
        <v>2.0298280022481199E+34</v>
      </c>
      <c r="FYM29" s="160">
        <f t="shared" ref="FYM29" si="2356">FYK29*$C$29</f>
        <v>2.0907228423155633E+34</v>
      </c>
      <c r="FYO29" s="160">
        <f t="shared" ref="FYO29" si="2357">FYM29*$C$29</f>
        <v>2.1534445275850302E+34</v>
      </c>
      <c r="FYQ29" s="160">
        <f t="shared" ref="FYQ29" si="2358">FYO29*$C$29</f>
        <v>2.2180478634125813E+34</v>
      </c>
      <c r="FYS29" s="160">
        <f t="shared" ref="FYS29" si="2359">FYQ29*$C$29</f>
        <v>2.2845892993149586E+34</v>
      </c>
      <c r="FYU29" s="160">
        <f t="shared" ref="FYU29" si="2360">FYS29*$C$29</f>
        <v>2.3531269782944075E+34</v>
      </c>
      <c r="FYW29" s="160">
        <f t="shared" ref="FYW29" si="2361">FYU29*$C$29</f>
        <v>2.4237207876432398E+34</v>
      </c>
      <c r="FYY29" s="160">
        <f t="shared" ref="FYY29" si="2362">FYW29*$C$29</f>
        <v>2.4964324112725371E+34</v>
      </c>
      <c r="FZA29" s="160">
        <f t="shared" ref="FZA29" si="2363">FYY29*$C$29</f>
        <v>2.5713253836107134E+34</v>
      </c>
      <c r="FZC29" s="160">
        <f t="shared" ref="FZC29" si="2364">FZA29*$C$29</f>
        <v>2.648465145119035E+34</v>
      </c>
      <c r="FZE29" s="160">
        <f t="shared" ref="FZE29" si="2365">FZC29*$C$29</f>
        <v>2.7279190994726062E+34</v>
      </c>
      <c r="FZG29" s="160">
        <f t="shared" ref="FZG29" si="2366">FZE29*$C$29</f>
        <v>2.8097566724567844E+34</v>
      </c>
      <c r="FZI29" s="160">
        <f t="shared" ref="FZI29" si="2367">FZG29*$C$29</f>
        <v>2.8940493726304878E+34</v>
      </c>
      <c r="FZK29" s="160">
        <f t="shared" ref="FZK29" si="2368">FZI29*$C$29</f>
        <v>2.9808708538094023E+34</v>
      </c>
      <c r="FZM29" s="160">
        <f t="shared" ref="FZM29" si="2369">FZK29*$C$29</f>
        <v>3.0702969794236846E+34</v>
      </c>
      <c r="FZO29" s="160">
        <f t="shared" ref="FZO29" si="2370">FZM29*$C$29</f>
        <v>3.1624058888063954E+34</v>
      </c>
      <c r="FZQ29" s="160">
        <f t="shared" ref="FZQ29" si="2371">FZO29*$C$29</f>
        <v>3.2572780654705874E+34</v>
      </c>
      <c r="FZS29" s="160">
        <f t="shared" ref="FZS29" si="2372">FZQ29*$C$29</f>
        <v>3.3549964074347052E+34</v>
      </c>
      <c r="FZU29" s="160">
        <f t="shared" ref="FZU29" si="2373">FZS29*$C$29</f>
        <v>3.4556462996577463E+34</v>
      </c>
      <c r="FZW29" s="160">
        <f t="shared" ref="FZW29" si="2374">FZU29*$C$29</f>
        <v>3.559315688647479E+34</v>
      </c>
      <c r="FZY29" s="160">
        <f t="shared" ref="FZY29" si="2375">FZW29*$C$29</f>
        <v>3.6660951593069033E+34</v>
      </c>
      <c r="GAA29" s="160">
        <f t="shared" ref="GAA29" si="2376">FZY29*$C$29</f>
        <v>3.7760780140861103E+34</v>
      </c>
      <c r="GAC29" s="160">
        <f t="shared" ref="GAC29" si="2377">GAA29*$C$29</f>
        <v>3.8893603545086938E+34</v>
      </c>
      <c r="GAE29" s="160">
        <f t="shared" ref="GAE29" si="2378">GAC29*$C$29</f>
        <v>4.0060411651439546E+34</v>
      </c>
      <c r="GAG29" s="160">
        <f t="shared" ref="GAG29" si="2379">GAE29*$C$29</f>
        <v>4.1262224000982731E+34</v>
      </c>
      <c r="GAI29" s="160">
        <f t="shared" ref="GAI29" si="2380">GAG29*$C$29</f>
        <v>4.2500090721012213E+34</v>
      </c>
      <c r="GAK29" s="160">
        <f t="shared" ref="GAK29" si="2381">GAI29*$C$29</f>
        <v>4.3775093442642585E+34</v>
      </c>
      <c r="GAM29" s="160">
        <f t="shared" ref="GAM29" si="2382">GAK29*$C$29</f>
        <v>4.5088346245921861E+34</v>
      </c>
      <c r="GAO29" s="160">
        <f t="shared" ref="GAO29" si="2383">GAM29*$C$29</f>
        <v>4.6440996633299514E+34</v>
      </c>
      <c r="GAQ29" s="160">
        <f t="shared" ref="GAQ29" si="2384">GAO29*$C$29</f>
        <v>4.7834226532298499E+34</v>
      </c>
      <c r="GAS29" s="160">
        <f t="shared" ref="GAS29" si="2385">GAQ29*$C$29</f>
        <v>4.926925332826746E+34</v>
      </c>
      <c r="GAU29" s="160">
        <f t="shared" ref="GAU29" si="2386">GAS29*$C$29</f>
        <v>5.0747330928115486E+34</v>
      </c>
      <c r="GAW29" s="160">
        <f t="shared" ref="GAW29" si="2387">GAU29*$C$29</f>
        <v>5.2269750855958951E+34</v>
      </c>
      <c r="GAY29" s="160">
        <f t="shared" ref="GAY29" si="2388">GAW29*$C$29</f>
        <v>5.3837843381637718E+34</v>
      </c>
      <c r="GBA29" s="160">
        <f t="shared" ref="GBA29" si="2389">GAY29*$C$29</f>
        <v>5.545297868308685E+34</v>
      </c>
      <c r="GBC29" s="160">
        <f t="shared" ref="GBC29" si="2390">GBA29*$C$29</f>
        <v>5.7116568043579462E+34</v>
      </c>
      <c r="GBE29" s="160">
        <f t="shared" ref="GBE29" si="2391">GBC29*$C$29</f>
        <v>5.8830065084886846E+34</v>
      </c>
      <c r="GBG29" s="160">
        <f t="shared" ref="GBG29" si="2392">GBE29*$C$29</f>
        <v>6.0594967037433453E+34</v>
      </c>
      <c r="GBI29" s="160">
        <f t="shared" ref="GBI29" si="2393">GBG29*$C$29</f>
        <v>6.241281604855646E+34</v>
      </c>
      <c r="GBK29" s="160">
        <f t="shared" ref="GBK29" si="2394">GBI29*$C$29</f>
        <v>6.4285200530013152E+34</v>
      </c>
      <c r="GBM29" s="160">
        <f t="shared" ref="GBM29" si="2395">GBK29*$C$29</f>
        <v>6.6213756545913549E+34</v>
      </c>
      <c r="GBO29" s="160">
        <f t="shared" ref="GBO29" si="2396">GBM29*$C$29</f>
        <v>6.8200169242290953E+34</v>
      </c>
      <c r="GBQ29" s="160">
        <f t="shared" ref="GBQ29" si="2397">GBO29*$C$29</f>
        <v>7.0246174319559683E+34</v>
      </c>
      <c r="GBS29" s="160">
        <f t="shared" ref="GBS29" si="2398">GBQ29*$C$29</f>
        <v>7.2353559549146472E+34</v>
      </c>
      <c r="GBU29" s="160">
        <f t="shared" ref="GBU29" si="2399">GBS29*$C$29</f>
        <v>7.4524166335620869E+34</v>
      </c>
      <c r="GBW29" s="160">
        <f t="shared" ref="GBW29" si="2400">GBU29*$C$29</f>
        <v>7.6759891325689497E+34</v>
      </c>
      <c r="GBY29" s="160">
        <f t="shared" ref="GBY29" si="2401">GBW29*$C$29</f>
        <v>7.9062688065460188E+34</v>
      </c>
      <c r="GCA29" s="160">
        <f t="shared" ref="GCA29" si="2402">GBY29*$C$29</f>
        <v>8.1434568707423993E+34</v>
      </c>
      <c r="GCC29" s="160">
        <f t="shared" ref="GCC29" si="2403">GCA29*$C$29</f>
        <v>8.3877605768646708E+34</v>
      </c>
      <c r="GCE29" s="160">
        <f t="shared" ref="GCE29" si="2404">GCC29*$C$29</f>
        <v>8.6393933941706106E+34</v>
      </c>
      <c r="GCG29" s="160">
        <f t="shared" ref="GCG29" si="2405">GCE29*$C$29</f>
        <v>8.8985751959957301E+34</v>
      </c>
      <c r="GCI29" s="160">
        <f t="shared" ref="GCI29" si="2406">GCG29*$C$29</f>
        <v>9.1655324518756022E+34</v>
      </c>
      <c r="GCK29" s="160">
        <f t="shared" ref="GCK29" si="2407">GCI29*$C$29</f>
        <v>9.4404984254318706E+34</v>
      </c>
      <c r="GCM29" s="160">
        <f t="shared" ref="GCM29" si="2408">GCK29*$C$29</f>
        <v>9.7237133781948262E+34</v>
      </c>
      <c r="GCO29" s="160">
        <f t="shared" ref="GCO29" si="2409">GCM29*$C$29</f>
        <v>1.0015424779540671E+35</v>
      </c>
      <c r="GCQ29" s="160">
        <f t="shared" ref="GCQ29" si="2410">GCO29*$C$29</f>
        <v>1.0315887522926891E+35</v>
      </c>
      <c r="GCS29" s="160">
        <f t="shared" ref="GCS29" si="2411">GCQ29*$C$29</f>
        <v>1.0625364148614698E+35</v>
      </c>
      <c r="GCU29" s="160">
        <f t="shared" ref="GCU29" si="2412">GCS29*$C$29</f>
        <v>1.094412507307314E+35</v>
      </c>
      <c r="GCW29" s="160">
        <f t="shared" ref="GCW29" si="2413">GCU29*$C$29</f>
        <v>1.1272448825265334E+35</v>
      </c>
      <c r="GCY29" s="160">
        <f t="shared" ref="GCY29" si="2414">GCW29*$C$29</f>
        <v>1.1610622290023294E+35</v>
      </c>
      <c r="GDA29" s="160">
        <f t="shared" ref="GDA29" si="2415">GCY29*$C$29</f>
        <v>1.1958940958723993E+35</v>
      </c>
      <c r="GDC29" s="160">
        <f t="shared" ref="GDC29" si="2416">GDA29*$C$29</f>
        <v>1.2317709187485713E+35</v>
      </c>
      <c r="GDE29" s="160">
        <f t="shared" ref="GDE29" si="2417">GDC29*$C$29</f>
        <v>1.2687240463110285E+35</v>
      </c>
      <c r="GDG29" s="160">
        <f t="shared" ref="GDG29" si="2418">GDE29*$C$29</f>
        <v>1.3067857677003594E+35</v>
      </c>
      <c r="GDI29" s="160">
        <f t="shared" ref="GDI29" si="2419">GDG29*$C$29</f>
        <v>1.3459893407313702E+35</v>
      </c>
      <c r="GDK29" s="160">
        <f t="shared" ref="GDK29" si="2420">GDI29*$C$29</f>
        <v>1.3863690209533114E+35</v>
      </c>
      <c r="GDM29" s="160">
        <f t="shared" ref="GDM29" si="2421">GDK29*$C$29</f>
        <v>1.4279600915819108E+35</v>
      </c>
      <c r="GDO29" s="160">
        <f t="shared" ref="GDO29" si="2422">GDM29*$C$29</f>
        <v>1.4707988943293681E+35</v>
      </c>
      <c r="GDQ29" s="160">
        <f t="shared" ref="GDQ29" si="2423">GDO29*$C$29</f>
        <v>1.5149228611592492E+35</v>
      </c>
      <c r="GDS29" s="160">
        <f t="shared" ref="GDS29" si="2424">GDQ29*$C$29</f>
        <v>1.5603705469940267E+35</v>
      </c>
      <c r="GDU29" s="160">
        <f t="shared" ref="GDU29" si="2425">GDS29*$C$29</f>
        <v>1.6071816634038475E+35</v>
      </c>
      <c r="GDW29" s="160">
        <f t="shared" ref="GDW29" si="2426">GDU29*$C$29</f>
        <v>1.655397113305963E+35</v>
      </c>
      <c r="GDY29" s="160">
        <f t="shared" ref="GDY29" si="2427">GDW29*$C$29</f>
        <v>1.7050590267051417E+35</v>
      </c>
      <c r="GEA29" s="160">
        <f t="shared" ref="GEA29" si="2428">GDY29*$C$29</f>
        <v>1.756210797506296E+35</v>
      </c>
      <c r="GEC29" s="160">
        <f t="shared" ref="GEC29" si="2429">GEA29*$C$29</f>
        <v>1.8088971214314849E+35</v>
      </c>
      <c r="GEE29" s="160">
        <f t="shared" ref="GEE29" si="2430">GEC29*$C$29</f>
        <v>1.8631640350744293E+35</v>
      </c>
      <c r="GEG29" s="160">
        <f t="shared" ref="GEG29" si="2431">GEE29*$C$29</f>
        <v>1.9190589561266623E+35</v>
      </c>
      <c r="GEI29" s="160">
        <f t="shared" ref="GEI29" si="2432">GEG29*$C$29</f>
        <v>1.9766307248104622E+35</v>
      </c>
      <c r="GEK29" s="160">
        <f t="shared" ref="GEK29" si="2433">GEI29*$C$29</f>
        <v>2.0359296465547763E+35</v>
      </c>
      <c r="GEM29" s="160">
        <f t="shared" ref="GEM29" si="2434">GEK29*$C$29</f>
        <v>2.0970075359514195E+35</v>
      </c>
      <c r="GEO29" s="160">
        <f t="shared" ref="GEO29" si="2435">GEM29*$C$29</f>
        <v>2.159917762029962E+35</v>
      </c>
      <c r="GEQ29" s="160">
        <f t="shared" ref="GEQ29" si="2436">GEO29*$C$29</f>
        <v>2.2247152948908611E+35</v>
      </c>
      <c r="GES29" s="160">
        <f t="shared" ref="GES29" si="2437">GEQ29*$C$29</f>
        <v>2.2914567537375869E+35</v>
      </c>
      <c r="GEU29" s="160">
        <f t="shared" ref="GEU29" si="2438">GES29*$C$29</f>
        <v>2.3602004563497146E+35</v>
      </c>
      <c r="GEW29" s="160">
        <f t="shared" ref="GEW29" si="2439">GEU29*$C$29</f>
        <v>2.4310064700402061E+35</v>
      </c>
      <c r="GEY29" s="160">
        <f t="shared" ref="GEY29" si="2440">GEW29*$C$29</f>
        <v>2.5039366641414122E+35</v>
      </c>
      <c r="GFA29" s="160">
        <f t="shared" ref="GFA29" si="2441">GEY29*$C$29</f>
        <v>2.5790547640656546E+35</v>
      </c>
      <c r="GFC29" s="160">
        <f t="shared" ref="GFC29" si="2442">GFA29*$C$29</f>
        <v>2.6564264069876244E+35</v>
      </c>
      <c r="GFE29" s="160">
        <f t="shared" ref="GFE29" si="2443">GFC29*$C$29</f>
        <v>2.7361191991972534E+35</v>
      </c>
      <c r="GFG29" s="160">
        <f t="shared" ref="GFG29" si="2444">GFE29*$C$29</f>
        <v>2.818202775173171E+35</v>
      </c>
      <c r="GFI29" s="160">
        <f t="shared" ref="GFI29" si="2445">GFG29*$C$29</f>
        <v>2.902748858428366E+35</v>
      </c>
      <c r="GFK29" s="160">
        <f t="shared" ref="GFK29" si="2446">GFI29*$C$29</f>
        <v>2.989831324181217E+35</v>
      </c>
      <c r="GFM29" s="160">
        <f t="shared" ref="GFM29" si="2447">GFK29*$C$29</f>
        <v>3.0795262639066537E+35</v>
      </c>
      <c r="GFO29" s="160">
        <f t="shared" ref="GFO29" si="2448">GFM29*$C$29</f>
        <v>3.1719120518238532E+35</v>
      </c>
      <c r="GFQ29" s="160">
        <f t="shared" ref="GFQ29" si="2449">GFO29*$C$29</f>
        <v>3.2670694133785688E+35</v>
      </c>
      <c r="GFS29" s="160">
        <f t="shared" ref="GFS29" si="2450">GFQ29*$C$29</f>
        <v>3.3650814957799258E+35</v>
      </c>
      <c r="GFU29" s="160">
        <f t="shared" ref="GFU29" si="2451">GFS29*$C$29</f>
        <v>3.4660339406533234E+35</v>
      </c>
      <c r="GFW29" s="160">
        <f t="shared" ref="GFW29" si="2452">GFU29*$C$29</f>
        <v>3.5700149588729231E+35</v>
      </c>
      <c r="GFY29" s="160">
        <f t="shared" ref="GFY29" si="2453">GFW29*$C$29</f>
        <v>3.6771154076391112E+35</v>
      </c>
      <c r="GGA29" s="160">
        <f t="shared" ref="GGA29" si="2454">GFY29*$C$29</f>
        <v>3.7874288698682844E+35</v>
      </c>
      <c r="GGC29" s="160">
        <f t="shared" ref="GGC29" si="2455">GGA29*$C$29</f>
        <v>3.9010517359643331E+35</v>
      </c>
      <c r="GGE29" s="160">
        <f t="shared" ref="GGE29" si="2456">GGC29*$C$29</f>
        <v>4.0180832880432632E+35</v>
      </c>
      <c r="GGG29" s="160">
        <f t="shared" ref="GGG29" si="2457">GGE29*$C$29</f>
        <v>4.1386257866845613E+35</v>
      </c>
      <c r="GGI29" s="160">
        <f t="shared" ref="GGI29" si="2458">GGG29*$C$29</f>
        <v>4.2627845602850986E+35</v>
      </c>
      <c r="GGK29" s="160">
        <f t="shared" ref="GGK29" si="2459">GGI29*$C$29</f>
        <v>4.3906680970936516E+35</v>
      </c>
      <c r="GGM29" s="160">
        <f t="shared" ref="GGM29" si="2460">GGK29*$C$29</f>
        <v>4.5223881400064612E+35</v>
      </c>
      <c r="GGO29" s="160">
        <f t="shared" ref="GGO29" si="2461">GGM29*$C$29</f>
        <v>4.6580597842066549E+35</v>
      </c>
      <c r="GGQ29" s="160">
        <f t="shared" ref="GGQ29" si="2462">GGO29*$C$29</f>
        <v>4.7978015777328545E+35</v>
      </c>
      <c r="GGS29" s="160">
        <f t="shared" ref="GGS29" si="2463">GGQ29*$C$29</f>
        <v>4.9417356250648403E+35</v>
      </c>
      <c r="GGU29" s="160">
        <f t="shared" ref="GGU29" si="2464">GGS29*$C$29</f>
        <v>5.0899876938167857E+35</v>
      </c>
      <c r="GGW29" s="160">
        <f t="shared" ref="GGW29" si="2465">GGU29*$C$29</f>
        <v>5.2426873246312892E+35</v>
      </c>
      <c r="GGY29" s="160">
        <f t="shared" ref="GGY29" si="2466">GGW29*$C$29</f>
        <v>5.399967944370228E+35</v>
      </c>
      <c r="GHA29" s="160">
        <f t="shared" ref="GHA29" si="2467">GGY29*$C$29</f>
        <v>5.5619669827013351E+35</v>
      </c>
      <c r="GHC29" s="160">
        <f t="shared" ref="GHC29" si="2468">GHA29*$C$29</f>
        <v>5.7288259921823754E+35</v>
      </c>
      <c r="GHE29" s="160">
        <f t="shared" ref="GHE29" si="2469">GHC29*$C$29</f>
        <v>5.9006907719478471E+35</v>
      </c>
      <c r="GHG29" s="160">
        <f t="shared" ref="GHG29" si="2470">GHE29*$C$29</f>
        <v>6.0777114951062829E+35</v>
      </c>
      <c r="GHI29" s="160">
        <f t="shared" ref="GHI29" si="2471">GHG29*$C$29</f>
        <v>6.2600428399594719E+35</v>
      </c>
      <c r="GHK29" s="160">
        <f t="shared" ref="GHK29" si="2472">GHI29*$C$29</f>
        <v>6.4478441251582565E+35</v>
      </c>
      <c r="GHM29" s="160">
        <f t="shared" ref="GHM29" si="2473">GHK29*$C$29</f>
        <v>6.6412794489130042E+35</v>
      </c>
      <c r="GHO29" s="160">
        <f t="shared" ref="GHO29" si="2474">GHM29*$C$29</f>
        <v>6.8405178323803947E+35</v>
      </c>
      <c r="GHQ29" s="160">
        <f t="shared" ref="GHQ29" si="2475">GHO29*$C$29</f>
        <v>7.0457333673518061E+35</v>
      </c>
      <c r="GHS29" s="160">
        <f t="shared" ref="GHS29" si="2476">GHQ29*$C$29</f>
        <v>7.25710536837236E+35</v>
      </c>
      <c r="GHU29" s="160">
        <f t="shared" ref="GHU29" si="2477">GHS29*$C$29</f>
        <v>7.4748185294235312E+35</v>
      </c>
      <c r="GHW29" s="160">
        <f t="shared" ref="GHW29" si="2478">GHU29*$C$29</f>
        <v>7.6990630853062371E+35</v>
      </c>
      <c r="GHY29" s="160">
        <f t="shared" ref="GHY29" si="2479">GHW29*$C$29</f>
        <v>7.930034977865425E+35</v>
      </c>
      <c r="GIA29" s="160">
        <f t="shared" ref="GIA29" si="2480">GHY29*$C$29</f>
        <v>8.1679360272013877E+35</v>
      </c>
      <c r="GIC29" s="160">
        <f t="shared" ref="GIC29" si="2481">GIA29*$C$29</f>
        <v>8.4129741080174288E+35</v>
      </c>
      <c r="GIE29" s="160">
        <f t="shared" ref="GIE29" si="2482">GIC29*$C$29</f>
        <v>8.6653633312579518E+35</v>
      </c>
      <c r="GIG29" s="160">
        <f t="shared" ref="GIG29" si="2483">GIE29*$C$29</f>
        <v>8.9253242311956913E+35</v>
      </c>
      <c r="GII29" s="160">
        <f t="shared" ref="GII29" si="2484">GIG29*$C$29</f>
        <v>9.1930839581315624E+35</v>
      </c>
      <c r="GIK29" s="160">
        <f t="shared" ref="GIK29" si="2485">GII29*$C$29</f>
        <v>9.4688764768755096E+35</v>
      </c>
      <c r="GIM29" s="160">
        <f t="shared" ref="GIM29" si="2486">GIK29*$C$29</f>
        <v>9.7529427711817753E+35</v>
      </c>
      <c r="GIO29" s="160">
        <f t="shared" ref="GIO29" si="2487">GIM29*$C$29</f>
        <v>1.0045531054317229E+36</v>
      </c>
      <c r="GIQ29" s="160">
        <f t="shared" ref="GIQ29" si="2488">GIO29*$C$29</f>
        <v>1.0346896985946745E+36</v>
      </c>
      <c r="GIS29" s="160">
        <f t="shared" ref="GIS29" si="2489">GIQ29*$C$29</f>
        <v>1.0657303895525148E+36</v>
      </c>
      <c r="GIU29" s="160">
        <f t="shared" ref="GIU29" si="2490">GIS29*$C$29</f>
        <v>1.0977023012390903E+36</v>
      </c>
      <c r="GIW29" s="160">
        <f t="shared" ref="GIW29" si="2491">GIU29*$C$29</f>
        <v>1.1306333702762631E+36</v>
      </c>
      <c r="GIY29" s="160">
        <f t="shared" ref="GIY29" si="2492">GIW29*$C$29</f>
        <v>1.164552371384551E+36</v>
      </c>
      <c r="GJA29" s="160">
        <f t="shared" ref="GJA29" si="2493">GIY29*$C$29</f>
        <v>1.1994889425260875E+36</v>
      </c>
      <c r="GJC29" s="160">
        <f t="shared" ref="GJC29" si="2494">GJA29*$C$29</f>
        <v>1.2354736108018702E+36</v>
      </c>
      <c r="GJE29" s="160">
        <f t="shared" ref="GJE29" si="2495">GJC29*$C$29</f>
        <v>1.2725378191259263E+36</v>
      </c>
      <c r="GJG29" s="160">
        <f t="shared" ref="GJG29" si="2496">GJE29*$C$29</f>
        <v>1.3107139536997042E+36</v>
      </c>
      <c r="GJI29" s="160">
        <f t="shared" ref="GJI29" si="2497">GJG29*$C$29</f>
        <v>1.3500353723106954E+36</v>
      </c>
      <c r="GJK29" s="160">
        <f t="shared" ref="GJK29" si="2498">GJI29*$C$29</f>
        <v>1.3905364334800162E+36</v>
      </c>
      <c r="GJM29" s="160">
        <f t="shared" ref="GJM29" si="2499">GJK29*$C$29</f>
        <v>1.4322525264844169E+36</v>
      </c>
      <c r="GJO29" s="160">
        <f t="shared" ref="GJO29" si="2500">GJM29*$C$29</f>
        <v>1.4752201022789495E+36</v>
      </c>
      <c r="GJQ29" s="160">
        <f t="shared" ref="GJQ29" si="2501">GJO29*$C$29</f>
        <v>1.5194767053473182E+36</v>
      </c>
      <c r="GJS29" s="160">
        <f t="shared" ref="GJS29" si="2502">GJQ29*$C$29</f>
        <v>1.5650610065077377E+36</v>
      </c>
      <c r="GJU29" s="160">
        <f t="shared" ref="GJU29" si="2503">GJS29*$C$29</f>
        <v>1.6120128367029699E+36</v>
      </c>
      <c r="GJW29" s="160">
        <f t="shared" ref="GJW29" si="2504">GJU29*$C$29</f>
        <v>1.660373221804059E+36</v>
      </c>
      <c r="GJY29" s="160">
        <f t="shared" ref="GJY29" si="2505">GJW29*$C$29</f>
        <v>1.7101844184581807E+36</v>
      </c>
      <c r="GKA29" s="160">
        <f t="shared" ref="GKA29" si="2506">GJY29*$C$29</f>
        <v>1.7614899510119262E+36</v>
      </c>
      <c r="GKC29" s="160">
        <f t="shared" ref="GKC29" si="2507">GKA29*$C$29</f>
        <v>1.8143346495422841E+36</v>
      </c>
      <c r="GKE29" s="160">
        <f t="shared" ref="GKE29" si="2508">GKC29*$C$29</f>
        <v>1.8687646890285526E+36</v>
      </c>
      <c r="GKG29" s="160">
        <f t="shared" ref="GKG29" si="2509">GKE29*$C$29</f>
        <v>1.9248276296994094E+36</v>
      </c>
      <c r="GKI29" s="160">
        <f t="shared" ref="GKI29" si="2510">GKG29*$C$29</f>
        <v>1.9825724585903916E+36</v>
      </c>
      <c r="GKK29" s="160">
        <f t="shared" ref="GKK29" si="2511">GKI29*$C$29</f>
        <v>2.0420496323481034E+36</v>
      </c>
      <c r="GKM29" s="160">
        <f t="shared" ref="GKM29" si="2512">GKK29*$C$29</f>
        <v>2.1033111213185466E+36</v>
      </c>
      <c r="GKO29" s="160">
        <f t="shared" ref="GKO29" si="2513">GKM29*$C$29</f>
        <v>2.1664104549581031E+36</v>
      </c>
      <c r="GKQ29" s="160">
        <f t="shared" ref="GKQ29" si="2514">GKO29*$C$29</f>
        <v>2.2314027686068462E+36</v>
      </c>
      <c r="GKS29" s="160">
        <f t="shared" ref="GKS29" si="2515">GKQ29*$C$29</f>
        <v>2.2983448516650517E+36</v>
      </c>
      <c r="GKU29" s="160">
        <f t="shared" ref="GKU29" si="2516">GKS29*$C$29</f>
        <v>2.3672951972150034E+36</v>
      </c>
      <c r="GKW29" s="160">
        <f t="shared" ref="GKW29" si="2517">GKU29*$C$29</f>
        <v>2.4383140531314535E+36</v>
      </c>
      <c r="GKY29" s="160">
        <f t="shared" ref="GKY29" si="2518">GKW29*$C$29</f>
        <v>2.5114634747253972E+36</v>
      </c>
      <c r="GLA29" s="160">
        <f t="shared" ref="GLA29" si="2519">GKY29*$C$29</f>
        <v>2.5868073789671593E+36</v>
      </c>
      <c r="GLC29" s="160">
        <f t="shared" ref="GLC29" si="2520">GLA29*$C$29</f>
        <v>2.6644116003361741E+36</v>
      </c>
      <c r="GLE29" s="160">
        <f t="shared" ref="GLE29" si="2521">GLC29*$C$29</f>
        <v>2.7443439483462594E+36</v>
      </c>
      <c r="GLG29" s="160">
        <f t="shared" ref="GLG29" si="2522">GLE29*$C$29</f>
        <v>2.8266742667966471E+36</v>
      </c>
      <c r="GLI29" s="160">
        <f t="shared" ref="GLI29" si="2523">GLG29*$C$29</f>
        <v>2.9114744948005465E+36</v>
      </c>
      <c r="GLK29" s="160">
        <f t="shared" ref="GLK29" si="2524">GLI29*$C$29</f>
        <v>2.9988187296445629E+36</v>
      </c>
      <c r="GLM29" s="160">
        <f t="shared" ref="GLM29" si="2525">GLK29*$C$29</f>
        <v>3.0887832915338999E+36</v>
      </c>
      <c r="GLO29" s="160">
        <f t="shared" ref="GLO29" si="2526">GLM29*$C$29</f>
        <v>3.1814467902799169E+36</v>
      </c>
      <c r="GLQ29" s="160">
        <f t="shared" ref="GLQ29" si="2527">GLO29*$C$29</f>
        <v>3.2768901939883145E+36</v>
      </c>
      <c r="GLS29" s="160">
        <f t="shared" ref="GLS29" si="2528">GLQ29*$C$29</f>
        <v>3.3751968998079638E+36</v>
      </c>
      <c r="GLU29" s="160">
        <f t="shared" ref="GLU29" si="2529">GLS29*$C$29</f>
        <v>3.4764528068022027E+36</v>
      </c>
      <c r="GLW29" s="160">
        <f t="shared" ref="GLW29" si="2530">GLU29*$C$29</f>
        <v>3.5807463910062686E+36</v>
      </c>
      <c r="GLY29" s="160">
        <f t="shared" ref="GLY29" si="2531">GLW29*$C$29</f>
        <v>3.688168782736457E+36</v>
      </c>
      <c r="GMA29" s="160">
        <f t="shared" ref="GMA29" si="2532">GLY29*$C$29</f>
        <v>3.7988138462185508E+36</v>
      </c>
      <c r="GMC29" s="160">
        <f t="shared" ref="GMC29" si="2533">GMA29*$C$29</f>
        <v>3.9127782616051075E+36</v>
      </c>
      <c r="GME29" s="160">
        <f t="shared" ref="GME29" si="2534">GMC29*$C$29</f>
        <v>4.0301616094532608E+36</v>
      </c>
      <c r="GMG29" s="160">
        <f t="shared" ref="GMG29" si="2535">GME29*$C$29</f>
        <v>4.1510664577368587E+36</v>
      </c>
      <c r="GMI29" s="160">
        <f t="shared" ref="GMI29" si="2536">GMG29*$C$29</f>
        <v>4.2755984514689644E+36</v>
      </c>
      <c r="GMK29" s="160">
        <f t="shared" ref="GMK29" si="2537">GMI29*$C$29</f>
        <v>4.4038664050130334E+36</v>
      </c>
      <c r="GMM29" s="160">
        <f t="shared" ref="GMM29" si="2538">GMK29*$C$29</f>
        <v>4.5359823971634248E+36</v>
      </c>
      <c r="GMO29" s="160">
        <f t="shared" ref="GMO29" si="2539">GMM29*$C$29</f>
        <v>4.6720618690783277E+36</v>
      </c>
      <c r="GMQ29" s="160">
        <f t="shared" ref="GMQ29" si="2540">GMO29*$C$29</f>
        <v>4.8122237251506775E+36</v>
      </c>
      <c r="GMS29" s="160">
        <f t="shared" ref="GMS29" si="2541">GMQ29*$C$29</f>
        <v>4.9565904369051979E+36</v>
      </c>
      <c r="GMU29" s="160">
        <f t="shared" ref="GMU29" si="2542">GMS29*$C$29</f>
        <v>5.1052881500123542E+36</v>
      </c>
      <c r="GMW29" s="160">
        <f t="shared" ref="GMW29" si="2543">GMU29*$C$29</f>
        <v>5.2584467945127248E+36</v>
      </c>
      <c r="GMY29" s="160">
        <f t="shared" ref="GMY29" si="2544">GMW29*$C$29</f>
        <v>5.4162001983481068E+36</v>
      </c>
      <c r="GNA29" s="160">
        <f t="shared" ref="GNA29" si="2545">GMY29*$C$29</f>
        <v>5.5786862042985504E+36</v>
      </c>
      <c r="GNC29" s="160">
        <f t="shared" ref="GNC29" si="2546">GNA29*$C$29</f>
        <v>5.7460467904275067E+36</v>
      </c>
      <c r="GNE29" s="160">
        <f t="shared" ref="GNE29" si="2547">GNC29*$C$29</f>
        <v>5.9184281941403322E+36</v>
      </c>
      <c r="GNG29" s="160">
        <f t="shared" ref="GNG29" si="2548">GNE29*$C$29</f>
        <v>6.0959810399645422E+36</v>
      </c>
      <c r="GNI29" s="160">
        <f t="shared" ref="GNI29" si="2549">GNG29*$C$29</f>
        <v>6.2788604711634784E+36</v>
      </c>
      <c r="GNK29" s="160">
        <f t="shared" ref="GNK29" si="2550">GNI29*$C$29</f>
        <v>6.467226285298383E+36</v>
      </c>
      <c r="GNM29" s="160">
        <f t="shared" ref="GNM29" si="2551">GNK29*$C$29</f>
        <v>6.6612430738573344E+36</v>
      </c>
      <c r="GNO29" s="160">
        <f t="shared" ref="GNO29" si="2552">GNM29*$C$29</f>
        <v>6.8610803660730542E+36</v>
      </c>
      <c r="GNQ29" s="160">
        <f t="shared" ref="GNQ29" si="2553">GNO29*$C$29</f>
        <v>7.0669127770552456E+36</v>
      </c>
      <c r="GNS29" s="160">
        <f t="shared" ref="GNS29" si="2554">GNQ29*$C$29</f>
        <v>7.2789201603669026E+36</v>
      </c>
      <c r="GNU29" s="160">
        <f t="shared" ref="GNU29" si="2555">GNS29*$C$29</f>
        <v>7.4972877651779101E+36</v>
      </c>
      <c r="GNW29" s="160">
        <f t="shared" ref="GNW29" si="2556">GNU29*$C$29</f>
        <v>7.7222063981332479E+36</v>
      </c>
      <c r="GNY29" s="160">
        <f t="shared" ref="GNY29" si="2557">GNW29*$C$29</f>
        <v>7.9538725900772458E+36</v>
      </c>
      <c r="GOA29" s="160">
        <f t="shared" ref="GOA29" si="2558">GNY29*$C$29</f>
        <v>8.1924887677795635E+36</v>
      </c>
      <c r="GOC29" s="160">
        <f t="shared" ref="GOC29" si="2559">GOA29*$C$29</f>
        <v>8.4382634308129501E+36</v>
      </c>
      <c r="GOE29" s="160">
        <f t="shared" ref="GOE29" si="2560">GOC29*$C$29</f>
        <v>8.6914113337373394E+36</v>
      </c>
      <c r="GOG29" s="160">
        <f t="shared" ref="GOG29" si="2561">GOE29*$C$29</f>
        <v>8.9521536737494596E+36</v>
      </c>
      <c r="GOI29" s="160">
        <f t="shared" ref="GOI29" si="2562">GOG29*$C$29</f>
        <v>9.2207182839619439E+36</v>
      </c>
      <c r="GOK29" s="160">
        <f t="shared" ref="GOK29" si="2563">GOI29*$C$29</f>
        <v>9.4973398324808023E+36</v>
      </c>
      <c r="GOM29" s="160">
        <f t="shared" ref="GOM29" si="2564">GOK29*$C$29</f>
        <v>9.7822600274552271E+36</v>
      </c>
      <c r="GOO29" s="160">
        <f t="shared" ref="GOO29" si="2565">GOM29*$C$29</f>
        <v>1.0075727828278884E+37</v>
      </c>
      <c r="GOQ29" s="160">
        <f t="shared" ref="GOQ29" si="2566">GOO29*$C$29</f>
        <v>1.037799966312725E+37</v>
      </c>
      <c r="GOS29" s="160">
        <f t="shared" ref="GOS29" si="2567">GOQ29*$C$29</f>
        <v>1.0689339653021069E+37</v>
      </c>
      <c r="GOU29" s="160">
        <f t="shared" ref="GOU29" si="2568">GOS29*$C$29</f>
        <v>1.1010019842611702E+37</v>
      </c>
      <c r="GOW29" s="160">
        <f t="shared" ref="GOW29" si="2569">GOU29*$C$29</f>
        <v>1.1340320437890054E+37</v>
      </c>
      <c r="GOY29" s="160">
        <f t="shared" ref="GOY29" si="2570">GOW29*$C$29</f>
        <v>1.1680530051026756E+37</v>
      </c>
      <c r="GPA29" s="160">
        <f t="shared" ref="GPA29" si="2571">GOY29*$C$29</f>
        <v>1.2030945952557558E+37</v>
      </c>
      <c r="GPC29" s="160">
        <f t="shared" ref="GPC29" si="2572">GPA29*$C$29</f>
        <v>1.2391874331134284E+37</v>
      </c>
      <c r="GPE29" s="160">
        <f t="shared" ref="GPE29" si="2573">GPC29*$C$29</f>
        <v>1.2763630561068313E+37</v>
      </c>
      <c r="GPG29" s="160">
        <f t="shared" ref="GPG29" si="2574">GPE29*$C$29</f>
        <v>1.3146539477900361E+37</v>
      </c>
      <c r="GPI29" s="160">
        <f t="shared" ref="GPI29" si="2575">GPG29*$C$29</f>
        <v>1.3540935662237372E+37</v>
      </c>
      <c r="GPK29" s="160">
        <f t="shared" ref="GPK29" si="2576">GPI29*$C$29</f>
        <v>1.3947163732104493E+37</v>
      </c>
      <c r="GPM29" s="160">
        <f t="shared" ref="GPM29" si="2577">GPK29*$C$29</f>
        <v>1.4365578644067627E+37</v>
      </c>
      <c r="GPO29" s="160">
        <f t="shared" ref="GPO29" si="2578">GPM29*$C$29</f>
        <v>1.4796546003389657E+37</v>
      </c>
      <c r="GPQ29" s="160">
        <f t="shared" ref="GPQ29" si="2579">GPO29*$C$29</f>
        <v>1.5240442383491348E+37</v>
      </c>
      <c r="GPS29" s="160">
        <f t="shared" ref="GPS29" si="2580">GPQ29*$C$29</f>
        <v>1.5697655654996089E+37</v>
      </c>
      <c r="GPU29" s="160">
        <f t="shared" ref="GPU29" si="2581">GPS29*$C$29</f>
        <v>1.6168585324645972E+37</v>
      </c>
      <c r="GPW29" s="160">
        <f t="shared" ref="GPW29" si="2582">GPU29*$C$29</f>
        <v>1.6653642884385352E+37</v>
      </c>
      <c r="GPY29" s="160">
        <f t="shared" ref="GPY29" si="2583">GPW29*$C$29</f>
        <v>1.7153252170916913E+37</v>
      </c>
      <c r="GQA29" s="160">
        <f t="shared" ref="GQA29" si="2584">GPY29*$C$29</f>
        <v>1.7667849736044421E+37</v>
      </c>
      <c r="GQC29" s="160">
        <f t="shared" ref="GQC29" si="2585">GQA29*$C$29</f>
        <v>1.8197885228125753E+37</v>
      </c>
      <c r="GQE29" s="160">
        <f t="shared" ref="GQE29" si="2586">GQC29*$C$29</f>
        <v>1.8743821784969526E+37</v>
      </c>
      <c r="GQG29" s="160">
        <f t="shared" ref="GQG29" si="2587">GQE29*$C$29</f>
        <v>1.9306136438518613E+37</v>
      </c>
      <c r="GQI29" s="160">
        <f t="shared" ref="GQI29" si="2588">GQG29*$C$29</f>
        <v>1.9885320531674171E+37</v>
      </c>
      <c r="GQK29" s="160">
        <f t="shared" ref="GQK29" si="2589">GQI29*$C$29</f>
        <v>2.0481880147624398E+37</v>
      </c>
      <c r="GQM29" s="160">
        <f t="shared" ref="GQM29" si="2590">GQK29*$C$29</f>
        <v>2.1096336552053131E+37</v>
      </c>
      <c r="GQO29" s="160">
        <f t="shared" ref="GQO29" si="2591">GQM29*$C$29</f>
        <v>2.1729226648614728E+37</v>
      </c>
      <c r="GQQ29" s="160">
        <f t="shared" ref="GQQ29" si="2592">GQO29*$C$29</f>
        <v>2.2381103448073169E+37</v>
      </c>
      <c r="GQS29" s="160">
        <f t="shared" ref="GQS29" si="2593">GQQ29*$C$29</f>
        <v>2.3052536551515364E+37</v>
      </c>
      <c r="GQU29" s="160">
        <f t="shared" ref="GQU29" si="2594">GQS29*$C$29</f>
        <v>2.3744112648060827E+37</v>
      </c>
      <c r="GQW29" s="160">
        <f t="shared" ref="GQW29" si="2595">GQU29*$C$29</f>
        <v>2.4456436027502652E+37</v>
      </c>
      <c r="GQY29" s="160">
        <f t="shared" ref="GQY29" si="2596">GQW29*$C$29</f>
        <v>2.5190129108327733E+37</v>
      </c>
      <c r="GRA29" s="160">
        <f t="shared" ref="GRA29" si="2597">GQY29*$C$29</f>
        <v>2.5945832981577565E+37</v>
      </c>
      <c r="GRC29" s="160">
        <f t="shared" ref="GRC29" si="2598">GRA29*$C$29</f>
        <v>2.6724207971024892E+37</v>
      </c>
      <c r="GRE29" s="160">
        <f t="shared" ref="GRE29" si="2599">GRC29*$C$29</f>
        <v>2.7525934210155641E+37</v>
      </c>
      <c r="GRG29" s="160">
        <f t="shared" ref="GRG29" si="2600">GRE29*$C$29</f>
        <v>2.8351712236460311E+37</v>
      </c>
      <c r="GRI29" s="160">
        <f t="shared" ref="GRI29" si="2601">GRG29*$C$29</f>
        <v>2.9202263603554121E+37</v>
      </c>
      <c r="GRK29" s="160">
        <f t="shared" ref="GRK29" si="2602">GRI29*$C$29</f>
        <v>3.0078331511660745E+37</v>
      </c>
      <c r="GRM29" s="160">
        <f t="shared" ref="GRM29" si="2603">GRK29*$C$29</f>
        <v>3.0980681457010567E+37</v>
      </c>
      <c r="GRO29" s="160">
        <f t="shared" ref="GRO29" si="2604">GRM29*$C$29</f>
        <v>3.1910101900720887E+37</v>
      </c>
      <c r="GRQ29" s="160">
        <f t="shared" ref="GRQ29" si="2605">GRO29*$C$29</f>
        <v>3.2867404957742514E+37</v>
      </c>
      <c r="GRS29" s="160">
        <f t="shared" ref="GRS29" si="2606">GRQ29*$C$29</f>
        <v>3.3853427106474792E+37</v>
      </c>
      <c r="GRU29" s="160">
        <f t="shared" ref="GRU29" si="2607">GRS29*$C$29</f>
        <v>3.4869029919669037E+37</v>
      </c>
      <c r="GRW29" s="160">
        <f t="shared" ref="GRW29" si="2608">GRU29*$C$29</f>
        <v>3.5915100817259112E+37</v>
      </c>
      <c r="GRY29" s="160">
        <f t="shared" ref="GRY29" si="2609">GRW29*$C$29</f>
        <v>3.6992553841776888E+37</v>
      </c>
      <c r="GSA29" s="160">
        <f t="shared" ref="GSA29" si="2610">GRY29*$C$29</f>
        <v>3.8102330457030197E+37</v>
      </c>
      <c r="GSC29" s="160">
        <f t="shared" ref="GSC29" si="2611">GSA29*$C$29</f>
        <v>3.9245400370741103E+37</v>
      </c>
      <c r="GSE29" s="160">
        <f t="shared" ref="GSE29" si="2612">GSC29*$C$29</f>
        <v>4.0422762381863337E+37</v>
      </c>
      <c r="GSG29" s="160">
        <f t="shared" ref="GSG29" si="2613">GSE29*$C$29</f>
        <v>4.1635445253319239E+37</v>
      </c>
      <c r="GSI29" s="160">
        <f t="shared" ref="GSI29" si="2614">GSG29*$C$29</f>
        <v>4.2884508610918813E+37</v>
      </c>
      <c r="GSK29" s="160">
        <f t="shared" ref="GSK29" si="2615">GSI29*$C$29</f>
        <v>4.4171043869246376E+37</v>
      </c>
      <c r="GSM29" s="160">
        <f t="shared" ref="GSM29" si="2616">GSK29*$C$29</f>
        <v>4.5496175185323764E+37</v>
      </c>
      <c r="GSO29" s="160">
        <f t="shared" ref="GSO29" si="2617">GSM29*$C$29</f>
        <v>4.6861060440883474E+37</v>
      </c>
      <c r="GSQ29" s="160">
        <f t="shared" ref="GSQ29" si="2618">GSO29*$C$29</f>
        <v>4.826689225410998E+37</v>
      </c>
      <c r="GSS29" s="160">
        <f t="shared" ref="GSS29" si="2619">GSQ29*$C$29</f>
        <v>4.9714899021733279E+37</v>
      </c>
      <c r="GSU29" s="160">
        <f t="shared" ref="GSU29" si="2620">GSS29*$C$29</f>
        <v>5.1206345992385282E+37</v>
      </c>
      <c r="GSW29" s="160">
        <f t="shared" ref="GSW29" si="2621">GSU29*$C$29</f>
        <v>5.2742536372156843E+37</v>
      </c>
      <c r="GSY29" s="160">
        <f t="shared" ref="GSY29" si="2622">GSW29*$C$29</f>
        <v>5.432481246332155E+37</v>
      </c>
      <c r="GTA29" s="160">
        <f t="shared" ref="GTA29" si="2623">GSY29*$C$29</f>
        <v>5.5954556837221201E+37</v>
      </c>
      <c r="GTC29" s="160">
        <f t="shared" ref="GTC29" si="2624">GTA29*$C$29</f>
        <v>5.7633193542337837E+37</v>
      </c>
      <c r="GTE29" s="160">
        <f t="shared" ref="GTE29" si="2625">GTC29*$C$29</f>
        <v>5.9362189348607975E+37</v>
      </c>
      <c r="GTG29" s="160">
        <f t="shared" ref="GTG29" si="2626">GTE29*$C$29</f>
        <v>6.1143055029066212E+37</v>
      </c>
      <c r="GTI29" s="160">
        <f t="shared" ref="GTI29" si="2627">GTG29*$C$29</f>
        <v>6.29773466799382E+37</v>
      </c>
      <c r="GTK29" s="160">
        <f t="shared" ref="GTK29" si="2628">GTI29*$C$29</f>
        <v>6.486666708033635E+37</v>
      </c>
      <c r="GTM29" s="160">
        <f t="shared" ref="GTM29" si="2629">GTK29*$C$29</f>
        <v>6.6812667092746441E+37</v>
      </c>
      <c r="GTO29" s="160">
        <f t="shared" ref="GTO29" si="2630">GTM29*$C$29</f>
        <v>6.881704710552884E+37</v>
      </c>
      <c r="GTQ29" s="160">
        <f t="shared" ref="GTQ29" si="2631">GTO29*$C$29</f>
        <v>7.0881558518694706E+37</v>
      </c>
      <c r="GTS29" s="160">
        <f t="shared" ref="GTS29" si="2632">GTQ29*$C$29</f>
        <v>7.3008005274255552E+37</v>
      </c>
      <c r="GTU29" s="160">
        <f t="shared" ref="GTU29" si="2633">GTS29*$C$29</f>
        <v>7.5198245432483217E+37</v>
      </c>
      <c r="GTW29" s="160">
        <f t="shared" ref="GTW29" si="2634">GTU29*$C$29</f>
        <v>7.7454192795457715E+37</v>
      </c>
      <c r="GTY29" s="160">
        <f t="shared" ref="GTY29" si="2635">GTW29*$C$29</f>
        <v>7.9777818579321451E+37</v>
      </c>
      <c r="GUA29" s="160">
        <f t="shared" ref="GUA29" si="2636">GTY29*$C$29</f>
        <v>8.2171153136701097E+37</v>
      </c>
      <c r="GUC29" s="160">
        <f t="shared" ref="GUC29" si="2637">GUA29*$C$29</f>
        <v>8.4636287730802135E+37</v>
      </c>
      <c r="GUE29" s="160">
        <f t="shared" ref="GUE29" si="2638">GUC29*$C$29</f>
        <v>8.7175376362726207E+37</v>
      </c>
      <c r="GUG29" s="160">
        <f t="shared" ref="GUG29" si="2639">GUE29*$C$29</f>
        <v>8.9790637653607987E+37</v>
      </c>
      <c r="GUI29" s="160">
        <f t="shared" ref="GUI29" si="2640">GUG29*$C$29</f>
        <v>9.2484356783216232E+37</v>
      </c>
      <c r="GUK29" s="160">
        <f t="shared" ref="GUK29" si="2641">GUI29*$C$29</f>
        <v>9.5258887486712718E+37</v>
      </c>
      <c r="GUM29" s="160">
        <f t="shared" ref="GUM29" si="2642">GUK29*$C$29</f>
        <v>9.8116654111314106E+37</v>
      </c>
      <c r="GUO29" s="160">
        <f t="shared" ref="GUO29" si="2643">GUM29*$C$29</f>
        <v>1.0106015373465354E+38</v>
      </c>
      <c r="GUQ29" s="160">
        <f t="shared" ref="GUQ29" si="2644">GUO29*$C$29</f>
        <v>1.0409195834669314E+38</v>
      </c>
      <c r="GUS29" s="160">
        <f t="shared" ref="GUS29" si="2645">GUQ29*$C$29</f>
        <v>1.0721471709709394E+38</v>
      </c>
      <c r="GUU29" s="160">
        <f t="shared" ref="GUU29" si="2646">GUS29*$C$29</f>
        <v>1.1043115861000677E+38</v>
      </c>
      <c r="GUW29" s="160">
        <f t="shared" ref="GUW29" si="2647">GUU29*$C$29</f>
        <v>1.1374409336830698E+38</v>
      </c>
      <c r="GUY29" s="160">
        <f t="shared" ref="GUY29" si="2648">GUW29*$C$29</f>
        <v>1.1715641616935618E+38</v>
      </c>
      <c r="GVA29" s="160">
        <f t="shared" ref="GVA29" si="2649">GUY29*$C$29</f>
        <v>1.2067110865443687E+38</v>
      </c>
      <c r="GVC29" s="160">
        <f t="shared" ref="GVC29" si="2650">GVA29*$C$29</f>
        <v>1.2429124191406998E+38</v>
      </c>
      <c r="GVE29" s="160">
        <f t="shared" ref="GVE29" si="2651">GVC29*$C$29</f>
        <v>1.2801997917149209E+38</v>
      </c>
      <c r="GVG29" s="160">
        <f t="shared" ref="GVG29" si="2652">GVE29*$C$29</f>
        <v>1.3186057854663685E+38</v>
      </c>
      <c r="GVI29" s="160">
        <f t="shared" ref="GVI29" si="2653">GVG29*$C$29</f>
        <v>1.3581639590303595E+38</v>
      </c>
      <c r="GVK29" s="160">
        <f t="shared" ref="GVK29" si="2654">GVI29*$C$29</f>
        <v>1.3989088778012703E+38</v>
      </c>
      <c r="GVM29" s="160">
        <f t="shared" ref="GVM29" si="2655">GVK29*$C$29</f>
        <v>1.4408761441353085E+38</v>
      </c>
      <c r="GVO29" s="160">
        <f t="shared" ref="GVO29" si="2656">GVM29*$C$29</f>
        <v>1.4841024284593678E+38</v>
      </c>
      <c r="GVQ29" s="160">
        <f t="shared" ref="GVQ29" si="2657">GVO29*$C$29</f>
        <v>1.5286255013131489E+38</v>
      </c>
      <c r="GVS29" s="160">
        <f t="shared" ref="GVS29" si="2658">GVQ29*$C$29</f>
        <v>1.5744842663525434E+38</v>
      </c>
      <c r="GVU29" s="160">
        <f t="shared" ref="GVU29" si="2659">GVS29*$C$29</f>
        <v>1.6217187943431198E+38</v>
      </c>
      <c r="GVW29" s="160">
        <f t="shared" ref="GVW29" si="2660">GVU29*$C$29</f>
        <v>1.6703703581734134E+38</v>
      </c>
      <c r="GVY29" s="160">
        <f t="shared" ref="GVY29" si="2661">GVW29*$C$29</f>
        <v>1.7204814689186158E+38</v>
      </c>
      <c r="GWA29" s="160">
        <f t="shared" ref="GWA29" si="2662">GVY29*$C$29</f>
        <v>1.7720959129861745E+38</v>
      </c>
      <c r="GWC29" s="160">
        <f t="shared" ref="GWC29" si="2663">GWA29*$C$29</f>
        <v>1.8252587903757599E+38</v>
      </c>
      <c r="GWE29" s="160">
        <f t="shared" ref="GWE29" si="2664">GWC29*$C$29</f>
        <v>1.8800165540870328E+38</v>
      </c>
      <c r="GWG29" s="160">
        <f t="shared" ref="GWG29" si="2665">GWE29*$C$29</f>
        <v>1.9364170507096437E+38</v>
      </c>
      <c r="GWI29" s="160">
        <f t="shared" ref="GWI29" si="2666">GWG29*$C$29</f>
        <v>1.9945095622309332E+38</v>
      </c>
      <c r="GWK29" s="160">
        <f t="shared" ref="GWK29" si="2667">GWI29*$C$29</f>
        <v>2.0543448490978611E+38</v>
      </c>
      <c r="GWM29" s="160">
        <f t="shared" ref="GWM29" si="2668">GWK29*$C$29</f>
        <v>2.115975194570797E+38</v>
      </c>
      <c r="GWO29" s="160">
        <f t="shared" ref="GWO29" si="2669">GWM29*$C$29</f>
        <v>2.1794544504079209E+38</v>
      </c>
      <c r="GWQ29" s="160">
        <f t="shared" ref="GWQ29" si="2670">GWO29*$C$29</f>
        <v>2.2448380839201584E+38</v>
      </c>
      <c r="GWS29" s="160">
        <f t="shared" ref="GWS29" si="2671">GWQ29*$C$29</f>
        <v>2.3121832264377634E+38</v>
      </c>
      <c r="GWU29" s="160">
        <f t="shared" ref="GWU29" si="2672">GWS29*$C$29</f>
        <v>2.3815487232308963E+38</v>
      </c>
      <c r="GWW29" s="160">
        <f t="shared" ref="GWW29" si="2673">GWU29*$C$29</f>
        <v>2.452995184927823E+38</v>
      </c>
      <c r="GWY29" s="160">
        <f t="shared" ref="GWY29" si="2674">GWW29*$C$29</f>
        <v>2.5265850404756579E+38</v>
      </c>
      <c r="GXA29" s="160">
        <f t="shared" ref="GXA29" si="2675">GWY29*$C$29</f>
        <v>2.6023825916899276E+38</v>
      </c>
      <c r="GXC29" s="160">
        <f t="shared" ref="GXC29" si="2676">GXA29*$C$29</f>
        <v>2.6804540694406256E+38</v>
      </c>
      <c r="GXE29" s="160">
        <f t="shared" ref="GXE29" si="2677">GXC29*$C$29</f>
        <v>2.7608676915238445E+38</v>
      </c>
      <c r="GXG29" s="160">
        <f t="shared" ref="GXG29" si="2678">GXE29*$C$29</f>
        <v>2.8436937222695601E+38</v>
      </c>
      <c r="GXI29" s="160">
        <f t="shared" ref="GXI29" si="2679">GXG29*$C$29</f>
        <v>2.9290045339376469E+38</v>
      </c>
      <c r="GXK29" s="160">
        <f t="shared" ref="GXK29" si="2680">GXI29*$C$29</f>
        <v>3.0168746699557762E+38</v>
      </c>
      <c r="GXM29" s="160">
        <f t="shared" ref="GXM29" si="2681">GXK29*$C$29</f>
        <v>3.1073809100544498E+38</v>
      </c>
      <c r="GXO29" s="160">
        <f t="shared" ref="GXO29" si="2682">GXM29*$C$29</f>
        <v>3.2006023373560834E+38</v>
      </c>
      <c r="GXQ29" s="160">
        <f t="shared" ref="GXQ29" si="2683">GXO29*$C$29</f>
        <v>3.2966204074767662E+38</v>
      </c>
      <c r="GXS29" s="160">
        <f t="shared" ref="GXS29" si="2684">GXQ29*$C$29</f>
        <v>3.3955190197010693E+38</v>
      </c>
      <c r="GXU29" s="160">
        <f t="shared" ref="GXU29" si="2685">GXS29*$C$29</f>
        <v>3.4973845902921012E+38</v>
      </c>
      <c r="GXW29" s="160">
        <f t="shared" ref="GXW29" si="2686">GXU29*$C$29</f>
        <v>3.602306128000864E+38</v>
      </c>
      <c r="GXY29" s="160">
        <f t="shared" ref="GXY29" si="2687">GXW29*$C$29</f>
        <v>3.7103753118408903E+38</v>
      </c>
      <c r="GYA29" s="160">
        <f t="shared" ref="GYA29" si="2688">GXY29*$C$29</f>
        <v>3.8216865711961174E+38</v>
      </c>
      <c r="GYC29" s="160">
        <f t="shared" ref="GYC29" si="2689">GYA29*$C$29</f>
        <v>3.936337168332001E+38</v>
      </c>
      <c r="GYE29" s="160">
        <f t="shared" ref="GYE29" si="2690">GYC29*$C$29</f>
        <v>4.0544272833819614E+38</v>
      </c>
      <c r="GYG29" s="160">
        <f t="shared" ref="GYG29" si="2691">GYE29*$C$29</f>
        <v>4.1760601018834204E+38</v>
      </c>
      <c r="GYI29" s="160">
        <f t="shared" ref="GYI29" si="2692">GYG29*$C$29</f>
        <v>4.3013419049399231E+38</v>
      </c>
      <c r="GYK29" s="160">
        <f t="shared" ref="GYK29" si="2693">GYI29*$C$29</f>
        <v>4.4303821620881206E+38</v>
      </c>
      <c r="GYM29" s="160">
        <f t="shared" ref="GYM29" si="2694">GYK29*$C$29</f>
        <v>4.5632936269507644E+38</v>
      </c>
      <c r="GYO29" s="160">
        <f t="shared" ref="GYO29" si="2695">GYM29*$C$29</f>
        <v>4.7001924357592872E+38</v>
      </c>
      <c r="GYQ29" s="160">
        <f t="shared" ref="GYQ29" si="2696">GYO29*$C$29</f>
        <v>4.841198208832066E+38</v>
      </c>
      <c r="GYS29" s="160">
        <f t="shared" ref="GYS29" si="2697">GYQ29*$C$29</f>
        <v>4.9864341550970281E+38</v>
      </c>
      <c r="GYU29" s="160">
        <f t="shared" ref="GYU29" si="2698">GYS29*$C$29</f>
        <v>5.136027179749939E+38</v>
      </c>
      <c r="GYW29" s="160">
        <f t="shared" ref="GYW29" si="2699">GYU29*$C$29</f>
        <v>5.2901079951424375E+38</v>
      </c>
      <c r="GYY29" s="160">
        <f t="shared" ref="GYY29" si="2700">GYW29*$C$29</f>
        <v>5.4488112349967111E+38</v>
      </c>
      <c r="GZA29" s="160">
        <f t="shared" ref="GZA29" si="2701">GYY29*$C$29</f>
        <v>5.6122755720466124E+38</v>
      </c>
      <c r="GZC29" s="160">
        <f t="shared" ref="GZC29" si="2702">GZA29*$C$29</f>
        <v>5.780643839208011E+38</v>
      </c>
      <c r="GZE29" s="160">
        <f t="shared" ref="GZE29" si="2703">GZC29*$C$29</f>
        <v>5.9540631543842517E+38</v>
      </c>
      <c r="GZG29" s="160">
        <f t="shared" ref="GZG29" si="2704">GZE29*$C$29</f>
        <v>6.1326850490157793E+38</v>
      </c>
      <c r="GZI29" s="160">
        <f t="shared" ref="GZI29" si="2705">GZG29*$C$29</f>
        <v>6.3166656004862527E+38</v>
      </c>
      <c r="GZK29" s="160">
        <f t="shared" ref="GZK29" si="2706">GZI29*$C$29</f>
        <v>6.5061655685008402E+38</v>
      </c>
      <c r="GZM29" s="160">
        <f t="shared" ref="GZM29" si="2707">GZK29*$C$29</f>
        <v>6.7013505355558652E+38</v>
      </c>
      <c r="GZO29" s="160">
        <f t="shared" ref="GZO29" si="2708">GZM29*$C$29</f>
        <v>6.9023910516225406E+38</v>
      </c>
      <c r="GZQ29" s="160">
        <f t="shared" ref="GZQ29" si="2709">GZO29*$C$29</f>
        <v>7.1094627831712167E+38</v>
      </c>
      <c r="GZS29" s="160">
        <f t="shared" ref="GZS29" si="2710">GZQ29*$C$29</f>
        <v>7.322746666666354E+38</v>
      </c>
      <c r="GZU29" s="160">
        <f t="shared" ref="GZU29" si="2711">GZS29*$C$29</f>
        <v>7.5424290666663443E+38</v>
      </c>
      <c r="GZW29" s="160">
        <f t="shared" ref="GZW29" si="2712">GZU29*$C$29</f>
        <v>7.7687019386663349E+38</v>
      </c>
      <c r="GZY29" s="160">
        <f t="shared" ref="GZY29" si="2713">GZW29*$C$29</f>
        <v>8.0017629968263251E+38</v>
      </c>
      <c r="HAA29" s="160">
        <f t="shared" ref="HAA29" si="2714">GZY29*$C$29</f>
        <v>8.2418158867311151E+38</v>
      </c>
      <c r="HAC29" s="160">
        <f t="shared" ref="HAC29" si="2715">HAA29*$C$29</f>
        <v>8.4890703633330494E+38</v>
      </c>
      <c r="HAE29" s="160">
        <f t="shared" ref="HAE29" si="2716">HAC29*$C$29</f>
        <v>8.7437424742330408E+38</v>
      </c>
      <c r="HAG29" s="160">
        <f t="shared" ref="HAG29" si="2717">HAE29*$C$29</f>
        <v>9.0060547484600316E+38</v>
      </c>
      <c r="HAI29" s="160">
        <f t="shared" ref="HAI29" si="2718">HAG29*$C$29</f>
        <v>9.2762363909138332E+38</v>
      </c>
      <c r="HAK29" s="160">
        <f t="shared" ref="HAK29" si="2719">HAI29*$C$29</f>
        <v>9.5545234826412482E+38</v>
      </c>
      <c r="HAM29" s="160">
        <f t="shared" ref="HAM29" si="2720">HAK29*$C$29</f>
        <v>9.8411591871204866E+38</v>
      </c>
      <c r="HAO29" s="160">
        <f t="shared" ref="HAO29" si="2721">HAM29*$C$29</f>
        <v>1.0136393962734101E+39</v>
      </c>
      <c r="HAQ29" s="160">
        <f t="shared" ref="HAQ29" si="2722">HAO29*$C$29</f>
        <v>1.0440485781616124E+39</v>
      </c>
      <c r="HAS29" s="160">
        <f t="shared" ref="HAS29" si="2723">HAQ29*$C$29</f>
        <v>1.0753700355064608E+39</v>
      </c>
      <c r="HAU29" s="160">
        <f t="shared" ref="HAU29" si="2724">HAS29*$C$29</f>
        <v>1.1076311365716546E+39</v>
      </c>
      <c r="HAW29" s="160">
        <f t="shared" ref="HAW29" si="2725">HAU29*$C$29</f>
        <v>1.1408600706688043E+39</v>
      </c>
      <c r="HAY29" s="160">
        <f t="shared" ref="HAY29" si="2726">HAW29*$C$29</f>
        <v>1.1750858727888685E+39</v>
      </c>
      <c r="HBA29" s="160">
        <f t="shared" ref="HBA29" si="2727">HAY29*$C$29</f>
        <v>1.2103384489725345E+39</v>
      </c>
      <c r="HBC29" s="160">
        <f t="shared" ref="HBC29" si="2728">HBA29*$C$29</f>
        <v>1.2466486024417105E+39</v>
      </c>
      <c r="HBE29" s="160">
        <f t="shared" ref="HBE29" si="2729">HBC29*$C$29</f>
        <v>1.284048060514962E+39</v>
      </c>
      <c r="HBG29" s="160">
        <f t="shared" ref="HBG29" si="2730">HBE29*$C$29</f>
        <v>1.3225695023304109E+39</v>
      </c>
      <c r="HBI29" s="160">
        <f t="shared" ref="HBI29" si="2731">HBG29*$C$29</f>
        <v>1.3622465874003233E+39</v>
      </c>
      <c r="HBK29" s="160">
        <f t="shared" ref="HBK29" si="2732">HBI29*$C$29</f>
        <v>1.4031139850223332E+39</v>
      </c>
      <c r="HBM29" s="160">
        <f t="shared" ref="HBM29" si="2733">HBK29*$C$29</f>
        <v>1.4452074045730031E+39</v>
      </c>
      <c r="HBO29" s="160">
        <f t="shared" ref="HBO29" si="2734">HBM29*$C$29</f>
        <v>1.4885636267101932E+39</v>
      </c>
      <c r="HBQ29" s="160">
        <f t="shared" ref="HBQ29" si="2735">HBO29*$C$29</f>
        <v>1.5332205355114989E+39</v>
      </c>
      <c r="HBS29" s="160">
        <f t="shared" ref="HBS29" si="2736">HBQ29*$C$29</f>
        <v>1.5792171515768438E+39</v>
      </c>
      <c r="HBU29" s="160">
        <f t="shared" ref="HBU29" si="2737">HBS29*$C$29</f>
        <v>1.6265936661241492E+39</v>
      </c>
      <c r="HBW29" s="160">
        <f t="shared" ref="HBW29" si="2738">HBU29*$C$29</f>
        <v>1.6753914761078738E+39</v>
      </c>
      <c r="HBY29" s="160">
        <f t="shared" ref="HBY29" si="2739">HBW29*$C$29</f>
        <v>1.72565322039111E+39</v>
      </c>
      <c r="HCA29" s="160">
        <f t="shared" ref="HCA29" si="2740">HBY29*$C$29</f>
        <v>1.7774228170028434E+39</v>
      </c>
      <c r="HCC29" s="160">
        <f t="shared" ref="HCC29" si="2741">HCA29*$C$29</f>
        <v>1.8307455015129287E+39</v>
      </c>
      <c r="HCE29" s="160">
        <f t="shared" ref="HCE29" si="2742">HCC29*$C$29</f>
        <v>1.8856678665583167E+39</v>
      </c>
      <c r="HCG29" s="160">
        <f t="shared" ref="HCG29" si="2743">HCE29*$C$29</f>
        <v>1.9422379025550661E+39</v>
      </c>
      <c r="HCI29" s="160">
        <f t="shared" ref="HCI29" si="2744">HCG29*$C$29</f>
        <v>2.0005050396317181E+39</v>
      </c>
      <c r="HCK29" s="160">
        <f t="shared" ref="HCK29" si="2745">HCI29*$C$29</f>
        <v>2.0605201908206697E+39</v>
      </c>
      <c r="HCM29" s="160">
        <f t="shared" ref="HCM29" si="2746">HCK29*$C$29</f>
        <v>2.1223357965452898E+39</v>
      </c>
      <c r="HCO29" s="160">
        <f t="shared" ref="HCO29" si="2747">HCM29*$C$29</f>
        <v>2.1860058704416485E+39</v>
      </c>
      <c r="HCQ29" s="160">
        <f t="shared" ref="HCQ29" si="2748">HCO29*$C$29</f>
        <v>2.2515860465548981E+39</v>
      </c>
      <c r="HCS29" s="160">
        <f t="shared" ref="HCS29" si="2749">HCQ29*$C$29</f>
        <v>2.3191336279515451E+39</v>
      </c>
      <c r="HCU29" s="160">
        <f t="shared" ref="HCU29" si="2750">HCS29*$C$29</f>
        <v>2.3887076367900915E+39</v>
      </c>
      <c r="HCW29" s="160">
        <f t="shared" ref="HCW29" si="2751">HCU29*$C$29</f>
        <v>2.4603688658937943E+39</v>
      </c>
      <c r="HCY29" s="160">
        <f t="shared" ref="HCY29" si="2752">HCW29*$C$29</f>
        <v>2.534179931870608E+39</v>
      </c>
      <c r="HDA29" s="160">
        <f t="shared" ref="HDA29" si="2753">HCY29*$C$29</f>
        <v>2.6102053298267265E+39</v>
      </c>
      <c r="HDC29" s="160">
        <f t="shared" ref="HDC29" si="2754">HDA29*$C$29</f>
        <v>2.6885114897215283E+39</v>
      </c>
      <c r="HDE29" s="160">
        <f t="shared" ref="HDE29" si="2755">HDC29*$C$29</f>
        <v>2.7691668344131742E+39</v>
      </c>
      <c r="HDG29" s="160">
        <f t="shared" ref="HDG29" si="2756">HDE29*$C$29</f>
        <v>2.8522418394455694E+39</v>
      </c>
      <c r="HDI29" s="160">
        <f t="shared" ref="HDI29" si="2757">HDG29*$C$29</f>
        <v>2.9378090946289367E+39</v>
      </c>
      <c r="HDK29" s="160">
        <f t="shared" ref="HDK29" si="2758">HDI29*$C$29</f>
        <v>3.0259433674678047E+39</v>
      </c>
      <c r="HDM29" s="160">
        <f t="shared" ref="HDM29" si="2759">HDK29*$C$29</f>
        <v>3.1167216684918392E+39</v>
      </c>
      <c r="HDO29" s="160">
        <f t="shared" ref="HDO29" si="2760">HDM29*$C$29</f>
        <v>3.2102233185465947E+39</v>
      </c>
      <c r="HDQ29" s="160">
        <f t="shared" ref="HDQ29" si="2761">HDO29*$C$29</f>
        <v>3.3065300181029925E+39</v>
      </c>
      <c r="HDS29" s="160">
        <f t="shared" ref="HDS29" si="2762">HDQ29*$C$29</f>
        <v>3.4057259186460826E+39</v>
      </c>
      <c r="HDU29" s="160">
        <f t="shared" ref="HDU29" si="2763">HDS29*$C$29</f>
        <v>3.5078976962054655E+39</v>
      </c>
      <c r="HDW29" s="160">
        <f t="shared" ref="HDW29" si="2764">HDU29*$C$29</f>
        <v>3.6131346270916297E+39</v>
      </c>
      <c r="HDY29" s="160">
        <f t="shared" ref="HDY29" si="2765">HDW29*$C$29</f>
        <v>3.7215286659043789E+39</v>
      </c>
      <c r="HEA29" s="160">
        <f t="shared" ref="HEA29" si="2766">HDY29*$C$29</f>
        <v>3.8331745258815101E+39</v>
      </c>
      <c r="HEC29" s="160">
        <f t="shared" ref="HEC29" si="2767">HEA29*$C$29</f>
        <v>3.9481697616579556E+39</v>
      </c>
      <c r="HEE29" s="160">
        <f t="shared" ref="HEE29" si="2768">HEC29*$C$29</f>
        <v>4.0666148545076942E+39</v>
      </c>
      <c r="HEG29" s="160">
        <f t="shared" ref="HEG29" si="2769">HEE29*$C$29</f>
        <v>4.188613300142925E+39</v>
      </c>
      <c r="HEI29" s="160">
        <f t="shared" ref="HEI29" si="2770">HEG29*$C$29</f>
        <v>4.3142716991472128E+39</v>
      </c>
      <c r="HEK29" s="160">
        <f t="shared" ref="HEK29" si="2771">HEI29*$C$29</f>
        <v>4.4436998501216292E+39</v>
      </c>
      <c r="HEM29" s="160">
        <f t="shared" ref="HEM29" si="2772">HEK29*$C$29</f>
        <v>4.5770108456252784E+39</v>
      </c>
      <c r="HEO29" s="160">
        <f t="shared" ref="HEO29" si="2773">HEM29*$C$29</f>
        <v>4.7143211709940367E+39</v>
      </c>
      <c r="HEQ29" s="160">
        <f t="shared" ref="HEQ29" si="2774">HEO29*$C$29</f>
        <v>4.8557508061238577E+39</v>
      </c>
      <c r="HES29" s="160">
        <f t="shared" ref="HES29" si="2775">HEQ29*$C$29</f>
        <v>5.0014233303075737E+39</v>
      </c>
      <c r="HEU29" s="160">
        <f t="shared" ref="HEU29" si="2776">HES29*$C$29</f>
        <v>5.1514660302168013E+39</v>
      </c>
      <c r="HEW29" s="160">
        <f t="shared" ref="HEW29" si="2777">HEU29*$C$29</f>
        <v>5.3060100111233055E+39</v>
      </c>
      <c r="HEY29" s="160">
        <f t="shared" ref="HEY29" si="2778">HEW29*$C$29</f>
        <v>5.4651903114570044E+39</v>
      </c>
      <c r="HFA29" s="160">
        <f t="shared" ref="HFA29" si="2779">HEY29*$C$29</f>
        <v>5.6291460208007142E+39</v>
      </c>
      <c r="HFC29" s="160">
        <f t="shared" ref="HFC29" si="2780">HFA29*$C$29</f>
        <v>5.7980204014247353E+39</v>
      </c>
      <c r="HFE29" s="160">
        <f t="shared" ref="HFE29" si="2781">HFC29*$C$29</f>
        <v>5.9719610134674775E+39</v>
      </c>
      <c r="HFG29" s="160">
        <f t="shared" ref="HFG29" si="2782">HFE29*$C$29</f>
        <v>6.151119843871502E+39</v>
      </c>
      <c r="HFI29" s="160">
        <f t="shared" ref="HFI29" si="2783">HFG29*$C$29</f>
        <v>6.3356534391876478E+39</v>
      </c>
      <c r="HFK29" s="160">
        <f t="shared" ref="HFK29" si="2784">HFI29*$C$29</f>
        <v>6.5257230423632772E+39</v>
      </c>
      <c r="HFM29" s="160">
        <f t="shared" ref="HFM29" si="2785">HFK29*$C$29</f>
        <v>6.7214947336341756E+39</v>
      </c>
      <c r="HFO29" s="160">
        <f t="shared" ref="HFO29" si="2786">HFM29*$C$29</f>
        <v>6.9231395756432009E+39</v>
      </c>
      <c r="HFQ29" s="160">
        <f t="shared" ref="HFQ29" si="2787">HFO29*$C$29</f>
        <v>7.1308337629124975E+39</v>
      </c>
      <c r="HFS29" s="160">
        <f t="shared" ref="HFS29" si="2788">HFQ29*$C$29</f>
        <v>7.3447587757998723E+39</v>
      </c>
      <c r="HFU29" s="160">
        <f t="shared" ref="HFU29" si="2789">HFS29*$C$29</f>
        <v>7.5651015390738685E+39</v>
      </c>
      <c r="HFW29" s="160">
        <f t="shared" ref="HFW29" si="2790">HFU29*$C$29</f>
        <v>7.7920545852460843E+39</v>
      </c>
      <c r="HFY29" s="160">
        <f t="shared" ref="HFY29" si="2791">HFW29*$C$29</f>
        <v>8.0258162228034674E+39</v>
      </c>
      <c r="HGA29" s="160">
        <f t="shared" ref="HGA29" si="2792">HFY29*$C$29</f>
        <v>8.2665907094875715E+39</v>
      </c>
      <c r="HGC29" s="160">
        <f t="shared" ref="HGC29" si="2793">HGA29*$C$29</f>
        <v>8.5145884307721987E+39</v>
      </c>
      <c r="HGE29" s="160">
        <f t="shared" ref="HGE29" si="2794">HGC29*$C$29</f>
        <v>8.7700260836953645E+39</v>
      </c>
      <c r="HGG29" s="160">
        <f t="shared" ref="HGG29" si="2795">HGE29*$C$29</f>
        <v>9.0331268662062257E+39</v>
      </c>
      <c r="HGI29" s="160">
        <f t="shared" ref="HGI29" si="2796">HGG29*$C$29</f>
        <v>9.3041206721924133E+39</v>
      </c>
      <c r="HGK29" s="160">
        <f t="shared" ref="HGK29" si="2797">HGI29*$C$29</f>
        <v>9.5832442923581854E+39</v>
      </c>
      <c r="HGM29" s="160">
        <f t="shared" ref="HGM29" si="2798">HGK29*$C$29</f>
        <v>9.8707416211289315E+39</v>
      </c>
      <c r="HGO29" s="160">
        <f t="shared" ref="HGO29" si="2799">HGM29*$C$29</f>
        <v>1.01668638697628E+40</v>
      </c>
      <c r="HGQ29" s="160">
        <f t="shared" ref="HGQ29" si="2800">HGO29*$C$29</f>
        <v>1.0471869785855683E+40</v>
      </c>
      <c r="HGS29" s="160">
        <f t="shared" ref="HGS29" si="2801">HGQ29*$C$29</f>
        <v>1.0786025879431355E+40</v>
      </c>
      <c r="HGU29" s="160">
        <f t="shared" ref="HGU29" si="2802">HGS29*$C$29</f>
        <v>1.1109606655814295E+40</v>
      </c>
      <c r="HGW29" s="160">
        <f t="shared" ref="HGW29" si="2803">HGU29*$C$29</f>
        <v>1.1442894855488724E+40</v>
      </c>
      <c r="HGY29" s="160">
        <f t="shared" ref="HGY29" si="2804">HGW29*$C$29</f>
        <v>1.1786181701153386E+40</v>
      </c>
      <c r="HHA29" s="160">
        <f t="shared" ref="HHA29" si="2805">HGY29*$C$29</f>
        <v>1.2139767152187988E+40</v>
      </c>
      <c r="HHC29" s="160">
        <f t="shared" ref="HHC29" si="2806">HHA29*$C$29</f>
        <v>1.2503960166753628E+40</v>
      </c>
      <c r="HHE29" s="160">
        <f t="shared" ref="HHE29" si="2807">HHC29*$C$29</f>
        <v>1.2879078971756237E+40</v>
      </c>
      <c r="HHG29" s="160">
        <f t="shared" ref="HHG29" si="2808">HHE29*$C$29</f>
        <v>1.3265451340908924E+40</v>
      </c>
      <c r="HHI29" s="160">
        <f t="shared" ref="HHI29" si="2809">HHG29*$C$29</f>
        <v>1.3663414881136193E+40</v>
      </c>
      <c r="HHK29" s="160">
        <f t="shared" ref="HHK29" si="2810">HHI29*$C$29</f>
        <v>1.4073317327570279E+40</v>
      </c>
      <c r="HHM29" s="160">
        <f t="shared" ref="HHM29" si="2811">HHK29*$C$29</f>
        <v>1.4495516847397388E+40</v>
      </c>
      <c r="HHO29" s="160">
        <f t="shared" ref="HHO29" si="2812">HHM29*$C$29</f>
        <v>1.4930382352819311E+40</v>
      </c>
      <c r="HHQ29" s="160">
        <f t="shared" ref="HHQ29" si="2813">HHO29*$C$29</f>
        <v>1.537829382340389E+40</v>
      </c>
      <c r="HHS29" s="160">
        <f t="shared" ref="HHS29" si="2814">HHQ29*$C$29</f>
        <v>1.5839642638106007E+40</v>
      </c>
      <c r="HHU29" s="160">
        <f t="shared" ref="HHU29" si="2815">HHS29*$C$29</f>
        <v>1.6314831917249188E+40</v>
      </c>
      <c r="HHW29" s="160">
        <f t="shared" ref="HHW29" si="2816">HHU29*$C$29</f>
        <v>1.6804276874766663E+40</v>
      </c>
      <c r="HHY29" s="160">
        <f t="shared" ref="HHY29" si="2817">HHW29*$C$29</f>
        <v>1.7308405181009664E+40</v>
      </c>
      <c r="HIA29" s="160">
        <f t="shared" ref="HIA29" si="2818">HHY29*$C$29</f>
        <v>1.7827657336439955E+40</v>
      </c>
      <c r="HIC29" s="160">
        <f t="shared" ref="HIC29" si="2819">HIA29*$C$29</f>
        <v>1.8362487056533153E+40</v>
      </c>
      <c r="HIE29" s="160">
        <f t="shared" ref="HIE29" si="2820">HIC29*$C$29</f>
        <v>1.8913361668229148E+40</v>
      </c>
      <c r="HIG29" s="160">
        <f t="shared" ref="HIG29" si="2821">HIE29*$C$29</f>
        <v>1.9480762518276022E+40</v>
      </c>
      <c r="HII29" s="160">
        <f t="shared" ref="HII29" si="2822">HIG29*$C$29</f>
        <v>2.0065185393824304E+40</v>
      </c>
      <c r="HIK29" s="160">
        <f t="shared" ref="HIK29" si="2823">HII29*$C$29</f>
        <v>2.0667140955639034E+40</v>
      </c>
      <c r="HIM29" s="160">
        <f t="shared" ref="HIM29" si="2824">HIK29*$C$29</f>
        <v>2.1287155184308205E+40</v>
      </c>
      <c r="HIO29" s="160">
        <f t="shared" ref="HIO29" si="2825">HIM29*$C$29</f>
        <v>2.1925769839837453E+40</v>
      </c>
      <c r="HIQ29" s="160">
        <f t="shared" ref="HIQ29" si="2826">HIO29*$C$29</f>
        <v>2.2583542935032578E+40</v>
      </c>
      <c r="HIS29" s="160">
        <f t="shared" ref="HIS29" si="2827">HIQ29*$C$29</f>
        <v>2.3261049223083556E+40</v>
      </c>
      <c r="HIU29" s="160">
        <f t="shared" ref="HIU29" si="2828">HIS29*$C$29</f>
        <v>2.3958880699776063E+40</v>
      </c>
      <c r="HIW29" s="160">
        <f t="shared" ref="HIW29" si="2829">HIU29*$C$29</f>
        <v>2.4677647120769347E+40</v>
      </c>
      <c r="HIY29" s="160">
        <f t="shared" ref="HIY29" si="2830">HIW29*$C$29</f>
        <v>2.5417976534392428E+40</v>
      </c>
      <c r="HJA29" s="160">
        <f t="shared" ref="HJA29" si="2831">HIY29*$C$29</f>
        <v>2.61805158304242E+40</v>
      </c>
      <c r="HJC29" s="160">
        <f t="shared" ref="HJC29" si="2832">HJA29*$C$29</f>
        <v>2.6965931305336926E+40</v>
      </c>
      <c r="HJE29" s="160">
        <f t="shared" ref="HJE29" si="2833">HJC29*$C$29</f>
        <v>2.7774909244497034E+40</v>
      </c>
      <c r="HJG29" s="160">
        <f t="shared" ref="HJG29" si="2834">HJE29*$C$29</f>
        <v>2.8608156521831948E+40</v>
      </c>
      <c r="HJI29" s="160">
        <f t="shared" ref="HJI29" si="2835">HJG29*$C$29</f>
        <v>2.9466401217486907E+40</v>
      </c>
      <c r="HJK29" s="160">
        <f t="shared" ref="HJK29" si="2836">HJI29*$C$29</f>
        <v>3.0350393254011515E+40</v>
      </c>
      <c r="HJM29" s="160">
        <f t="shared" ref="HJM29" si="2837">HJK29*$C$29</f>
        <v>3.1260905051631861E+40</v>
      </c>
      <c r="HJO29" s="160">
        <f t="shared" ref="HJO29" si="2838">HJM29*$C$29</f>
        <v>3.2198732203180819E+40</v>
      </c>
      <c r="HJQ29" s="160">
        <f t="shared" ref="HJQ29" si="2839">HJO29*$C$29</f>
        <v>3.3164694169276243E+40</v>
      </c>
      <c r="HJS29" s="160">
        <f t="shared" ref="HJS29" si="2840">HJQ29*$C$29</f>
        <v>3.415963499435453E+40</v>
      </c>
      <c r="HJU29" s="160">
        <f t="shared" ref="HJU29" si="2841">HJS29*$C$29</f>
        <v>3.5184424044185165E+40</v>
      </c>
      <c r="HJW29" s="160">
        <f t="shared" ref="HJW29" si="2842">HJU29*$C$29</f>
        <v>3.6239956765510719E+40</v>
      </c>
      <c r="HJY29" s="160">
        <f t="shared" ref="HJY29" si="2843">HJW29*$C$29</f>
        <v>3.7327155468476041E+40</v>
      </c>
      <c r="HKA29" s="160">
        <f t="shared" ref="HKA29" si="2844">HJY29*$C$29</f>
        <v>3.8446970132530323E+40</v>
      </c>
      <c r="HKC29" s="160">
        <f t="shared" ref="HKC29" si="2845">HKA29*$C$29</f>
        <v>3.9600379236506233E+40</v>
      </c>
      <c r="HKE29" s="160">
        <f t="shared" ref="HKE29" si="2846">HKC29*$C$29</f>
        <v>4.0788390613601421E+40</v>
      </c>
      <c r="HKG29" s="160">
        <f t="shared" ref="HKG29" si="2847">HKE29*$C$29</f>
        <v>4.2012042332009467E+40</v>
      </c>
      <c r="HKI29" s="160">
        <f t="shared" ref="HKI29" si="2848">HKG29*$C$29</f>
        <v>4.3272403601969751E+40</v>
      </c>
      <c r="HKK29" s="160">
        <f t="shared" ref="HKK29" si="2849">HKI29*$C$29</f>
        <v>4.4570575710028849E+40</v>
      </c>
      <c r="HKM29" s="160">
        <f t="shared" ref="HKM29" si="2850">HKK29*$C$29</f>
        <v>4.5907692981329711E+40</v>
      </c>
      <c r="HKO29" s="160">
        <f t="shared" ref="HKO29" si="2851">HKM29*$C$29</f>
        <v>4.7284923770769609E+40</v>
      </c>
      <c r="HKQ29" s="160">
        <f t="shared" ref="HKQ29" si="2852">HKO29*$C$29</f>
        <v>4.8703471483892701E+40</v>
      </c>
      <c r="HKS29" s="160">
        <f t="shared" ref="HKS29" si="2853">HKQ29*$C$29</f>
        <v>5.0164575628409484E+40</v>
      </c>
      <c r="HKU29" s="160">
        <f t="shared" ref="HKU29" si="2854">HKS29*$C$29</f>
        <v>5.1669512897261767E+40</v>
      </c>
      <c r="HKW29" s="160">
        <f t="shared" ref="HKW29" si="2855">HKU29*$C$29</f>
        <v>5.3219598284179622E+40</v>
      </c>
      <c r="HKY29" s="160">
        <f t="shared" ref="HKY29" si="2856">HKW29*$C$29</f>
        <v>5.4816186232705014E+40</v>
      </c>
      <c r="HLA29" s="160">
        <f t="shared" ref="HLA29" si="2857">HKY29*$C$29</f>
        <v>5.6460671819686168E+40</v>
      </c>
      <c r="HLC29" s="160">
        <f t="shared" ref="HLC29" si="2858">HLA29*$C$29</f>
        <v>5.8154491974276753E+40</v>
      </c>
      <c r="HLE29" s="160">
        <f t="shared" ref="HLE29" si="2859">HLC29*$C$29</f>
        <v>5.9899126733505061E+40</v>
      </c>
      <c r="HLG29" s="160">
        <f t="shared" ref="HLG29" si="2860">HLE29*$C$29</f>
        <v>6.1696100535510217E+40</v>
      </c>
      <c r="HLI29" s="160">
        <f t="shared" ref="HLI29" si="2861">HLG29*$C$29</f>
        <v>6.3546983551575524E+40</v>
      </c>
      <c r="HLK29" s="160">
        <f t="shared" ref="HLK29" si="2862">HLI29*$C$29</f>
        <v>6.5453393058122787E+40</v>
      </c>
      <c r="HLM29" s="160">
        <f t="shared" ref="HLM29" si="2863">HLK29*$C$29</f>
        <v>6.7416994849866476E+40</v>
      </c>
      <c r="HLO29" s="160">
        <f t="shared" ref="HLO29" si="2864">HLM29*$C$29</f>
        <v>6.9439504695362468E+40</v>
      </c>
      <c r="HLQ29" s="160">
        <f t="shared" ref="HLQ29" si="2865">HLO29*$C$29</f>
        <v>7.1522689836223344E+40</v>
      </c>
      <c r="HLS29" s="160">
        <f t="shared" ref="HLS29" si="2866">HLQ29*$C$29</f>
        <v>7.3668370531310045E+40</v>
      </c>
      <c r="HLU29" s="160">
        <f t="shared" ref="HLU29" si="2867">HLS29*$C$29</f>
        <v>7.5878421647249349E+40</v>
      </c>
      <c r="HLW29" s="160">
        <f t="shared" ref="HLW29" si="2868">HLU29*$C$29</f>
        <v>7.8154774296666836E+40</v>
      </c>
      <c r="HLY29" s="160">
        <f t="shared" ref="HLY29" si="2869">HLW29*$C$29</f>
        <v>8.0499417525566842E+40</v>
      </c>
      <c r="HMA29" s="160">
        <f t="shared" ref="HMA29" si="2870">HLY29*$C$29</f>
        <v>8.2914400051333846E+40</v>
      </c>
      <c r="HMC29" s="160">
        <f t="shared" ref="HMC29" si="2871">HMA29*$C$29</f>
        <v>8.5401832052873859E+40</v>
      </c>
      <c r="HME29" s="160">
        <f t="shared" ref="HME29" si="2872">HMC29*$C$29</f>
        <v>8.7963887014460073E+40</v>
      </c>
      <c r="HMG29" s="160">
        <f t="shared" ref="HMG29" si="2873">HME29*$C$29</f>
        <v>9.0602803624893875E+40</v>
      </c>
      <c r="HMI29" s="160">
        <f t="shared" ref="HMI29" si="2874">HMG29*$C$29</f>
        <v>9.3320887733640689E+40</v>
      </c>
      <c r="HMK29" s="160">
        <f t="shared" ref="HMK29" si="2875">HMI29*$C$29</f>
        <v>9.6120514365649904E+40</v>
      </c>
      <c r="HMM29" s="160">
        <f t="shared" ref="HMM29" si="2876">HMK29*$C$29</f>
        <v>9.9004129796619411E+40</v>
      </c>
      <c r="HMO29" s="160">
        <f t="shared" ref="HMO29" si="2877">HMM29*$C$29</f>
        <v>1.0197425369051799E+41</v>
      </c>
      <c r="HMQ29" s="160">
        <f t="shared" ref="HMQ29" si="2878">HMO29*$C$29</f>
        <v>1.0503348130123353E+41</v>
      </c>
      <c r="HMS29" s="160">
        <f t="shared" ref="HMS29" si="2879">HMQ29*$C$29</f>
        <v>1.0818448574027053E+41</v>
      </c>
      <c r="HMU29" s="160">
        <f t="shared" ref="HMU29" si="2880">HMS29*$C$29</f>
        <v>1.1143002031247864E+41</v>
      </c>
      <c r="HMW29" s="160">
        <f t="shared" ref="HMW29" si="2881">HMU29*$C$29</f>
        <v>1.1477292092185301E+41</v>
      </c>
      <c r="HMY29" s="160">
        <f t="shared" ref="HMY29" si="2882">HMW29*$C$29</f>
        <v>1.1821610854950859E+41</v>
      </c>
      <c r="HNA29" s="160">
        <f t="shared" ref="HNA29" si="2883">HMY29*$C$29</f>
        <v>1.2176259180599384E+41</v>
      </c>
      <c r="HNC29" s="160">
        <f t="shared" ref="HNC29" si="2884">HNA29*$C$29</f>
        <v>1.2541546956017366E+41</v>
      </c>
      <c r="HNE29" s="160">
        <f t="shared" ref="HNE29" si="2885">HNC29*$C$29</f>
        <v>1.2917793364697888E+41</v>
      </c>
      <c r="HNG29" s="160">
        <f t="shared" ref="HNG29" si="2886">HNE29*$C$29</f>
        <v>1.3305327165638826E+41</v>
      </c>
      <c r="HNI29" s="160">
        <f t="shared" ref="HNI29" si="2887">HNG29*$C$29</f>
        <v>1.3704486980607991E+41</v>
      </c>
      <c r="HNK29" s="160">
        <f t="shared" ref="HNK29" si="2888">HNI29*$C$29</f>
        <v>1.4115621590026231E+41</v>
      </c>
      <c r="HNM29" s="160">
        <f t="shared" ref="HNM29" si="2889">HNK29*$C$29</f>
        <v>1.4539090237727018E+41</v>
      </c>
      <c r="HNO29" s="160">
        <f t="shared" ref="HNO29" si="2890">HNM29*$C$29</f>
        <v>1.4975262944858828E+41</v>
      </c>
      <c r="HNQ29" s="160">
        <f t="shared" ref="HNQ29" si="2891">HNO29*$C$29</f>
        <v>1.5424520833204593E+41</v>
      </c>
      <c r="HNS29" s="160">
        <f t="shared" ref="HNS29" si="2892">HNQ29*$C$29</f>
        <v>1.5887256458200732E+41</v>
      </c>
      <c r="HNU29" s="160">
        <f t="shared" ref="HNU29" si="2893">HNS29*$C$29</f>
        <v>1.6363874151946755E+41</v>
      </c>
      <c r="HNW29" s="160">
        <f t="shared" ref="HNW29" si="2894">HNU29*$C$29</f>
        <v>1.6854790376505158E+41</v>
      </c>
      <c r="HNY29" s="160">
        <f t="shared" ref="HNY29" si="2895">HNW29*$C$29</f>
        <v>1.7360434087800313E+41</v>
      </c>
      <c r="HOA29" s="160">
        <f t="shared" ref="HOA29" si="2896">HNY29*$C$29</f>
        <v>1.7881247110434324E+41</v>
      </c>
      <c r="HOC29" s="160">
        <f t="shared" ref="HOC29" si="2897">HOA29*$C$29</f>
        <v>1.8417684523747353E+41</v>
      </c>
      <c r="HOE29" s="160">
        <f t="shared" ref="HOE29" si="2898">HOC29*$C$29</f>
        <v>1.8970215059459776E+41</v>
      </c>
      <c r="HOG29" s="160">
        <f t="shared" ref="HOG29" si="2899">HOE29*$C$29</f>
        <v>1.9539321511243572E+41</v>
      </c>
      <c r="HOI29" s="160">
        <f t="shared" ref="HOI29" si="2900">HOG29*$C$29</f>
        <v>2.0125501156580879E+41</v>
      </c>
      <c r="HOK29" s="160">
        <f t="shared" ref="HOK29" si="2901">HOI29*$C$29</f>
        <v>2.0729266191278305E+41</v>
      </c>
      <c r="HOM29" s="160">
        <f t="shared" ref="HOM29" si="2902">HOK29*$C$29</f>
        <v>2.1351144177016655E+41</v>
      </c>
      <c r="HOO29" s="160">
        <f t="shared" ref="HOO29" si="2903">HOM29*$C$29</f>
        <v>2.1991678502327156E+41</v>
      </c>
      <c r="HOQ29" s="160">
        <f t="shared" ref="HOQ29" si="2904">HOO29*$C$29</f>
        <v>2.265142885739697E+41</v>
      </c>
      <c r="HOS29" s="160">
        <f t="shared" ref="HOS29" si="2905">HOQ29*$C$29</f>
        <v>2.3330971723118879E+41</v>
      </c>
      <c r="HOU29" s="160">
        <f t="shared" ref="HOU29" si="2906">HOS29*$C$29</f>
        <v>2.4030900874812446E+41</v>
      </c>
      <c r="HOW29" s="160">
        <f t="shared" ref="HOW29" si="2907">HOU29*$C$29</f>
        <v>2.4751827901056821E+41</v>
      </c>
      <c r="HOY29" s="160">
        <f t="shared" ref="HOY29" si="2908">HOW29*$C$29</f>
        <v>2.5494382738088526E+41</v>
      </c>
      <c r="HPA29" s="160">
        <f t="shared" ref="HPA29" si="2909">HOY29*$C$29</f>
        <v>2.6259214220231181E+41</v>
      </c>
      <c r="HPC29" s="160">
        <f t="shared" ref="HPC29" si="2910">HPA29*$C$29</f>
        <v>2.7046990646838118E+41</v>
      </c>
      <c r="HPE29" s="160">
        <f t="shared" ref="HPE29" si="2911">HPC29*$C$29</f>
        <v>2.7858400366243262E+41</v>
      </c>
      <c r="HPG29" s="160">
        <f t="shared" ref="HPG29" si="2912">HPE29*$C$29</f>
        <v>2.8694152377230562E+41</v>
      </c>
      <c r="HPI29" s="160">
        <f t="shared" ref="HPI29" si="2913">HPG29*$C$29</f>
        <v>2.9554976948547478E+41</v>
      </c>
      <c r="HPK29" s="160">
        <f t="shared" ref="HPK29" si="2914">HPI29*$C$29</f>
        <v>3.0441626257003903E+41</v>
      </c>
      <c r="HPM29" s="160">
        <f t="shared" ref="HPM29" si="2915">HPK29*$C$29</f>
        <v>3.1354875044714022E+41</v>
      </c>
      <c r="HPO29" s="160">
        <f t="shared" ref="HPO29" si="2916">HPM29*$C$29</f>
        <v>3.2295521296055444E+41</v>
      </c>
      <c r="HPQ29" s="160">
        <f t="shared" ref="HPQ29" si="2917">HPO29*$C$29</f>
        <v>3.3264386934937108E+41</v>
      </c>
      <c r="HPS29" s="160">
        <f t="shared" ref="HPS29" si="2918">HPQ29*$C$29</f>
        <v>3.4262318542985223E+41</v>
      </c>
      <c r="HPU29" s="160">
        <f t="shared" ref="HPU29" si="2919">HPS29*$C$29</f>
        <v>3.5290188099274784E+41</v>
      </c>
      <c r="HPW29" s="160">
        <f t="shared" ref="HPW29" si="2920">HPU29*$C$29</f>
        <v>3.6348893742253026E+41</v>
      </c>
      <c r="HPY29" s="160">
        <f t="shared" ref="HPY29" si="2921">HPW29*$C$29</f>
        <v>3.7439360554520621E+41</v>
      </c>
      <c r="HQA29" s="160">
        <f t="shared" ref="HQA29" si="2922">HPY29*$C$29</f>
        <v>3.8562541371156239E+41</v>
      </c>
      <c r="HQC29" s="160">
        <f t="shared" ref="HQC29" si="2923">HQA29*$C$29</f>
        <v>3.9719417612290929E+41</v>
      </c>
      <c r="HQE29" s="160">
        <f t="shared" ref="HQE29" si="2924">HQC29*$C$29</f>
        <v>4.091100014065966E+41</v>
      </c>
      <c r="HQG29" s="160">
        <f t="shared" ref="HQG29" si="2925">HQE29*$C$29</f>
        <v>4.2138330144879453E+41</v>
      </c>
      <c r="HQI29" s="160">
        <f t="shared" ref="HQI29" si="2926">HQG29*$C$29</f>
        <v>4.3402480049225841E+41</v>
      </c>
      <c r="HQK29" s="160">
        <f t="shared" ref="HQK29" si="2927">HQI29*$C$29</f>
        <v>4.4704554450702614E+41</v>
      </c>
      <c r="HQM29" s="160">
        <f t="shared" ref="HQM29" si="2928">HQK29*$C$29</f>
        <v>4.6045691084223696E+41</v>
      </c>
      <c r="HQO29" s="160">
        <f t="shared" ref="HQO29" si="2929">HQM29*$C$29</f>
        <v>4.742706181675041E+41</v>
      </c>
      <c r="HQQ29" s="160">
        <f t="shared" ref="HQQ29" si="2930">HQO29*$C$29</f>
        <v>4.8849873671252922E+41</v>
      </c>
      <c r="HQS29" s="160">
        <f t="shared" ref="HQS29" si="2931">HQQ29*$C$29</f>
        <v>5.031536988139051E+41</v>
      </c>
      <c r="HQU29" s="160">
        <f t="shared" ref="HQU29" si="2932">HQS29*$C$29</f>
        <v>5.1824830977832225E+41</v>
      </c>
      <c r="HQW29" s="160">
        <f t="shared" ref="HQW29" si="2933">HQU29*$C$29</f>
        <v>5.3379575907167195E+41</v>
      </c>
      <c r="HQY29" s="160">
        <f t="shared" ref="HQY29" si="2934">HQW29*$C$29</f>
        <v>5.4980963184382213E+41</v>
      </c>
      <c r="HRA29" s="160">
        <f t="shared" ref="HRA29" si="2935">HQY29*$C$29</f>
        <v>5.6630392079913682E+41</v>
      </c>
      <c r="HRC29" s="160">
        <f t="shared" ref="HRC29" si="2936">HRA29*$C$29</f>
        <v>5.8329303842311092E+41</v>
      </c>
      <c r="HRE29" s="160">
        <f t="shared" ref="HRE29" si="2937">HRC29*$C$29</f>
        <v>6.0079182957580429E+41</v>
      </c>
      <c r="HRG29" s="160">
        <f t="shared" ref="HRG29" si="2938">HRE29*$C$29</f>
        <v>6.188155844630784E+41</v>
      </c>
      <c r="HRI29" s="160">
        <f t="shared" ref="HRI29" si="2939">HRG29*$C$29</f>
        <v>6.3738005199697077E+41</v>
      </c>
      <c r="HRK29" s="160">
        <f t="shared" ref="HRK29" si="2940">HRI29*$C$29</f>
        <v>6.5650145355687993E+41</v>
      </c>
      <c r="HRM29" s="160">
        <f t="shared" ref="HRM29" si="2941">HRK29*$C$29</f>
        <v>6.7619649716358636E+41</v>
      </c>
      <c r="HRO29" s="160">
        <f t="shared" ref="HRO29" si="2942">HRM29*$C$29</f>
        <v>6.96482392078494E+41</v>
      </c>
      <c r="HRQ29" s="160">
        <f t="shared" ref="HRQ29" si="2943">HRO29*$C$29</f>
        <v>7.1737686384084883E+41</v>
      </c>
      <c r="HRS29" s="160">
        <f t="shared" ref="HRS29" si="2944">HRQ29*$C$29</f>
        <v>7.3889816975607435E+41</v>
      </c>
      <c r="HRU29" s="160">
        <f t="shared" ref="HRU29" si="2945">HRS29*$C$29</f>
        <v>7.6106511484875653E+41</v>
      </c>
      <c r="HRW29" s="160">
        <f t="shared" ref="HRW29" si="2946">HRU29*$C$29</f>
        <v>7.8389706829421917E+41</v>
      </c>
      <c r="HRY29" s="160">
        <f t="shared" ref="HRY29" si="2947">HRW29*$C$29</f>
        <v>8.0741398034304569E+41</v>
      </c>
      <c r="HSA29" s="160">
        <f t="shared" ref="HSA29" si="2948">HRY29*$C$29</f>
        <v>8.3163639975333713E+41</v>
      </c>
      <c r="HSC29" s="160">
        <f t="shared" ref="HSC29" si="2949">HSA29*$C$29</f>
        <v>8.5658549174593728E+41</v>
      </c>
      <c r="HSE29" s="160">
        <f t="shared" ref="HSE29" si="2950">HSC29*$C$29</f>
        <v>8.8228305649831547E+41</v>
      </c>
      <c r="HSG29" s="160">
        <f t="shared" ref="HSG29" si="2951">HSE29*$C$29</f>
        <v>9.0875154819326503E+41</v>
      </c>
      <c r="HSI29" s="160">
        <f t="shared" ref="HSI29" si="2952">HSG29*$C$29</f>
        <v>9.3601409463906299E+41</v>
      </c>
      <c r="HSK29" s="160">
        <f t="shared" ref="HSK29" si="2953">HSI29*$C$29</f>
        <v>9.6409451747823493E+41</v>
      </c>
      <c r="HSM29" s="160">
        <f t="shared" ref="HSM29" si="2954">HSK29*$C$29</f>
        <v>9.9301735300258207E+41</v>
      </c>
      <c r="HSO29" s="160">
        <f t="shared" ref="HSO29" si="2955">HSM29*$C$29</f>
        <v>1.0228078735926596E+42</v>
      </c>
      <c r="HSQ29" s="160">
        <f t="shared" ref="HSQ29" si="2956">HSO29*$C$29</f>
        <v>1.0534921098004394E+42</v>
      </c>
      <c r="HSS29" s="160">
        <f t="shared" ref="HSS29" si="2957">HSQ29*$C$29</f>
        <v>1.0850968730944525E+42</v>
      </c>
      <c r="HSU29" s="160">
        <f t="shared" ref="HSU29" si="2958">HSS29*$C$29</f>
        <v>1.1176497792872861E+42</v>
      </c>
      <c r="HSW29" s="160">
        <f t="shared" ref="HSW29" si="2959">HSU29*$C$29</f>
        <v>1.1511792726659048E+42</v>
      </c>
      <c r="HSY29" s="160">
        <f t="shared" ref="HSY29" si="2960">HSW29*$C$29</f>
        <v>1.185714650845882E+42</v>
      </c>
      <c r="HTA29" s="160">
        <f t="shared" ref="HTA29" si="2961">HSY29*$C$29</f>
        <v>1.2212860903712584E+42</v>
      </c>
      <c r="HTC29" s="160">
        <f t="shared" ref="HTC29" si="2962">HTA29*$C$29</f>
        <v>1.2579246730823962E+42</v>
      </c>
      <c r="HTE29" s="160">
        <f t="shared" ref="HTE29" si="2963">HTC29*$C$29</f>
        <v>1.2956624132748681E+42</v>
      </c>
      <c r="HTG29" s="160">
        <f t="shared" ref="HTG29" si="2964">HTE29*$C$29</f>
        <v>1.3345322856731142E+42</v>
      </c>
      <c r="HTI29" s="160">
        <f t="shared" ref="HTI29" si="2965">HTG29*$C$29</f>
        <v>1.3745682542433076E+42</v>
      </c>
      <c r="HTK29" s="160">
        <f t="shared" ref="HTK29" si="2966">HTI29*$C$29</f>
        <v>1.4158053018706068E+42</v>
      </c>
      <c r="HTM29" s="160">
        <f t="shared" ref="HTM29" si="2967">HTK29*$C$29</f>
        <v>1.4582794609267251E+42</v>
      </c>
      <c r="HTO29" s="160">
        <f t="shared" ref="HTO29" si="2968">HTM29*$C$29</f>
        <v>1.5020278447545268E+42</v>
      </c>
      <c r="HTQ29" s="160">
        <f t="shared" ref="HTQ29" si="2969">HTO29*$C$29</f>
        <v>1.5470886800971628E+42</v>
      </c>
      <c r="HTS29" s="160">
        <f t="shared" ref="HTS29" si="2970">HTQ29*$C$29</f>
        <v>1.5935013405000778E+42</v>
      </c>
      <c r="HTU29" s="160">
        <f t="shared" ref="HTU29" si="2971">HTS29*$C$29</f>
        <v>1.64130638071508E+42</v>
      </c>
      <c r="HTW29" s="160">
        <f t="shared" ref="HTW29" si="2972">HTU29*$C$29</f>
        <v>1.6905455721365324E+42</v>
      </c>
      <c r="HTY29" s="160">
        <f t="shared" ref="HTY29" si="2973">HTW29*$C$29</f>
        <v>1.7412619393006286E+42</v>
      </c>
      <c r="HUA29" s="160">
        <f t="shared" ref="HUA29" si="2974">HTY29*$C$29</f>
        <v>1.7934997974796475E+42</v>
      </c>
      <c r="HUC29" s="160">
        <f t="shared" ref="HUC29" si="2975">HUA29*$C$29</f>
        <v>1.8473047914040371E+42</v>
      </c>
      <c r="HUE29" s="160">
        <f t="shared" ref="HUE29" si="2976">HUC29*$C$29</f>
        <v>1.9027239351461583E+42</v>
      </c>
      <c r="HUG29" s="160">
        <f t="shared" ref="HUG29" si="2977">HUE29*$C$29</f>
        <v>1.9598056532005432E+42</v>
      </c>
      <c r="HUI29" s="160">
        <f t="shared" ref="HUI29" si="2978">HUG29*$C$29</f>
        <v>2.0185998227965596E+42</v>
      </c>
      <c r="HUK29" s="160">
        <f t="shared" ref="HUK29" si="2979">HUI29*$C$29</f>
        <v>2.0791578174804564E+42</v>
      </c>
      <c r="HUM29" s="160">
        <f t="shared" ref="HUM29" si="2980">HUK29*$C$29</f>
        <v>2.1415325520048702E+42</v>
      </c>
      <c r="HUO29" s="160">
        <f t="shared" ref="HUO29" si="2981">HUM29*$C$29</f>
        <v>2.2057785285650165E+42</v>
      </c>
      <c r="HUQ29" s="160">
        <f t="shared" ref="HUQ29" si="2982">HUO29*$C$29</f>
        <v>2.2719518844219671E+42</v>
      </c>
      <c r="HUS29" s="160">
        <f t="shared" ref="HUS29" si="2983">HUQ29*$C$29</f>
        <v>2.3401104409546261E+42</v>
      </c>
      <c r="HUU29" s="160">
        <f t="shared" ref="HUU29" si="2984">HUS29*$C$29</f>
        <v>2.410313754183265E+42</v>
      </c>
      <c r="HUW29" s="160">
        <f t="shared" ref="HUW29" si="2985">HUU29*$C$29</f>
        <v>2.482623166808763E+42</v>
      </c>
      <c r="HUY29" s="160">
        <f t="shared" ref="HUY29" si="2986">HUW29*$C$29</f>
        <v>2.5571018618130258E+42</v>
      </c>
      <c r="HVA29" s="160">
        <f t="shared" ref="HVA29" si="2987">HUY29*$C$29</f>
        <v>2.6338149176674166E+42</v>
      </c>
      <c r="HVC29" s="160">
        <f t="shared" ref="HVC29" si="2988">HVA29*$C$29</f>
        <v>2.7128293651974392E+42</v>
      </c>
      <c r="HVE29" s="160">
        <f t="shared" ref="HVE29" si="2989">HVC29*$C$29</f>
        <v>2.7942142461533627E+42</v>
      </c>
      <c r="HVG29" s="160">
        <f t="shared" ref="HVG29" si="2990">HVE29*$C$29</f>
        <v>2.8780406735379634E+42</v>
      </c>
      <c r="HVI29" s="160">
        <f t="shared" ref="HVI29" si="2991">HVG29*$C$29</f>
        <v>2.9643818937441026E+42</v>
      </c>
      <c r="HVK29" s="160">
        <f t="shared" ref="HVK29" si="2992">HVI29*$C$29</f>
        <v>3.053313350556426E+42</v>
      </c>
      <c r="HVM29" s="160">
        <f t="shared" ref="HVM29" si="2993">HVK29*$C$29</f>
        <v>3.1449127510731188E+42</v>
      </c>
      <c r="HVO29" s="160">
        <f t="shared" ref="HVO29" si="2994">HVM29*$C$29</f>
        <v>3.2392601336053127E+42</v>
      </c>
      <c r="HVQ29" s="160">
        <f t="shared" ref="HVQ29" si="2995">HVO29*$C$29</f>
        <v>3.336437937613472E+42</v>
      </c>
      <c r="HVS29" s="160">
        <f t="shared" ref="HVS29" si="2996">HVQ29*$C$29</f>
        <v>3.4365310757418763E+42</v>
      </c>
      <c r="HVU29" s="160">
        <f t="shared" ref="HVU29" si="2997">HVS29*$C$29</f>
        <v>3.5396270080141329E+42</v>
      </c>
      <c r="HVW29" s="160">
        <f t="shared" ref="HVW29" si="2998">HVU29*$C$29</f>
        <v>3.6458158182545568E+42</v>
      </c>
      <c r="HVY29" s="160">
        <f t="shared" ref="HVY29" si="2999">HVW29*$C$29</f>
        <v>3.7551902928021935E+42</v>
      </c>
      <c r="HWA29" s="160">
        <f t="shared" ref="HWA29" si="3000">HVY29*$C$29</f>
        <v>3.8678460015862594E+42</v>
      </c>
      <c r="HWC29" s="160">
        <f t="shared" ref="HWC29" si="3001">HWA29*$C$29</f>
        <v>3.9838813816338473E+42</v>
      </c>
      <c r="HWE29" s="160">
        <f t="shared" ref="HWE29" si="3002">HWC29*$C$29</f>
        <v>4.1033978230828631E+42</v>
      </c>
      <c r="HWG29" s="160">
        <f t="shared" ref="HWG29" si="3003">HWE29*$C$29</f>
        <v>4.2264997577753489E+42</v>
      </c>
      <c r="HWI29" s="160">
        <f t="shared" ref="HWI29" si="3004">HWG29*$C$29</f>
        <v>4.3532947505086097E+42</v>
      </c>
      <c r="HWK29" s="160">
        <f t="shared" ref="HWK29" si="3005">HWI29*$C$29</f>
        <v>4.4838935930238684E+42</v>
      </c>
      <c r="HWM29" s="160">
        <f t="shared" ref="HWM29" si="3006">HWK29*$C$29</f>
        <v>4.6184104008145844E+42</v>
      </c>
      <c r="HWO29" s="160">
        <f t="shared" ref="HWO29" si="3007">HWM29*$C$29</f>
        <v>4.7569627128390221E+42</v>
      </c>
      <c r="HWQ29" s="160">
        <f t="shared" ref="HWQ29" si="3008">HWO29*$C$29</f>
        <v>4.8996715942241931E+42</v>
      </c>
      <c r="HWS29" s="160">
        <f t="shared" ref="HWS29" si="3009">HWQ29*$C$29</f>
        <v>5.0466617420509187E+42</v>
      </c>
      <c r="HWU29" s="160">
        <f t="shared" ref="HWU29" si="3010">HWS29*$C$29</f>
        <v>5.1980615943124461E+42</v>
      </c>
      <c r="HWW29" s="160">
        <f t="shared" ref="HWW29" si="3011">HWU29*$C$29</f>
        <v>5.3540034421418199E+42</v>
      </c>
      <c r="HWY29" s="160">
        <f t="shared" ref="HWY29" si="3012">HWW29*$C$29</f>
        <v>5.5146235454060747E+42</v>
      </c>
      <c r="HXA29" s="160">
        <f t="shared" ref="HXA29" si="3013">HWY29*$C$29</f>
        <v>5.6800622517682577E+42</v>
      </c>
      <c r="HXC29" s="160">
        <f t="shared" ref="HXC29" si="3014">HXA29*$C$29</f>
        <v>5.8504641193213053E+42</v>
      </c>
      <c r="HXE29" s="160">
        <f t="shared" ref="HXE29" si="3015">HXC29*$C$29</f>
        <v>6.0259780429009446E+42</v>
      </c>
      <c r="HXG29" s="160">
        <f t="shared" ref="HXG29" si="3016">HXE29*$C$29</f>
        <v>6.2067573841879729E+42</v>
      </c>
      <c r="HXI29" s="160">
        <f t="shared" ref="HXI29" si="3017">HXG29*$C$29</f>
        <v>6.3929601057136125E+42</v>
      </c>
      <c r="HXK29" s="160">
        <f t="shared" ref="HXK29" si="3018">HXI29*$C$29</f>
        <v>6.584748908885021E+42</v>
      </c>
      <c r="HXM29" s="160">
        <f t="shared" ref="HXM29" si="3019">HXK29*$C$29</f>
        <v>6.7822913761515718E+42</v>
      </c>
      <c r="HXO29" s="160">
        <f t="shared" ref="HXO29" si="3020">HXM29*$C$29</f>
        <v>6.9857601174361196E+42</v>
      </c>
      <c r="HXQ29" s="160">
        <f t="shared" ref="HXQ29" si="3021">HXO29*$C$29</f>
        <v>7.195332920959203E+42</v>
      </c>
      <c r="HXS29" s="160">
        <f t="shared" ref="HXS29" si="3022">HXQ29*$C$29</f>
        <v>7.4111929085879794E+42</v>
      </c>
      <c r="HXU29" s="160">
        <f t="shared" ref="HXU29" si="3023">HXS29*$C$29</f>
        <v>7.633528695845619E+42</v>
      </c>
      <c r="HXW29" s="160">
        <f t="shared" ref="HXW29" si="3024">HXU29*$C$29</f>
        <v>7.8625345567209879E+42</v>
      </c>
      <c r="HXY29" s="160">
        <f t="shared" ref="HXY29" si="3025">HXW29*$C$29</f>
        <v>8.098410593422618E+42</v>
      </c>
      <c r="HYA29" s="160">
        <f t="shared" ref="HYA29" si="3026">HXY29*$C$29</f>
        <v>8.341362911225297E+42</v>
      </c>
      <c r="HYC29" s="160">
        <f t="shared" ref="HYC29" si="3027">HYA29*$C$29</f>
        <v>8.5916037985620563E+42</v>
      </c>
      <c r="HYE29" s="160">
        <f t="shared" ref="HYE29" si="3028">HYC29*$C$29</f>
        <v>8.8493519125189181E+42</v>
      </c>
      <c r="HYG29" s="160">
        <f t="shared" ref="HYG29" si="3029">HYE29*$C$29</f>
        <v>9.1148324698944859E+42</v>
      </c>
      <c r="HYI29" s="160">
        <f t="shared" ref="HYI29" si="3030">HYG29*$C$29</f>
        <v>9.3882774439913204E+42</v>
      </c>
      <c r="HYK29" s="160">
        <f t="shared" ref="HYK29" si="3031">HYI29*$C$29</f>
        <v>9.6699257673110603E+42</v>
      </c>
      <c r="HYM29" s="160">
        <f t="shared" ref="HYM29" si="3032">HYK29*$C$29</f>
        <v>9.9600235403303924E+42</v>
      </c>
      <c r="HYO29" s="160">
        <f t="shared" ref="HYO29" si="3033">HYM29*$C$29</f>
        <v>1.0258824246540304E+43</v>
      </c>
      <c r="HYQ29" s="160">
        <f t="shared" ref="HYQ29" si="3034">HYO29*$C$29</f>
        <v>1.0566588973936514E+43</v>
      </c>
      <c r="HYS29" s="160">
        <f t="shared" ref="HYS29" si="3035">HYQ29*$C$29</f>
        <v>1.088358664315461E+43</v>
      </c>
      <c r="HYU29" s="160">
        <f t="shared" ref="HYU29" si="3036">HYS29*$C$29</f>
        <v>1.1210094242449249E+43</v>
      </c>
      <c r="HYW29" s="160">
        <f t="shared" ref="HYW29" si="3037">HYU29*$C$29</f>
        <v>1.1546397069722728E+43</v>
      </c>
      <c r="HYY29" s="160">
        <f t="shared" ref="HYY29" si="3038">HYW29*$C$29</f>
        <v>1.1892788981814409E+43</v>
      </c>
      <c r="HZA29" s="160">
        <f t="shared" ref="HZA29" si="3039">HYY29*$C$29</f>
        <v>1.2249572651268842E+43</v>
      </c>
      <c r="HZC29" s="160">
        <f t="shared" ref="HZC29" si="3040">HZA29*$C$29</f>
        <v>1.2617059830806909E+43</v>
      </c>
      <c r="HZE29" s="160">
        <f t="shared" ref="HZE29" si="3041">HZC29*$C$29</f>
        <v>1.2995571625731116E+43</v>
      </c>
      <c r="HZG29" s="160">
        <f t="shared" ref="HZG29" si="3042">HZE29*$C$29</f>
        <v>1.3385438774503049E+43</v>
      </c>
      <c r="HZI29" s="160">
        <f t="shared" ref="HZI29" si="3043">HZG29*$C$29</f>
        <v>1.378700193773814E+43</v>
      </c>
      <c r="HZK29" s="160">
        <f t="shared" ref="HZK29" si="3044">HZI29*$C$29</f>
        <v>1.4200611995870285E+43</v>
      </c>
      <c r="HZM29" s="160">
        <f t="shared" ref="HZM29" si="3045">HZK29*$C$29</f>
        <v>1.4626630355746394E+43</v>
      </c>
      <c r="HZO29" s="160">
        <f t="shared" ref="HZO29" si="3046">HZM29*$C$29</f>
        <v>1.5065429266418787E+43</v>
      </c>
      <c r="HZQ29" s="160">
        <f t="shared" ref="HZQ29" si="3047">HZO29*$C$29</f>
        <v>1.5517392144411351E+43</v>
      </c>
      <c r="HZS29" s="160">
        <f t="shared" ref="HZS29" si="3048">HZQ29*$C$29</f>
        <v>1.5982913908743692E+43</v>
      </c>
      <c r="HZU29" s="160">
        <f t="shared" ref="HZU29" si="3049">HZS29*$C$29</f>
        <v>1.6462401326006002E+43</v>
      </c>
      <c r="HZW29" s="160">
        <f t="shared" ref="HZW29" si="3050">HZU29*$C$29</f>
        <v>1.6956273365786181E+43</v>
      </c>
      <c r="HZY29" s="160">
        <f t="shared" ref="HZY29" si="3051">HZW29*$C$29</f>
        <v>1.7464961566759768E+43</v>
      </c>
      <c r="IAA29" s="160">
        <f t="shared" ref="IAA29" si="3052">HZY29*$C$29</f>
        <v>1.7988910413762561E+43</v>
      </c>
      <c r="IAC29" s="160">
        <f t="shared" ref="IAC29" si="3053">IAA29*$C$29</f>
        <v>1.8528577726175438E+43</v>
      </c>
      <c r="IAE29" s="160">
        <f t="shared" ref="IAE29" si="3054">IAC29*$C$29</f>
        <v>1.9084435057960702E+43</v>
      </c>
      <c r="IAG29" s="160">
        <f t="shared" ref="IAG29" si="3055">IAE29*$C$29</f>
        <v>1.9656968109699523E+43</v>
      </c>
      <c r="IAI29" s="160">
        <f t="shared" ref="IAI29" si="3056">IAG29*$C$29</f>
        <v>2.024667715299051E+43</v>
      </c>
      <c r="IAK29" s="160">
        <f t="shared" ref="IAK29" si="3057">IAI29*$C$29</f>
        <v>2.0854077467580227E+43</v>
      </c>
      <c r="IAM29" s="160">
        <f t="shared" ref="IAM29" si="3058">IAK29*$C$29</f>
        <v>2.1479699791607635E+43</v>
      </c>
      <c r="IAO29" s="160">
        <f t="shared" ref="IAO29" si="3059">IAM29*$C$29</f>
        <v>2.2124090785355865E+43</v>
      </c>
      <c r="IAQ29" s="160">
        <f t="shared" ref="IAQ29" si="3060">IAO29*$C$29</f>
        <v>2.2787813508916541E+43</v>
      </c>
      <c r="IAS29" s="160">
        <f t="shared" ref="IAS29" si="3061">IAQ29*$C$29</f>
        <v>2.3471447914184039E+43</v>
      </c>
      <c r="IAU29" s="160">
        <f t="shared" ref="IAU29" si="3062">IAS29*$C$29</f>
        <v>2.4175591351609563E+43</v>
      </c>
      <c r="IAW29" s="160">
        <f t="shared" ref="IAW29" si="3063">IAU29*$C$29</f>
        <v>2.490085909215785E+43</v>
      </c>
      <c r="IAY29" s="160">
        <f t="shared" ref="IAY29" si="3064">IAW29*$C$29</f>
        <v>2.5647884864922588E+43</v>
      </c>
      <c r="IBA29" s="160">
        <f t="shared" ref="IBA29" si="3065">IAY29*$C$29</f>
        <v>2.6417321410870266E+43</v>
      </c>
      <c r="IBC29" s="160">
        <f t="shared" ref="IBC29" si="3066">IBA29*$C$29</f>
        <v>2.7209841053196373E+43</v>
      </c>
      <c r="IBE29" s="160">
        <f t="shared" ref="IBE29" si="3067">IBC29*$C$29</f>
        <v>2.8026136284792266E+43</v>
      </c>
      <c r="IBG29" s="160">
        <f t="shared" ref="IBG29" si="3068">IBE29*$C$29</f>
        <v>2.8866920373336037E+43</v>
      </c>
      <c r="IBI29" s="160">
        <f t="shared" ref="IBI29" si="3069">IBG29*$C$29</f>
        <v>2.9732927984536118E+43</v>
      </c>
      <c r="IBK29" s="160">
        <f t="shared" ref="IBK29" si="3070">IBI29*$C$29</f>
        <v>3.0624915824072203E+43</v>
      </c>
      <c r="IBM29" s="160">
        <f t="shared" ref="IBM29" si="3071">IBK29*$C$29</f>
        <v>3.154366329879437E+43</v>
      </c>
      <c r="IBO29" s="160">
        <f t="shared" ref="IBO29" si="3072">IBM29*$C$29</f>
        <v>3.24899731977582E+43</v>
      </c>
      <c r="IBQ29" s="160">
        <f t="shared" ref="IBQ29" si="3073">IBO29*$C$29</f>
        <v>3.3464672393690947E+43</v>
      </c>
      <c r="IBS29" s="160">
        <f t="shared" ref="IBS29" si="3074">IBQ29*$C$29</f>
        <v>3.4468612565501678E+43</v>
      </c>
      <c r="IBU29" s="160">
        <f t="shared" ref="IBU29" si="3075">IBS29*$C$29</f>
        <v>3.5502670942466728E+43</v>
      </c>
      <c r="IBW29" s="160">
        <f t="shared" ref="IBW29" si="3076">IBU29*$C$29</f>
        <v>3.656775107074073E+43</v>
      </c>
      <c r="IBY29" s="160">
        <f t="shared" ref="IBY29" si="3077">IBW29*$C$29</f>
        <v>3.7664783602862954E+43</v>
      </c>
      <c r="ICA29" s="160">
        <f t="shared" ref="ICA29" si="3078">IBY29*$C$29</f>
        <v>3.8794727110948846E+43</v>
      </c>
      <c r="ICC29" s="160">
        <f t="shared" ref="ICC29" si="3079">ICA29*$C$29</f>
        <v>3.9958568924277314E+43</v>
      </c>
      <c r="ICE29" s="160">
        <f t="shared" ref="ICE29" si="3080">ICC29*$C$29</f>
        <v>4.1157325992005636E+43</v>
      </c>
      <c r="ICG29" s="160">
        <f t="shared" ref="ICG29" si="3081">ICE29*$C$29</f>
        <v>4.2392045771765804E+43</v>
      </c>
      <c r="ICI29" s="160">
        <f t="shared" ref="ICI29" si="3082">ICG29*$C$29</f>
        <v>4.3663807144918781E+43</v>
      </c>
      <c r="ICK29" s="160">
        <f t="shared" ref="ICK29" si="3083">ICI29*$C$29</f>
        <v>4.497372135926635E+43</v>
      </c>
      <c r="ICM29" s="160">
        <f t="shared" ref="ICM29" si="3084">ICK29*$C$29</f>
        <v>4.632293300004434E+43</v>
      </c>
      <c r="ICO29" s="160">
        <f t="shared" ref="ICO29" si="3085">ICM29*$C$29</f>
        <v>4.7712620990045671E+43</v>
      </c>
      <c r="ICQ29" s="160">
        <f t="shared" ref="ICQ29" si="3086">ICO29*$C$29</f>
        <v>4.9143999619747041E+43</v>
      </c>
      <c r="ICS29" s="160">
        <f t="shared" ref="ICS29" si="3087">ICQ29*$C$29</f>
        <v>5.0618319608339458E+43</v>
      </c>
      <c r="ICU29" s="160">
        <f t="shared" ref="ICU29" si="3088">ICS29*$C$29</f>
        <v>5.2136869196589647E+43</v>
      </c>
      <c r="ICW29" s="160">
        <f t="shared" ref="ICW29" si="3089">ICU29*$C$29</f>
        <v>5.3700975272487336E+43</v>
      </c>
      <c r="ICY29" s="160">
        <f t="shared" ref="ICY29" si="3090">ICW29*$C$29</f>
        <v>5.5312004530661954E+43</v>
      </c>
      <c r="IDA29" s="160">
        <f t="shared" ref="IDA29" si="3091">ICY29*$C$29</f>
        <v>5.697136466658181E+43</v>
      </c>
      <c r="IDC29" s="160">
        <f t="shared" ref="IDC29" si="3092">IDA29*$C$29</f>
        <v>5.868050560657927E+43</v>
      </c>
      <c r="IDE29" s="160">
        <f t="shared" ref="IDE29" si="3093">IDC29*$C$29</f>
        <v>6.0440920774776649E+43</v>
      </c>
      <c r="IDG29" s="160">
        <f t="shared" ref="IDG29" si="3094">IDE29*$C$29</f>
        <v>6.2254148398019949E+43</v>
      </c>
      <c r="IDI29" s="160">
        <f t="shared" ref="IDI29" si="3095">IDG29*$C$29</f>
        <v>6.4121772849960549E+43</v>
      </c>
      <c r="IDK29" s="160">
        <f t="shared" ref="IDK29" si="3096">IDI29*$C$29</f>
        <v>6.604542603545937E+43</v>
      </c>
      <c r="IDM29" s="160">
        <f t="shared" ref="IDM29" si="3097">IDK29*$C$29</f>
        <v>6.802678881652315E+43</v>
      </c>
      <c r="IDO29" s="160">
        <f t="shared" ref="IDO29" si="3098">IDM29*$C$29</f>
        <v>7.0067592481018842E+43</v>
      </c>
      <c r="IDQ29" s="160">
        <f t="shared" ref="IDQ29" si="3099">IDO29*$C$29</f>
        <v>7.2169620255449412E+43</v>
      </c>
      <c r="IDS29" s="160">
        <f t="shared" ref="IDS29" si="3100">IDQ29*$C$29</f>
        <v>7.4334708863112897E+43</v>
      </c>
      <c r="IDU29" s="160">
        <f t="shared" ref="IDU29" si="3101">IDS29*$C$29</f>
        <v>7.6564750129006283E+43</v>
      </c>
      <c r="IDW29" s="160">
        <f t="shared" ref="IDW29" si="3102">IDU29*$C$29</f>
        <v>7.8861692632876474E+43</v>
      </c>
      <c r="IDY29" s="160">
        <f t="shared" ref="IDY29" si="3103">IDW29*$C$29</f>
        <v>8.1227543411862774E+43</v>
      </c>
      <c r="IEA29" s="160">
        <f t="shared" ref="IEA29" si="3104">IDY29*$C$29</f>
        <v>8.3664369714218661E+43</v>
      </c>
      <c r="IEC29" s="160">
        <f t="shared" ref="IEC29" si="3105">IEA29*$C$29</f>
        <v>8.6174300805645219E+43</v>
      </c>
      <c r="IEE29" s="160">
        <f t="shared" ref="IEE29" si="3106">IEC29*$C$29</f>
        <v>8.875952982981458E+43</v>
      </c>
      <c r="IEG29" s="160">
        <f t="shared" ref="IEG29" si="3107">IEE29*$C$29</f>
        <v>9.1422315724709013E+43</v>
      </c>
      <c r="IEI29" s="160">
        <f t="shared" ref="IEI29" si="3108">IEG29*$C$29</f>
        <v>9.4164985196450291E+43</v>
      </c>
      <c r="IEK29" s="160">
        <f t="shared" ref="IEK29" si="3109">IEI29*$C$29</f>
        <v>9.6989934752343794E+43</v>
      </c>
      <c r="IEM29" s="160">
        <f t="shared" ref="IEM29" si="3110">IEK29*$C$29</f>
        <v>9.9899632794914113E+43</v>
      </c>
      <c r="IEO29" s="160">
        <f t="shared" ref="IEO29" si="3111">IEM29*$C$29</f>
        <v>1.0289662177876154E+44</v>
      </c>
      <c r="IEQ29" s="160">
        <f t="shared" ref="IEQ29" si="3112">IEO29*$C$29</f>
        <v>1.0598352043212439E+44</v>
      </c>
      <c r="IES29" s="160">
        <f t="shared" ref="IES29" si="3113">IEQ29*$C$29</f>
        <v>1.0916302604508813E+44</v>
      </c>
      <c r="IEU29" s="160">
        <f t="shared" ref="IEU29" si="3114">IES29*$C$29</f>
        <v>1.1243791682644078E+44</v>
      </c>
      <c r="IEW29" s="160">
        <f t="shared" ref="IEW29" si="3115">IEU29*$C$29</f>
        <v>1.15811054331234E+44</v>
      </c>
      <c r="IEY29" s="160">
        <f t="shared" ref="IEY29" si="3116">IEW29*$C$29</f>
        <v>1.1928538596117102E+44</v>
      </c>
      <c r="IFA29" s="160">
        <f t="shared" ref="IFA29" si="3117">IEY29*$C$29</f>
        <v>1.2286394754000615E+44</v>
      </c>
      <c r="IFC29" s="160">
        <f t="shared" ref="IFC29" si="3118">IFA29*$C$29</f>
        <v>1.2654986596620634E+44</v>
      </c>
      <c r="IFE29" s="160">
        <f t="shared" ref="IFE29" si="3119">IFC29*$C$29</f>
        <v>1.3034636194519254E+44</v>
      </c>
      <c r="IFG29" s="160">
        <f t="shared" ref="IFG29" si="3120">IFE29*$C$29</f>
        <v>1.3425675280354833E+44</v>
      </c>
      <c r="IFI29" s="160">
        <f t="shared" ref="IFI29" si="3121">IFG29*$C$29</f>
        <v>1.3828445538765477E+44</v>
      </c>
      <c r="IFK29" s="160">
        <f t="shared" ref="IFK29" si="3122">IFI29*$C$29</f>
        <v>1.4243298904928442E+44</v>
      </c>
      <c r="IFM29" s="160">
        <f t="shared" ref="IFM29" si="3123">IFK29*$C$29</f>
        <v>1.4670597872076296E+44</v>
      </c>
      <c r="IFO29" s="160">
        <f t="shared" ref="IFO29" si="3124">IFM29*$C$29</f>
        <v>1.5110715808238586E+44</v>
      </c>
      <c r="IFQ29" s="160">
        <f t="shared" ref="IFQ29" si="3125">IFO29*$C$29</f>
        <v>1.5564037282485743E+44</v>
      </c>
      <c r="IFS29" s="160">
        <f t="shared" ref="IFS29" si="3126">IFQ29*$C$29</f>
        <v>1.6030958400960316E+44</v>
      </c>
      <c r="IFU29" s="160">
        <f t="shared" ref="IFU29" si="3127">IFS29*$C$29</f>
        <v>1.6511887152989125E+44</v>
      </c>
      <c r="IFW29" s="160">
        <f t="shared" ref="IFW29" si="3128">IFU29*$C$29</f>
        <v>1.70072437675788E+44</v>
      </c>
      <c r="IFY29" s="160">
        <f t="shared" ref="IFY29" si="3129">IFW29*$C$29</f>
        <v>1.7517461080606164E+44</v>
      </c>
      <c r="IGA29" s="160">
        <f t="shared" ref="IGA29" si="3130">IFY29*$C$29</f>
        <v>1.8042984913024349E+44</v>
      </c>
      <c r="IGC29" s="160">
        <f t="shared" ref="IGC29" si="3131">IGA29*$C$29</f>
        <v>1.8584274460415081E+44</v>
      </c>
      <c r="IGE29" s="160">
        <f t="shared" ref="IGE29" si="3132">IGC29*$C$29</f>
        <v>1.9141802694227533E+44</v>
      </c>
      <c r="IGG29" s="160">
        <f t="shared" ref="IGG29" si="3133">IGE29*$C$29</f>
        <v>1.9716056775054358E+44</v>
      </c>
      <c r="IGI29" s="160">
        <f t="shared" ref="IGI29" si="3134">IGG29*$C$29</f>
        <v>2.0307538478305988E+44</v>
      </c>
      <c r="IGK29" s="160">
        <f t="shared" ref="IGK29" si="3135">IGI29*$C$29</f>
        <v>2.0916764632655168E+44</v>
      </c>
      <c r="IGM29" s="160">
        <f t="shared" ref="IGM29" si="3136">IGK29*$C$29</f>
        <v>2.1544267571634825E+44</v>
      </c>
      <c r="IGO29" s="160">
        <f t="shared" ref="IGO29" si="3137">IGM29*$C$29</f>
        <v>2.2190595598783869E+44</v>
      </c>
      <c r="IGQ29" s="160">
        <f t="shared" ref="IGQ29" si="3138">IGO29*$C$29</f>
        <v>2.2856313466747388E+44</v>
      </c>
      <c r="IGS29" s="160">
        <f t="shared" ref="IGS29" si="3139">IGQ29*$C$29</f>
        <v>2.3542002870749809E+44</v>
      </c>
      <c r="IGU29" s="160">
        <f t="shared" ref="IGU29" si="3140">IGS29*$C$29</f>
        <v>2.4248262956872306E+44</v>
      </c>
      <c r="IGW29" s="160">
        <f t="shared" ref="IGW29" si="3141">IGU29*$C$29</f>
        <v>2.4975710845578475E+44</v>
      </c>
      <c r="IGY29" s="160">
        <f t="shared" ref="IGY29" si="3142">IGW29*$C$29</f>
        <v>2.5724982170945828E+44</v>
      </c>
      <c r="IHA29" s="160">
        <f t="shared" ref="IHA29" si="3143">IGY29*$C$29</f>
        <v>2.6496731636074205E+44</v>
      </c>
      <c r="IHC29" s="160">
        <f t="shared" ref="IHC29" si="3144">IHA29*$C$29</f>
        <v>2.7291633585156433E+44</v>
      </c>
      <c r="IHE29" s="160">
        <f t="shared" ref="IHE29" si="3145">IHC29*$C$29</f>
        <v>2.8110382592711126E+44</v>
      </c>
      <c r="IHG29" s="160">
        <f t="shared" ref="IHG29" si="3146">IHE29*$C$29</f>
        <v>2.8953694070492461E+44</v>
      </c>
      <c r="IHI29" s="160">
        <f t="shared" ref="IHI29" si="3147">IHG29*$C$29</f>
        <v>2.9822304892607236E+44</v>
      </c>
      <c r="IHK29" s="160">
        <f t="shared" ref="IHK29" si="3148">IHI29*$C$29</f>
        <v>3.0716974039385453E+44</v>
      </c>
      <c r="IHM29" s="160">
        <f t="shared" ref="IHM29" si="3149">IHK29*$C$29</f>
        <v>3.163848326056702E+44</v>
      </c>
      <c r="IHO29" s="160">
        <f t="shared" ref="IHO29" si="3150">IHM29*$C$29</f>
        <v>3.258763775838403E+44</v>
      </c>
      <c r="IHQ29" s="160">
        <f t="shared" ref="IHQ29" si="3151">IHO29*$C$29</f>
        <v>3.356526689113555E+44</v>
      </c>
      <c r="IHS29" s="160">
        <f t="shared" ref="IHS29" si="3152">IHQ29*$C$29</f>
        <v>3.4572224897869617E+44</v>
      </c>
      <c r="IHU29" s="160">
        <f t="shared" ref="IHU29" si="3153">IHS29*$C$29</f>
        <v>3.5609391644805704E+44</v>
      </c>
      <c r="IHW29" s="160">
        <f t="shared" ref="IHW29" si="3154">IHU29*$C$29</f>
        <v>3.6677673394149879E+44</v>
      </c>
      <c r="IHY29" s="160">
        <f t="shared" ref="IHY29" si="3155">IHW29*$C$29</f>
        <v>3.7778003595974379E+44</v>
      </c>
      <c r="IIA29" s="160">
        <f t="shared" ref="IIA29" si="3156">IHY29*$C$29</f>
        <v>3.8911343703853607E+44</v>
      </c>
      <c r="IIC29" s="160">
        <f t="shared" ref="IIC29" si="3157">IIA29*$C$29</f>
        <v>4.0078684014969217E+44</v>
      </c>
      <c r="IIE29" s="160">
        <f t="shared" ref="IIE29" si="3158">IIC29*$C$29</f>
        <v>4.1281044535418298E+44</v>
      </c>
      <c r="IIG29" s="160">
        <f t="shared" ref="IIG29" si="3159">IIE29*$C$29</f>
        <v>4.2519475871480846E+44</v>
      </c>
      <c r="III29" s="160">
        <f t="shared" ref="III29" si="3160">IIG29*$C$29</f>
        <v>4.3795060147625272E+44</v>
      </c>
      <c r="IIK29" s="160">
        <f t="shared" ref="IIK29" si="3161">III29*$C$29</f>
        <v>4.5108911952054032E+44</v>
      </c>
      <c r="IIM29" s="160">
        <f t="shared" ref="IIM29" si="3162">IIK29*$C$29</f>
        <v>4.6462179310615654E+44</v>
      </c>
      <c r="IIO29" s="160">
        <f t="shared" ref="IIO29" si="3163">IIM29*$C$29</f>
        <v>4.7856044689934128E+44</v>
      </c>
      <c r="IIQ29" s="160">
        <f t="shared" ref="IIQ29" si="3164">IIO29*$C$29</f>
        <v>4.9291726030632156E+44</v>
      </c>
      <c r="IIS29" s="160">
        <f t="shared" ref="IIS29" si="3165">IIQ29*$C$29</f>
        <v>5.0770477811551122E+44</v>
      </c>
      <c r="IIU29" s="160">
        <f t="shared" ref="IIU29" si="3166">IIS29*$C$29</f>
        <v>5.2293592145897657E+44</v>
      </c>
      <c r="IIW29" s="160">
        <f t="shared" ref="IIW29" si="3167">IIU29*$C$29</f>
        <v>5.3862399910274588E+44</v>
      </c>
      <c r="IIY29" s="160">
        <f t="shared" ref="IIY29" si="3168">IIW29*$C$29</f>
        <v>5.5478271907582828E+44</v>
      </c>
      <c r="IJA29" s="160">
        <f t="shared" ref="IJA29" si="3169">IIY29*$C$29</f>
        <v>5.7142620064810317E+44</v>
      </c>
      <c r="IJC29" s="160">
        <f t="shared" ref="IJC29" si="3170">IJA29*$C$29</f>
        <v>5.8856898666754628E+44</v>
      </c>
      <c r="IJE29" s="160">
        <f t="shared" ref="IJE29" si="3171">IJC29*$C$29</f>
        <v>6.062260562675727E+44</v>
      </c>
      <c r="IJG29" s="160">
        <f t="shared" ref="IJG29" si="3172">IJE29*$C$29</f>
        <v>6.2441283795559991E+44</v>
      </c>
      <c r="IJI29" s="160">
        <f t="shared" ref="IJI29" si="3173">IJG29*$C$29</f>
        <v>6.4314522309426788E+44</v>
      </c>
      <c r="IJK29" s="160">
        <f t="shared" ref="IJK29" si="3174">IJI29*$C$29</f>
        <v>6.6243957978709595E+44</v>
      </c>
      <c r="IJM29" s="160">
        <f t="shared" ref="IJM29" si="3175">IJK29*$C$29</f>
        <v>6.8231276718070882E+44</v>
      </c>
      <c r="IJO29" s="160">
        <f t="shared" ref="IJO29" si="3176">IJM29*$C$29</f>
        <v>7.0278215019613007E+44</v>
      </c>
      <c r="IJQ29" s="160">
        <f t="shared" ref="IJQ29" si="3177">IJO29*$C$29</f>
        <v>7.2386561470201395E+44</v>
      </c>
      <c r="IJS29" s="160">
        <f t="shared" ref="IJS29" si="3178">IJQ29*$C$29</f>
        <v>7.455815831430744E+44</v>
      </c>
      <c r="IJU29" s="160">
        <f t="shared" ref="IJU29" si="3179">IJS29*$C$29</f>
        <v>7.679490306373667E+44</v>
      </c>
      <c r="IJW29" s="160">
        <f t="shared" ref="IJW29" si="3180">IJU29*$C$29</f>
        <v>7.909875015564877E+44</v>
      </c>
      <c r="IJY29" s="160">
        <f t="shared" ref="IJY29" si="3181">IJW29*$C$29</f>
        <v>8.1471712660318237E+44</v>
      </c>
      <c r="IKA29" s="160">
        <f t="shared" ref="IKA29" si="3182">IJY29*$C$29</f>
        <v>8.3915864040127791E+44</v>
      </c>
      <c r="IKC29" s="160">
        <f t="shared" ref="IKC29" si="3183">IKA29*$C$29</f>
        <v>8.6433339961331632E+44</v>
      </c>
      <c r="IKE29" s="160">
        <f t="shared" ref="IKE29" si="3184">IKC29*$C$29</f>
        <v>8.9026340160171587E+44</v>
      </c>
      <c r="IKG29" s="160">
        <f t="shared" ref="IKG29" si="3185">IKE29*$C$29</f>
        <v>9.1697130364976734E+44</v>
      </c>
      <c r="IKI29" s="160">
        <f t="shared" ref="IKI29" si="3186">IKG29*$C$29</f>
        <v>9.4448044275926033E+44</v>
      </c>
      <c r="IKK29" s="160">
        <f t="shared" ref="IKK29" si="3187">IKI29*$C$29</f>
        <v>9.7281485604203815E+44</v>
      </c>
      <c r="IKM29" s="160">
        <f t="shared" ref="IKM29" si="3188">IKK29*$C$29</f>
        <v>1.0019993017232993E+45</v>
      </c>
      <c r="IKO29" s="160">
        <f t="shared" ref="IKO29" si="3189">IKM29*$C$29</f>
        <v>1.0320592807749982E+45</v>
      </c>
      <c r="IKQ29" s="160">
        <f t="shared" ref="IKQ29" si="3190">IKO29*$C$29</f>
        <v>1.0630210591982482E+45</v>
      </c>
      <c r="IKS29" s="160">
        <f t="shared" ref="IKS29" si="3191">IKQ29*$C$29</f>
        <v>1.0949116909741957E+45</v>
      </c>
      <c r="IKU29" s="160">
        <f t="shared" ref="IKU29" si="3192">IKS29*$C$29</f>
        <v>1.1277590417034216E+45</v>
      </c>
      <c r="IKW29" s="160">
        <f t="shared" ref="IKW29" si="3193">IKU29*$C$29</f>
        <v>1.1615918129545243E+45</v>
      </c>
      <c r="IKY29" s="160">
        <f t="shared" ref="IKY29" si="3194">IKW29*$C$29</f>
        <v>1.1964395673431601E+45</v>
      </c>
      <c r="ILA29" s="160">
        <f t="shared" ref="ILA29" si="3195">IKY29*$C$29</f>
        <v>1.232332754363455E+45</v>
      </c>
      <c r="ILC29" s="160">
        <f t="shared" ref="ILC29" si="3196">ILA29*$C$29</f>
        <v>1.2693027369943586E+45</v>
      </c>
      <c r="ILE29" s="160">
        <f t="shared" ref="ILE29" si="3197">ILC29*$C$29</f>
        <v>1.3073818191041895E+45</v>
      </c>
      <c r="ILG29" s="160">
        <f t="shared" ref="ILG29" si="3198">ILE29*$C$29</f>
        <v>1.3466032736773152E+45</v>
      </c>
      <c r="ILI29" s="160">
        <f t="shared" ref="ILI29" si="3199">ILG29*$C$29</f>
        <v>1.3870013718876347E+45</v>
      </c>
      <c r="ILK29" s="160">
        <f t="shared" ref="ILK29" si="3200">ILI29*$C$29</f>
        <v>1.4286114130442638E+45</v>
      </c>
      <c r="ILM29" s="160">
        <f t="shared" ref="ILM29" si="3201">ILK29*$C$29</f>
        <v>1.4714697554355917E+45</v>
      </c>
      <c r="ILO29" s="160">
        <f t="shared" ref="ILO29" si="3202">ILM29*$C$29</f>
        <v>1.5156138480986597E+45</v>
      </c>
      <c r="ILQ29" s="160">
        <f t="shared" ref="ILQ29" si="3203">ILO29*$C$29</f>
        <v>1.5610822635416194E+45</v>
      </c>
      <c r="ILS29" s="160">
        <f t="shared" ref="ILS29" si="3204">ILQ29*$C$29</f>
        <v>1.607914731447868E+45</v>
      </c>
      <c r="ILU29" s="160">
        <f t="shared" ref="ILU29" si="3205">ILS29*$C$29</f>
        <v>1.6561521733913041E+45</v>
      </c>
      <c r="ILW29" s="160">
        <f t="shared" ref="ILW29" si="3206">ILU29*$C$29</f>
        <v>1.7058367385930431E+45</v>
      </c>
      <c r="ILY29" s="160">
        <f t="shared" ref="ILY29" si="3207">ILW29*$C$29</f>
        <v>1.7570118407508344E+45</v>
      </c>
      <c r="IMA29" s="160">
        <f t="shared" ref="IMA29" si="3208">ILY29*$C$29</f>
        <v>1.8097221959733596E+45</v>
      </c>
      <c r="IMC29" s="160">
        <f t="shared" ref="IMC29" si="3209">IMA29*$C$29</f>
        <v>1.8640138618525603E+45</v>
      </c>
      <c r="IME29" s="160">
        <f t="shared" ref="IME29" si="3210">IMC29*$C$29</f>
        <v>1.9199342777081371E+45</v>
      </c>
      <c r="IMG29" s="160">
        <f t="shared" ref="IMG29" si="3211">IME29*$C$29</f>
        <v>1.9775323060393813E+45</v>
      </c>
      <c r="IMI29" s="160">
        <f t="shared" ref="IMI29" si="3212">IMG29*$C$29</f>
        <v>2.0368582752205628E+45</v>
      </c>
      <c r="IMK29" s="160">
        <f t="shared" ref="IMK29" si="3213">IMI29*$C$29</f>
        <v>2.0979640234771796E+45</v>
      </c>
      <c r="IMM29" s="160">
        <f t="shared" ref="IMM29" si="3214">IMK29*$C$29</f>
        <v>2.1609029441814951E+45</v>
      </c>
      <c r="IMO29" s="160">
        <f t="shared" ref="IMO29" si="3215">IMM29*$C$29</f>
        <v>2.22573003250694E+45</v>
      </c>
      <c r="IMQ29" s="160">
        <f t="shared" ref="IMQ29" si="3216">IMO29*$C$29</f>
        <v>2.2925019334821482E+45</v>
      </c>
      <c r="IMS29" s="160">
        <f t="shared" ref="IMS29" si="3217">IMQ29*$C$29</f>
        <v>2.3612769914866128E+45</v>
      </c>
      <c r="IMU29" s="160">
        <f t="shared" ref="IMU29" si="3218">IMS29*$C$29</f>
        <v>2.4321153012312111E+45</v>
      </c>
      <c r="IMW29" s="160">
        <f t="shared" ref="IMW29" si="3219">IMU29*$C$29</f>
        <v>2.5050787602681474E+45</v>
      </c>
      <c r="IMY29" s="160">
        <f t="shared" ref="IMY29" si="3220">IMW29*$C$29</f>
        <v>2.580231123076192E+45</v>
      </c>
      <c r="INA29" s="160">
        <f t="shared" ref="INA29" si="3221">IMY29*$C$29</f>
        <v>2.6576380567684779E+45</v>
      </c>
      <c r="INC29" s="160">
        <f t="shared" ref="INC29" si="3222">INA29*$C$29</f>
        <v>2.7373671984715322E+45</v>
      </c>
      <c r="INE29" s="160">
        <f t="shared" ref="INE29" si="3223">INC29*$C$29</f>
        <v>2.8194882144256782E+45</v>
      </c>
      <c r="ING29" s="160">
        <f t="shared" ref="ING29" si="3224">INE29*$C$29</f>
        <v>2.9040728608584489E+45</v>
      </c>
      <c r="INI29" s="160">
        <f t="shared" ref="INI29" si="3225">ING29*$C$29</f>
        <v>2.9911950466842023E+45</v>
      </c>
      <c r="INK29" s="160">
        <f t="shared" ref="INK29" si="3226">INI29*$C$29</f>
        <v>3.0809308980847288E+45</v>
      </c>
      <c r="INM29" s="160">
        <f t="shared" ref="INM29" si="3227">INK29*$C$29</f>
        <v>3.1733588250272705E+45</v>
      </c>
      <c r="INO29" s="160">
        <f t="shared" ref="INO29" si="3228">INM29*$C$29</f>
        <v>3.2685595897780886E+45</v>
      </c>
      <c r="INQ29" s="160">
        <f t="shared" ref="INQ29" si="3229">INO29*$C$29</f>
        <v>3.3666163774714315E+45</v>
      </c>
      <c r="INS29" s="160">
        <f t="shared" ref="INS29" si="3230">INQ29*$C$29</f>
        <v>3.4676148687955745E+45</v>
      </c>
      <c r="INU29" s="160">
        <f t="shared" ref="INU29" si="3231">INS29*$C$29</f>
        <v>3.5716433148594417E+45</v>
      </c>
      <c r="INW29" s="160">
        <f t="shared" ref="INW29" si="3232">INU29*$C$29</f>
        <v>3.6787926143052252E+45</v>
      </c>
      <c r="INY29" s="160">
        <f t="shared" ref="INY29" si="3233">INW29*$C$29</f>
        <v>3.7891563927343822E+45</v>
      </c>
      <c r="IOA29" s="160">
        <f t="shared" ref="IOA29" si="3234">INY29*$C$29</f>
        <v>3.9028310845164139E+45</v>
      </c>
      <c r="IOC29" s="160">
        <f t="shared" ref="IOC29" si="3235">IOA29*$C$29</f>
        <v>4.0199160170519061E+45</v>
      </c>
      <c r="IOE29" s="160">
        <f t="shared" ref="IOE29" si="3236">IOC29*$C$29</f>
        <v>4.1405134975634635E+45</v>
      </c>
      <c r="IOG29" s="160">
        <f t="shared" ref="IOG29" si="3237">IOE29*$C$29</f>
        <v>4.2647289024903675E+45</v>
      </c>
      <c r="IOI29" s="160">
        <f t="shared" ref="IOI29" si="3238">IOG29*$C$29</f>
        <v>4.3926707695650787E+45</v>
      </c>
      <c r="IOK29" s="160">
        <f t="shared" ref="IOK29" si="3239">IOI29*$C$29</f>
        <v>4.5244508926520309E+45</v>
      </c>
      <c r="IOM29" s="160">
        <f t="shared" ref="IOM29" si="3240">IOK29*$C$29</f>
        <v>4.660184419431592E+45</v>
      </c>
      <c r="IOO29" s="160">
        <f t="shared" ref="IOO29" si="3241">IOM29*$C$29</f>
        <v>4.7999899520145399E+45</v>
      </c>
      <c r="IOQ29" s="160">
        <f t="shared" ref="IOQ29" si="3242">IOO29*$C$29</f>
        <v>4.9439896505749761E+45</v>
      </c>
      <c r="IOS29" s="160">
        <f t="shared" ref="IOS29" si="3243">IOQ29*$C$29</f>
        <v>5.0923093400922258E+45</v>
      </c>
      <c r="IOU29" s="160">
        <f t="shared" ref="IOU29" si="3244">IOS29*$C$29</f>
        <v>5.2450786202949926E+45</v>
      </c>
      <c r="IOW29" s="160">
        <f t="shared" ref="IOW29" si="3245">IOU29*$C$29</f>
        <v>5.4024309789038423E+45</v>
      </c>
      <c r="IOY29" s="160">
        <f t="shared" ref="IOY29" si="3246">IOW29*$C$29</f>
        <v>5.564503908270958E+45</v>
      </c>
      <c r="IPA29" s="160">
        <f t="shared" ref="IPA29" si="3247">IOY29*$C$29</f>
        <v>5.7314390255190873E+45</v>
      </c>
      <c r="IPC29" s="160">
        <f t="shared" ref="IPC29" si="3248">IPA29*$C$29</f>
        <v>5.9033821962846604E+45</v>
      </c>
      <c r="IPE29" s="160">
        <f t="shared" ref="IPE29" si="3249">IPC29*$C$29</f>
        <v>6.0804836621732006E+45</v>
      </c>
      <c r="IPG29" s="160">
        <f t="shared" ref="IPG29" si="3250">IPE29*$C$29</f>
        <v>6.262898172038397E+45</v>
      </c>
      <c r="IPI29" s="160">
        <f t="shared" ref="IPI29" si="3251">IPG29*$C$29</f>
        <v>6.4507851171995491E+45</v>
      </c>
      <c r="IPK29" s="160">
        <f t="shared" ref="IPK29" si="3252">IPI29*$C$29</f>
        <v>6.6443086707155355E+45</v>
      </c>
      <c r="IPM29" s="160">
        <f t="shared" ref="IPM29" si="3253">IPK29*$C$29</f>
        <v>6.8436379308370013E+45</v>
      </c>
      <c r="IPO29" s="160">
        <f t="shared" ref="IPO29" si="3254">IPM29*$C$29</f>
        <v>7.0489470687621115E+45</v>
      </c>
      <c r="IPQ29" s="160">
        <f t="shared" ref="IPQ29" si="3255">IPO29*$C$29</f>
        <v>7.2604154808249744E+45</v>
      </c>
      <c r="IPS29" s="160">
        <f t="shared" ref="IPS29" si="3256">IPQ29*$C$29</f>
        <v>7.4782279452497235E+45</v>
      </c>
      <c r="IPU29" s="160">
        <f t="shared" ref="IPU29" si="3257">IPS29*$C$29</f>
        <v>7.7025747836072153E+45</v>
      </c>
      <c r="IPW29" s="160">
        <f t="shared" ref="IPW29" si="3258">IPU29*$C$29</f>
        <v>7.933652027115432E+45</v>
      </c>
      <c r="IPY29" s="160">
        <f t="shared" ref="IPY29" si="3259">IPW29*$C$29</f>
        <v>8.1716615879288952E+45</v>
      </c>
      <c r="IQA29" s="160">
        <f t="shared" ref="IQA29" si="3260">IPY29*$C$29</f>
        <v>8.4168114355667623E+45</v>
      </c>
      <c r="IQC29" s="160">
        <f t="shared" ref="IQC29" si="3261">IQA29*$C$29</f>
        <v>8.6693157786337654E+45</v>
      </c>
      <c r="IQE29" s="160">
        <f t="shared" ref="IQE29" si="3262">IQC29*$C$29</f>
        <v>8.9293952519927784E+45</v>
      </c>
      <c r="IQG29" s="160">
        <f t="shared" ref="IQG29" si="3263">IQE29*$C$29</f>
        <v>9.197277109552562E+45</v>
      </c>
      <c r="IQI29" s="160">
        <f t="shared" ref="IQI29" si="3264">IQG29*$C$29</f>
        <v>9.4731954228391391E+45</v>
      </c>
      <c r="IQK29" s="160">
        <f t="shared" ref="IQK29" si="3265">IQI29*$C$29</f>
        <v>9.7573912855243135E+45</v>
      </c>
      <c r="IQM29" s="160">
        <f t="shared" ref="IQM29" si="3266">IQK29*$C$29</f>
        <v>1.0050113024090043E+46</v>
      </c>
      <c r="IQO29" s="160">
        <f t="shared" ref="IQO29" si="3267">IQM29*$C$29</f>
        <v>1.0351616414812745E+46</v>
      </c>
      <c r="IQQ29" s="160">
        <f t="shared" ref="IQQ29" si="3268">IQO29*$C$29</f>
        <v>1.0662164907257128E+46</v>
      </c>
      <c r="IQS29" s="160">
        <f t="shared" ref="IQS29" si="3269">IQQ29*$C$29</f>
        <v>1.0982029854474841E+46</v>
      </c>
      <c r="IQU29" s="160">
        <f t="shared" ref="IQU29" si="3270">IQS29*$C$29</f>
        <v>1.1311490750109087E+46</v>
      </c>
      <c r="IQW29" s="160">
        <f t="shared" ref="IQW29" si="3271">IQU29*$C$29</f>
        <v>1.1650835472612358E+46</v>
      </c>
      <c r="IQY29" s="160">
        <f t="shared" ref="IQY29" si="3272">IQW29*$C$29</f>
        <v>1.2000360536790729E+46</v>
      </c>
      <c r="IRA29" s="160">
        <f t="shared" ref="IRA29" si="3273">IQY29*$C$29</f>
        <v>1.2360371352894452E+46</v>
      </c>
      <c r="IRC29" s="160">
        <f t="shared" ref="IRC29" si="3274">IRA29*$C$29</f>
        <v>1.2731182493481287E+46</v>
      </c>
      <c r="IRE29" s="160">
        <f t="shared" ref="IRE29" si="3275">IRC29*$C$29</f>
        <v>1.3113117968285725E+46</v>
      </c>
      <c r="IRG29" s="160">
        <f t="shared" ref="IRG29" si="3276">IRE29*$C$29</f>
        <v>1.3506511507334297E+46</v>
      </c>
      <c r="IRI29" s="160">
        <f t="shared" ref="IRI29" si="3277">IRG29*$C$29</f>
        <v>1.3911706852554325E+46</v>
      </c>
      <c r="IRK29" s="160">
        <f t="shared" ref="IRK29" si="3278">IRI29*$C$29</f>
        <v>1.4329058058130957E+46</v>
      </c>
      <c r="IRM29" s="160">
        <f t="shared" ref="IRM29" si="3279">IRK29*$C$29</f>
        <v>1.4758929799874885E+46</v>
      </c>
      <c r="IRO29" s="160">
        <f t="shared" ref="IRO29" si="3280">IRM29*$C$29</f>
        <v>1.5201697693871131E+46</v>
      </c>
      <c r="IRQ29" s="160">
        <f t="shared" ref="IRQ29" si="3281">IRO29*$C$29</f>
        <v>1.5657748624687264E+46</v>
      </c>
      <c r="IRS29" s="160">
        <f t="shared" ref="IRS29" si="3282">IRQ29*$C$29</f>
        <v>1.6127481083427883E+46</v>
      </c>
      <c r="IRU29" s="160">
        <f t="shared" ref="IRU29" si="3283">IRS29*$C$29</f>
        <v>1.661130551593072E+46</v>
      </c>
      <c r="IRW29" s="160">
        <f t="shared" ref="IRW29" si="3284">IRU29*$C$29</f>
        <v>1.7109644681408643E+46</v>
      </c>
      <c r="IRY29" s="160">
        <f t="shared" ref="IRY29" si="3285">IRW29*$C$29</f>
        <v>1.7622934021850904E+46</v>
      </c>
      <c r="ISA29" s="160">
        <f t="shared" ref="ISA29" si="3286">IRY29*$C$29</f>
        <v>1.8151622042506431E+46</v>
      </c>
      <c r="ISC29" s="160">
        <f t="shared" ref="ISC29" si="3287">ISA29*$C$29</f>
        <v>1.8696170703781625E+46</v>
      </c>
      <c r="ISE29" s="160">
        <f t="shared" ref="ISE29" si="3288">ISC29*$C$29</f>
        <v>1.9257055824895074E+46</v>
      </c>
      <c r="ISG29" s="160">
        <f t="shared" ref="ISG29" si="3289">ISE29*$C$29</f>
        <v>1.9834767499641925E+46</v>
      </c>
      <c r="ISI29" s="160">
        <f t="shared" ref="ISI29" si="3290">ISG29*$C$29</f>
        <v>2.0429810524631184E+46</v>
      </c>
      <c r="ISK29" s="160">
        <f t="shared" ref="ISK29" si="3291">ISI29*$C$29</f>
        <v>2.1042704840370121E+46</v>
      </c>
      <c r="ISM29" s="160">
        <f t="shared" ref="ISM29" si="3292">ISK29*$C$29</f>
        <v>2.1673985985581224E+46</v>
      </c>
      <c r="ISO29" s="160">
        <f t="shared" ref="ISO29" si="3293">ISM29*$C$29</f>
        <v>2.2324205565148661E+46</v>
      </c>
      <c r="ISQ29" s="160">
        <f t="shared" ref="ISQ29" si="3294">ISO29*$C$29</f>
        <v>2.2993931732103121E+46</v>
      </c>
      <c r="ISS29" s="160">
        <f t="shared" ref="ISS29" si="3295">ISQ29*$C$29</f>
        <v>2.3683749684066217E+46</v>
      </c>
      <c r="ISU29" s="160">
        <f t="shared" ref="ISU29" si="3296">ISS29*$C$29</f>
        <v>2.4394262174588206E+46</v>
      </c>
      <c r="ISW29" s="160">
        <f t="shared" ref="ISW29" si="3297">ISU29*$C$29</f>
        <v>2.5126090039825854E+46</v>
      </c>
      <c r="ISY29" s="160">
        <f t="shared" ref="ISY29" si="3298">ISW29*$C$29</f>
        <v>2.5879872741020632E+46</v>
      </c>
      <c r="ITA29" s="160">
        <f t="shared" ref="ITA29" si="3299">ISY29*$C$29</f>
        <v>2.6656268923251252E+46</v>
      </c>
      <c r="ITC29" s="160">
        <f t="shared" ref="ITC29" si="3300">ITA29*$C$29</f>
        <v>2.7455956990948788E+46</v>
      </c>
      <c r="ITE29" s="160">
        <f t="shared" ref="ITE29" si="3301">ITC29*$C$29</f>
        <v>2.8279635700677253E+46</v>
      </c>
      <c r="ITG29" s="160">
        <f t="shared" ref="ITG29" si="3302">ITE29*$C$29</f>
        <v>2.9128024771697569E+46</v>
      </c>
      <c r="ITI29" s="160">
        <f t="shared" ref="ITI29" si="3303">ITG29*$C$29</f>
        <v>3.0001865514848499E+46</v>
      </c>
      <c r="ITK29" s="160">
        <f t="shared" ref="ITK29" si="3304">ITI29*$C$29</f>
        <v>3.0901921480293952E+46</v>
      </c>
      <c r="ITM29" s="160">
        <f t="shared" ref="ITM29" si="3305">ITK29*$C$29</f>
        <v>3.1828979124702771E+46</v>
      </c>
      <c r="ITO29" s="160">
        <f t="shared" ref="ITO29" si="3306">ITM29*$C$29</f>
        <v>3.2783848498443855E+46</v>
      </c>
      <c r="ITQ29" s="160">
        <f t="shared" ref="ITQ29" si="3307">ITO29*$C$29</f>
        <v>3.3767363953397171E+46</v>
      </c>
      <c r="ITS29" s="160">
        <f t="shared" ref="ITS29" si="3308">ITQ29*$C$29</f>
        <v>3.4780384871999086E+46</v>
      </c>
      <c r="ITU29" s="160">
        <f t="shared" ref="ITU29" si="3309">ITS29*$C$29</f>
        <v>3.5823796418159059E+46</v>
      </c>
      <c r="ITW29" s="160">
        <f t="shared" ref="ITW29" si="3310">ITU29*$C$29</f>
        <v>3.6898510310703834E+46</v>
      </c>
      <c r="ITY29" s="160">
        <f t="shared" ref="ITY29" si="3311">ITW29*$C$29</f>
        <v>3.8005465620024949E+46</v>
      </c>
      <c r="IUA29" s="160">
        <f t="shared" ref="IUA29" si="3312">ITY29*$C$29</f>
        <v>3.9145629588625698E+46</v>
      </c>
      <c r="IUC29" s="160">
        <f t="shared" ref="IUC29" si="3313">IUA29*$C$29</f>
        <v>4.031999847628447E+46</v>
      </c>
      <c r="IUE29" s="160">
        <f t="shared" ref="IUE29" si="3314">IUC29*$C$29</f>
        <v>4.1529598430573005E+46</v>
      </c>
      <c r="IUG29" s="160">
        <f t="shared" ref="IUG29" si="3315">IUE29*$C$29</f>
        <v>4.2775486383490195E+46</v>
      </c>
      <c r="IUI29" s="160">
        <f t="shared" ref="IUI29" si="3316">IUG29*$C$29</f>
        <v>4.4058750974994903E+46</v>
      </c>
      <c r="IUK29" s="160">
        <f t="shared" ref="IUK29" si="3317">IUI29*$C$29</f>
        <v>4.538051350424475E+46</v>
      </c>
      <c r="IUM29" s="160">
        <f t="shared" ref="IUM29" si="3318">IUK29*$C$29</f>
        <v>4.674192890937209E+46</v>
      </c>
      <c r="IUO29" s="160">
        <f t="shared" ref="IUO29" si="3319">IUM29*$C$29</f>
        <v>4.8144186776653253E+46</v>
      </c>
      <c r="IUQ29" s="160">
        <f t="shared" ref="IUQ29" si="3320">IUO29*$C$29</f>
        <v>4.9588512379952855E+46</v>
      </c>
      <c r="IUS29" s="160">
        <f t="shared" ref="IUS29" si="3321">IUQ29*$C$29</f>
        <v>5.1076167751351445E+46</v>
      </c>
      <c r="IUU29" s="160">
        <f t="shared" ref="IUU29" si="3322">IUS29*$C$29</f>
        <v>5.2608452783891993E+46</v>
      </c>
      <c r="IUW29" s="160">
        <f t="shared" ref="IUW29" si="3323">IUU29*$C$29</f>
        <v>5.4186706367408751E+46</v>
      </c>
      <c r="IUY29" s="160">
        <f t="shared" ref="IUY29" si="3324">IUW29*$C$29</f>
        <v>5.5812307558431013E+46</v>
      </c>
      <c r="IVA29" s="160">
        <f t="shared" ref="IVA29" si="3325">IUY29*$C$29</f>
        <v>5.748667678518394E+46</v>
      </c>
      <c r="IVC29" s="160">
        <f t="shared" ref="IVC29" si="3326">IVA29*$C$29</f>
        <v>5.9211277088739461E+46</v>
      </c>
      <c r="IVE29" s="160">
        <f t="shared" ref="IVE29" si="3327">IVC29*$C$29</f>
        <v>6.0987615401401646E+46</v>
      </c>
      <c r="IVG29" s="160">
        <f t="shared" ref="IVG29" si="3328">IVE29*$C$29</f>
        <v>6.2817243863443702E+46</v>
      </c>
      <c r="IVI29" s="160">
        <f t="shared" ref="IVI29" si="3329">IVG29*$C$29</f>
        <v>6.4701761179347017E+46</v>
      </c>
      <c r="IVK29" s="160">
        <f t="shared" ref="IVK29" si="3330">IVI29*$C$29</f>
        <v>6.6642814014727424E+46</v>
      </c>
      <c r="IVM29" s="160">
        <f t="shared" ref="IVM29" si="3331">IVK29*$C$29</f>
        <v>6.8642098435169244E+46</v>
      </c>
      <c r="IVO29" s="160">
        <f t="shared" ref="IVO29" si="3332">IVM29*$C$29</f>
        <v>7.0701361388224319E+46</v>
      </c>
      <c r="IVQ29" s="160">
        <f t="shared" ref="IVQ29" si="3333">IVO29*$C$29</f>
        <v>7.2822402229871049E+46</v>
      </c>
      <c r="IVS29" s="160">
        <f t="shared" ref="IVS29" si="3334">IVQ29*$C$29</f>
        <v>7.5007074296767184E+46</v>
      </c>
      <c r="IVU29" s="160">
        <f t="shared" ref="IVU29" si="3335">IVS29*$C$29</f>
        <v>7.72572865256702E+46</v>
      </c>
      <c r="IVW29" s="160">
        <f t="shared" ref="IVW29" si="3336">IVU29*$C$29</f>
        <v>7.9575005121440303E+46</v>
      </c>
      <c r="IVY29" s="160">
        <f t="shared" ref="IVY29" si="3337">IVW29*$C$29</f>
        <v>8.1962255275083515E+46</v>
      </c>
      <c r="IWA29" s="160">
        <f t="shared" ref="IWA29" si="3338">IVY29*$C$29</f>
        <v>8.4421122933336025E+46</v>
      </c>
      <c r="IWC29" s="160">
        <f t="shared" ref="IWC29" si="3339">IWA29*$C$29</f>
        <v>8.6953756621336109E+46</v>
      </c>
      <c r="IWE29" s="160">
        <f t="shared" ref="IWE29" si="3340">IWC29*$C$29</f>
        <v>8.9562369319976199E+46</v>
      </c>
      <c r="IWG29" s="160">
        <f t="shared" ref="IWG29" si="3341">IWE29*$C$29</f>
        <v>9.2249240399575493E+46</v>
      </c>
      <c r="IWI29" s="160">
        <f t="shared" ref="IWI29" si="3342">IWG29*$C$29</f>
        <v>9.5016717611562763E+46</v>
      </c>
      <c r="IWK29" s="160">
        <f t="shared" ref="IWK29" si="3343">IWI29*$C$29</f>
        <v>9.7867219139909646E+46</v>
      </c>
      <c r="IWM29" s="160">
        <f t="shared" ref="IWM29" si="3344">IWK29*$C$29</f>
        <v>1.0080323571410694E+47</v>
      </c>
      <c r="IWO29" s="160">
        <f t="shared" ref="IWO29" si="3345">IWM29*$C$29</f>
        <v>1.0382733278553014E+47</v>
      </c>
      <c r="IWQ29" s="160">
        <f t="shared" ref="IWQ29" si="3346">IWO29*$C$29</f>
        <v>1.0694215276909605E+47</v>
      </c>
      <c r="IWS29" s="160">
        <f t="shared" ref="IWS29" si="3347">IWQ29*$C$29</f>
        <v>1.1015041735216894E+47</v>
      </c>
      <c r="IWU29" s="160">
        <f t="shared" ref="IWU29" si="3348">IWS29*$C$29</f>
        <v>1.1345492987273402E+47</v>
      </c>
      <c r="IWW29" s="160">
        <f t="shared" ref="IWW29" si="3349">IWU29*$C$29</f>
        <v>1.1685857776891605E+47</v>
      </c>
      <c r="IWY29" s="160">
        <f t="shared" ref="IWY29" si="3350">IWW29*$C$29</f>
        <v>1.2036433510198353E+47</v>
      </c>
      <c r="IXA29" s="160">
        <f t="shared" ref="IXA29" si="3351">IWY29*$C$29</f>
        <v>1.2397526515504305E+47</v>
      </c>
      <c r="IXC29" s="160">
        <f t="shared" ref="IXC29" si="3352">IXA29*$C$29</f>
        <v>1.2769452310969435E+47</v>
      </c>
      <c r="IXE29" s="160">
        <f t="shared" ref="IXE29" si="3353">IXC29*$C$29</f>
        <v>1.3152535880298518E+47</v>
      </c>
      <c r="IXG29" s="160">
        <f t="shared" ref="IXG29" si="3354">IXE29*$C$29</f>
        <v>1.3547111956707475E+47</v>
      </c>
      <c r="IXI29" s="160">
        <f t="shared" ref="IXI29" si="3355">IXG29*$C$29</f>
        <v>1.39535253154087E+47</v>
      </c>
      <c r="IXK29" s="160">
        <f t="shared" ref="IXK29" si="3356">IXI29*$C$29</f>
        <v>1.437213107487096E+47</v>
      </c>
      <c r="IXM29" s="160">
        <f t="shared" ref="IXM29" si="3357">IXK29*$C$29</f>
        <v>1.480329500711709E+47</v>
      </c>
      <c r="IXO29" s="160">
        <f t="shared" ref="IXO29" si="3358">IXM29*$C$29</f>
        <v>1.5247393857330604E+47</v>
      </c>
      <c r="IXQ29" s="160">
        <f t="shared" ref="IXQ29" si="3359">IXO29*$C$29</f>
        <v>1.5704815673050523E+47</v>
      </c>
      <c r="IXS29" s="160">
        <f t="shared" ref="IXS29" si="3360">IXQ29*$C$29</f>
        <v>1.617596014324204E+47</v>
      </c>
      <c r="IXU29" s="160">
        <f t="shared" ref="IXU29" si="3361">IXS29*$C$29</f>
        <v>1.6661238947539302E+47</v>
      </c>
      <c r="IXW29" s="160">
        <f t="shared" ref="IXW29" si="3362">IXU29*$C$29</f>
        <v>1.7161076115965483E+47</v>
      </c>
      <c r="IXY29" s="160">
        <f t="shared" ref="IXY29" si="3363">IXW29*$C$29</f>
        <v>1.7675908399444449E+47</v>
      </c>
      <c r="IYA29" s="160">
        <f t="shared" ref="IYA29" si="3364">IXY29*$C$29</f>
        <v>1.8206185651427782E+47</v>
      </c>
      <c r="IYC29" s="160">
        <f t="shared" ref="IYC29" si="3365">IYA29*$C$29</f>
        <v>1.8752371220970617E+47</v>
      </c>
      <c r="IYE29" s="160">
        <f t="shared" ref="IYE29" si="3366">IYC29*$C$29</f>
        <v>1.9314942357599736E+47</v>
      </c>
      <c r="IYG29" s="160">
        <f t="shared" ref="IYG29" si="3367">IYE29*$C$29</f>
        <v>1.989439062832773E+47</v>
      </c>
      <c r="IYI29" s="160">
        <f t="shared" ref="IYI29" si="3368">IYG29*$C$29</f>
        <v>2.0491222347177565E+47</v>
      </c>
      <c r="IYK29" s="160">
        <f t="shared" ref="IYK29" si="3369">IYI29*$C$29</f>
        <v>2.1105959017592894E+47</v>
      </c>
      <c r="IYM29" s="160">
        <f t="shared" ref="IYM29" si="3370">IYK29*$C$29</f>
        <v>2.173913778812068E+47</v>
      </c>
      <c r="IYO29" s="160">
        <f t="shared" ref="IYO29" si="3371">IYM29*$C$29</f>
        <v>2.2391311921764302E+47</v>
      </c>
      <c r="IYQ29" s="160">
        <f t="shared" ref="IYQ29" si="3372">IYO29*$C$29</f>
        <v>2.3063051279417233E+47</v>
      </c>
      <c r="IYS29" s="160">
        <f t="shared" ref="IYS29" si="3373">IYQ29*$C$29</f>
        <v>2.3754942817799749E+47</v>
      </c>
      <c r="IYU29" s="160">
        <f t="shared" ref="IYU29" si="3374">IYS29*$C$29</f>
        <v>2.4467591102333742E+47</v>
      </c>
      <c r="IYW29" s="160">
        <f t="shared" ref="IYW29" si="3375">IYU29*$C$29</f>
        <v>2.5201618835403755E+47</v>
      </c>
      <c r="IYY29" s="160">
        <f t="shared" ref="IYY29" si="3376">IYW29*$C$29</f>
        <v>2.5957667400465868E+47</v>
      </c>
      <c r="IZA29" s="160">
        <f t="shared" ref="IZA29" si="3377">IYY29*$C$29</f>
        <v>2.6736397422479843E+47</v>
      </c>
      <c r="IZC29" s="160">
        <f t="shared" ref="IZC29" si="3378">IZA29*$C$29</f>
        <v>2.7538489345154239E+47</v>
      </c>
      <c r="IZE29" s="160">
        <f t="shared" ref="IZE29" si="3379">IZC29*$C$29</f>
        <v>2.8364644025508866E+47</v>
      </c>
      <c r="IZG29" s="160">
        <f t="shared" ref="IZG29" si="3380">IZE29*$C$29</f>
        <v>2.9215583346274131E+47</v>
      </c>
      <c r="IZI29" s="160">
        <f t="shared" ref="IZI29" si="3381">IZG29*$C$29</f>
        <v>3.0092050846662356E+47</v>
      </c>
      <c r="IZK29" s="160">
        <f t="shared" ref="IZK29" si="3382">IZI29*$C$29</f>
        <v>3.0994812372062228E+47</v>
      </c>
      <c r="IZM29" s="160">
        <f t="shared" ref="IZM29" si="3383">IZK29*$C$29</f>
        <v>3.1924656743224097E+47</v>
      </c>
      <c r="IZO29" s="160">
        <f t="shared" ref="IZO29" si="3384">IZM29*$C$29</f>
        <v>3.2882396445520819E+47</v>
      </c>
      <c r="IZQ29" s="160">
        <f t="shared" ref="IZQ29" si="3385">IZO29*$C$29</f>
        <v>3.3868868338886443E+47</v>
      </c>
      <c r="IZS29" s="160">
        <f t="shared" ref="IZS29" si="3386">IZQ29*$C$29</f>
        <v>3.4884934389053038E+47</v>
      </c>
      <c r="IZU29" s="160">
        <f t="shared" ref="IZU29" si="3387">IZS29*$C$29</f>
        <v>3.5931482420724632E+47</v>
      </c>
      <c r="IZW29" s="160">
        <f t="shared" ref="IZW29" si="3388">IZU29*$C$29</f>
        <v>3.7009426893346371E+47</v>
      </c>
      <c r="IZY29" s="160">
        <f t="shared" ref="IZY29" si="3389">IZW29*$C$29</f>
        <v>3.8119709700146765E+47</v>
      </c>
      <c r="JAA29" s="160">
        <f t="shared" ref="JAA29" si="3390">IZY29*$C$29</f>
        <v>3.9263300991151172E+47</v>
      </c>
      <c r="JAC29" s="160">
        <f t="shared" ref="JAC29" si="3391">JAA29*$C$29</f>
        <v>4.0441200020885712E+47</v>
      </c>
      <c r="JAE29" s="160">
        <f t="shared" ref="JAE29" si="3392">JAC29*$C$29</f>
        <v>4.1654436021512285E+47</v>
      </c>
      <c r="JAG29" s="160">
        <f t="shared" ref="JAG29" si="3393">JAE29*$C$29</f>
        <v>4.2904069102157651E+47</v>
      </c>
      <c r="JAI29" s="160">
        <f t="shared" ref="JAI29" si="3394">JAG29*$C$29</f>
        <v>4.4191191175222382E+47</v>
      </c>
      <c r="JAK29" s="160">
        <f t="shared" ref="JAK29" si="3395">JAI29*$C$29</f>
        <v>4.5516926910479059E+47</v>
      </c>
      <c r="JAM29" s="160">
        <f t="shared" ref="JAM29" si="3396">JAK29*$C$29</f>
        <v>4.6882434717793435E+47</v>
      </c>
      <c r="JAO29" s="160">
        <f t="shared" ref="JAO29" si="3397">JAM29*$C$29</f>
        <v>4.8288907759327238E+47</v>
      </c>
      <c r="JAQ29" s="160">
        <f t="shared" ref="JAQ29" si="3398">JAO29*$C$29</f>
        <v>4.9737574992107058E+47</v>
      </c>
      <c r="JAS29" s="160">
        <f t="shared" ref="JAS29" si="3399">JAQ29*$C$29</f>
        <v>5.1229702241870269E+47</v>
      </c>
      <c r="JAU29" s="160">
        <f t="shared" ref="JAU29" si="3400">JAS29*$C$29</f>
        <v>5.2766593309126378E+47</v>
      </c>
      <c r="JAW29" s="160">
        <f t="shared" ref="JAW29" si="3401">JAU29*$C$29</f>
        <v>5.4349591108400174E+47</v>
      </c>
      <c r="JAY29" s="160">
        <f t="shared" ref="JAY29" si="3402">JAW29*$C$29</f>
        <v>5.5980078841652182E+47</v>
      </c>
      <c r="JBA29" s="160">
        <f t="shared" ref="JBA29" si="3403">JAY29*$C$29</f>
        <v>5.7659481206901749E+47</v>
      </c>
      <c r="JBC29" s="160">
        <f t="shared" ref="JBC29" si="3404">JBA29*$C$29</f>
        <v>5.9389265643108802E+47</v>
      </c>
      <c r="JBE29" s="160">
        <f t="shared" ref="JBE29" si="3405">JBC29*$C$29</f>
        <v>6.1170943612402065E+47</v>
      </c>
      <c r="JBG29" s="160">
        <f t="shared" ref="JBG29" si="3406">JBE29*$C$29</f>
        <v>6.300607192077413E+47</v>
      </c>
      <c r="JBI29" s="160">
        <f t="shared" ref="JBI29" si="3407">JBG29*$C$29</f>
        <v>6.4896254078397357E+47</v>
      </c>
      <c r="JBK29" s="160">
        <f t="shared" ref="JBK29" si="3408">JBI29*$C$29</f>
        <v>6.684314170074928E+47</v>
      </c>
      <c r="JBM29" s="160">
        <f t="shared" ref="JBM29" si="3409">JBK29*$C$29</f>
        <v>6.8848435951771759E+47</v>
      </c>
      <c r="JBO29" s="160">
        <f t="shared" ref="JBO29" si="3410">JBM29*$C$29</f>
        <v>7.0913889030324917E+47</v>
      </c>
      <c r="JBQ29" s="160">
        <f t="shared" ref="JBQ29" si="3411">JBO29*$C$29</f>
        <v>7.3041305701234664E+47</v>
      </c>
      <c r="JBS29" s="160">
        <f t="shared" ref="JBS29" si="3412">JBQ29*$C$29</f>
        <v>7.5232544872271704E+47</v>
      </c>
      <c r="JBU29" s="160">
        <f t="shared" ref="JBU29" si="3413">JBS29*$C$29</f>
        <v>7.7489521218439857E+47</v>
      </c>
      <c r="JBW29" s="160">
        <f t="shared" ref="JBW29" si="3414">JBU29*$C$29</f>
        <v>7.9814206854993061E+47</v>
      </c>
      <c r="JBY29" s="160">
        <f t="shared" ref="JBY29" si="3415">JBW29*$C$29</f>
        <v>8.220863306064285E+47</v>
      </c>
      <c r="JCA29" s="160">
        <f t="shared" ref="JCA29" si="3416">JBY29*$C$29</f>
        <v>8.4674892052462132E+47</v>
      </c>
      <c r="JCC29" s="160">
        <f t="shared" ref="JCC29" si="3417">JCA29*$C$29</f>
        <v>8.7215138814035999E+47</v>
      </c>
      <c r="JCE29" s="160">
        <f t="shared" ref="JCE29" si="3418">JCC29*$C$29</f>
        <v>8.9831592978457083E+47</v>
      </c>
      <c r="JCG29" s="160">
        <f t="shared" ref="JCG29" si="3419">JCE29*$C$29</f>
        <v>9.2526540767810795E+47</v>
      </c>
      <c r="JCI29" s="160">
        <f t="shared" ref="JCI29" si="3420">JCG29*$C$29</f>
        <v>9.5302336990845129E+47</v>
      </c>
      <c r="JCK29" s="160">
        <f t="shared" ref="JCK29" si="3421">JCI29*$C$29</f>
        <v>9.8161407100570484E+47</v>
      </c>
      <c r="JCM29" s="160">
        <f t="shared" ref="JCM29" si="3422">JCK29*$C$29</f>
        <v>1.0110624931358761E+48</v>
      </c>
      <c r="JCO29" s="160">
        <f t="shared" ref="JCO29" si="3423">JCM29*$C$29</f>
        <v>1.0413943679299523E+48</v>
      </c>
      <c r="JCQ29" s="160">
        <f t="shared" ref="JCQ29" si="3424">JCO29*$C$29</f>
        <v>1.0726361989678509E+48</v>
      </c>
      <c r="JCS29" s="160">
        <f t="shared" ref="JCS29" si="3425">JCQ29*$C$29</f>
        <v>1.1048152849368865E+48</v>
      </c>
      <c r="JCU29" s="160">
        <f t="shared" ref="JCU29" si="3426">JCS29*$C$29</f>
        <v>1.1379597434849931E+48</v>
      </c>
      <c r="JCW29" s="160">
        <f t="shared" ref="JCW29" si="3427">JCU29*$C$29</f>
        <v>1.1720985357895429E+48</v>
      </c>
      <c r="JCY29" s="160">
        <f t="shared" ref="JCY29" si="3428">JCW29*$C$29</f>
        <v>1.2072614918632293E+48</v>
      </c>
      <c r="JDA29" s="160">
        <f t="shared" ref="JDA29" si="3429">JCY29*$C$29</f>
        <v>1.2434793366191262E+48</v>
      </c>
      <c r="JDC29" s="160">
        <f t="shared" ref="JDC29" si="3430">JDA29*$C$29</f>
        <v>1.2807837167177E+48</v>
      </c>
      <c r="JDE29" s="160">
        <f t="shared" ref="JDE29" si="3431">JDC29*$C$29</f>
        <v>1.319207228219231E+48</v>
      </c>
      <c r="JDG29" s="160">
        <f t="shared" ref="JDG29" si="3432">JDE29*$C$29</f>
        <v>1.358783445065808E+48</v>
      </c>
      <c r="JDI29" s="160">
        <f t="shared" ref="JDI29" si="3433">JDG29*$C$29</f>
        <v>1.3995469484177824E+48</v>
      </c>
      <c r="JDK29" s="160">
        <f t="shared" ref="JDK29" si="3434">JDI29*$C$29</f>
        <v>1.4415333568703158E+48</v>
      </c>
      <c r="JDM29" s="160">
        <f t="shared" ref="JDM29" si="3435">JDK29*$C$29</f>
        <v>1.4847793575764253E+48</v>
      </c>
      <c r="JDO29" s="160">
        <f t="shared" ref="JDO29" si="3436">JDM29*$C$29</f>
        <v>1.5293227383037181E+48</v>
      </c>
      <c r="JDQ29" s="160">
        <f t="shared" ref="JDQ29" si="3437">JDO29*$C$29</f>
        <v>1.5752024204528296E+48</v>
      </c>
      <c r="JDS29" s="160">
        <f t="shared" ref="JDS29" si="3438">JDQ29*$C$29</f>
        <v>1.6224584930664145E+48</v>
      </c>
      <c r="JDU29" s="160">
        <f t="shared" ref="JDU29" si="3439">JDS29*$C$29</f>
        <v>1.6711322478584069E+48</v>
      </c>
      <c r="JDW29" s="160">
        <f t="shared" ref="JDW29" si="3440">JDU29*$C$29</f>
        <v>1.7212662152941593E+48</v>
      </c>
      <c r="JDY29" s="160">
        <f t="shared" ref="JDY29" si="3441">JDW29*$C$29</f>
        <v>1.772904201752984E+48</v>
      </c>
      <c r="JEA29" s="160">
        <f t="shared" ref="JEA29" si="3442">JDY29*$C$29</f>
        <v>1.8260913278055735E+48</v>
      </c>
      <c r="JEC29" s="160">
        <f t="shared" ref="JEC29" si="3443">JEA29*$C$29</f>
        <v>1.8808740676397408E+48</v>
      </c>
      <c r="JEE29" s="160">
        <f t="shared" ref="JEE29" si="3444">JEC29*$C$29</f>
        <v>1.9373002896689332E+48</v>
      </c>
      <c r="JEG29" s="160">
        <f t="shared" ref="JEG29" si="3445">JEE29*$C$29</f>
        <v>1.9954192983590011E+48</v>
      </c>
      <c r="JEI29" s="160">
        <f t="shared" ref="JEI29" si="3446">JEG29*$C$29</f>
        <v>2.0552818773097711E+48</v>
      </c>
      <c r="JEK29" s="160">
        <f t="shared" ref="JEK29" si="3447">JEI29*$C$29</f>
        <v>2.1169403336290645E+48</v>
      </c>
      <c r="JEM29" s="160">
        <f t="shared" ref="JEM29" si="3448">JEK29*$C$29</f>
        <v>2.1804485436379366E+48</v>
      </c>
      <c r="JEO29" s="160">
        <f t="shared" ref="JEO29" si="3449">JEM29*$C$29</f>
        <v>2.2458619999470749E+48</v>
      </c>
      <c r="JEQ29" s="160">
        <f t="shared" ref="JEQ29" si="3450">JEO29*$C$29</f>
        <v>2.3132378599454872E+48</v>
      </c>
      <c r="JES29" s="160">
        <f t="shared" ref="JES29" si="3451">JEQ29*$C$29</f>
        <v>2.382634995743852E+48</v>
      </c>
      <c r="JEU29" s="160">
        <f t="shared" ref="JEU29" si="3452">JES29*$C$29</f>
        <v>2.4541140456161676E+48</v>
      </c>
      <c r="JEW29" s="160">
        <f t="shared" ref="JEW29" si="3453">JEU29*$C$29</f>
        <v>2.5277374669846526E+48</v>
      </c>
      <c r="JEY29" s="160">
        <f t="shared" ref="JEY29" si="3454">JEW29*$C$29</f>
        <v>2.6035695909941923E+48</v>
      </c>
      <c r="JFA29" s="160">
        <f t="shared" ref="JFA29" si="3455">JEY29*$C$29</f>
        <v>2.6816766787240182E+48</v>
      </c>
      <c r="JFC29" s="160">
        <f t="shared" ref="JFC29" si="3456">JFA29*$C$29</f>
        <v>2.7621269790857388E+48</v>
      </c>
      <c r="JFE29" s="160">
        <f t="shared" ref="JFE29" si="3457">JFC29*$C$29</f>
        <v>2.844990788458311E+48</v>
      </c>
      <c r="JFG29" s="160">
        <f t="shared" ref="JFG29" si="3458">JFE29*$C$29</f>
        <v>2.9303405121120605E+48</v>
      </c>
      <c r="JFI29" s="160">
        <f t="shared" ref="JFI29" si="3459">JFG29*$C$29</f>
        <v>3.0182507274754227E+48</v>
      </c>
      <c r="JFK29" s="160">
        <f t="shared" ref="JFK29" si="3460">JFI29*$C$29</f>
        <v>3.1087982492996858E+48</v>
      </c>
      <c r="JFM29" s="160">
        <f t="shared" ref="JFM29" si="3461">JFK29*$C$29</f>
        <v>3.2020621967786763E+48</v>
      </c>
      <c r="JFO29" s="160">
        <f t="shared" ref="JFO29" si="3462">JFM29*$C$29</f>
        <v>3.2981240626820364E+48</v>
      </c>
      <c r="JFQ29" s="160">
        <f t="shared" ref="JFQ29" si="3463">JFO29*$C$29</f>
        <v>3.3970677845624975E+48</v>
      </c>
      <c r="JFS29" s="160">
        <f t="shared" ref="JFS29" si="3464">JFQ29*$C$29</f>
        <v>3.4989798180993724E+48</v>
      </c>
      <c r="JFU29" s="160">
        <f t="shared" ref="JFU29" si="3465">JFS29*$C$29</f>
        <v>3.603949212642354E+48</v>
      </c>
      <c r="JFW29" s="160">
        <f t="shared" ref="JFW29" si="3466">JFU29*$C$29</f>
        <v>3.7120676890216246E+48</v>
      </c>
      <c r="JFY29" s="160">
        <f t="shared" ref="JFY29" si="3467">JFW29*$C$29</f>
        <v>3.8234297196922735E+48</v>
      </c>
      <c r="JGA29" s="160">
        <f t="shared" ref="JGA29" si="3468">JFY29*$C$29</f>
        <v>3.9381326112830419E+48</v>
      </c>
      <c r="JGC29" s="160">
        <f t="shared" ref="JGC29" si="3469">JGA29*$C$29</f>
        <v>4.0562765896215333E+48</v>
      </c>
      <c r="JGE29" s="160">
        <f t="shared" ref="JGE29" si="3470">JGC29*$C$29</f>
        <v>4.1779648873101792E+48</v>
      </c>
      <c r="JGG29" s="160">
        <f t="shared" ref="JGG29" si="3471">JGE29*$C$29</f>
        <v>4.3033038339294847E+48</v>
      </c>
      <c r="JGI29" s="160">
        <f t="shared" ref="JGI29" si="3472">JGG29*$C$29</f>
        <v>4.4324029489473695E+48</v>
      </c>
      <c r="JGK29" s="160">
        <f t="shared" ref="JGK29" si="3473">JGI29*$C$29</f>
        <v>4.5653750374157908E+48</v>
      </c>
      <c r="JGM29" s="160">
        <f t="shared" ref="JGM29" si="3474">JGK29*$C$29</f>
        <v>4.7023362885382647E+48</v>
      </c>
      <c r="JGO29" s="160">
        <f t="shared" ref="JGO29" si="3475">JGM29*$C$29</f>
        <v>4.8434063771944127E+48</v>
      </c>
      <c r="JGQ29" s="160">
        <f t="shared" ref="JGQ29" si="3476">JGO29*$C$29</f>
        <v>4.9887085685102453E+48</v>
      </c>
      <c r="JGS29" s="160">
        <f t="shared" ref="JGS29" si="3477">JGQ29*$C$29</f>
        <v>5.138369825565553E+48</v>
      </c>
      <c r="JGU29" s="160">
        <f t="shared" ref="JGU29" si="3478">JGS29*$C$29</f>
        <v>5.29252092033252E+48</v>
      </c>
      <c r="JGW29" s="160">
        <f t="shared" ref="JGW29" si="3479">JGU29*$C$29</f>
        <v>5.4512965479424956E+48</v>
      </c>
      <c r="JGY29" s="160">
        <f t="shared" ref="JGY29" si="3480">JGW29*$C$29</f>
        <v>5.6148354443807709E+48</v>
      </c>
      <c r="JHA29" s="160">
        <f t="shared" ref="JHA29" si="3481">JGY29*$C$29</f>
        <v>5.7832805077121942E+48</v>
      </c>
      <c r="JHC29" s="160">
        <f t="shared" ref="JHC29" si="3482">JHA29*$C$29</f>
        <v>5.9567789229435604E+48</v>
      </c>
      <c r="JHE29" s="160">
        <f t="shared" ref="JHE29" si="3483">JHC29*$C$29</f>
        <v>6.1354822906318672E+48</v>
      </c>
      <c r="JHG29" s="160">
        <f t="shared" ref="JHG29" si="3484">JHE29*$C$29</f>
        <v>6.3195467593508232E+48</v>
      </c>
      <c r="JHI29" s="160">
        <f t="shared" ref="JHI29" si="3485">JHG29*$C$29</f>
        <v>6.5091331621313482E+48</v>
      </c>
      <c r="JHK29" s="160">
        <f t="shared" ref="JHK29" si="3486">JHI29*$C$29</f>
        <v>6.7044071569952888E+48</v>
      </c>
      <c r="JHM29" s="160">
        <f t="shared" ref="JHM29" si="3487">JHK29*$C$29</f>
        <v>6.9055393717051476E+48</v>
      </c>
      <c r="JHO29" s="160">
        <f t="shared" ref="JHO29" si="3488">JHM29*$C$29</f>
        <v>7.1127055528563026E+48</v>
      </c>
      <c r="JHQ29" s="160">
        <f t="shared" ref="JHQ29" si="3489">JHO29*$C$29</f>
        <v>7.3260867194419918E+48</v>
      </c>
      <c r="JHS29" s="160">
        <f t="shared" ref="JHS29" si="3490">JHQ29*$C$29</f>
        <v>7.5458693210252519E+48</v>
      </c>
      <c r="JHU29" s="160">
        <f t="shared" ref="JHU29" si="3491">JHS29*$C$29</f>
        <v>7.7722454006560092E+48</v>
      </c>
      <c r="JHW29" s="160">
        <f t="shared" ref="JHW29" si="3492">JHU29*$C$29</f>
        <v>8.0054127626756901E+48</v>
      </c>
      <c r="JHY29" s="160">
        <f t="shared" ref="JHY29" si="3493">JHW29*$C$29</f>
        <v>8.2455751455559604E+48</v>
      </c>
      <c r="JIA29" s="160">
        <f t="shared" ref="JIA29" si="3494">JHY29*$C$29</f>
        <v>8.49294239992264E+48</v>
      </c>
      <c r="JIC29" s="160">
        <f t="shared" ref="JIC29" si="3495">JIA29*$C$29</f>
        <v>8.7477306719203191E+48</v>
      </c>
      <c r="JIE29" s="160">
        <f t="shared" ref="JIE29" si="3496">JIC29*$C$29</f>
        <v>9.0101625920779284E+48</v>
      </c>
      <c r="JIG29" s="160">
        <f t="shared" ref="JIG29" si="3497">JIE29*$C$29</f>
        <v>9.280467469840266E+48</v>
      </c>
      <c r="JII29" s="160">
        <f t="shared" ref="JII29" si="3498">JIG29*$C$29</f>
        <v>9.5588814939354738E+48</v>
      </c>
      <c r="JIK29" s="160">
        <f t="shared" ref="JIK29" si="3499">JII29*$C$29</f>
        <v>9.8456479387535381E+48</v>
      </c>
      <c r="JIM29" s="160">
        <f t="shared" ref="JIM29" si="3500">JIK29*$C$29</f>
        <v>1.0141017376916144E+49</v>
      </c>
      <c r="JIO29" s="160">
        <f t="shared" ref="JIO29" si="3501">JIM29*$C$29</f>
        <v>1.0445247898223628E+49</v>
      </c>
      <c r="JIQ29" s="160">
        <f t="shared" ref="JIQ29" si="3502">JIO29*$C$29</f>
        <v>1.0758605335170338E+49</v>
      </c>
      <c r="JIS29" s="160">
        <f t="shared" ref="JIS29" si="3503">JIQ29*$C$29</f>
        <v>1.1081363495225448E+49</v>
      </c>
      <c r="JIU29" s="160">
        <f t="shared" ref="JIU29" si="3504">JIS29*$C$29</f>
        <v>1.1413804400082212E+49</v>
      </c>
      <c r="JIW29" s="160">
        <f t="shared" ref="JIW29" si="3505">JIU29*$C$29</f>
        <v>1.1756218532084678E+49</v>
      </c>
      <c r="JIY29" s="160">
        <f t="shared" ref="JIY29" si="3506">JIW29*$C$29</f>
        <v>1.2108905088047218E+49</v>
      </c>
      <c r="JJA29" s="160">
        <f t="shared" ref="JJA29" si="3507">JIY29*$C$29</f>
        <v>1.2472172240688635E+49</v>
      </c>
      <c r="JJC29" s="160">
        <f t="shared" ref="JJC29" si="3508">JJA29*$C$29</f>
        <v>1.2846337407909294E+49</v>
      </c>
      <c r="JJE29" s="160">
        <f t="shared" ref="JJE29" si="3509">JJC29*$C$29</f>
        <v>1.3231727530146575E+49</v>
      </c>
      <c r="JJG29" s="160">
        <f t="shared" ref="JJG29" si="3510">JJE29*$C$29</f>
        <v>1.3628679356050973E+49</v>
      </c>
      <c r="JJI29" s="160">
        <f t="shared" ref="JJI29" si="3511">JJG29*$C$29</f>
        <v>1.4037539736732501E+49</v>
      </c>
      <c r="JJK29" s="160">
        <f t="shared" ref="JJK29" si="3512">JJI29*$C$29</f>
        <v>1.4458665928834476E+49</v>
      </c>
      <c r="JJM29" s="160">
        <f t="shared" ref="JJM29" si="3513">JJK29*$C$29</f>
        <v>1.4892425906699511E+49</v>
      </c>
      <c r="JJO29" s="160">
        <f t="shared" ref="JJO29" si="3514">JJM29*$C$29</f>
        <v>1.5339198683900497E+49</v>
      </c>
      <c r="JJQ29" s="160">
        <f t="shared" ref="JJQ29" si="3515">JJO29*$C$29</f>
        <v>1.5799374644417513E+49</v>
      </c>
      <c r="JJS29" s="160">
        <f t="shared" ref="JJS29" si="3516">JJQ29*$C$29</f>
        <v>1.6273355883750039E+49</v>
      </c>
      <c r="JJU29" s="160">
        <f t="shared" ref="JJU29" si="3517">JJS29*$C$29</f>
        <v>1.6761556560262542E+49</v>
      </c>
      <c r="JJW29" s="160">
        <f t="shared" ref="JJW29" si="3518">JJU29*$C$29</f>
        <v>1.7264403257070419E+49</v>
      </c>
      <c r="JJY29" s="160">
        <f t="shared" ref="JJY29" si="3519">JJW29*$C$29</f>
        <v>1.7782335354782532E+49</v>
      </c>
      <c r="JKA29" s="160">
        <f t="shared" ref="JKA29" si="3520">JJY29*$C$29</f>
        <v>1.8315805415426008E+49</v>
      </c>
      <c r="JKC29" s="160">
        <f t="shared" ref="JKC29" si="3521">JKA29*$C$29</f>
        <v>1.8865279577888788E+49</v>
      </c>
      <c r="JKE29" s="160">
        <f t="shared" ref="JKE29" si="3522">JKC29*$C$29</f>
        <v>1.9431237965225452E+49</v>
      </c>
      <c r="JKG29" s="160">
        <f t="shared" ref="JKG29" si="3523">JKE29*$C$29</f>
        <v>2.0014175104182216E+49</v>
      </c>
      <c r="JKI29" s="160">
        <f t="shared" ref="JKI29" si="3524">JKG29*$C$29</f>
        <v>2.0614600357307684E+49</v>
      </c>
      <c r="JKK29" s="160">
        <f t="shared" ref="JKK29" si="3525">JKI29*$C$29</f>
        <v>2.1233038368026914E+49</v>
      </c>
      <c r="JKM29" s="160">
        <f t="shared" ref="JKM29" si="3526">JKK29*$C$29</f>
        <v>2.1870029519067722E+49</v>
      </c>
      <c r="JKO29" s="160">
        <f t="shared" ref="JKO29" si="3527">JKM29*$C$29</f>
        <v>2.2526130404639754E+49</v>
      </c>
      <c r="JKQ29" s="160">
        <f t="shared" ref="JKQ29" si="3528">JKO29*$C$29</f>
        <v>2.3201914316778948E+49</v>
      </c>
      <c r="JKS29" s="160">
        <f t="shared" ref="JKS29" si="3529">JKQ29*$C$29</f>
        <v>2.3897971746282319E+49</v>
      </c>
      <c r="JKU29" s="160">
        <f t="shared" ref="JKU29" si="3530">JKS29*$C$29</f>
        <v>2.461491089867079E+49</v>
      </c>
      <c r="JKW29" s="160">
        <f t="shared" ref="JKW29" si="3531">JKU29*$C$29</f>
        <v>2.5353358225630917E+49</v>
      </c>
      <c r="JKY29" s="160">
        <f t="shared" ref="JKY29" si="3532">JKW29*$C$29</f>
        <v>2.6113958972399844E+49</v>
      </c>
      <c r="JLA29" s="160">
        <f t="shared" ref="JLA29" si="3533">JKY29*$C$29</f>
        <v>2.689737774157184E+49</v>
      </c>
      <c r="JLC29" s="160">
        <f t="shared" ref="JLC29" si="3534">JLA29*$C$29</f>
        <v>2.7704299073818997E+49</v>
      </c>
      <c r="JLE29" s="160">
        <f t="shared" ref="JLE29" si="3535">JLC29*$C$29</f>
        <v>2.8535428046033568E+49</v>
      </c>
      <c r="JLG29" s="160">
        <f t="shared" ref="JLG29" si="3536">JLE29*$C$29</f>
        <v>2.9391490887414574E+49</v>
      </c>
      <c r="JLI29" s="160">
        <f t="shared" ref="JLI29" si="3537">JLG29*$C$29</f>
        <v>3.0273235614037012E+49</v>
      </c>
      <c r="JLK29" s="160">
        <f t="shared" ref="JLK29" si="3538">JLI29*$C$29</f>
        <v>3.1181432682458122E+49</v>
      </c>
      <c r="JLM29" s="160">
        <f t="shared" ref="JLM29" si="3539">JLK29*$C$29</f>
        <v>3.2116875662931867E+49</v>
      </c>
      <c r="JLO29" s="160">
        <f t="shared" ref="JLO29" si="3540">JLM29*$C$29</f>
        <v>3.3080381932819826E+49</v>
      </c>
      <c r="JLQ29" s="160">
        <f t="shared" ref="JLQ29" si="3541">JLO29*$C$29</f>
        <v>3.4072793390804423E+49</v>
      </c>
      <c r="JLS29" s="160">
        <f t="shared" ref="JLS29" si="3542">JLQ29*$C$29</f>
        <v>3.5094977192528555E+49</v>
      </c>
      <c r="JLU29" s="160">
        <f t="shared" ref="JLU29" si="3543">JLS29*$C$29</f>
        <v>3.6147826508304414E+49</v>
      </c>
      <c r="JLW29" s="160">
        <f t="shared" ref="JLW29" si="3544">JLU29*$C$29</f>
        <v>3.7232261303553549E+49</v>
      </c>
      <c r="JLY29" s="160">
        <f t="shared" ref="JLY29" si="3545">JLW29*$C$29</f>
        <v>3.8349229142660157E+49</v>
      </c>
      <c r="JMA29" s="160">
        <f t="shared" ref="JMA29" si="3546">JLY29*$C$29</f>
        <v>3.9499706016939964E+49</v>
      </c>
      <c r="JMC29" s="160">
        <f t="shared" ref="JMC29" si="3547">JMA29*$C$29</f>
        <v>4.0684697197448163E+49</v>
      </c>
      <c r="JME29" s="160">
        <f t="shared" ref="JME29" si="3548">JMC29*$C$29</f>
        <v>4.1905238113371609E+49</v>
      </c>
      <c r="JMG29" s="160">
        <f t="shared" ref="JMG29" si="3549">JME29*$C$29</f>
        <v>4.3162395256772758E+49</v>
      </c>
      <c r="JMI29" s="160">
        <f t="shared" ref="JMI29" si="3550">JMG29*$C$29</f>
        <v>4.4457267114475942E+49</v>
      </c>
      <c r="JMK29" s="160">
        <f t="shared" ref="JMK29" si="3551">JMI29*$C$29</f>
        <v>4.5790985127910223E+49</v>
      </c>
      <c r="JMM29" s="160">
        <f t="shared" ref="JMM29" si="3552">JMK29*$C$29</f>
        <v>4.7164714681747526E+49</v>
      </c>
      <c r="JMO29" s="160">
        <f t="shared" ref="JMO29" si="3553">JMM29*$C$29</f>
        <v>4.8579656122199954E+49</v>
      </c>
      <c r="JMQ29" s="160">
        <f t="shared" ref="JMQ29" si="3554">JMO29*$C$29</f>
        <v>5.0037045805865959E+49</v>
      </c>
      <c r="JMS29" s="160">
        <f t="shared" ref="JMS29" si="3555">JMQ29*$C$29</f>
        <v>5.1538157180041943E+49</v>
      </c>
      <c r="JMU29" s="160">
        <f t="shared" ref="JMU29" si="3556">JMS29*$C$29</f>
        <v>5.30843018954432E+49</v>
      </c>
      <c r="JMW29" s="160">
        <f t="shared" ref="JMW29" si="3557">JMU29*$C$29</f>
        <v>5.4676830952306493E+49</v>
      </c>
      <c r="JMY29" s="160">
        <f t="shared" ref="JMY29" si="3558">JMW29*$C$29</f>
        <v>5.6317135880875689E+49</v>
      </c>
      <c r="JNA29" s="160">
        <f t="shared" ref="JNA29" si="3559">JMY29*$C$29</f>
        <v>5.800664995730196E+49</v>
      </c>
      <c r="JNC29" s="160">
        <f t="shared" ref="JNC29" si="3560">JNA29*$C$29</f>
        <v>5.9746849456021022E+49</v>
      </c>
      <c r="JNE29" s="160">
        <f t="shared" ref="JNE29" si="3561">JNC29*$C$29</f>
        <v>6.1539254939701656E+49</v>
      </c>
      <c r="JNG29" s="160">
        <f t="shared" ref="JNG29" si="3562">JNE29*$C$29</f>
        <v>6.3385432587892703E+49</v>
      </c>
      <c r="JNI29" s="160">
        <f t="shared" ref="JNI29" si="3563">JNG29*$C$29</f>
        <v>6.5286995565529488E+49</v>
      </c>
      <c r="JNK29" s="160">
        <f t="shared" ref="JNK29" si="3564">JNI29*$C$29</f>
        <v>6.7245605432495374E+49</v>
      </c>
      <c r="JNM29" s="160">
        <f t="shared" ref="JNM29" si="3565">JNK29*$C$29</f>
        <v>6.9262973595470238E+49</v>
      </c>
      <c r="JNO29" s="160">
        <f t="shared" ref="JNO29" si="3566">JNM29*$C$29</f>
        <v>7.1340862803334346E+49</v>
      </c>
      <c r="JNQ29" s="160">
        <f t="shared" ref="JNQ29" si="3567">JNO29*$C$29</f>
        <v>7.3481088687434379E+49</v>
      </c>
      <c r="JNS29" s="160">
        <f t="shared" ref="JNS29" si="3568">JNQ29*$C$29</f>
        <v>7.568552134805741E+49</v>
      </c>
      <c r="JNU29" s="160">
        <f t="shared" ref="JNU29" si="3569">JNS29*$C$29</f>
        <v>7.7956086988499135E+49</v>
      </c>
      <c r="JNW29" s="160">
        <f t="shared" ref="JNW29" si="3570">JNU29*$C$29</f>
        <v>8.0294769598154109E+49</v>
      </c>
      <c r="JNY29" s="160">
        <f t="shared" ref="JNY29" si="3571">JNW29*$C$29</f>
        <v>8.270361268609873E+49</v>
      </c>
      <c r="JOA29" s="160">
        <f t="shared" ref="JOA29" si="3572">JNY29*$C$29</f>
        <v>8.5184721066681697E+49</v>
      </c>
      <c r="JOC29" s="160">
        <f t="shared" ref="JOC29" si="3573">JOA29*$C$29</f>
        <v>8.7740262698682151E+49</v>
      </c>
      <c r="JOE29" s="160">
        <f t="shared" ref="JOE29" si="3574">JOC29*$C$29</f>
        <v>9.037247057964262E+49</v>
      </c>
      <c r="JOG29" s="160">
        <f t="shared" ref="JOG29" si="3575">JOE29*$C$29</f>
        <v>9.3083644697031906E+49</v>
      </c>
      <c r="JOI29" s="160">
        <f t="shared" ref="JOI29" si="3576">JOG29*$C$29</f>
        <v>9.5876154037942865E+49</v>
      </c>
      <c r="JOK29" s="160">
        <f t="shared" ref="JOK29" si="3577">JOI29*$C$29</f>
        <v>9.875243865908115E+49</v>
      </c>
      <c r="JOM29" s="160">
        <f t="shared" ref="JOM29" si="3578">JOK29*$C$29</f>
        <v>1.0171501181885358E+50</v>
      </c>
      <c r="JOO29" s="160">
        <f t="shared" ref="JOO29" si="3579">JOM29*$C$29</f>
        <v>1.047664621734192E+50</v>
      </c>
      <c r="JOQ29" s="160">
        <f t="shared" ref="JOQ29" si="3580">JOO29*$C$29</f>
        <v>1.0790945603862178E+50</v>
      </c>
      <c r="JOS29" s="160">
        <f t="shared" ref="JOS29" si="3581">JOQ29*$C$29</f>
        <v>1.1114673971978044E+50</v>
      </c>
      <c r="JOU29" s="160">
        <f t="shared" ref="JOU29" si="3582">JOS29*$C$29</f>
        <v>1.1448114191137386E+50</v>
      </c>
      <c r="JOW29" s="160">
        <f t="shared" ref="JOW29" si="3583">JOU29*$C$29</f>
        <v>1.1791557616871509E+50</v>
      </c>
      <c r="JOY29" s="160">
        <f t="shared" ref="JOY29" si="3584">JOW29*$C$29</f>
        <v>1.2145304345377654E+50</v>
      </c>
      <c r="JPA29" s="160">
        <f t="shared" ref="JPA29" si="3585">JOY29*$C$29</f>
        <v>1.2509663475738983E+50</v>
      </c>
      <c r="JPC29" s="160">
        <f t="shared" ref="JPC29" si="3586">JPA29*$C$29</f>
        <v>1.2884953380011154E+50</v>
      </c>
      <c r="JPE29" s="160">
        <f t="shared" ref="JPE29" si="3587">JPC29*$C$29</f>
        <v>1.3271501981411489E+50</v>
      </c>
      <c r="JPG29" s="160">
        <f t="shared" ref="JPG29" si="3588">JPE29*$C$29</f>
        <v>1.3669647040853834E+50</v>
      </c>
      <c r="JPI29" s="160">
        <f t="shared" ref="JPI29" si="3589">JPG29*$C$29</f>
        <v>1.407973645207945E+50</v>
      </c>
      <c r="JPK29" s="160">
        <f t="shared" ref="JPK29" si="3590">JPI29*$C$29</f>
        <v>1.4502128545641835E+50</v>
      </c>
      <c r="JPM29" s="160">
        <f t="shared" ref="JPM29" si="3591">JPK29*$C$29</f>
        <v>1.493719240201109E+50</v>
      </c>
      <c r="JPO29" s="160">
        <f t="shared" ref="JPO29" si="3592">JPM29*$C$29</f>
        <v>1.5385308174071423E+50</v>
      </c>
      <c r="JPQ29" s="160">
        <f t="shared" ref="JPQ29" si="3593">JPO29*$C$29</f>
        <v>1.5846867419293565E+50</v>
      </c>
      <c r="JPS29" s="160">
        <f t="shared" ref="JPS29" si="3594">JPQ29*$C$29</f>
        <v>1.6322273441872373E+50</v>
      </c>
      <c r="JPU29" s="160">
        <f t="shared" ref="JPU29" si="3595">JPS29*$C$29</f>
        <v>1.6811941645128544E+50</v>
      </c>
      <c r="JPW29" s="160">
        <f t="shared" ref="JPW29" si="3596">JPU29*$C$29</f>
        <v>1.7316299894482401E+50</v>
      </c>
      <c r="JPY29" s="160">
        <f t="shared" ref="JPY29" si="3597">JPW29*$C$29</f>
        <v>1.7835788891316873E+50</v>
      </c>
      <c r="JQA29" s="160">
        <f t="shared" ref="JQA29" si="3598">JPY29*$C$29</f>
        <v>1.8370862558056379E+50</v>
      </c>
      <c r="JQC29" s="160">
        <f t="shared" ref="JQC29" si="3599">JQA29*$C$29</f>
        <v>1.8921988434798071E+50</v>
      </c>
      <c r="JQE29" s="160">
        <f t="shared" ref="JQE29" si="3600">JQC29*$C$29</f>
        <v>1.9489648087842014E+50</v>
      </c>
      <c r="JQG29" s="160">
        <f t="shared" ref="JQG29" si="3601">JQE29*$C$29</f>
        <v>2.0074337530477277E+50</v>
      </c>
      <c r="JQI29" s="160">
        <f t="shared" ref="JQI29" si="3602">JQG29*$C$29</f>
        <v>2.0676567656391595E+50</v>
      </c>
      <c r="JQK29" s="160">
        <f t="shared" ref="JQK29" si="3603">JQI29*$C$29</f>
        <v>2.1296864686083345E+50</v>
      </c>
      <c r="JQM29" s="160">
        <f t="shared" ref="JQM29" si="3604">JQK29*$C$29</f>
        <v>2.1935770626665845E+50</v>
      </c>
      <c r="JQO29" s="160">
        <f t="shared" ref="JQO29" si="3605">JQM29*$C$29</f>
        <v>2.2593843745465822E+50</v>
      </c>
      <c r="JQQ29" s="160">
        <f t="shared" ref="JQQ29" si="3606">JQO29*$C$29</f>
        <v>2.3271659057829798E+50</v>
      </c>
      <c r="JQS29" s="160">
        <f t="shared" ref="JQS29" si="3607">JQQ29*$C$29</f>
        <v>2.3969808829564691E+50</v>
      </c>
      <c r="JQU29" s="160">
        <f t="shared" ref="JQU29" si="3608">JQS29*$C$29</f>
        <v>2.4688903094451633E+50</v>
      </c>
      <c r="JQW29" s="160">
        <f t="shared" ref="JQW29" si="3609">JQU29*$C$29</f>
        <v>2.5429570187285183E+50</v>
      </c>
      <c r="JQY29" s="160">
        <f t="shared" ref="JQY29" si="3610">JQW29*$C$29</f>
        <v>2.6192457292903741E+50</v>
      </c>
      <c r="JRA29" s="160">
        <f t="shared" ref="JRA29" si="3611">JQY29*$C$29</f>
        <v>2.6978231011690854E+50</v>
      </c>
      <c r="JRC29" s="160">
        <f t="shared" ref="JRC29" si="3612">JRA29*$C$29</f>
        <v>2.7787577942041579E+50</v>
      </c>
      <c r="JRE29" s="160">
        <f t="shared" ref="JRE29" si="3613">JRC29*$C$29</f>
        <v>2.8621205280302829E+50</v>
      </c>
      <c r="JRG29" s="160">
        <f t="shared" ref="JRG29" si="3614">JRE29*$C$29</f>
        <v>2.9479841438711914E+50</v>
      </c>
      <c r="JRI29" s="160">
        <f t="shared" ref="JRI29" si="3615">JRG29*$C$29</f>
        <v>3.0364236681873271E+50</v>
      </c>
      <c r="JRK29" s="160">
        <f t="shared" ref="JRK29" si="3616">JRI29*$C$29</f>
        <v>3.1275163782329469E+50</v>
      </c>
      <c r="JRM29" s="160">
        <f t="shared" ref="JRM29" si="3617">JRK29*$C$29</f>
        <v>3.2213418695799353E+50</v>
      </c>
      <c r="JRO29" s="160">
        <f t="shared" ref="JRO29" si="3618">JRM29*$C$29</f>
        <v>3.3179821256673336E+50</v>
      </c>
      <c r="JRQ29" s="160">
        <f t="shared" ref="JRQ29" si="3619">JRO29*$C$29</f>
        <v>3.4175215894373539E+50</v>
      </c>
      <c r="JRS29" s="160">
        <f t="shared" ref="JRS29" si="3620">JRQ29*$C$29</f>
        <v>3.5200472371204744E+50</v>
      </c>
      <c r="JRU29" s="160">
        <f t="shared" ref="JRU29" si="3621">JRS29*$C$29</f>
        <v>3.6256486542340888E+50</v>
      </c>
      <c r="JRW29" s="160">
        <f t="shared" ref="JRW29" si="3622">JRU29*$C$29</f>
        <v>3.7344181138611116E+50</v>
      </c>
      <c r="JRY29" s="160">
        <f t="shared" ref="JRY29" si="3623">JRW29*$C$29</f>
        <v>3.8464506572769451E+50</v>
      </c>
      <c r="JSA29" s="160">
        <f t="shared" ref="JSA29" si="3624">JRY29*$C$29</f>
        <v>3.9618441769952537E+50</v>
      </c>
      <c r="JSC29" s="160">
        <f t="shared" ref="JSC29" si="3625">JSA29*$C$29</f>
        <v>4.0806995023051113E+50</v>
      </c>
      <c r="JSE29" s="160">
        <f t="shared" ref="JSE29" si="3626">JSC29*$C$29</f>
        <v>4.2031204873742649E+50</v>
      </c>
      <c r="JSG29" s="160">
        <f t="shared" ref="JSG29" si="3627">JSE29*$C$29</f>
        <v>4.3292141019954933E+50</v>
      </c>
      <c r="JSI29" s="160">
        <f t="shared" ref="JSI29" si="3628">JSG29*$C$29</f>
        <v>4.4590905250553584E+50</v>
      </c>
      <c r="JSK29" s="160">
        <f t="shared" ref="JSK29" si="3629">JSI29*$C$29</f>
        <v>4.5928632408070197E+50</v>
      </c>
      <c r="JSM29" s="160">
        <f t="shared" ref="JSM29" si="3630">JSK29*$C$29</f>
        <v>4.7306491380312304E+50</v>
      </c>
      <c r="JSO29" s="160">
        <f t="shared" ref="JSO29" si="3631">JSM29*$C$29</f>
        <v>4.8725686121721671E+50</v>
      </c>
      <c r="JSQ29" s="160">
        <f t="shared" ref="JSQ29" si="3632">JSO29*$C$29</f>
        <v>5.0187456705373321E+50</v>
      </c>
      <c r="JSS29" s="160">
        <f t="shared" ref="JSS29" si="3633">JSQ29*$C$29</f>
        <v>5.1693080406534527E+50</v>
      </c>
      <c r="JSU29" s="160">
        <f t="shared" ref="JSU29" si="3634">JSS29*$C$29</f>
        <v>5.3243872818730565E+50</v>
      </c>
      <c r="JSW29" s="160">
        <f t="shared" ref="JSW29" si="3635">JSU29*$C$29</f>
        <v>5.484118900329248E+50</v>
      </c>
      <c r="JSY29" s="160">
        <f t="shared" ref="JSY29" si="3636">JSW29*$C$29</f>
        <v>5.6486424673391256E+50</v>
      </c>
      <c r="JTA29" s="160">
        <f t="shared" ref="JTA29" si="3637">JSY29*$C$29</f>
        <v>5.8181017413592992E+50</v>
      </c>
      <c r="JTC29" s="160">
        <f t="shared" ref="JTC29" si="3638">JTA29*$C$29</f>
        <v>5.9926447936000785E+50</v>
      </c>
      <c r="JTE29" s="160">
        <f t="shared" ref="JTE29" si="3639">JTC29*$C$29</f>
        <v>6.172424137408081E+50</v>
      </c>
      <c r="JTG29" s="160">
        <f t="shared" ref="JTG29" si="3640">JTE29*$C$29</f>
        <v>6.3575968615303237E+50</v>
      </c>
      <c r="JTI29" s="160">
        <f t="shared" ref="JTI29" si="3641">JTG29*$C$29</f>
        <v>6.5483247673762336E+50</v>
      </c>
      <c r="JTK29" s="160">
        <f t="shared" ref="JTK29" si="3642">JTI29*$C$29</f>
        <v>6.7447745103975204E+50</v>
      </c>
      <c r="JTM29" s="160">
        <f t="shared" ref="JTM29" si="3643">JTK29*$C$29</f>
        <v>6.9471177457094461E+50</v>
      </c>
      <c r="JTO29" s="160">
        <f t="shared" ref="JTO29" si="3644">JTM29*$C$29</f>
        <v>7.1555312780807293E+50</v>
      </c>
      <c r="JTQ29" s="160">
        <f t="shared" ref="JTQ29" si="3645">JTO29*$C$29</f>
        <v>7.3701972164231512E+50</v>
      </c>
      <c r="JTS29" s="160">
        <f t="shared" ref="JTS29" si="3646">JTQ29*$C$29</f>
        <v>7.5913031329158457E+50</v>
      </c>
      <c r="JTU29" s="160">
        <f t="shared" ref="JTU29" si="3647">JTS29*$C$29</f>
        <v>7.8190422269033217E+50</v>
      </c>
      <c r="JTW29" s="160">
        <f t="shared" ref="JTW29" si="3648">JTU29*$C$29</f>
        <v>8.0536134937104209E+50</v>
      </c>
      <c r="JTY29" s="160">
        <f t="shared" ref="JTY29" si="3649">JTW29*$C$29</f>
        <v>8.2952218985217339E+50</v>
      </c>
      <c r="JUA29" s="160">
        <f t="shared" ref="JUA29" si="3650">JTY29*$C$29</f>
        <v>8.5440785554773858E+50</v>
      </c>
      <c r="JUC29" s="160">
        <f t="shared" ref="JUC29" si="3651">JUA29*$C$29</f>
        <v>8.8004009121417071E+50</v>
      </c>
      <c r="JUE29" s="160">
        <f t="shared" ref="JUE29" si="3652">JUC29*$C$29</f>
        <v>9.0644129395059582E+50</v>
      </c>
      <c r="JUG29" s="160">
        <f t="shared" ref="JUG29" si="3653">JUE29*$C$29</f>
        <v>9.336345327691137E+50</v>
      </c>
      <c r="JUI29" s="160">
        <f t="shared" ref="JUI29" si="3654">JUG29*$C$29</f>
        <v>9.6164356875218718E+50</v>
      </c>
      <c r="JUK29" s="160">
        <f t="shared" ref="JUK29" si="3655">JUI29*$C$29</f>
        <v>9.904928758147528E+50</v>
      </c>
      <c r="JUM29" s="160">
        <f t="shared" ref="JUM29" si="3656">JUK29*$C$29</f>
        <v>1.0202076620891955E+51</v>
      </c>
      <c r="JUO29" s="160">
        <f t="shared" ref="JUO29" si="3657">JUM29*$C$29</f>
        <v>1.0508138919518714E+51</v>
      </c>
      <c r="JUQ29" s="160">
        <f t="shared" ref="JUQ29" si="3658">JUO29*$C$29</f>
        <v>1.0823383087104275E+51</v>
      </c>
      <c r="JUS29" s="160">
        <f t="shared" ref="JUS29" si="3659">JUQ29*$C$29</f>
        <v>1.1148084579717404E+51</v>
      </c>
      <c r="JUU29" s="160">
        <f t="shared" ref="JUU29" si="3660">JUS29*$C$29</f>
        <v>1.1482527117108926E+51</v>
      </c>
      <c r="JUW29" s="160">
        <f t="shared" ref="JUW29" si="3661">JUU29*$C$29</f>
        <v>1.1827002930622194E+51</v>
      </c>
      <c r="JUY29" s="160">
        <f t="shared" ref="JUY29" si="3662">JUW29*$C$29</f>
        <v>1.2181813018540859E+51</v>
      </c>
      <c r="JVA29" s="160">
        <f t="shared" ref="JVA29" si="3663">JUY29*$C$29</f>
        <v>1.2547267409097084E+51</v>
      </c>
      <c r="JVC29" s="160">
        <f t="shared" ref="JVC29" si="3664">JVA29*$C$29</f>
        <v>1.2923685431369998E+51</v>
      </c>
      <c r="JVE29" s="160">
        <f t="shared" ref="JVE29" si="3665">JVC29*$C$29</f>
        <v>1.3311395994311098E+51</v>
      </c>
      <c r="JVG29" s="160">
        <f t="shared" ref="JVG29" si="3666">JVE29*$C$29</f>
        <v>1.3710737874140432E+51</v>
      </c>
      <c r="JVI29" s="160">
        <f t="shared" ref="JVI29" si="3667">JVG29*$C$29</f>
        <v>1.4122060010364646E+51</v>
      </c>
      <c r="JVK29" s="160">
        <f t="shared" ref="JVK29" si="3668">JVI29*$C$29</f>
        <v>1.4545721810675585E+51</v>
      </c>
      <c r="JVM29" s="160">
        <f t="shared" ref="JVM29" si="3669">JVK29*$C$29</f>
        <v>1.4982093464995853E+51</v>
      </c>
      <c r="JVO29" s="160">
        <f t="shared" ref="JVO29" si="3670">JVM29*$C$29</f>
        <v>1.5431556268945729E+51</v>
      </c>
      <c r="JVQ29" s="160">
        <f t="shared" ref="JVQ29" si="3671">JVO29*$C$29</f>
        <v>1.58945029570141E+51</v>
      </c>
      <c r="JVS29" s="160">
        <f t="shared" ref="JVS29" si="3672">JVQ29*$C$29</f>
        <v>1.6371338045724522E+51</v>
      </c>
      <c r="JVU29" s="160">
        <f t="shared" ref="JVU29" si="3673">JVS29*$C$29</f>
        <v>1.6862478187096258E+51</v>
      </c>
      <c r="JVW29" s="160">
        <f t="shared" ref="JVW29" si="3674">JVU29*$C$29</f>
        <v>1.7368352532709146E+51</v>
      </c>
      <c r="JVY29" s="160">
        <f t="shared" ref="JVY29" si="3675">JVW29*$C$29</f>
        <v>1.788940310869042E+51</v>
      </c>
      <c r="JWA29" s="160">
        <f t="shared" ref="JWA29" si="3676">JVY29*$C$29</f>
        <v>1.8426085201951134E+51</v>
      </c>
      <c r="JWC29" s="160">
        <f t="shared" ref="JWC29" si="3677">JWA29*$C$29</f>
        <v>1.8978867758009667E+51</v>
      </c>
      <c r="JWE29" s="160">
        <f t="shared" ref="JWE29" si="3678">JWC29*$C$29</f>
        <v>1.9548233790749958E+51</v>
      </c>
      <c r="JWG29" s="160">
        <f t="shared" ref="JWG29" si="3679">JWE29*$C$29</f>
        <v>2.0134680804472457E+51</v>
      </c>
      <c r="JWI29" s="160">
        <f t="shared" ref="JWI29" si="3680">JWG29*$C$29</f>
        <v>2.073872122860663E+51</v>
      </c>
      <c r="JWK29" s="160">
        <f t="shared" ref="JWK29" si="3681">JWI29*$C$29</f>
        <v>2.1360882865464829E+51</v>
      </c>
      <c r="JWM29" s="160">
        <f t="shared" ref="JWM29" si="3682">JWK29*$C$29</f>
        <v>2.2001709351428773E+51</v>
      </c>
      <c r="JWO29" s="160">
        <f t="shared" ref="JWO29" si="3683">JWM29*$C$29</f>
        <v>2.2661760631971636E+51</v>
      </c>
      <c r="JWQ29" s="160">
        <f t="shared" ref="JWQ29" si="3684">JWO29*$C$29</f>
        <v>2.3341613450930784E+51</v>
      </c>
      <c r="JWS29" s="160">
        <f t="shared" ref="JWS29" si="3685">JWQ29*$C$29</f>
        <v>2.404186185445871E+51</v>
      </c>
      <c r="JWU29" s="160">
        <f t="shared" ref="JWU29" si="3686">JWS29*$C$29</f>
        <v>2.4763117710092474E+51</v>
      </c>
      <c r="JWW29" s="160">
        <f t="shared" ref="JWW29" si="3687">JWU29*$C$29</f>
        <v>2.5506011241395248E+51</v>
      </c>
      <c r="JWY29" s="160">
        <f t="shared" ref="JWY29" si="3688">JWW29*$C$29</f>
        <v>2.6271191578637107E+51</v>
      </c>
      <c r="JXA29" s="160">
        <f t="shared" ref="JXA29" si="3689">JWY29*$C$29</f>
        <v>2.7059327325996219E+51</v>
      </c>
      <c r="JXC29" s="160">
        <f t="shared" ref="JXC29" si="3690">JXA29*$C$29</f>
        <v>2.7871107145776107E+51</v>
      </c>
      <c r="JXE29" s="160">
        <f t="shared" ref="JXE29" si="3691">JXC29*$C$29</f>
        <v>2.8707240360149391E+51</v>
      </c>
      <c r="JXG29" s="160">
        <f t="shared" ref="JXG29" si="3692">JXE29*$C$29</f>
        <v>2.9568457570953875E+51</v>
      </c>
      <c r="JXI29" s="160">
        <f t="shared" ref="JXI29" si="3693">JXG29*$C$29</f>
        <v>3.0455511298082491E+51</v>
      </c>
      <c r="JXK29" s="160">
        <f t="shared" ref="JXK29" si="3694">JXI29*$C$29</f>
        <v>3.1369176637024964E+51</v>
      </c>
      <c r="JXM29" s="160">
        <f t="shared" ref="JXM29" si="3695">JXK29*$C$29</f>
        <v>3.2310251936135712E+51</v>
      </c>
      <c r="JXO29" s="160">
        <f t="shared" ref="JXO29" si="3696">JXM29*$C$29</f>
        <v>3.3279559494219783E+51</v>
      </c>
      <c r="JXQ29" s="160">
        <f t="shared" ref="JXQ29" si="3697">JXO29*$C$29</f>
        <v>3.4277946279046378E+51</v>
      </c>
      <c r="JXS29" s="160">
        <f t="shared" ref="JXS29" si="3698">JXQ29*$C$29</f>
        <v>3.5306284667417769E+51</v>
      </c>
      <c r="JXU29" s="160">
        <f t="shared" ref="JXU29" si="3699">JXS29*$C$29</f>
        <v>3.6365473207440303E+51</v>
      </c>
      <c r="JXW29" s="160">
        <f t="shared" ref="JXW29" si="3700">JXU29*$C$29</f>
        <v>3.745643740366351E+51</v>
      </c>
      <c r="JXY29" s="160">
        <f t="shared" ref="JXY29" si="3701">JXW29*$C$29</f>
        <v>3.8580130525773417E+51</v>
      </c>
      <c r="JYA29" s="160">
        <f t="shared" ref="JYA29" si="3702">JXY29*$C$29</f>
        <v>3.9737534441546618E+51</v>
      </c>
      <c r="JYC29" s="160">
        <f t="shared" ref="JYC29" si="3703">JYA29*$C$29</f>
        <v>4.092966047479302E+51</v>
      </c>
      <c r="JYE29" s="160">
        <f t="shared" ref="JYE29" si="3704">JYC29*$C$29</f>
        <v>4.2157550289036811E+51</v>
      </c>
      <c r="JYG29" s="160">
        <f t="shared" ref="JYG29" si="3705">JYE29*$C$29</f>
        <v>4.3422276797707916E+51</v>
      </c>
      <c r="JYI29" s="160">
        <f t="shared" ref="JYI29" si="3706">JYG29*$C$29</f>
        <v>4.4724945101639155E+51</v>
      </c>
      <c r="JYK29" s="160">
        <f t="shared" ref="JYK29" si="3707">JYI29*$C$29</f>
        <v>4.606669345468833E+51</v>
      </c>
      <c r="JYM29" s="160">
        <f t="shared" ref="JYM29" si="3708">JYK29*$C$29</f>
        <v>4.744869425832898E+51</v>
      </c>
      <c r="JYO29" s="160">
        <f t="shared" ref="JYO29" si="3709">JYM29*$C$29</f>
        <v>4.887215508607885E+51</v>
      </c>
      <c r="JYQ29" s="160">
        <f t="shared" ref="JYQ29" si="3710">JYO29*$C$29</f>
        <v>5.0338319738661214E+51</v>
      </c>
      <c r="JYS29" s="160">
        <f t="shared" ref="JYS29" si="3711">JYQ29*$C$29</f>
        <v>5.184846933082105E+51</v>
      </c>
      <c r="JYU29" s="160">
        <f t="shared" ref="JYU29" si="3712">JYS29*$C$29</f>
        <v>5.3403923410745681E+51</v>
      </c>
      <c r="JYW29" s="160">
        <f t="shared" ref="JYW29" si="3713">JYU29*$C$29</f>
        <v>5.500604111306805E+51</v>
      </c>
      <c r="JYY29" s="160">
        <f t="shared" ref="JYY29" si="3714">JYW29*$C$29</f>
        <v>5.6656222346460096E+51</v>
      </c>
      <c r="JZA29" s="160">
        <f t="shared" ref="JZA29" si="3715">JYY29*$C$29</f>
        <v>5.8355909016853899E+51</v>
      </c>
      <c r="JZC29" s="160">
        <f t="shared" ref="JZC29" si="3716">JZA29*$C$29</f>
        <v>6.0106586287359518E+51</v>
      </c>
      <c r="JZE29" s="160">
        <f t="shared" ref="JZE29" si="3717">JZC29*$C$29</f>
        <v>6.1909783875980307E+51</v>
      </c>
      <c r="JZG29" s="160">
        <f t="shared" ref="JZG29" si="3718">JZE29*$C$29</f>
        <v>6.376707739225972E+51</v>
      </c>
      <c r="JZI29" s="160">
        <f t="shared" ref="JZI29" si="3719">JZG29*$C$29</f>
        <v>6.5680089714027513E+51</v>
      </c>
      <c r="JZK29" s="160">
        <f t="shared" ref="JZK29" si="3720">JZI29*$C$29</f>
        <v>6.7650492405448345E+51</v>
      </c>
      <c r="JZM29" s="160">
        <f t="shared" ref="JZM29" si="3721">JZK29*$C$29</f>
        <v>6.9680007177611794E+51</v>
      </c>
      <c r="JZO29" s="160">
        <f t="shared" ref="JZO29" si="3722">JZM29*$C$29</f>
        <v>7.1770407392940146E+51</v>
      </c>
      <c r="JZQ29" s="160">
        <f t="shared" ref="JZQ29" si="3723">JZO29*$C$29</f>
        <v>7.3923519614728346E+51</v>
      </c>
      <c r="JZS29" s="160">
        <f t="shared" ref="JZS29" si="3724">JZQ29*$C$29</f>
        <v>7.6141225203170205E+51</v>
      </c>
      <c r="JZU29" s="160">
        <f t="shared" ref="JZU29" si="3725">JZS29*$C$29</f>
        <v>7.8425461959265309E+51</v>
      </c>
      <c r="JZW29" s="160">
        <f t="shared" ref="JZW29" si="3726">JZU29*$C$29</f>
        <v>8.0778225818043273E+51</v>
      </c>
      <c r="JZY29" s="160">
        <f t="shared" ref="JZY29" si="3727">JZW29*$C$29</f>
        <v>8.3201572592584568E+51</v>
      </c>
      <c r="KAA29" s="160">
        <f t="shared" ref="KAA29" si="3728">JZY29*$C$29</f>
        <v>8.5697619770362103E+51</v>
      </c>
      <c r="KAC29" s="160">
        <f t="shared" ref="KAC29" si="3729">KAA29*$C$29</f>
        <v>8.8268548363472967E+51</v>
      </c>
      <c r="KAE29" s="160">
        <f t="shared" ref="KAE29" si="3730">KAC29*$C$29</f>
        <v>9.0916604814377156E+51</v>
      </c>
      <c r="KAG29" s="160">
        <f t="shared" ref="KAG29" si="3731">KAE29*$C$29</f>
        <v>9.364410295880847E+51</v>
      </c>
      <c r="KAI29" s="160">
        <f t="shared" ref="KAI29" si="3732">KAG29*$C$29</f>
        <v>9.6453426047572724E+51</v>
      </c>
      <c r="KAK29" s="160">
        <f t="shared" ref="KAK29" si="3733">KAI29*$C$29</f>
        <v>9.9347028828999907E+51</v>
      </c>
      <c r="KAM29" s="160">
        <f t="shared" ref="KAM29" si="3734">KAK29*$C$29</f>
        <v>1.023274396938699E+52</v>
      </c>
      <c r="KAO29" s="160">
        <f t="shared" ref="KAO29" si="3735">KAM29*$C$29</f>
        <v>1.0539726288468601E+52</v>
      </c>
      <c r="KAQ29" s="160">
        <f t="shared" ref="KAQ29" si="3736">KAO29*$C$29</f>
        <v>1.0855918077122659E+52</v>
      </c>
      <c r="KAS29" s="160">
        <f t="shared" ref="KAS29" si="3737">KAQ29*$C$29</f>
        <v>1.1181595619436339E+52</v>
      </c>
      <c r="KAU29" s="160">
        <f t="shared" ref="KAU29" si="3738">KAS29*$C$29</f>
        <v>1.151704348801943E+52</v>
      </c>
      <c r="KAW29" s="160">
        <f t="shared" ref="KAW29" si="3739">KAU29*$C$29</f>
        <v>1.1862554792660013E+52</v>
      </c>
      <c r="KAY29" s="160">
        <f t="shared" ref="KAY29" si="3740">KAW29*$C$29</f>
        <v>1.2218431436439812E+52</v>
      </c>
      <c r="KBA29" s="160">
        <f t="shared" ref="KBA29" si="3741">KAY29*$C$29</f>
        <v>1.2584984379533007E+52</v>
      </c>
      <c r="KBC29" s="160">
        <f t="shared" ref="KBC29" si="3742">KBA29*$C$29</f>
        <v>1.2962533910918998E+52</v>
      </c>
      <c r="KBE29" s="160">
        <f t="shared" ref="KBE29" si="3743">KBC29*$C$29</f>
        <v>1.3351409928246568E+52</v>
      </c>
      <c r="KBG29" s="160">
        <f t="shared" ref="KBG29" si="3744">KBE29*$C$29</f>
        <v>1.3751952226093965E+52</v>
      </c>
      <c r="KBI29" s="160">
        <f t="shared" ref="KBI29" si="3745">KBG29*$C$29</f>
        <v>1.4164510792876785E+52</v>
      </c>
      <c r="KBK29" s="160">
        <f t="shared" ref="KBK29" si="3746">KBI29*$C$29</f>
        <v>1.458944611666309E+52</v>
      </c>
      <c r="KBM29" s="160">
        <f t="shared" ref="KBM29" si="3747">KBK29*$C$29</f>
        <v>1.5027129500162983E+52</v>
      </c>
      <c r="KBO29" s="160">
        <f t="shared" ref="KBO29" si="3748">KBM29*$C$29</f>
        <v>1.5477943385167873E+52</v>
      </c>
      <c r="KBQ29" s="160">
        <f t="shared" ref="KBQ29" si="3749">KBO29*$C$29</f>
        <v>1.5942281686722911E+52</v>
      </c>
      <c r="KBS29" s="160">
        <f t="shared" ref="KBS29" si="3750">KBQ29*$C$29</f>
        <v>1.6420550137324599E+52</v>
      </c>
      <c r="KBU29" s="160">
        <f t="shared" ref="KBU29" si="3751">KBS29*$C$29</f>
        <v>1.6913166641444338E+52</v>
      </c>
      <c r="KBW29" s="160">
        <f t="shared" ref="KBW29" si="3752">KBU29*$C$29</f>
        <v>1.7420561640687668E+52</v>
      </c>
      <c r="KBY29" s="160">
        <f t="shared" ref="KBY29" si="3753">KBW29*$C$29</f>
        <v>1.7943178489908298E+52</v>
      </c>
      <c r="KCA29" s="160">
        <f t="shared" ref="KCA29" si="3754">KBY29*$C$29</f>
        <v>1.8481473844605548E+52</v>
      </c>
      <c r="KCC29" s="160">
        <f t="shared" ref="KCC29" si="3755">KCA29*$C$29</f>
        <v>1.9035918059943716E+52</v>
      </c>
      <c r="KCE29" s="160">
        <f t="shared" ref="KCE29" si="3756">KCC29*$C$29</f>
        <v>1.9606995601742027E+52</v>
      </c>
      <c r="KCG29" s="160">
        <f t="shared" ref="KCG29" si="3757">KCE29*$C$29</f>
        <v>2.0195205469794288E+52</v>
      </c>
      <c r="KCI29" s="160">
        <f t="shared" ref="KCI29" si="3758">KCG29*$C$29</f>
        <v>2.0801061633888117E+52</v>
      </c>
      <c r="KCK29" s="160">
        <f t="shared" ref="KCK29" si="3759">KCI29*$C$29</f>
        <v>2.1425093482904762E+52</v>
      </c>
      <c r="KCM29" s="160">
        <f t="shared" ref="KCM29" si="3760">KCK29*$C$29</f>
        <v>2.2067846287391905E+52</v>
      </c>
      <c r="KCO29" s="160">
        <f t="shared" ref="KCO29" si="3761">KCM29*$C$29</f>
        <v>2.2729881676013662E+52</v>
      </c>
      <c r="KCQ29" s="160">
        <f t="shared" ref="KCQ29" si="3762">KCO29*$C$29</f>
        <v>2.3411778126294072E+52</v>
      </c>
      <c r="KCS29" s="160">
        <f t="shared" ref="KCS29" si="3763">KCQ29*$C$29</f>
        <v>2.4114131470082896E+52</v>
      </c>
      <c r="KCU29" s="160">
        <f t="shared" ref="KCU29" si="3764">KCS29*$C$29</f>
        <v>2.4837555414185382E+52</v>
      </c>
      <c r="KCW29" s="160">
        <f t="shared" ref="KCW29" si="3765">KCU29*$C$29</f>
        <v>2.5582682076610943E+52</v>
      </c>
      <c r="KCY29" s="160">
        <f t="shared" ref="KCY29" si="3766">KCW29*$C$29</f>
        <v>2.6350162538909271E+52</v>
      </c>
      <c r="KDA29" s="160">
        <f t="shared" ref="KDA29" si="3767">KCY29*$C$29</f>
        <v>2.7140667415076548E+52</v>
      </c>
      <c r="KDC29" s="160">
        <f t="shared" ref="KDC29" si="3768">KDA29*$C$29</f>
        <v>2.7954887437528843E+52</v>
      </c>
      <c r="KDE29" s="160">
        <f t="shared" ref="KDE29" si="3769">KDC29*$C$29</f>
        <v>2.8793534060654709E+52</v>
      </c>
      <c r="KDG29" s="160">
        <f t="shared" ref="KDG29" si="3770">KDE29*$C$29</f>
        <v>2.9657340082474351E+52</v>
      </c>
      <c r="KDI29" s="160">
        <f t="shared" ref="KDI29" si="3771">KDG29*$C$29</f>
        <v>3.0547060284948581E+52</v>
      </c>
      <c r="KDK29" s="160">
        <f t="shared" ref="KDK29" si="3772">KDI29*$C$29</f>
        <v>3.146347209349704E+52</v>
      </c>
      <c r="KDM29" s="160">
        <f t="shared" ref="KDM29" si="3773">KDK29*$C$29</f>
        <v>3.240737625630195E+52</v>
      </c>
      <c r="KDO29" s="160">
        <f t="shared" ref="KDO29" si="3774">KDM29*$C$29</f>
        <v>3.3379597543991007E+52</v>
      </c>
      <c r="KDQ29" s="160">
        <f t="shared" ref="KDQ29" si="3775">KDO29*$C$29</f>
        <v>3.4380985470310737E+52</v>
      </c>
      <c r="KDS29" s="160">
        <f t="shared" ref="KDS29" si="3776">KDQ29*$C$29</f>
        <v>3.5412415034420062E+52</v>
      </c>
      <c r="KDU29" s="160">
        <f t="shared" ref="KDU29" si="3777">KDS29*$C$29</f>
        <v>3.6474787485452663E+52</v>
      </c>
      <c r="KDW29" s="160">
        <f t="shared" ref="KDW29" si="3778">KDU29*$C$29</f>
        <v>3.7569031110016244E+52</v>
      </c>
      <c r="KDY29" s="160">
        <f t="shared" ref="KDY29" si="3779">KDW29*$C$29</f>
        <v>3.8696102043316731E+52</v>
      </c>
      <c r="KEA29" s="160">
        <f t="shared" ref="KEA29" si="3780">KDY29*$C$29</f>
        <v>3.9856985104616235E+52</v>
      </c>
      <c r="KEC29" s="160">
        <f t="shared" ref="KEC29" si="3781">KEA29*$C$29</f>
        <v>4.1052694657754725E+52</v>
      </c>
      <c r="KEE29" s="160">
        <f t="shared" ref="KEE29" si="3782">KEC29*$C$29</f>
        <v>4.2284275497487371E+52</v>
      </c>
      <c r="KEG29" s="160">
        <f t="shared" ref="KEG29" si="3783">KEE29*$C$29</f>
        <v>4.3552803762411995E+52</v>
      </c>
      <c r="KEI29" s="160">
        <f t="shared" ref="KEI29" si="3784">KEG29*$C$29</f>
        <v>4.4859387875284358E+52</v>
      </c>
      <c r="KEK29" s="160">
        <f t="shared" ref="KEK29" si="3785">KEI29*$C$29</f>
        <v>4.6205169511542892E+52</v>
      </c>
      <c r="KEM29" s="160">
        <f t="shared" ref="KEM29" si="3786">KEK29*$C$29</f>
        <v>4.7591324596889182E+52</v>
      </c>
      <c r="KEO29" s="160">
        <f t="shared" ref="KEO29" si="3787">KEM29*$C$29</f>
        <v>4.9019064334795855E+52</v>
      </c>
      <c r="KEQ29" s="160">
        <f t="shared" ref="KEQ29" si="3788">KEO29*$C$29</f>
        <v>5.0489636264839727E+52</v>
      </c>
      <c r="KES29" s="160">
        <f t="shared" ref="KES29" si="3789">KEQ29*$C$29</f>
        <v>5.200432535278492E+52</v>
      </c>
      <c r="KEU29" s="160">
        <f t="shared" ref="KEU29" si="3790">KES29*$C$29</f>
        <v>5.3564455113368467E+52</v>
      </c>
      <c r="KEW29" s="160">
        <f t="shared" ref="KEW29" si="3791">KEU29*$C$29</f>
        <v>5.5171388766769524E+52</v>
      </c>
      <c r="KEY29" s="160">
        <f t="shared" ref="KEY29" si="3792">KEW29*$C$29</f>
        <v>5.6826530429772613E+52</v>
      </c>
      <c r="KFA29" s="160">
        <f t="shared" ref="KFA29" si="3793">KEY29*$C$29</f>
        <v>5.8531326342665798E+52</v>
      </c>
      <c r="KFC29" s="160">
        <f t="shared" ref="KFC29" si="3794">KFA29*$C$29</f>
        <v>6.0287266132945777E+52</v>
      </c>
      <c r="KFE29" s="160">
        <f t="shared" ref="KFE29" si="3795">KFC29*$C$29</f>
        <v>6.2095884116934148E+52</v>
      </c>
      <c r="KFG29" s="160">
        <f t="shared" ref="KFG29" si="3796">KFE29*$C$29</f>
        <v>6.3958760640442177E+52</v>
      </c>
      <c r="KFI29" s="160">
        <f t="shared" ref="KFI29" si="3797">KFG29*$C$29</f>
        <v>6.587752345965544E+52</v>
      </c>
      <c r="KFK29" s="160">
        <f t="shared" ref="KFK29" si="3798">KFI29*$C$29</f>
        <v>6.7853849163445109E+52</v>
      </c>
      <c r="KFM29" s="160">
        <f t="shared" ref="KFM29" si="3799">KFK29*$C$29</f>
        <v>6.9889464638348467E+52</v>
      </c>
      <c r="KFO29" s="160">
        <f t="shared" ref="KFO29" si="3800">KFM29*$C$29</f>
        <v>7.1986148577498928E+52</v>
      </c>
      <c r="KFQ29" s="160">
        <f t="shared" ref="KFQ29" si="3801">KFO29*$C$29</f>
        <v>7.4145733034823893E+52</v>
      </c>
      <c r="KFS29" s="160">
        <f t="shared" ref="KFS29" si="3802">KFQ29*$C$29</f>
        <v>7.6370105025868609E+52</v>
      </c>
      <c r="KFU29" s="160">
        <f t="shared" ref="KFU29" si="3803">KFS29*$C$29</f>
        <v>7.8661208176644668E+52</v>
      </c>
      <c r="KFW29" s="160">
        <f t="shared" ref="KFW29" si="3804">KFU29*$C$29</f>
        <v>8.1021044421944006E+52</v>
      </c>
      <c r="KFY29" s="160">
        <f t="shared" ref="KFY29" si="3805">KFW29*$C$29</f>
        <v>8.3451675754602323E+52</v>
      </c>
      <c r="KGA29" s="160">
        <f t="shared" ref="KGA29" si="3806">KFY29*$C$29</f>
        <v>8.5955226027240394E+52</v>
      </c>
      <c r="KGC29" s="160">
        <f t="shared" ref="KGC29" si="3807">KGA29*$C$29</f>
        <v>8.8533882808057611E+52</v>
      </c>
      <c r="KGE29" s="160">
        <f t="shared" ref="KGE29" si="3808">KGC29*$C$29</f>
        <v>9.118989929229934E+52</v>
      </c>
      <c r="KGG29" s="160">
        <f t="shared" ref="KGG29" si="3809">KGE29*$C$29</f>
        <v>9.3925596271068322E+52</v>
      </c>
      <c r="KGI29" s="160">
        <f t="shared" ref="KGI29" si="3810">KGG29*$C$29</f>
        <v>9.6743364159200374E+52</v>
      </c>
      <c r="KGK29" s="160">
        <f t="shared" ref="KGK29" si="3811">KGI29*$C$29</f>
        <v>9.9645665083976384E+52</v>
      </c>
      <c r="KGM29" s="160">
        <f t="shared" ref="KGM29" si="3812">KGK29*$C$29</f>
        <v>1.0263503503649568E+53</v>
      </c>
      <c r="KGO29" s="160">
        <f t="shared" ref="KGO29" si="3813">KGM29*$C$29</f>
        <v>1.0571408608759056E+53</v>
      </c>
      <c r="KGQ29" s="160">
        <f t="shared" ref="KGQ29" si="3814">KGO29*$C$29</f>
        <v>1.0888550867021828E+53</v>
      </c>
      <c r="KGS29" s="160">
        <f t="shared" ref="KGS29" si="3815">KGQ29*$C$29</f>
        <v>1.1215207393032483E+53</v>
      </c>
      <c r="KGU29" s="160">
        <f t="shared" ref="KGU29" si="3816">KGS29*$C$29</f>
        <v>1.1551663614823458E+53</v>
      </c>
      <c r="KGW29" s="160">
        <f t="shared" ref="KGW29" si="3817">KGU29*$C$29</f>
        <v>1.1898213523268162E+53</v>
      </c>
      <c r="KGY29" s="160">
        <f t="shared" ref="KGY29" si="3818">KGW29*$C$29</f>
        <v>1.2255159928966207E+53</v>
      </c>
      <c r="KHA29" s="160">
        <f t="shared" ref="KHA29" si="3819">KGY29*$C$29</f>
        <v>1.2622814726835192E+53</v>
      </c>
      <c r="KHC29" s="160">
        <f t="shared" ref="KHC29" si="3820">KHA29*$C$29</f>
        <v>1.3001499168640249E+53</v>
      </c>
      <c r="KHE29" s="160">
        <f t="shared" ref="KHE29" si="3821">KHC29*$C$29</f>
        <v>1.3391544143699458E+53</v>
      </c>
      <c r="KHG29" s="160">
        <f t="shared" ref="KHG29" si="3822">KHE29*$C$29</f>
        <v>1.3793290468010441E+53</v>
      </c>
      <c r="KHI29" s="160">
        <f t="shared" ref="KHI29" si="3823">KHG29*$C$29</f>
        <v>1.4207089182050754E+53</v>
      </c>
      <c r="KHK29" s="160">
        <f t="shared" ref="KHK29" si="3824">KHI29*$C$29</f>
        <v>1.4633301857512277E+53</v>
      </c>
      <c r="KHM29" s="160">
        <f t="shared" ref="KHM29" si="3825">KHK29*$C$29</f>
        <v>1.5072300913237646E+53</v>
      </c>
      <c r="KHO29" s="160">
        <f t="shared" ref="KHO29" si="3826">KHM29*$C$29</f>
        <v>1.5524469940634776E+53</v>
      </c>
      <c r="KHQ29" s="160">
        <f t="shared" ref="KHQ29" si="3827">KHO29*$C$29</f>
        <v>1.5990204038853819E+53</v>
      </c>
      <c r="KHS29" s="160">
        <f t="shared" ref="KHS29" si="3828">KHQ29*$C$29</f>
        <v>1.6469910160019434E+53</v>
      </c>
      <c r="KHU29" s="160">
        <f t="shared" ref="KHU29" si="3829">KHS29*$C$29</f>
        <v>1.6964007464820019E+53</v>
      </c>
      <c r="KHW29" s="160">
        <f t="shared" ref="KHW29" si="3830">KHU29*$C$29</f>
        <v>1.747292768876462E+53</v>
      </c>
      <c r="KHY29" s="160">
        <f t="shared" ref="KHY29" si="3831">KHW29*$C$29</f>
        <v>1.799711551942756E+53</v>
      </c>
      <c r="KIA29" s="160">
        <f t="shared" ref="KIA29" si="3832">KHY29*$C$29</f>
        <v>1.8537028985010387E+53</v>
      </c>
      <c r="KIC29" s="160">
        <f t="shared" ref="KIC29" si="3833">KIA29*$C$29</f>
        <v>1.90931398545607E+53</v>
      </c>
      <c r="KIE29" s="160">
        <f t="shared" ref="KIE29" si="3834">KIC29*$C$29</f>
        <v>1.9665934050197522E+53</v>
      </c>
      <c r="KIG29" s="160">
        <f t="shared" ref="KIG29" si="3835">KIE29*$C$29</f>
        <v>2.0255912071703447E+53</v>
      </c>
      <c r="KII29" s="160">
        <f t="shared" ref="KII29" si="3836">KIG29*$C$29</f>
        <v>2.0863589433854549E+53</v>
      </c>
      <c r="KIK29" s="160">
        <f t="shared" ref="KIK29" si="3837">KII29*$C$29</f>
        <v>2.1489497116870187E+53</v>
      </c>
      <c r="KIM29" s="160">
        <f t="shared" ref="KIM29" si="3838">KIK29*$C$29</f>
        <v>2.2134182030376295E+53</v>
      </c>
      <c r="KIO29" s="160">
        <f t="shared" ref="KIO29" si="3839">KIM29*$C$29</f>
        <v>2.2798207491287584E+53</v>
      </c>
      <c r="KIQ29" s="160">
        <f t="shared" ref="KIQ29" si="3840">KIO29*$C$29</f>
        <v>2.3482153716026213E+53</v>
      </c>
      <c r="KIS29" s="160">
        <f t="shared" ref="KIS29" si="3841">KIQ29*$C$29</f>
        <v>2.4186618327507002E+53</v>
      </c>
      <c r="KIU29" s="160">
        <f t="shared" ref="KIU29" si="3842">KIS29*$C$29</f>
        <v>2.4912216877332214E+53</v>
      </c>
      <c r="KIW29" s="160">
        <f t="shared" ref="KIW29" si="3843">KIU29*$C$29</f>
        <v>2.565958338365218E+53</v>
      </c>
      <c r="KIY29" s="160">
        <f t="shared" ref="KIY29" si="3844">KIW29*$C$29</f>
        <v>2.6429370885161748E+53</v>
      </c>
      <c r="KJA29" s="160">
        <f t="shared" ref="KJA29" si="3845">KIY29*$C$29</f>
        <v>2.72222520117166E+53</v>
      </c>
      <c r="KJC29" s="160">
        <f t="shared" ref="KJC29" si="3846">KJA29*$C$29</f>
        <v>2.8038919572068098E+53</v>
      </c>
      <c r="KJE29" s="160">
        <f t="shared" ref="KJE29" si="3847">KJC29*$C$29</f>
        <v>2.888008715923014E+53</v>
      </c>
      <c r="KJG29" s="160">
        <f t="shared" ref="KJG29" si="3848">KJE29*$C$29</f>
        <v>2.9746489774007045E+53</v>
      </c>
      <c r="KJI29" s="160">
        <f t="shared" ref="KJI29" si="3849">KJG29*$C$29</f>
        <v>3.0638884467227259E+53</v>
      </c>
      <c r="KJK29" s="160">
        <f t="shared" ref="KJK29" si="3850">KJI29*$C$29</f>
        <v>3.1558051001244076E+53</v>
      </c>
      <c r="KJM29" s="160">
        <f t="shared" ref="KJM29" si="3851">KJK29*$C$29</f>
        <v>3.2504792531281397E+53</v>
      </c>
      <c r="KJO29" s="160">
        <f t="shared" ref="KJO29" si="3852">KJM29*$C$29</f>
        <v>3.347993630721984E+53</v>
      </c>
      <c r="KJQ29" s="160">
        <f t="shared" ref="KJQ29" si="3853">KJO29*$C$29</f>
        <v>3.4484334396436438E+53</v>
      </c>
      <c r="KJS29" s="160">
        <f t="shared" ref="KJS29" si="3854">KJQ29*$C$29</f>
        <v>3.5518864428329533E+53</v>
      </c>
      <c r="KJU29" s="160">
        <f t="shared" ref="KJU29" si="3855">KJS29*$C$29</f>
        <v>3.6584430361179422E+53</v>
      </c>
      <c r="KJW29" s="160">
        <f t="shared" ref="KJW29" si="3856">KJU29*$C$29</f>
        <v>3.7681963272014806E+53</v>
      </c>
      <c r="KJY29" s="160">
        <f t="shared" ref="KJY29" si="3857">KJW29*$C$29</f>
        <v>3.8812422170175254E+53</v>
      </c>
      <c r="KKA29" s="160">
        <f t="shared" ref="KKA29" si="3858">KJY29*$C$29</f>
        <v>3.9976794835280511E+53</v>
      </c>
      <c r="KKC29" s="160">
        <f t="shared" ref="KKC29" si="3859">KKA29*$C$29</f>
        <v>4.117609868033893E+53</v>
      </c>
      <c r="KKE29" s="160">
        <f t="shared" ref="KKE29" si="3860">KKC29*$C$29</f>
        <v>4.2411381640749103E+53</v>
      </c>
      <c r="KKG29" s="160">
        <f t="shared" ref="KKG29" si="3861">KKE29*$C$29</f>
        <v>4.3683723089971577E+53</v>
      </c>
      <c r="KKI29" s="160">
        <f t="shared" ref="KKI29" si="3862">KKG29*$C$29</f>
        <v>4.4994234782670723E+53</v>
      </c>
      <c r="KKK29" s="160">
        <f t="shared" ref="KKK29" si="3863">KKI29*$C$29</f>
        <v>4.6344061826150842E+53</v>
      </c>
      <c r="KKM29" s="160">
        <f t="shared" ref="KKM29" si="3864">KKK29*$C$29</f>
        <v>4.7734383680935372E+53</v>
      </c>
      <c r="KKO29" s="160">
        <f t="shared" ref="KKO29" si="3865">KKM29*$C$29</f>
        <v>4.9166415191363439E+53</v>
      </c>
      <c r="KKQ29" s="160">
        <f t="shared" ref="KKQ29" si="3866">KKO29*$C$29</f>
        <v>5.0641407647104346E+53</v>
      </c>
      <c r="KKS29" s="160">
        <f t="shared" ref="KKS29" si="3867">KKQ29*$C$29</f>
        <v>5.2160649876517475E+53</v>
      </c>
      <c r="KKU29" s="160">
        <f t="shared" ref="KKU29" si="3868">KKS29*$C$29</f>
        <v>5.3725469372813002E+53</v>
      </c>
      <c r="KKW29" s="160">
        <f t="shared" ref="KKW29" si="3869">KKU29*$C$29</f>
        <v>5.5337233453997396E+53</v>
      </c>
      <c r="KKY29" s="160">
        <f t="shared" ref="KKY29" si="3870">KKW29*$C$29</f>
        <v>5.6997350457617317E+53</v>
      </c>
      <c r="KLA29" s="160">
        <f t="shared" ref="KLA29" si="3871">KKY29*$C$29</f>
        <v>5.8707270971345838E+53</v>
      </c>
      <c r="KLC29" s="160">
        <f t="shared" ref="KLC29" si="3872">KLA29*$C$29</f>
        <v>6.0468489100486214E+53</v>
      </c>
      <c r="KLE29" s="160">
        <f t="shared" ref="KLE29" si="3873">KLC29*$C$29</f>
        <v>6.2282543773500802E+53</v>
      </c>
      <c r="KLG29" s="160">
        <f t="shared" ref="KLG29" si="3874">KLE29*$C$29</f>
        <v>6.4151020086705825E+53</v>
      </c>
      <c r="KLI29" s="160">
        <f t="shared" ref="KLI29" si="3875">KLG29*$C$29</f>
        <v>6.6075550689307005E+53</v>
      </c>
      <c r="KLK29" s="160">
        <f t="shared" ref="KLK29" si="3876">KLI29*$C$29</f>
        <v>6.8057817209986213E+53</v>
      </c>
      <c r="KLM29" s="160">
        <f t="shared" ref="KLM29" si="3877">KLK29*$C$29</f>
        <v>7.00995517262858E+53</v>
      </c>
      <c r="KLO29" s="160">
        <f t="shared" ref="KLO29" si="3878">KLM29*$C$29</f>
        <v>7.2202538278074373E+53</v>
      </c>
      <c r="KLQ29" s="160">
        <f t="shared" ref="KLQ29" si="3879">KLO29*$C$29</f>
        <v>7.4368614426416603E+53</v>
      </c>
      <c r="KLS29" s="160">
        <f t="shared" ref="KLS29" si="3880">KLQ29*$C$29</f>
        <v>7.6599672859209103E+53</v>
      </c>
      <c r="KLU29" s="160">
        <f t="shared" ref="KLU29" si="3881">KLS29*$C$29</f>
        <v>7.8897663044985386E+53</v>
      </c>
      <c r="KLW29" s="160">
        <f t="shared" ref="KLW29" si="3882">KLU29*$C$29</f>
        <v>8.1264592936334947E+53</v>
      </c>
      <c r="KLY29" s="160">
        <f t="shared" ref="KLY29" si="3883">KLW29*$C$29</f>
        <v>8.3702530724425E+53</v>
      </c>
      <c r="KMA29" s="160">
        <f t="shared" ref="KMA29" si="3884">KLY29*$C$29</f>
        <v>8.6213606646157753E+53</v>
      </c>
      <c r="KMC29" s="160">
        <f t="shared" ref="KMC29" si="3885">KMA29*$C$29</f>
        <v>8.8800014845542488E+53</v>
      </c>
      <c r="KME29" s="160">
        <f t="shared" ref="KME29" si="3886">KMC29*$C$29</f>
        <v>9.1464015290908768E+53</v>
      </c>
      <c r="KMG29" s="160">
        <f t="shared" ref="KMG29" si="3887">KME29*$C$29</f>
        <v>9.4207935749636033E+53</v>
      </c>
      <c r="KMI29" s="160">
        <f t="shared" ref="KMI29" si="3888">KMG29*$C$29</f>
        <v>9.7034173822125109E+53</v>
      </c>
      <c r="KMK29" s="160">
        <f t="shared" ref="KMK29" si="3889">KMI29*$C$29</f>
        <v>9.9945199036788864E+53</v>
      </c>
      <c r="KMM29" s="160">
        <f t="shared" ref="KMM29" si="3890">KMK29*$C$29</f>
        <v>1.0294355500789254E+54</v>
      </c>
      <c r="KMO29" s="160">
        <f t="shared" ref="KMO29" si="3891">KMM29*$C$29</f>
        <v>1.0603186165812932E+54</v>
      </c>
      <c r="KMQ29" s="160">
        <f t="shared" ref="KMQ29" si="3892">KMO29*$C$29</f>
        <v>1.092128175078732E+54</v>
      </c>
      <c r="KMS29" s="160">
        <f t="shared" ref="KMS29" si="3893">KMQ29*$C$29</f>
        <v>1.124892020331094E+54</v>
      </c>
      <c r="KMU29" s="160">
        <f t="shared" ref="KMU29" si="3894">KMS29*$C$29</f>
        <v>1.1586387809410269E+54</v>
      </c>
      <c r="KMW29" s="160">
        <f t="shared" ref="KMW29" si="3895">KMU29*$C$29</f>
        <v>1.1933979443692577E+54</v>
      </c>
      <c r="KMY29" s="160">
        <f t="shared" ref="KMY29" si="3896">KMW29*$C$29</f>
        <v>1.2291998827003355E+54</v>
      </c>
      <c r="KNA29" s="160">
        <f t="shared" ref="KNA29" si="3897">KMY29*$C$29</f>
        <v>1.2660758791813456E+54</v>
      </c>
      <c r="KNC29" s="160">
        <f t="shared" ref="KNC29" si="3898">KNA29*$C$29</f>
        <v>1.304058155556786E+54</v>
      </c>
      <c r="KNE29" s="160">
        <f t="shared" ref="KNE29" si="3899">KNC29*$C$29</f>
        <v>1.3431799002234896E+54</v>
      </c>
      <c r="KNG29" s="160">
        <f t="shared" ref="KNG29" si="3900">KNE29*$C$29</f>
        <v>1.3834752972301944E+54</v>
      </c>
      <c r="KNI29" s="160">
        <f t="shared" ref="KNI29" si="3901">KNG29*$C$29</f>
        <v>1.4249795561471002E+54</v>
      </c>
      <c r="KNK29" s="160">
        <f t="shared" ref="KNK29" si="3902">KNI29*$C$29</f>
        <v>1.4677289428315132E+54</v>
      </c>
      <c r="KNM29" s="160">
        <f t="shared" ref="KNM29" si="3903">KNK29*$C$29</f>
        <v>1.5117608111164587E+54</v>
      </c>
      <c r="KNO29" s="160">
        <f t="shared" ref="KNO29" si="3904">KNM29*$C$29</f>
        <v>1.5571136354499525E+54</v>
      </c>
      <c r="KNQ29" s="160">
        <f t="shared" ref="KNQ29" si="3905">KNO29*$C$29</f>
        <v>1.6038270445134511E+54</v>
      </c>
      <c r="KNS29" s="160">
        <f t="shared" ref="KNS29" si="3906">KNQ29*$C$29</f>
        <v>1.6519418558488548E+54</v>
      </c>
      <c r="KNU29" s="160">
        <f t="shared" ref="KNU29" si="3907">KNS29*$C$29</f>
        <v>1.7015001115243204E+54</v>
      </c>
      <c r="KNW29" s="160">
        <f t="shared" ref="KNW29" si="3908">KNU29*$C$29</f>
        <v>1.7525451148700501E+54</v>
      </c>
      <c r="KNY29" s="160">
        <f t="shared" ref="KNY29" si="3909">KNW29*$C$29</f>
        <v>1.8051214683161517E+54</v>
      </c>
      <c r="KOA29" s="160">
        <f t="shared" ref="KOA29" si="3910">KNY29*$C$29</f>
        <v>1.8592751123656362E+54</v>
      </c>
      <c r="KOC29" s="160">
        <f t="shared" ref="KOC29" si="3911">KOA29*$C$29</f>
        <v>1.9150533657366053E+54</v>
      </c>
      <c r="KOE29" s="160">
        <f t="shared" ref="KOE29" si="3912">KOC29*$C$29</f>
        <v>1.9725049667087035E+54</v>
      </c>
      <c r="KOG29" s="160">
        <f t="shared" ref="KOG29" si="3913">KOE29*$C$29</f>
        <v>2.0316801157099646E+54</v>
      </c>
      <c r="KOI29" s="160">
        <f t="shared" ref="KOI29" si="3914">KOG29*$C$29</f>
        <v>2.0926305191812637E+54</v>
      </c>
      <c r="KOK29" s="160">
        <f t="shared" ref="KOK29" si="3915">KOI29*$C$29</f>
        <v>2.1554094347567018E+54</v>
      </c>
      <c r="KOM29" s="160">
        <f t="shared" ref="KOM29" si="3916">KOK29*$C$29</f>
        <v>2.2200717177994027E+54</v>
      </c>
      <c r="KOO29" s="160">
        <f t="shared" ref="KOO29" si="3917">KOM29*$C$29</f>
        <v>2.2866738693333849E+54</v>
      </c>
      <c r="KOQ29" s="160">
        <f t="shared" ref="KOQ29" si="3918">KOO29*$C$29</f>
        <v>2.3552740854133864E+54</v>
      </c>
      <c r="KOS29" s="160">
        <f t="shared" ref="KOS29" si="3919">KOQ29*$C$29</f>
        <v>2.4259323079757882E+54</v>
      </c>
      <c r="KOU29" s="160">
        <f t="shared" ref="KOU29" si="3920">KOS29*$C$29</f>
        <v>2.4987102772150619E+54</v>
      </c>
      <c r="KOW29" s="160">
        <f t="shared" ref="KOW29" si="3921">KOU29*$C$29</f>
        <v>2.5736715855315136E+54</v>
      </c>
      <c r="KOY29" s="160">
        <f t="shared" ref="KOY29" si="3922">KOW29*$C$29</f>
        <v>2.650881733097459E+54</v>
      </c>
      <c r="KPA29" s="160">
        <f t="shared" ref="KPA29" si="3923">KOY29*$C$29</f>
        <v>2.730408185090383E+54</v>
      </c>
      <c r="KPC29" s="160">
        <f t="shared" ref="KPC29" si="3924">KPA29*$C$29</f>
        <v>2.8123204306430945E+54</v>
      </c>
      <c r="KPE29" s="160">
        <f t="shared" ref="KPE29" si="3925">KPC29*$C$29</f>
        <v>2.8966900435623875E+54</v>
      </c>
      <c r="KPG29" s="160">
        <f t="shared" ref="KPG29" si="3926">KPE29*$C$29</f>
        <v>2.9835907448692593E+54</v>
      </c>
      <c r="KPI29" s="160">
        <f t="shared" ref="KPI29" si="3927">KPG29*$C$29</f>
        <v>3.0730984672153369E+54</v>
      </c>
      <c r="KPK29" s="160">
        <f t="shared" ref="KPK29" si="3928">KPI29*$C$29</f>
        <v>3.1652914212317972E+54</v>
      </c>
      <c r="KPM29" s="160">
        <f t="shared" ref="KPM29" si="3929">KPK29*$C$29</f>
        <v>3.2602501638687514E+54</v>
      </c>
      <c r="KPO29" s="160">
        <f t="shared" ref="KPO29" si="3930">KPM29*$C$29</f>
        <v>3.3580576687848137E+54</v>
      </c>
      <c r="KPQ29" s="160">
        <f t="shared" ref="KPQ29" si="3931">KPO29*$C$29</f>
        <v>3.4587993988483579E+54</v>
      </c>
      <c r="KPS29" s="160">
        <f t="shared" ref="KPS29" si="3932">KPQ29*$C$29</f>
        <v>3.5625633808138085E+54</v>
      </c>
      <c r="KPU29" s="160">
        <f t="shared" ref="KPU29" si="3933">KPS29*$C$29</f>
        <v>3.6694402822382228E+54</v>
      </c>
      <c r="KPW29" s="160">
        <f t="shared" ref="KPW29" si="3934">KPU29*$C$29</f>
        <v>3.7795234907053696E+54</v>
      </c>
      <c r="KPY29" s="160">
        <f t="shared" ref="KPY29" si="3935">KPW29*$C$29</f>
        <v>3.8929091954265306E+54</v>
      </c>
      <c r="KQA29" s="160">
        <f t="shared" ref="KQA29" si="3936">KPY29*$C$29</f>
        <v>4.0096964712893266E+54</v>
      </c>
      <c r="KQC29" s="160">
        <f t="shared" ref="KQC29" si="3937">KQA29*$C$29</f>
        <v>4.1299873654280065E+54</v>
      </c>
      <c r="KQE29" s="160">
        <f t="shared" ref="KQE29" si="3938">KQC29*$C$29</f>
        <v>4.2538869863908469E+54</v>
      </c>
      <c r="KQG29" s="160">
        <f t="shared" ref="KQG29" si="3939">KQE29*$C$29</f>
        <v>4.3815035959825722E+54</v>
      </c>
      <c r="KQI29" s="160">
        <f t="shared" ref="KQI29" si="3940">KQG29*$C$29</f>
        <v>4.5129487038620497E+54</v>
      </c>
      <c r="KQK29" s="160">
        <f t="shared" ref="KQK29" si="3941">KQI29*$C$29</f>
        <v>4.6483371649779115E+54</v>
      </c>
      <c r="KQM29" s="160">
        <f t="shared" ref="KQM29" si="3942">KQK29*$C$29</f>
        <v>4.7877872799272489E+54</v>
      </c>
      <c r="KQO29" s="160">
        <f t="shared" ref="KQO29" si="3943">KQM29*$C$29</f>
        <v>4.9314208983250662E+54</v>
      </c>
      <c r="KQQ29" s="160">
        <f t="shared" ref="KQQ29" si="3944">KQO29*$C$29</f>
        <v>5.0793635252748181E+54</v>
      </c>
      <c r="KQS29" s="160">
        <f t="shared" ref="KQS29" si="3945">KQQ29*$C$29</f>
        <v>5.2317444310330627E+54</v>
      </c>
      <c r="KQU29" s="160">
        <f t="shared" ref="KQU29" si="3946">KQS29*$C$29</f>
        <v>5.3886967639640548E+54</v>
      </c>
      <c r="KQW29" s="160">
        <f t="shared" ref="KQW29" si="3947">KQU29*$C$29</f>
        <v>5.5503576668829769E+54</v>
      </c>
      <c r="KQY29" s="160">
        <f t="shared" ref="KQY29" si="3948">KQW29*$C$29</f>
        <v>5.7168683968894661E+54</v>
      </c>
      <c r="KRA29" s="160">
        <f t="shared" ref="KRA29" si="3949">KQY29*$C$29</f>
        <v>5.8883744487961505E+54</v>
      </c>
      <c r="KRC29" s="160">
        <f t="shared" ref="KRC29" si="3950">KRA29*$C$29</f>
        <v>6.0650256822600353E+54</v>
      </c>
      <c r="KRE29" s="160">
        <f t="shared" ref="KRE29" si="3951">KRC29*$C$29</f>
        <v>6.246976452727836E+54</v>
      </c>
      <c r="KRG29" s="160">
        <f t="shared" ref="KRG29" si="3952">KRE29*$C$29</f>
        <v>6.4343857463096715E+54</v>
      </c>
      <c r="KRI29" s="160">
        <f t="shared" ref="KRI29" si="3953">KRG29*$C$29</f>
        <v>6.6274173186989613E+54</v>
      </c>
      <c r="KRK29" s="160">
        <f t="shared" ref="KRK29" si="3954">KRI29*$C$29</f>
        <v>6.8262398382599303E+54</v>
      </c>
      <c r="KRM29" s="160">
        <f t="shared" ref="KRM29" si="3955">KRK29*$C$29</f>
        <v>7.031027033407728E+54</v>
      </c>
      <c r="KRO29" s="160">
        <f t="shared" ref="KRO29" si="3956">KRM29*$C$29</f>
        <v>7.2419578444099606E+54</v>
      </c>
      <c r="KRQ29" s="160">
        <f t="shared" ref="KRQ29" si="3957">KRO29*$C$29</f>
        <v>7.4592165797422596E+54</v>
      </c>
      <c r="KRS29" s="160">
        <f t="shared" ref="KRS29" si="3958">KRQ29*$C$29</f>
        <v>7.6829930771345278E+54</v>
      </c>
      <c r="KRU29" s="160">
        <f t="shared" ref="KRU29" si="3959">KRS29*$C$29</f>
        <v>7.9134828694485641E+54</v>
      </c>
      <c r="KRW29" s="160">
        <f t="shared" ref="KRW29" si="3960">KRU29*$C$29</f>
        <v>8.1508873555320217E+54</v>
      </c>
      <c r="KRY29" s="160">
        <f t="shared" ref="KRY29" si="3961">KRW29*$C$29</f>
        <v>8.395413976197982E+54</v>
      </c>
      <c r="KSA29" s="160">
        <f t="shared" ref="KSA29" si="3962">KRY29*$C$29</f>
        <v>8.6472763954839213E+54</v>
      </c>
      <c r="KSC29" s="160">
        <f t="shared" ref="KSC29" si="3963">KSA29*$C$29</f>
        <v>8.9066946873484398E+54</v>
      </c>
      <c r="KSE29" s="160">
        <f t="shared" ref="KSE29" si="3964">KSC29*$C$29</f>
        <v>9.1738955279688927E+54</v>
      </c>
      <c r="KSG29" s="160">
        <f t="shared" ref="KSG29" si="3965">KSE29*$C$29</f>
        <v>9.4491123938079594E+54</v>
      </c>
      <c r="KSI29" s="160">
        <f t="shared" ref="KSI29" si="3966">KSG29*$C$29</f>
        <v>9.7325857656221986E+54</v>
      </c>
      <c r="KSK29" s="160">
        <f t="shared" ref="KSK29" si="3967">KSI29*$C$29</f>
        <v>1.0024563338590864E+55</v>
      </c>
      <c r="KSM29" s="160">
        <f t="shared" ref="KSM29" si="3968">KSK29*$C$29</f>
        <v>1.032530023874859E+55</v>
      </c>
      <c r="KSO29" s="160">
        <f t="shared" ref="KSO29" si="3969">KSM29*$C$29</f>
        <v>1.0635059245911048E+55</v>
      </c>
      <c r="KSQ29" s="160">
        <f t="shared" ref="KSQ29" si="3970">KSO29*$C$29</f>
        <v>1.0954111023288381E+55</v>
      </c>
      <c r="KSS29" s="160">
        <f t="shared" ref="KSS29" si="3971">KSQ29*$C$29</f>
        <v>1.1282734353987032E+55</v>
      </c>
      <c r="KSU29" s="160">
        <f t="shared" ref="KSU29" si="3972">KSS29*$C$29</f>
        <v>1.1621216384606643E+55</v>
      </c>
      <c r="KSW29" s="160">
        <f t="shared" ref="KSW29" si="3973">KSU29*$C$29</f>
        <v>1.1969852876144843E+55</v>
      </c>
      <c r="KSY29" s="160">
        <f t="shared" ref="KSY29" si="3974">KSW29*$C$29</f>
        <v>1.2328948462429187E+55</v>
      </c>
      <c r="KTA29" s="160">
        <f t="shared" ref="KTA29" si="3975">KSY29*$C$29</f>
        <v>1.2698816916302064E+55</v>
      </c>
      <c r="KTC29" s="160">
        <f t="shared" ref="KTC29" si="3976">KTA29*$C$29</f>
        <v>1.3079781423791126E+55</v>
      </c>
      <c r="KTE29" s="160">
        <f t="shared" ref="KTE29" si="3977">KTC29*$C$29</f>
        <v>1.3472174866504859E+55</v>
      </c>
      <c r="KTG29" s="160">
        <f t="shared" ref="KTG29" si="3978">KTE29*$C$29</f>
        <v>1.3876340112500005E+55</v>
      </c>
      <c r="KTI29" s="160">
        <f t="shared" ref="KTI29" si="3979">KTG29*$C$29</f>
        <v>1.4292630315875005E+55</v>
      </c>
      <c r="KTK29" s="160">
        <f t="shared" ref="KTK29" si="3980">KTI29*$C$29</f>
        <v>1.4721409225351254E+55</v>
      </c>
      <c r="KTM29" s="160">
        <f t="shared" ref="KTM29" si="3981">KTK29*$C$29</f>
        <v>1.5163051502111794E+55</v>
      </c>
      <c r="KTO29" s="160">
        <f t="shared" ref="KTO29" si="3982">KTM29*$C$29</f>
        <v>1.5617943047175147E+55</v>
      </c>
      <c r="KTQ29" s="160">
        <f t="shared" ref="KTQ29" si="3983">KTO29*$C$29</f>
        <v>1.6086481338590403E+55</v>
      </c>
      <c r="KTS29" s="160">
        <f t="shared" ref="KTS29" si="3984">KTQ29*$C$29</f>
        <v>1.6569075778748115E+55</v>
      </c>
      <c r="KTU29" s="160">
        <f t="shared" ref="KTU29" si="3985">KTS29*$C$29</f>
        <v>1.706614805211056E+55</v>
      </c>
      <c r="KTW29" s="160">
        <f t="shared" ref="KTW29" si="3986">KTU29*$C$29</f>
        <v>1.7578132493673876E+55</v>
      </c>
      <c r="KTY29" s="160">
        <f t="shared" ref="KTY29" si="3987">KTW29*$C$29</f>
        <v>1.8105476468484093E+55</v>
      </c>
      <c r="KUA29" s="160">
        <f t="shared" ref="KUA29" si="3988">KTY29*$C$29</f>
        <v>1.8648640762538617E+55</v>
      </c>
      <c r="KUC29" s="160">
        <f t="shared" ref="KUC29" si="3989">KUA29*$C$29</f>
        <v>1.9208099985414776E+55</v>
      </c>
      <c r="KUE29" s="160">
        <f t="shared" ref="KUE29" si="3990">KUC29*$C$29</f>
        <v>1.9784342984977221E+55</v>
      </c>
      <c r="KUG29" s="160">
        <f t="shared" ref="KUG29" si="3991">KUE29*$C$29</f>
        <v>2.0377873274526539E+55</v>
      </c>
      <c r="KUI29" s="160">
        <f t="shared" ref="KUI29" si="3992">KUG29*$C$29</f>
        <v>2.0989209472762336E+55</v>
      </c>
      <c r="KUK29" s="160">
        <f t="shared" ref="KUK29" si="3993">KUI29*$C$29</f>
        <v>2.1618885756945207E+55</v>
      </c>
      <c r="KUM29" s="160">
        <f t="shared" ref="KUM29" si="3994">KUK29*$C$29</f>
        <v>2.2267452329653563E+55</v>
      </c>
      <c r="KUO29" s="160">
        <f t="shared" ref="KUO29" si="3995">KUM29*$C$29</f>
        <v>2.2935475899543169E+55</v>
      </c>
      <c r="KUQ29" s="160">
        <f t="shared" ref="KUQ29" si="3996">KUO29*$C$29</f>
        <v>2.3623540176529465E+55</v>
      </c>
      <c r="KUS29" s="160">
        <f t="shared" ref="KUS29" si="3997">KUQ29*$C$29</f>
        <v>2.433224638182535E+55</v>
      </c>
      <c r="KUU29" s="160">
        <f t="shared" ref="KUU29" si="3998">KUS29*$C$29</f>
        <v>2.506221377328011E+55</v>
      </c>
      <c r="KUW29" s="160">
        <f t="shared" ref="KUW29" si="3999">KUU29*$C$29</f>
        <v>2.5814080186478513E+55</v>
      </c>
      <c r="KUY29" s="160">
        <f t="shared" ref="KUY29" si="4000">KUW29*$C$29</f>
        <v>2.6588502592072871E+55</v>
      </c>
      <c r="KVA29" s="160">
        <f t="shared" ref="KVA29" si="4001">KUY29*$C$29</f>
        <v>2.7386157669835058E+55</v>
      </c>
      <c r="KVC29" s="160">
        <f t="shared" ref="KVC29" si="4002">KVA29*$C$29</f>
        <v>2.8207742399930111E+55</v>
      </c>
      <c r="KVE29" s="160">
        <f t="shared" ref="KVE29" si="4003">KVC29*$C$29</f>
        <v>2.9053974671928013E+55</v>
      </c>
      <c r="KVG29" s="160">
        <f t="shared" ref="KVG29" si="4004">KVE29*$C$29</f>
        <v>2.9925593912085853E+55</v>
      </c>
      <c r="KVI29" s="160">
        <f t="shared" ref="KVI29" si="4005">KVG29*$C$29</f>
        <v>3.0823361729448428E+55</v>
      </c>
      <c r="KVK29" s="160">
        <f t="shared" ref="KVK29" si="4006">KVI29*$C$29</f>
        <v>3.1748062581331881E+55</v>
      </c>
      <c r="KVM29" s="160">
        <f t="shared" ref="KVM29" si="4007">KVK29*$C$29</f>
        <v>3.2700504458771837E+55</v>
      </c>
      <c r="KVO29" s="160">
        <f t="shared" ref="KVO29" si="4008">KVM29*$C$29</f>
        <v>3.3681519592534992E+55</v>
      </c>
      <c r="KVQ29" s="160">
        <f t="shared" ref="KVQ29" si="4009">KVO29*$C$29</f>
        <v>3.4691965180311041E+55</v>
      </c>
      <c r="KVS29" s="160">
        <f t="shared" ref="KVS29" si="4010">KVQ29*$C$29</f>
        <v>3.5732724135720371E+55</v>
      </c>
      <c r="KVU29" s="160">
        <f t="shared" ref="KVU29" si="4011">KVS29*$C$29</f>
        <v>3.6804705859791985E+55</v>
      </c>
      <c r="KVW29" s="160">
        <f t="shared" ref="KVW29" si="4012">KVU29*$C$29</f>
        <v>3.7908847035585748E+55</v>
      </c>
      <c r="KVY29" s="160">
        <f t="shared" ref="KVY29" si="4013">KVW29*$C$29</f>
        <v>3.9046112446653322E+55</v>
      </c>
      <c r="KWA29" s="160">
        <f t="shared" ref="KWA29" si="4014">KVY29*$C$29</f>
        <v>4.0217495820052925E+55</v>
      </c>
      <c r="KWC29" s="160">
        <f t="shared" ref="KWC29" si="4015">KWA29*$C$29</f>
        <v>4.1424020694654513E+55</v>
      </c>
      <c r="KWE29" s="160">
        <f t="shared" ref="KWE29" si="4016">KWC29*$C$29</f>
        <v>4.2666741315494151E+55</v>
      </c>
      <c r="KWG29" s="160">
        <f t="shared" ref="KWG29" si="4017">KWE29*$C$29</f>
        <v>4.3946743554958975E+55</v>
      </c>
      <c r="KWI29" s="160">
        <f t="shared" ref="KWI29" si="4018">KWG29*$C$29</f>
        <v>4.5265145861607747E+55</v>
      </c>
      <c r="KWK29" s="160">
        <f t="shared" ref="KWK29" si="4019">KWI29*$C$29</f>
        <v>4.6623100237455982E+55</v>
      </c>
      <c r="KWM29" s="160">
        <f t="shared" ref="KWM29" si="4020">KWK29*$C$29</f>
        <v>4.8021793244579663E+55</v>
      </c>
      <c r="KWO29" s="160">
        <f t="shared" ref="KWO29" si="4021">KWM29*$C$29</f>
        <v>4.946244704191705E+55</v>
      </c>
      <c r="KWQ29" s="160">
        <f t="shared" ref="KWQ29" si="4022">KWO29*$C$29</f>
        <v>5.0946320453174567E+55</v>
      </c>
      <c r="KWS29" s="160">
        <f t="shared" ref="KWS29" si="4023">KWQ29*$C$29</f>
        <v>5.2474710066769803E+55</v>
      </c>
      <c r="KWU29" s="160">
        <f t="shared" ref="KWU29" si="4024">KWS29*$C$29</f>
        <v>5.4048951368772895E+55</v>
      </c>
      <c r="KWW29" s="160">
        <f t="shared" ref="KWW29" si="4025">KWU29*$C$29</f>
        <v>5.5670419909836082E+55</v>
      </c>
      <c r="KWY29" s="160">
        <f t="shared" ref="KWY29" si="4026">KWW29*$C$29</f>
        <v>5.7340532507131162E+55</v>
      </c>
      <c r="KXA29" s="160">
        <f t="shared" ref="KXA29" si="4027">KWY29*$C$29</f>
        <v>5.9060748482345103E+55</v>
      </c>
      <c r="KXC29" s="160">
        <f t="shared" ref="KXC29" si="4028">KXA29*$C$29</f>
        <v>6.083257093681546E+55</v>
      </c>
      <c r="KXE29" s="160">
        <f t="shared" ref="KXE29" si="4029">KXC29*$C$29</f>
        <v>6.265754806491992E+55</v>
      </c>
      <c r="KXG29" s="160">
        <f t="shared" ref="KXG29" si="4030">KXE29*$C$29</f>
        <v>6.4537274506867517E+55</v>
      </c>
      <c r="KXI29" s="160">
        <f t="shared" ref="KXI29" si="4031">KXG29*$C$29</f>
        <v>6.6473392742073546E+55</v>
      </c>
      <c r="KXK29" s="160">
        <f t="shared" ref="KXK29" si="4032">KXI29*$C$29</f>
        <v>6.8467594524335751E+55</v>
      </c>
      <c r="KXM29" s="160">
        <f t="shared" ref="KXM29" si="4033">KXK29*$C$29</f>
        <v>7.0521622360065823E+55</v>
      </c>
      <c r="KXO29" s="160">
        <f t="shared" ref="KXO29" si="4034">KXM29*$C$29</f>
        <v>7.2637271030867798E+55</v>
      </c>
      <c r="KXQ29" s="160">
        <f t="shared" ref="KXQ29" si="4035">KXO29*$C$29</f>
        <v>7.4816389161793834E+55</v>
      </c>
      <c r="KXS29" s="160">
        <f t="shared" ref="KXS29" si="4036">KXQ29*$C$29</f>
        <v>7.7060880836647652E+55</v>
      </c>
      <c r="KXU29" s="160">
        <f t="shared" ref="KXU29" si="4037">KXS29*$C$29</f>
        <v>7.9372707261747079E+55</v>
      </c>
      <c r="KXW29" s="160">
        <f t="shared" ref="KXW29" si="4038">KXU29*$C$29</f>
        <v>8.1753888479599491E+55</v>
      </c>
      <c r="KXY29" s="160">
        <f t="shared" ref="KXY29" si="4039">KXW29*$C$29</f>
        <v>8.4206505133987475E+55</v>
      </c>
      <c r="KYA29" s="160">
        <f t="shared" ref="KYA29" si="4040">KXY29*$C$29</f>
        <v>8.6732700288007097E+55</v>
      </c>
      <c r="KYC29" s="160">
        <f t="shared" ref="KYC29" si="4041">KYA29*$C$29</f>
        <v>8.9334681296647317E+55</v>
      </c>
      <c r="KYE29" s="160">
        <f t="shared" ref="KYE29" si="4042">KYC29*$C$29</f>
        <v>9.2014721735546739E+55</v>
      </c>
      <c r="KYG29" s="160">
        <f t="shared" ref="KYG29" si="4043">KYE29*$C$29</f>
        <v>9.4775163387613142E+55</v>
      </c>
      <c r="KYI29" s="160">
        <f t="shared" ref="KYI29" si="4044">KYG29*$C$29</f>
        <v>9.7618418289241535E+55</v>
      </c>
      <c r="KYK29" s="160">
        <f t="shared" ref="KYK29" si="4045">KYI29*$C$29</f>
        <v>1.0054697083791877E+56</v>
      </c>
      <c r="KYM29" s="160">
        <f t="shared" ref="KYM29" si="4046">KYK29*$C$29</f>
        <v>1.0356337996305633E+56</v>
      </c>
      <c r="KYO29" s="160">
        <f t="shared" ref="KYO29" si="4047">KYM29*$C$29</f>
        <v>1.0667028136194803E+56</v>
      </c>
      <c r="KYQ29" s="160">
        <f t="shared" ref="KYQ29" si="4048">KYO29*$C$29</f>
        <v>1.0987038980280647E+56</v>
      </c>
      <c r="KYS29" s="160">
        <f t="shared" ref="KYS29" si="4049">KYQ29*$C$29</f>
        <v>1.1316650149689067E+56</v>
      </c>
      <c r="KYU29" s="160">
        <f t="shared" ref="KYU29" si="4050">KYS29*$C$29</f>
        <v>1.1656149654179739E+56</v>
      </c>
      <c r="KYW29" s="160">
        <f t="shared" ref="KYW29" si="4051">KYU29*$C$29</f>
        <v>1.2005834143805131E+56</v>
      </c>
      <c r="KYY29" s="160">
        <f t="shared" ref="KYY29" si="4052">KYW29*$C$29</f>
        <v>1.2366009168119286E+56</v>
      </c>
      <c r="KZA29" s="160">
        <f t="shared" ref="KZA29" si="4053">KYY29*$C$29</f>
        <v>1.2736989443162866E+56</v>
      </c>
      <c r="KZC29" s="160">
        <f t="shared" ref="KZC29" si="4054">KZA29*$C$29</f>
        <v>1.3119099126457753E+56</v>
      </c>
      <c r="KZE29" s="160">
        <f t="shared" ref="KZE29" si="4055">KZC29*$C$29</f>
        <v>1.3512672100251486E+56</v>
      </c>
      <c r="KZG29" s="160">
        <f t="shared" ref="KZG29" si="4056">KZE29*$C$29</f>
        <v>1.3918052263259031E+56</v>
      </c>
      <c r="KZI29" s="160">
        <f t="shared" ref="KZI29" si="4057">KZG29*$C$29</f>
        <v>1.4335593831156802E+56</v>
      </c>
      <c r="KZK29" s="160">
        <f t="shared" ref="KZK29" si="4058">KZI29*$C$29</f>
        <v>1.4765661646091507E+56</v>
      </c>
      <c r="KZM29" s="160">
        <f t="shared" ref="KZM29" si="4059">KZK29*$C$29</f>
        <v>1.5208631495474252E+56</v>
      </c>
      <c r="KZO29" s="160">
        <f t="shared" ref="KZO29" si="4060">KZM29*$C$29</f>
        <v>1.5664890440338481E+56</v>
      </c>
      <c r="KZQ29" s="160">
        <f t="shared" ref="KZQ29" si="4061">KZO29*$C$29</f>
        <v>1.6134837153548636E+56</v>
      </c>
      <c r="KZS29" s="160">
        <f t="shared" ref="KZS29" si="4062">KZQ29*$C$29</f>
        <v>1.6618882268155096E+56</v>
      </c>
      <c r="KZU29" s="160">
        <f t="shared" ref="KZU29" si="4063">KZS29*$C$29</f>
        <v>1.7117448736199749E+56</v>
      </c>
      <c r="KZW29" s="160">
        <f t="shared" ref="KZW29" si="4064">KZU29*$C$29</f>
        <v>1.7630972198285743E+56</v>
      </c>
      <c r="KZY29" s="160">
        <f t="shared" ref="KZY29" si="4065">KZW29*$C$29</f>
        <v>1.8159901364234315E+56</v>
      </c>
      <c r="LAA29" s="160">
        <f t="shared" ref="LAA29" si="4066">KZY29*$C$29</f>
        <v>1.8704698405161345E+56</v>
      </c>
      <c r="LAC29" s="160">
        <f t="shared" ref="LAC29" si="4067">LAA29*$C$29</f>
        <v>1.9265839357316185E+56</v>
      </c>
      <c r="LAE29" s="160">
        <f t="shared" ref="LAE29" si="4068">LAC29*$C$29</f>
        <v>1.9843814538035673E+56</v>
      </c>
      <c r="LAG29" s="160">
        <f t="shared" ref="LAG29" si="4069">LAE29*$C$29</f>
        <v>2.0439128974176744E+56</v>
      </c>
      <c r="LAI29" s="160">
        <f t="shared" ref="LAI29" si="4070">LAG29*$C$29</f>
        <v>2.1052302843402045E+56</v>
      </c>
      <c r="LAK29" s="160">
        <f t="shared" ref="LAK29" si="4071">LAI29*$C$29</f>
        <v>2.1683871928704108E+56</v>
      </c>
      <c r="LAM29" s="160">
        <f t="shared" ref="LAM29" si="4072">LAK29*$C$29</f>
        <v>2.2334388086565231E+56</v>
      </c>
      <c r="LAO29" s="160">
        <f t="shared" ref="LAO29" si="4073">LAM29*$C$29</f>
        <v>2.3004419729162191E+56</v>
      </c>
      <c r="LAQ29" s="160">
        <f t="shared" ref="LAQ29" si="4074">LAO29*$C$29</f>
        <v>2.3694552321037057E+56</v>
      </c>
      <c r="LAS29" s="160">
        <f t="shared" ref="LAS29" si="4075">LAQ29*$C$29</f>
        <v>2.4405388890668169E+56</v>
      </c>
      <c r="LAU29" s="160">
        <f t="shared" ref="LAU29" si="4076">LAS29*$C$29</f>
        <v>2.5137550557388214E+56</v>
      </c>
      <c r="LAW29" s="160">
        <f t="shared" ref="LAW29" si="4077">LAU29*$C$29</f>
        <v>2.589167707410986E+56</v>
      </c>
      <c r="LAY29" s="160">
        <f t="shared" ref="LAY29" si="4078">LAW29*$C$29</f>
        <v>2.6668427386333159E+56</v>
      </c>
      <c r="LBA29" s="160">
        <f t="shared" ref="LBA29" si="4079">LAY29*$C$29</f>
        <v>2.7468480207923154E+56</v>
      </c>
      <c r="LBC29" s="160">
        <f t="shared" ref="LBC29" si="4080">LBA29*$C$29</f>
        <v>2.8292534614160849E+56</v>
      </c>
      <c r="LBE29" s="160">
        <f t="shared" ref="LBE29" si="4081">LBC29*$C$29</f>
        <v>2.9141310652585674E+56</v>
      </c>
      <c r="LBG29" s="160">
        <f t="shared" ref="LBG29" si="4082">LBE29*$C$29</f>
        <v>3.0015549972163244E+56</v>
      </c>
      <c r="LBI29" s="160">
        <f t="shared" ref="LBI29" si="4083">LBG29*$C$29</f>
        <v>3.091601647132814E+56</v>
      </c>
      <c r="LBK29" s="160">
        <f t="shared" ref="LBK29" si="4084">LBI29*$C$29</f>
        <v>3.1843496965467986E+56</v>
      </c>
      <c r="LBM29" s="160">
        <f t="shared" ref="LBM29" si="4085">LBK29*$C$29</f>
        <v>3.2798801874432025E+56</v>
      </c>
      <c r="LBO29" s="160">
        <f t="shared" ref="LBO29" si="4086">LBM29*$C$29</f>
        <v>3.3782765930664987E+56</v>
      </c>
      <c r="LBQ29" s="160">
        <f t="shared" ref="LBQ29" si="4087">LBO29*$C$29</f>
        <v>3.4796248908584938E+56</v>
      </c>
      <c r="LBS29" s="160">
        <f t="shared" ref="LBS29" si="4088">LBQ29*$C$29</f>
        <v>3.5840136375842489E+56</v>
      </c>
      <c r="LBU29" s="160">
        <f t="shared" ref="LBU29" si="4089">LBS29*$C$29</f>
        <v>3.6915340467117767E+56</v>
      </c>
      <c r="LBW29" s="160">
        <f t="shared" ref="LBW29" si="4090">LBU29*$C$29</f>
        <v>3.8022800681131301E+56</v>
      </c>
      <c r="LBY29" s="160">
        <f t="shared" ref="LBY29" si="4091">LBW29*$C$29</f>
        <v>3.9163484701565242E+56</v>
      </c>
      <c r="LCA29" s="160">
        <f t="shared" ref="LCA29" si="4092">LBY29*$C$29</f>
        <v>4.0338389242612197E+56</v>
      </c>
      <c r="LCC29" s="160">
        <f t="shared" ref="LCC29" si="4093">LCA29*$C$29</f>
        <v>4.1548540919890563E+56</v>
      </c>
      <c r="LCE29" s="160">
        <f t="shared" ref="LCE29" si="4094">LCC29*$C$29</f>
        <v>4.2794997147487278E+56</v>
      </c>
      <c r="LCG29" s="160">
        <f t="shared" ref="LCG29" si="4095">LCE29*$C$29</f>
        <v>4.4078847061911895E+56</v>
      </c>
      <c r="LCI29" s="160">
        <f t="shared" ref="LCI29" si="4096">LCG29*$C$29</f>
        <v>4.5401212473769256E+56</v>
      </c>
      <c r="LCK29" s="160">
        <f t="shared" ref="LCK29" si="4097">LCI29*$C$29</f>
        <v>4.6763248847982336E+56</v>
      </c>
      <c r="LCM29" s="160">
        <f t="shared" ref="LCM29" si="4098">LCK29*$C$29</f>
        <v>4.816614631342181E+56</v>
      </c>
      <c r="LCO29" s="160">
        <f t="shared" ref="LCO29" si="4099">LCM29*$C$29</f>
        <v>4.9611130702824465E+56</v>
      </c>
      <c r="LCQ29" s="160">
        <f t="shared" ref="LCQ29" si="4100">LCO29*$C$29</f>
        <v>5.1099464623909205E+56</v>
      </c>
      <c r="LCS29" s="160">
        <f t="shared" ref="LCS29" si="4101">LCQ29*$C$29</f>
        <v>5.2632448562626483E+56</v>
      </c>
      <c r="LCU29" s="160">
        <f t="shared" ref="LCU29" si="4102">LCS29*$C$29</f>
        <v>5.4211422019505274E+56</v>
      </c>
      <c r="LCW29" s="160">
        <f t="shared" ref="LCW29" si="4103">LCU29*$C$29</f>
        <v>5.5837764680090434E+56</v>
      </c>
      <c r="LCY29" s="160">
        <f t="shared" ref="LCY29" si="4104">LCW29*$C$29</f>
        <v>5.7512897620493153E+56</v>
      </c>
      <c r="LDA29" s="160">
        <f t="shared" ref="LDA29" si="4105">LCY29*$C$29</f>
        <v>5.9238284549107945E+56</v>
      </c>
      <c r="LDC29" s="160">
        <f t="shared" ref="LDC29" si="4106">LDA29*$C$29</f>
        <v>6.1015433085581185E+56</v>
      </c>
      <c r="LDE29" s="160">
        <f t="shared" ref="LDE29" si="4107">LDC29*$C$29</f>
        <v>6.2845896078148623E+56</v>
      </c>
      <c r="LDG29" s="160">
        <f t="shared" ref="LDG29" si="4108">LDE29*$C$29</f>
        <v>6.4731272960493086E+56</v>
      </c>
      <c r="LDI29" s="160">
        <f t="shared" ref="LDI29" si="4109">LDG29*$C$29</f>
        <v>6.6673211149307882E+56</v>
      </c>
      <c r="LDK29" s="160">
        <f t="shared" ref="LDK29" si="4110">LDI29*$C$29</f>
        <v>6.8673407483787118E+56</v>
      </c>
      <c r="LDM29" s="160">
        <f t="shared" ref="LDM29" si="4111">LDK29*$C$29</f>
        <v>7.0733609708300731E+56</v>
      </c>
      <c r="LDO29" s="160">
        <f t="shared" ref="LDO29" si="4112">LDM29*$C$29</f>
        <v>7.2855617999549758E+56</v>
      </c>
      <c r="LDQ29" s="160">
        <f t="shared" ref="LDQ29" si="4113">LDO29*$C$29</f>
        <v>7.5041286539536253E+56</v>
      </c>
      <c r="LDS29" s="160">
        <f t="shared" ref="LDS29" si="4114">LDQ29*$C$29</f>
        <v>7.7292525135722339E+56</v>
      </c>
      <c r="LDU29" s="160">
        <f t="shared" ref="LDU29" si="4115">LDS29*$C$29</f>
        <v>7.9611300889794009E+56</v>
      </c>
      <c r="LDW29" s="160">
        <f t="shared" ref="LDW29" si="4116">LDU29*$C$29</f>
        <v>8.1999639916487838E+56</v>
      </c>
      <c r="LDY29" s="160">
        <f t="shared" ref="LDY29" si="4117">LDW29*$C$29</f>
        <v>8.4459629113982481E+56</v>
      </c>
      <c r="LEA29" s="160">
        <f t="shared" ref="LEA29" si="4118">LDY29*$C$29</f>
        <v>8.6993417987401957E+56</v>
      </c>
      <c r="LEC29" s="160">
        <f t="shared" ref="LEC29" si="4119">LEA29*$C$29</f>
        <v>8.9603220527024019E+56</v>
      </c>
      <c r="LEE29" s="160">
        <f t="shared" ref="LEE29" si="4120">LEC29*$C$29</f>
        <v>9.2291317142834746E+56</v>
      </c>
      <c r="LEG29" s="160">
        <f t="shared" ref="LEG29" si="4121">LEE29*$C$29</f>
        <v>9.5060056657119797E+56</v>
      </c>
      <c r="LEI29" s="160">
        <f t="shared" ref="LEI29" si="4122">LEG29*$C$29</f>
        <v>9.7911858356833385E+56</v>
      </c>
      <c r="LEK29" s="160">
        <f t="shared" ref="LEK29" si="4123">LEI29*$C$29</f>
        <v>1.0084921410753839E+57</v>
      </c>
      <c r="LEM29" s="160">
        <f t="shared" ref="LEM29" si="4124">LEK29*$C$29</f>
        <v>1.0387469053076455E+57</v>
      </c>
      <c r="LEO29" s="160">
        <f t="shared" ref="LEO29" si="4125">LEM29*$C$29</f>
        <v>1.0699093124668749E+57</v>
      </c>
      <c r="LEQ29" s="160">
        <f t="shared" ref="LEQ29" si="4126">LEO29*$C$29</f>
        <v>1.1020065918408811E+57</v>
      </c>
      <c r="LES29" s="160">
        <f t="shared" ref="LES29" si="4127">LEQ29*$C$29</f>
        <v>1.1350667895961075E+57</v>
      </c>
      <c r="LEU29" s="160">
        <f t="shared" ref="LEU29" si="4128">LES29*$C$29</f>
        <v>1.1691187932839909E+57</v>
      </c>
      <c r="LEW29" s="160">
        <f t="shared" ref="LEW29" si="4129">LEU29*$C$29</f>
        <v>1.2041923570825106E+57</v>
      </c>
      <c r="LEY29" s="160">
        <f t="shared" ref="LEY29" si="4130">LEW29*$C$29</f>
        <v>1.2403181277949859E+57</v>
      </c>
      <c r="LFA29" s="160">
        <f t="shared" ref="LFA29" si="4131">LEY29*$C$29</f>
        <v>1.2775276716288354E+57</v>
      </c>
      <c r="LFC29" s="160">
        <f t="shared" ref="LFC29" si="4132">LFA29*$C$29</f>
        <v>1.3158535017777005E+57</v>
      </c>
      <c r="LFE29" s="160">
        <f t="shared" ref="LFE29" si="4133">LFC29*$C$29</f>
        <v>1.3553291068310316E+57</v>
      </c>
      <c r="LFG29" s="160">
        <f t="shared" ref="LFG29" si="4134">LFE29*$C$29</f>
        <v>1.3959889800359627E+57</v>
      </c>
      <c r="LFI29" s="160">
        <f t="shared" ref="LFI29" si="4135">LFG29*$C$29</f>
        <v>1.4378686494370415E+57</v>
      </c>
      <c r="LFK29" s="160">
        <f t="shared" ref="LFK29" si="4136">LFI29*$C$29</f>
        <v>1.4810047089201528E+57</v>
      </c>
      <c r="LFM29" s="160">
        <f t="shared" ref="LFM29" si="4137">LFK29*$C$29</f>
        <v>1.5254348501877574E+57</v>
      </c>
      <c r="LFO29" s="160">
        <f t="shared" ref="LFO29" si="4138">LFM29*$C$29</f>
        <v>1.5711978956933902E+57</v>
      </c>
      <c r="LFQ29" s="160">
        <f t="shared" ref="LFQ29" si="4139">LFO29*$C$29</f>
        <v>1.6183338325641918E+57</v>
      </c>
      <c r="LFS29" s="160">
        <f t="shared" ref="LFS29" si="4140">LFQ29*$C$29</f>
        <v>1.6668838475411175E+57</v>
      </c>
      <c r="LFU29" s="160">
        <f t="shared" ref="LFU29" si="4141">LFS29*$C$29</f>
        <v>1.7168903629673512E+57</v>
      </c>
      <c r="LFW29" s="160">
        <f t="shared" ref="LFW29" si="4142">LFU29*$C$29</f>
        <v>1.7683970738563719E+57</v>
      </c>
      <c r="LFY29" s="160">
        <f t="shared" ref="LFY29" si="4143">LFW29*$C$29</f>
        <v>1.8214489860720632E+57</v>
      </c>
      <c r="LGA29" s="160">
        <f t="shared" ref="LGA29" si="4144">LFY29*$C$29</f>
        <v>1.8760924556542251E+57</v>
      </c>
      <c r="LGC29" s="160">
        <f t="shared" ref="LGC29" si="4145">LGA29*$C$29</f>
        <v>1.932375229323852E+57</v>
      </c>
      <c r="LGE29" s="160">
        <f t="shared" ref="LGE29" si="4146">LGC29*$C$29</f>
        <v>1.9903464862035676E+57</v>
      </c>
      <c r="LGG29" s="160">
        <f t="shared" ref="LGG29" si="4147">LGE29*$C$29</f>
        <v>2.0500568807896747E+57</v>
      </c>
      <c r="LGI29" s="160">
        <f t="shared" ref="LGI29" si="4148">LGG29*$C$29</f>
        <v>2.111558587213365E+57</v>
      </c>
      <c r="LGK29" s="160">
        <f t="shared" ref="LGK29" si="4149">LGI29*$C$29</f>
        <v>2.1749053448297662E+57</v>
      </c>
      <c r="LGM29" s="160">
        <f t="shared" ref="LGM29" si="4150">LGK29*$C$29</f>
        <v>2.2401525051746591E+57</v>
      </c>
      <c r="LGO29" s="160">
        <f t="shared" ref="LGO29" si="4151">LGM29*$C$29</f>
        <v>2.3073570803298988E+57</v>
      </c>
      <c r="LGQ29" s="160">
        <f t="shared" ref="LGQ29" si="4152">LGO29*$C$29</f>
        <v>2.3765777927397958E+57</v>
      </c>
      <c r="LGS29" s="160">
        <f t="shared" ref="LGS29" si="4153">LGQ29*$C$29</f>
        <v>2.4478751265219898E+57</v>
      </c>
      <c r="LGU29" s="160">
        <f t="shared" ref="LGU29" si="4154">LGS29*$C$29</f>
        <v>2.5213113803176496E+57</v>
      </c>
      <c r="LGW29" s="160">
        <f t="shared" ref="LGW29" si="4155">LGU29*$C$29</f>
        <v>2.5969507217271791E+57</v>
      </c>
      <c r="LGY29" s="160">
        <f t="shared" ref="LGY29" si="4156">LGW29*$C$29</f>
        <v>2.6748592433789947E+57</v>
      </c>
      <c r="LHA29" s="160">
        <f t="shared" ref="LHA29" si="4157">LGY29*$C$29</f>
        <v>2.7551050206803646E+57</v>
      </c>
      <c r="LHC29" s="160">
        <f t="shared" ref="LHC29" si="4158">LHA29*$C$29</f>
        <v>2.8377581713007756E+57</v>
      </c>
      <c r="LHE29" s="160">
        <f t="shared" ref="LHE29" si="4159">LHC29*$C$29</f>
        <v>2.9228909164397989E+57</v>
      </c>
      <c r="LHG29" s="160">
        <f t="shared" ref="LHG29" si="4160">LHE29*$C$29</f>
        <v>3.0105776439329928E+57</v>
      </c>
      <c r="LHI29" s="160">
        <f t="shared" ref="LHI29" si="4161">LHG29*$C$29</f>
        <v>3.1008949732509825E+57</v>
      </c>
      <c r="LHK29" s="160">
        <f t="shared" ref="LHK29" si="4162">LHI29*$C$29</f>
        <v>3.1939218224485121E+57</v>
      </c>
      <c r="LHM29" s="160">
        <f t="shared" ref="LHM29" si="4163">LHK29*$C$29</f>
        <v>3.2897394771219679E+57</v>
      </c>
      <c r="LHO29" s="160">
        <f t="shared" ref="LHO29" si="4164">LHM29*$C$29</f>
        <v>3.3884316614356273E+57</v>
      </c>
      <c r="LHQ29" s="160">
        <f t="shared" ref="LHQ29" si="4165">LHO29*$C$29</f>
        <v>3.4900846112786959E+57</v>
      </c>
      <c r="LHS29" s="160">
        <f t="shared" ref="LHS29" si="4166">LHQ29*$C$29</f>
        <v>3.5947871496170566E+57</v>
      </c>
      <c r="LHU29" s="160">
        <f t="shared" ref="LHU29" si="4167">LHS29*$C$29</f>
        <v>3.7026307641055684E+57</v>
      </c>
      <c r="LHW29" s="160">
        <f t="shared" ref="LHW29" si="4168">LHU29*$C$29</f>
        <v>3.8137096870287356E+57</v>
      </c>
      <c r="LHY29" s="160">
        <f t="shared" ref="LHY29" si="4169">LHW29*$C$29</f>
        <v>3.928120977639598E+57</v>
      </c>
      <c r="LIA29" s="160">
        <f t="shared" ref="LIA29" si="4170">LHY29*$C$29</f>
        <v>4.045964606968786E+57</v>
      </c>
      <c r="LIC29" s="160">
        <f t="shared" ref="LIC29" si="4171">LIA29*$C$29</f>
        <v>4.16734354517785E+57</v>
      </c>
      <c r="LIE29" s="160">
        <f t="shared" ref="LIE29" si="4172">LIC29*$C$29</f>
        <v>4.2923638515331859E+57</v>
      </c>
      <c r="LIG29" s="160">
        <f t="shared" ref="LIG29" si="4173">LIE29*$C$29</f>
        <v>4.4211347670791818E+57</v>
      </c>
      <c r="LII29" s="160">
        <f t="shared" ref="LII29" si="4174">LIG29*$C$29</f>
        <v>4.5537688100915573E+57</v>
      </c>
      <c r="LIK29" s="160">
        <f t="shared" ref="LIK29" si="4175">LII29*$C$29</f>
        <v>4.6903818743943041E+57</v>
      </c>
      <c r="LIM29" s="160">
        <f t="shared" ref="LIM29" si="4176">LIK29*$C$29</f>
        <v>4.8310933306261335E+57</v>
      </c>
      <c r="LIO29" s="160">
        <f t="shared" ref="LIO29" si="4177">LIM29*$C$29</f>
        <v>4.9760261305449177E+57</v>
      </c>
      <c r="LIQ29" s="160">
        <f t="shared" ref="LIQ29" si="4178">LIO29*$C$29</f>
        <v>5.1253069144612652E+57</v>
      </c>
      <c r="LIS29" s="160">
        <f t="shared" ref="LIS29" si="4179">LIQ29*$C$29</f>
        <v>5.279066121895103E+57</v>
      </c>
      <c r="LIU29" s="160">
        <f t="shared" ref="LIU29" si="4180">LIS29*$C$29</f>
        <v>5.4374381055519565E+57</v>
      </c>
      <c r="LIW29" s="160">
        <f t="shared" ref="LIW29" si="4181">LIU29*$C$29</f>
        <v>5.600561248718515E+57</v>
      </c>
      <c r="LIY29" s="160">
        <f t="shared" ref="LIY29" si="4182">LIW29*$C$29</f>
        <v>5.7685780861800703E+57</v>
      </c>
      <c r="LJA29" s="160">
        <f t="shared" ref="LJA29" si="4183">LIY29*$C$29</f>
        <v>5.9416354287654723E+57</v>
      </c>
      <c r="LJC29" s="160">
        <f t="shared" ref="LJC29" si="4184">LJA29*$C$29</f>
        <v>6.1198844916284369E+57</v>
      </c>
      <c r="LJE29" s="160">
        <f t="shared" ref="LJE29" si="4185">LJC29*$C$29</f>
        <v>6.3034810263772907E+57</v>
      </c>
      <c r="LJG29" s="160">
        <f t="shared" ref="LJG29" si="4186">LJE29*$C$29</f>
        <v>6.4925854571686101E+57</v>
      </c>
      <c r="LJI29" s="160">
        <f t="shared" ref="LJI29" si="4187">LJG29*$C$29</f>
        <v>6.687363020883668E+57</v>
      </c>
      <c r="LJK29" s="160">
        <f t="shared" ref="LJK29" si="4188">LJI29*$C$29</f>
        <v>6.8879839115101785E+57</v>
      </c>
      <c r="LJM29" s="160">
        <f t="shared" ref="LJM29" si="4189">LJK29*$C$29</f>
        <v>7.0946234288554846E+57</v>
      </c>
      <c r="LJO29" s="160">
        <f t="shared" ref="LJO29" si="4190">LJM29*$C$29</f>
        <v>7.30746213172115E+57</v>
      </c>
      <c r="LJQ29" s="160">
        <f t="shared" ref="LJQ29" si="4191">LJO29*$C$29</f>
        <v>7.526685995672784E+57</v>
      </c>
      <c r="LJS29" s="160">
        <f t="shared" ref="LJS29" si="4192">LJQ29*$C$29</f>
        <v>7.7524865755429681E+57</v>
      </c>
      <c r="LJU29" s="160">
        <f t="shared" ref="LJU29" si="4193">LJS29*$C$29</f>
        <v>7.985061172809258E+57</v>
      </c>
      <c r="LJW29" s="160">
        <f t="shared" ref="LJW29" si="4194">LJU29*$C$29</f>
        <v>8.2246130079935356E+57</v>
      </c>
      <c r="LJY29" s="160">
        <f t="shared" ref="LJY29" si="4195">LJW29*$C$29</f>
        <v>8.4713513982333416E+57</v>
      </c>
      <c r="LKA29" s="160">
        <f t="shared" ref="LKA29" si="4196">LJY29*$C$29</f>
        <v>8.7254919401803416E+57</v>
      </c>
      <c r="LKC29" s="160">
        <f t="shared" ref="LKC29" si="4197">LKA29*$C$29</f>
        <v>8.9872566983857526E+57</v>
      </c>
      <c r="LKE29" s="160">
        <f t="shared" ref="LKE29" si="4198">LKC29*$C$29</f>
        <v>9.2568743993373253E+57</v>
      </c>
      <c r="LKG29" s="160">
        <f t="shared" ref="LKG29" si="4199">LKE29*$C$29</f>
        <v>9.5345806313174455E+57</v>
      </c>
      <c r="LKI29" s="160">
        <f t="shared" ref="LKI29" si="4200">LKG29*$C$29</f>
        <v>9.820618050256969E+57</v>
      </c>
      <c r="LKK29" s="160">
        <f t="shared" ref="LKK29" si="4201">LKI29*$C$29</f>
        <v>1.0115236591764679E+58</v>
      </c>
      <c r="LKM29" s="160">
        <f t="shared" ref="LKM29" si="4202">LKK29*$C$29</f>
        <v>1.041869368951762E+58</v>
      </c>
      <c r="LKO29" s="160">
        <f t="shared" ref="LKO29" si="4203">LKM29*$C$29</f>
        <v>1.0731254500203149E+58</v>
      </c>
      <c r="LKQ29" s="160">
        <f t="shared" ref="LKQ29" si="4204">LKO29*$C$29</f>
        <v>1.1053192135209244E+58</v>
      </c>
      <c r="LKS29" s="160">
        <f t="shared" ref="LKS29" si="4205">LKQ29*$C$29</f>
        <v>1.1384787899265521E+58</v>
      </c>
      <c r="LKU29" s="160">
        <f t="shared" ref="LKU29" si="4206">LKS29*$C$29</f>
        <v>1.1726331536243487E+58</v>
      </c>
      <c r="LKW29" s="160">
        <f t="shared" ref="LKW29" si="4207">LKU29*$C$29</f>
        <v>1.2078121482330792E+58</v>
      </c>
      <c r="LKY29" s="160">
        <f t="shared" ref="LKY29" si="4208">LKW29*$C$29</f>
        <v>1.2440465126800717E+58</v>
      </c>
      <c r="LLA29" s="160">
        <f t="shared" ref="LLA29" si="4209">LKY29*$C$29</f>
        <v>1.2813679080604738E+58</v>
      </c>
      <c r="LLC29" s="160">
        <f t="shared" ref="LLC29" si="4210">LLA29*$C$29</f>
        <v>1.319808945302288E+58</v>
      </c>
      <c r="LLE29" s="160">
        <f t="shared" ref="LLE29" si="4211">LLC29*$C$29</f>
        <v>1.3594032136613568E+58</v>
      </c>
      <c r="LLG29" s="160">
        <f t="shared" ref="LLG29" si="4212">LLE29*$C$29</f>
        <v>1.4001853100711977E+58</v>
      </c>
      <c r="LLI29" s="160">
        <f t="shared" ref="LLI29" si="4213">LLG29*$C$29</f>
        <v>1.4421908693733337E+58</v>
      </c>
      <c r="LLK29" s="160">
        <f t="shared" ref="LLK29" si="4214">LLI29*$C$29</f>
        <v>1.4854565954545339E+58</v>
      </c>
      <c r="LLM29" s="160">
        <f t="shared" ref="LLM29" si="4215">LLK29*$C$29</f>
        <v>1.53002029331817E+58</v>
      </c>
      <c r="LLO29" s="160">
        <f t="shared" ref="LLO29" si="4216">LLM29*$C$29</f>
        <v>1.5759209021177153E+58</v>
      </c>
      <c r="LLQ29" s="160">
        <f t="shared" ref="LLQ29" si="4217">LLO29*$C$29</f>
        <v>1.6231985291812467E+58</v>
      </c>
      <c r="LLS29" s="160">
        <f t="shared" ref="LLS29" si="4218">LLQ29*$C$29</f>
        <v>1.6718944850566843E+58</v>
      </c>
      <c r="LLU29" s="160">
        <f t="shared" ref="LLU29" si="4219">LLS29*$C$29</f>
        <v>1.7220513196083847E+58</v>
      </c>
      <c r="LLW29" s="160">
        <f t="shared" ref="LLW29" si="4220">LLU29*$C$29</f>
        <v>1.7737128591966363E+58</v>
      </c>
      <c r="LLY29" s="160">
        <f t="shared" ref="LLY29" si="4221">LLW29*$C$29</f>
        <v>1.8269242449725355E+58</v>
      </c>
      <c r="LMA29" s="160">
        <f t="shared" ref="LMA29" si="4222">LLY29*$C$29</f>
        <v>1.8817319723217115E+58</v>
      </c>
      <c r="LMC29" s="160">
        <f t="shared" ref="LMC29" si="4223">LMA29*$C$29</f>
        <v>1.9381839314913628E+58</v>
      </c>
      <c r="LME29" s="160">
        <f t="shared" ref="LME29" si="4224">LMC29*$C$29</f>
        <v>1.9963294494361039E+58</v>
      </c>
      <c r="LMG29" s="160">
        <f t="shared" ref="LMG29" si="4225">LME29*$C$29</f>
        <v>2.0562193329191871E+58</v>
      </c>
      <c r="LMI29" s="160">
        <f t="shared" ref="LMI29" si="4226">LMG29*$C$29</f>
        <v>2.1179059129067628E+58</v>
      </c>
      <c r="LMK29" s="160">
        <f t="shared" ref="LMK29" si="4227">LMI29*$C$29</f>
        <v>2.1814430902939658E+58</v>
      </c>
      <c r="LMM29" s="160">
        <f t="shared" ref="LMM29" si="4228">LMK29*$C$29</f>
        <v>2.246886383002785E+58</v>
      </c>
      <c r="LMO29" s="160">
        <f t="shared" ref="LMO29" si="4229">LMM29*$C$29</f>
        <v>2.3142929744928687E+58</v>
      </c>
      <c r="LMQ29" s="160">
        <f t="shared" ref="LMQ29" si="4230">LMO29*$C$29</f>
        <v>2.3837217637276547E+58</v>
      </c>
      <c r="LMS29" s="160">
        <f t="shared" ref="LMS29" si="4231">LMQ29*$C$29</f>
        <v>2.4552334166394844E+58</v>
      </c>
      <c r="LMU29" s="160">
        <f t="shared" ref="LMU29" si="4232">LMS29*$C$29</f>
        <v>2.5288904191386692E+58</v>
      </c>
      <c r="LMW29" s="160">
        <f t="shared" ref="LMW29" si="4233">LMU29*$C$29</f>
        <v>2.6047571317128294E+58</v>
      </c>
      <c r="LMY29" s="160">
        <f t="shared" ref="LMY29" si="4234">LMW29*$C$29</f>
        <v>2.6828998456642144E+58</v>
      </c>
      <c r="LNA29" s="160">
        <f t="shared" ref="LNA29" si="4235">LMY29*$C$29</f>
        <v>2.763386841034141E+58</v>
      </c>
      <c r="LNC29" s="160">
        <f t="shared" ref="LNC29" si="4236">LNA29*$C$29</f>
        <v>2.8462884462651655E+58</v>
      </c>
      <c r="LNE29" s="160">
        <f t="shared" ref="LNE29" si="4237">LNC29*$C$29</f>
        <v>2.9316770996531206E+58</v>
      </c>
      <c r="LNG29" s="160">
        <f t="shared" ref="LNG29" si="4238">LNE29*$C$29</f>
        <v>3.0196274126427143E+58</v>
      </c>
      <c r="LNI29" s="160">
        <f t="shared" ref="LNI29" si="4239">LNG29*$C$29</f>
        <v>3.1102162350219956E+58</v>
      </c>
      <c r="LNK29" s="160">
        <f t="shared" ref="LNK29" si="4240">LNI29*$C$29</f>
        <v>3.2035227220726558E+58</v>
      </c>
      <c r="LNM29" s="160">
        <f t="shared" ref="LNM29" si="4241">LNK29*$C$29</f>
        <v>3.2996284037348356E+58</v>
      </c>
      <c r="LNO29" s="160">
        <f t="shared" ref="LNO29" si="4242">LNM29*$C$29</f>
        <v>3.3986172558468807E+58</v>
      </c>
      <c r="LNQ29" s="160">
        <f t="shared" ref="LNQ29" si="4243">LNO29*$C$29</f>
        <v>3.5005757735222873E+58</v>
      </c>
      <c r="LNS29" s="160">
        <f t="shared" ref="LNS29" si="4244">LNQ29*$C$29</f>
        <v>3.6055930467279562E+58</v>
      </c>
      <c r="LNU29" s="160">
        <f t="shared" ref="LNU29" si="4245">LNS29*$C$29</f>
        <v>3.713760838129795E+58</v>
      </c>
      <c r="LNW29" s="160">
        <f t="shared" ref="LNW29" si="4246">LNU29*$C$29</f>
        <v>3.8251736632736891E+58</v>
      </c>
      <c r="LNY29" s="160">
        <f t="shared" ref="LNY29" si="4247">LNW29*$C$29</f>
        <v>3.9399288731719001E+58</v>
      </c>
      <c r="LOA29" s="160">
        <f t="shared" ref="LOA29" si="4248">LNY29*$C$29</f>
        <v>4.0581267393670572E+58</v>
      </c>
      <c r="LOC29" s="160">
        <f t="shared" ref="LOC29" si="4249">LOA29*$C$29</f>
        <v>4.1798705415480691E+58</v>
      </c>
      <c r="LOE29" s="160">
        <f t="shared" ref="LOE29" si="4250">LOC29*$C$29</f>
        <v>4.3052666577945115E+58</v>
      </c>
      <c r="LOG29" s="160">
        <f t="shared" ref="LOG29" si="4251">LOE29*$C$29</f>
        <v>4.4344246575283472E+58</v>
      </c>
      <c r="LOI29" s="160">
        <f t="shared" ref="LOI29" si="4252">LOG29*$C$29</f>
        <v>4.567457397254198E+58</v>
      </c>
      <c r="LOK29" s="160">
        <f t="shared" ref="LOK29" si="4253">LOI29*$C$29</f>
        <v>4.7044811191718238E+58</v>
      </c>
      <c r="LOM29" s="160">
        <f t="shared" ref="LOM29" si="4254">LOK29*$C$29</f>
        <v>4.8456155527469785E+58</v>
      </c>
      <c r="LOO29" s="160">
        <f t="shared" ref="LOO29" si="4255">LOM29*$C$29</f>
        <v>4.9909840193293878E+58</v>
      </c>
      <c r="LOQ29" s="160">
        <f t="shared" ref="LOQ29" si="4256">LOO29*$C$29</f>
        <v>5.1407135399092692E+58</v>
      </c>
      <c r="LOS29" s="160">
        <f t="shared" ref="LOS29" si="4257">LOQ29*$C$29</f>
        <v>5.2949349461065471E+58</v>
      </c>
      <c r="LOU29" s="160">
        <f t="shared" ref="LOU29" si="4258">LOS29*$C$29</f>
        <v>5.4537829944897434E+58</v>
      </c>
      <c r="LOW29" s="160">
        <f t="shared" ref="LOW29" si="4259">LOU29*$C$29</f>
        <v>5.6173964843244355E+58</v>
      </c>
      <c r="LOY29" s="160">
        <f t="shared" ref="LOY29" si="4260">LOW29*$C$29</f>
        <v>5.7859183788541684E+58</v>
      </c>
      <c r="LPA29" s="160">
        <f t="shared" ref="LPA29" si="4261">LOY29*$C$29</f>
        <v>5.9594959302197934E+58</v>
      </c>
      <c r="LPC29" s="160">
        <f t="shared" ref="LPC29" si="4262">LPA29*$C$29</f>
        <v>6.1382808081263869E+58</v>
      </c>
      <c r="LPE29" s="160">
        <f t="shared" ref="LPE29" si="4263">LPC29*$C$29</f>
        <v>6.3224292323701791E+58</v>
      </c>
      <c r="LPG29" s="160">
        <f t="shared" ref="LPG29" si="4264">LPE29*$C$29</f>
        <v>6.5121021093412844E+58</v>
      </c>
      <c r="LPI29" s="160">
        <f t="shared" ref="LPI29" si="4265">LPG29*$C$29</f>
        <v>6.7074651726215231E+58</v>
      </c>
      <c r="LPK29" s="160">
        <f t="shared" ref="LPK29" si="4266">LPI29*$C$29</f>
        <v>6.9086891278001685E+58</v>
      </c>
      <c r="LPM29" s="160">
        <f t="shared" ref="LPM29" si="4267">LPK29*$C$29</f>
        <v>7.115949801634174E+58</v>
      </c>
      <c r="LPO29" s="160">
        <f t="shared" ref="LPO29" si="4268">LPM29*$C$29</f>
        <v>7.3294282956831991E+58</v>
      </c>
      <c r="LPQ29" s="160">
        <f t="shared" ref="LPQ29" si="4269">LPO29*$C$29</f>
        <v>7.5493111445536953E+58</v>
      </c>
      <c r="LPS29" s="160">
        <f t="shared" ref="LPS29" si="4270">LPQ29*$C$29</f>
        <v>7.7757904788903064E+58</v>
      </c>
      <c r="LPU29" s="160">
        <f t="shared" ref="LPU29" si="4271">LPS29*$C$29</f>
        <v>8.0090641932570156E+58</v>
      </c>
      <c r="LPW29" s="160">
        <f t="shared" ref="LPW29" si="4272">LPU29*$C$29</f>
        <v>8.2493361190547264E+58</v>
      </c>
      <c r="LPY29" s="160">
        <f t="shared" ref="LPY29" si="4273">LPW29*$C$29</f>
        <v>8.4968162026263679E+58</v>
      </c>
      <c r="LQA29" s="160">
        <f t="shared" ref="LQA29" si="4274">LPY29*$C$29</f>
        <v>8.7517206887051594E+58</v>
      </c>
      <c r="LQC29" s="160">
        <f t="shared" ref="LQC29" si="4275">LQA29*$C$29</f>
        <v>9.0142723093663147E+58</v>
      </c>
      <c r="LQE29" s="160">
        <f t="shared" ref="LQE29" si="4276">LQC29*$C$29</f>
        <v>9.2847004786473039E+58</v>
      </c>
      <c r="LQG29" s="160">
        <f t="shared" ref="LQG29" si="4277">LQE29*$C$29</f>
        <v>9.5632414930067233E+58</v>
      </c>
      <c r="LQI29" s="160">
        <f t="shared" ref="LQI29" si="4278">LQG29*$C$29</f>
        <v>9.8501387377969253E+58</v>
      </c>
      <c r="LQK29" s="160">
        <f t="shared" ref="LQK29" si="4279">LQI29*$C$29</f>
        <v>1.0145642899930833E+59</v>
      </c>
      <c r="LQM29" s="160">
        <f t="shared" ref="LQM29" si="4280">LQK29*$C$29</f>
        <v>1.0450012186928757E+59</v>
      </c>
      <c r="LQO29" s="160">
        <f t="shared" ref="LQO29" si="4281">LQM29*$C$29</f>
        <v>1.0763512552536619E+59</v>
      </c>
      <c r="LQQ29" s="160">
        <f t="shared" ref="LQQ29" si="4282">LQO29*$C$29</f>
        <v>1.1086417929112719E+59</v>
      </c>
      <c r="LQS29" s="160">
        <f t="shared" ref="LQS29" si="4283">LQQ29*$C$29</f>
        <v>1.14190104669861E+59</v>
      </c>
      <c r="LQU29" s="160">
        <f t="shared" ref="LQU29" si="4284">LQS29*$C$29</f>
        <v>1.1761580780995684E+59</v>
      </c>
      <c r="LQW29" s="160">
        <f t="shared" ref="LQW29" si="4285">LQU29*$C$29</f>
        <v>1.2114428204425555E+59</v>
      </c>
      <c r="LQY29" s="160">
        <f t="shared" ref="LQY29" si="4286">LQW29*$C$29</f>
        <v>1.2477861050558322E+59</v>
      </c>
      <c r="LRA29" s="160">
        <f t="shared" ref="LRA29" si="4287">LQY29*$C$29</f>
        <v>1.2852196882075072E+59</v>
      </c>
      <c r="LRC29" s="160">
        <f t="shared" ref="LRC29" si="4288">LRA29*$C$29</f>
        <v>1.3237762788537323E+59</v>
      </c>
      <c r="LRE29" s="160">
        <f t="shared" ref="LRE29" si="4289">LRC29*$C$29</f>
        <v>1.3634895672193443E+59</v>
      </c>
      <c r="LRG29" s="160">
        <f t="shared" ref="LRG29" si="4290">LRE29*$C$29</f>
        <v>1.4043942542359246E+59</v>
      </c>
      <c r="LRI29" s="160">
        <f t="shared" ref="LRI29" si="4291">LRG29*$C$29</f>
        <v>1.4465260818630023E+59</v>
      </c>
      <c r="LRK29" s="160">
        <f t="shared" ref="LRK29" si="4292">LRI29*$C$29</f>
        <v>1.4899218643188923E+59</v>
      </c>
      <c r="LRM29" s="160">
        <f t="shared" ref="LRM29" si="4293">LRK29*$C$29</f>
        <v>1.534619520248459E+59</v>
      </c>
      <c r="LRO29" s="160">
        <f t="shared" ref="LRO29" si="4294">LRM29*$C$29</f>
        <v>1.5806581058559128E+59</v>
      </c>
      <c r="LRQ29" s="160">
        <f t="shared" ref="LRQ29" si="4295">LRO29*$C$29</f>
        <v>1.6280778490315902E+59</v>
      </c>
      <c r="LRS29" s="160">
        <f t="shared" ref="LRS29" si="4296">LRQ29*$C$29</f>
        <v>1.6769201845025379E+59</v>
      </c>
      <c r="LRU29" s="160">
        <f t="shared" ref="LRU29" si="4297">LRS29*$C$29</f>
        <v>1.7272277900376141E+59</v>
      </c>
      <c r="LRW29" s="160">
        <f t="shared" ref="LRW29" si="4298">LRU29*$C$29</f>
        <v>1.7790446237387425E+59</v>
      </c>
      <c r="LRY29" s="160">
        <f t="shared" ref="LRY29" si="4299">LRW29*$C$29</f>
        <v>1.8324159624509049E+59</v>
      </c>
      <c r="LSA29" s="160">
        <f t="shared" ref="LSA29" si="4300">LRY29*$C$29</f>
        <v>1.8873884413244321E+59</v>
      </c>
      <c r="LSC29" s="160">
        <f t="shared" ref="LSC29" si="4301">LSA29*$C$29</f>
        <v>1.9440100945641653E+59</v>
      </c>
      <c r="LSE29" s="160">
        <f t="shared" ref="LSE29" si="4302">LSC29*$C$29</f>
        <v>2.0023303974010902E+59</v>
      </c>
      <c r="LSG29" s="160">
        <f t="shared" ref="LSG29" si="4303">LSE29*$C$29</f>
        <v>2.062400309323123E+59</v>
      </c>
      <c r="LSI29" s="160">
        <f t="shared" ref="LSI29" si="4304">LSG29*$C$29</f>
        <v>2.1242723186028167E+59</v>
      </c>
      <c r="LSK29" s="160">
        <f t="shared" ref="LSK29" si="4305">LSI29*$C$29</f>
        <v>2.1880004881609014E+59</v>
      </c>
      <c r="LSM29" s="160">
        <f t="shared" ref="LSM29" si="4306">LSK29*$C$29</f>
        <v>2.2536405028057287E+59</v>
      </c>
      <c r="LSO29" s="160">
        <f t="shared" ref="LSO29" si="4307">LSM29*$C$29</f>
        <v>2.3212497178899006E+59</v>
      </c>
      <c r="LSQ29" s="160">
        <f t="shared" ref="LSQ29" si="4308">LSO29*$C$29</f>
        <v>2.3908872094265978E+59</v>
      </c>
      <c r="LSS29" s="160">
        <f t="shared" ref="LSS29" si="4309">LSQ29*$C$29</f>
        <v>2.4626138257093956E+59</v>
      </c>
      <c r="LSU29" s="160">
        <f t="shared" ref="LSU29" si="4310">LSS29*$C$29</f>
        <v>2.5364922404806776E+59</v>
      </c>
      <c r="LSW29" s="160">
        <f t="shared" ref="LSW29" si="4311">LSU29*$C$29</f>
        <v>2.6125870076950981E+59</v>
      </c>
      <c r="LSY29" s="160">
        <f t="shared" ref="LSY29" si="4312">LSW29*$C$29</f>
        <v>2.6909646179259509E+59</v>
      </c>
      <c r="LTA29" s="160">
        <f t="shared" ref="LTA29" si="4313">LSY29*$C$29</f>
        <v>2.7716935564637296E+59</v>
      </c>
      <c r="LTC29" s="160">
        <f t="shared" ref="LTC29" si="4314">LTA29*$C$29</f>
        <v>2.8548443631576417E+59</v>
      </c>
      <c r="LTE29" s="160">
        <f t="shared" ref="LTE29" si="4315">LTC29*$C$29</f>
        <v>2.9404896940523711E+59</v>
      </c>
      <c r="LTG29" s="160">
        <f t="shared" ref="LTG29" si="4316">LTE29*$C$29</f>
        <v>3.0287043848739423E+59</v>
      </c>
      <c r="LTI29" s="160">
        <f t="shared" ref="LTI29" si="4317">LTG29*$C$29</f>
        <v>3.1195655164201608E+59</v>
      </c>
      <c r="LTK29" s="160">
        <f t="shared" ref="LTK29" si="4318">LTI29*$C$29</f>
        <v>3.2131524819127657E+59</v>
      </c>
      <c r="LTM29" s="160">
        <f t="shared" ref="LTM29" si="4319">LTK29*$C$29</f>
        <v>3.3095470563701487E+59</v>
      </c>
      <c r="LTO29" s="160">
        <f t="shared" ref="LTO29" si="4320">LTM29*$C$29</f>
        <v>3.4088334680612531E+59</v>
      </c>
      <c r="LTQ29" s="160">
        <f t="shared" ref="LTQ29" si="4321">LTO29*$C$29</f>
        <v>3.5110984721030907E+59</v>
      </c>
      <c r="LTS29" s="160">
        <f t="shared" ref="LTS29" si="4322">LTQ29*$C$29</f>
        <v>3.6164314262661833E+59</v>
      </c>
      <c r="LTU29" s="160">
        <f t="shared" ref="LTU29" si="4323">LTS29*$C$29</f>
        <v>3.7249243690541689E+59</v>
      </c>
      <c r="LTW29" s="160">
        <f t="shared" ref="LTW29" si="4324">LTU29*$C$29</f>
        <v>3.8366721001257942E+59</v>
      </c>
      <c r="LTY29" s="160">
        <f t="shared" ref="LTY29" si="4325">LTW29*$C$29</f>
        <v>3.951772263129568E+59</v>
      </c>
      <c r="LUA29" s="160">
        <f t="shared" ref="LUA29" si="4326">LTY29*$C$29</f>
        <v>4.0703254310234556E+59</v>
      </c>
      <c r="LUC29" s="160">
        <f t="shared" ref="LUC29" si="4327">LUA29*$C$29</f>
        <v>4.1924351939541593E+59</v>
      </c>
      <c r="LUE29" s="160">
        <f t="shared" ref="LUE29" si="4328">LUC29*$C$29</f>
        <v>4.3182082497727843E+59</v>
      </c>
      <c r="LUG29" s="160">
        <f t="shared" ref="LUG29" si="4329">LUE29*$C$29</f>
        <v>4.4477544972659682E+59</v>
      </c>
      <c r="LUI29" s="160">
        <f t="shared" ref="LUI29" si="4330">LUG29*$C$29</f>
        <v>4.5811871321839478E+59</v>
      </c>
      <c r="LUK29" s="160">
        <f t="shared" ref="LUK29" si="4331">LUI29*$C$29</f>
        <v>4.7186227461494666E+59</v>
      </c>
      <c r="LUM29" s="160">
        <f t="shared" ref="LUM29" si="4332">LUK29*$C$29</f>
        <v>4.860181428533951E+59</v>
      </c>
      <c r="LUO29" s="160">
        <f t="shared" ref="LUO29" si="4333">LUM29*$C$29</f>
        <v>5.0059868713899696E+59</v>
      </c>
      <c r="LUQ29" s="160">
        <f t="shared" ref="LUQ29" si="4334">LUO29*$C$29</f>
        <v>5.1561664775316687E+59</v>
      </c>
      <c r="LUS29" s="160">
        <f t="shared" ref="LUS29" si="4335">LUQ29*$C$29</f>
        <v>5.3108514718576192E+59</v>
      </c>
      <c r="LUU29" s="160">
        <f t="shared" ref="LUU29" si="4336">LUS29*$C$29</f>
        <v>5.4701770160133481E+59</v>
      </c>
      <c r="LUW29" s="160">
        <f t="shared" ref="LUW29" si="4337">LUU29*$C$29</f>
        <v>5.6342823264937486E+59</v>
      </c>
      <c r="LUY29" s="160">
        <f t="shared" ref="LUY29" si="4338">LUW29*$C$29</f>
        <v>5.8033107962885615E+59</v>
      </c>
      <c r="LVA29" s="160">
        <f t="shared" ref="LVA29" si="4339">LUY29*$C$29</f>
        <v>5.9774101201772183E+59</v>
      </c>
      <c r="LVC29" s="160">
        <f t="shared" ref="LVC29" si="4340">LVA29*$C$29</f>
        <v>6.1567324237825349E+59</v>
      </c>
      <c r="LVE29" s="160">
        <f t="shared" ref="LVE29" si="4341">LVC29*$C$29</f>
        <v>6.3414343964960113E+59</v>
      </c>
      <c r="LVG29" s="160">
        <f t="shared" ref="LVG29" si="4342">LVE29*$C$29</f>
        <v>6.5316774283908922E+59</v>
      </c>
      <c r="LVI29" s="160">
        <f t="shared" ref="LVI29" si="4343">LVG29*$C$29</f>
        <v>6.7276277512426194E+59</v>
      </c>
      <c r="LVK29" s="160">
        <f t="shared" ref="LVK29" si="4344">LVI29*$C$29</f>
        <v>6.9294565837798986E+59</v>
      </c>
      <c r="LVM29" s="160">
        <f t="shared" ref="LVM29" si="4345">LVK29*$C$29</f>
        <v>7.1373402812932961E+59</v>
      </c>
      <c r="LVO29" s="160">
        <f t="shared" ref="LVO29" si="4346">LVM29*$C$29</f>
        <v>7.3514604897320951E+59</v>
      </c>
      <c r="LVQ29" s="160">
        <f t="shared" ref="LVQ29" si="4347">LVO29*$C$29</f>
        <v>7.5720043044240583E+59</v>
      </c>
      <c r="LVS29" s="160">
        <f t="shared" ref="LVS29" si="4348">LVQ29*$C$29</f>
        <v>7.7991644335567799E+59</v>
      </c>
      <c r="LVU29" s="160">
        <f t="shared" ref="LVU29" si="4349">LVS29*$C$29</f>
        <v>8.0331393665634839E+59</v>
      </c>
      <c r="LVW29" s="160">
        <f t="shared" ref="LVW29" si="4350">LVU29*$C$29</f>
        <v>8.274133547560388E+59</v>
      </c>
      <c r="LVY29" s="160">
        <f t="shared" ref="LVY29" si="4351">LVW29*$C$29</f>
        <v>8.5223575539871999E+59</v>
      </c>
      <c r="LWA29" s="160">
        <f t="shared" ref="LWA29" si="4352">LVY29*$C$29</f>
        <v>8.7780282806068155E+59</v>
      </c>
      <c r="LWC29" s="160">
        <f t="shared" ref="LWC29" si="4353">LWA29*$C$29</f>
        <v>9.0413691290250204E+59</v>
      </c>
      <c r="LWE29" s="160">
        <f t="shared" ref="LWE29" si="4354">LWC29*$C$29</f>
        <v>9.3126102028957713E+59</v>
      </c>
      <c r="LWG29" s="160">
        <f t="shared" ref="LWG29" si="4355">LWE29*$C$29</f>
        <v>9.5919885089826452E+59</v>
      </c>
      <c r="LWI29" s="160">
        <f t="shared" ref="LWI29" si="4356">LWG29*$C$29</f>
        <v>9.8797481642521244E+59</v>
      </c>
      <c r="LWK29" s="160">
        <f t="shared" ref="LWK29" si="4357">LWI29*$C$29</f>
        <v>1.0176140609179688E+60</v>
      </c>
      <c r="LWM29" s="160">
        <f t="shared" ref="LWM29" si="4358">LWK29*$C$29</f>
        <v>1.0481424827455079E+60</v>
      </c>
      <c r="LWO29" s="160">
        <f t="shared" ref="LWO29" si="4359">LWM29*$C$29</f>
        <v>1.0795867572278731E+60</v>
      </c>
      <c r="LWQ29" s="160">
        <f t="shared" ref="LWQ29" si="4360">LWO29*$C$29</f>
        <v>1.1119743599447093E+60</v>
      </c>
      <c r="LWS29" s="160">
        <f t="shared" ref="LWS29" si="4361">LWQ29*$C$29</f>
        <v>1.1453335907430505E+60</v>
      </c>
      <c r="LWU29" s="160">
        <f t="shared" ref="LWU29" si="4362">LWS29*$C$29</f>
        <v>1.1796935984653421E+60</v>
      </c>
      <c r="LWW29" s="160">
        <f t="shared" ref="LWW29" si="4363">LWU29*$C$29</f>
        <v>1.2150844064193023E+60</v>
      </c>
      <c r="LWY29" s="160">
        <f t="shared" ref="LWY29" si="4364">LWW29*$C$29</f>
        <v>1.2515369386118814E+60</v>
      </c>
      <c r="LXA29" s="160">
        <f t="shared" ref="LXA29" si="4365">LWY29*$C$29</f>
        <v>1.2890830467702379E+60</v>
      </c>
      <c r="LXC29" s="160">
        <f t="shared" ref="LXC29" si="4366">LXA29*$C$29</f>
        <v>1.3277555381733451E+60</v>
      </c>
      <c r="LXE29" s="160">
        <f t="shared" ref="LXE29" si="4367">LXC29*$C$29</f>
        <v>1.3675882043185455E+60</v>
      </c>
      <c r="LXG29" s="160">
        <f t="shared" ref="LXG29" si="4368">LXE29*$C$29</f>
        <v>1.408615850448102E+60</v>
      </c>
      <c r="LXI29" s="160">
        <f t="shared" ref="LXI29" si="4369">LXG29*$C$29</f>
        <v>1.4508743259615451E+60</v>
      </c>
      <c r="LXK29" s="160">
        <f t="shared" ref="LXK29" si="4370">LXI29*$C$29</f>
        <v>1.4944005557403915E+60</v>
      </c>
      <c r="LXM29" s="160">
        <f t="shared" ref="LXM29" si="4371">LXK29*$C$29</f>
        <v>1.5392325724126033E+60</v>
      </c>
      <c r="LXO29" s="160">
        <f t="shared" ref="LXO29" si="4372">LXM29*$C$29</f>
        <v>1.5854095495849813E+60</v>
      </c>
      <c r="LXQ29" s="160">
        <f t="shared" ref="LXQ29" si="4373">LXO29*$C$29</f>
        <v>1.6329718360725309E+60</v>
      </c>
      <c r="LXS29" s="160">
        <f t="shared" ref="LXS29" si="4374">LXQ29*$C$29</f>
        <v>1.6819609911547069E+60</v>
      </c>
      <c r="LXU29" s="160">
        <f t="shared" ref="LXU29" si="4375">LXS29*$C$29</f>
        <v>1.732419820889348E+60</v>
      </c>
      <c r="LXW29" s="160">
        <f t="shared" ref="LXW29" si="4376">LXU29*$C$29</f>
        <v>1.7843924155160284E+60</v>
      </c>
      <c r="LXY29" s="160">
        <f t="shared" ref="LXY29" si="4377">LXW29*$C$29</f>
        <v>1.8379241879815094E+60</v>
      </c>
      <c r="LYA29" s="160">
        <f t="shared" ref="LYA29" si="4378">LXY29*$C$29</f>
        <v>1.8930619136209548E+60</v>
      </c>
      <c r="LYC29" s="160">
        <f t="shared" ref="LYC29" si="4379">LYA29*$C$29</f>
        <v>1.9498537710295836E+60</v>
      </c>
      <c r="LYE29" s="160">
        <f t="shared" ref="LYE29" si="4380">LYC29*$C$29</f>
        <v>2.0083493841604713E+60</v>
      </c>
      <c r="LYG29" s="160">
        <f t="shared" ref="LYG29" si="4381">LYE29*$C$29</f>
        <v>2.0685998656852856E+60</v>
      </c>
      <c r="LYI29" s="160">
        <f t="shared" ref="LYI29" si="4382">LYG29*$C$29</f>
        <v>2.1306578616558442E+60</v>
      </c>
      <c r="LYK29" s="160">
        <f t="shared" ref="LYK29" si="4383">LYI29*$C$29</f>
        <v>2.1945775975055195E+60</v>
      </c>
      <c r="LYM29" s="160">
        <f t="shared" ref="LYM29" si="4384">LYK29*$C$29</f>
        <v>2.2604149254306852E+60</v>
      </c>
      <c r="LYO29" s="160">
        <f t="shared" ref="LYO29" si="4385">LYM29*$C$29</f>
        <v>2.3282273731936057E+60</v>
      </c>
      <c r="LYQ29" s="160">
        <f t="shared" ref="LYQ29" si="4386">LYO29*$C$29</f>
        <v>2.3980741943894139E+60</v>
      </c>
      <c r="LYS29" s="160">
        <f t="shared" ref="LYS29" si="4387">LYQ29*$C$29</f>
        <v>2.4700164202210965E+60</v>
      </c>
      <c r="LYU29" s="160">
        <f t="shared" ref="LYU29" si="4388">LYS29*$C$29</f>
        <v>2.5441169128277293E+60</v>
      </c>
      <c r="LYW29" s="160">
        <f t="shared" ref="LYW29" si="4389">LYU29*$C$29</f>
        <v>2.6204404202125613E+60</v>
      </c>
      <c r="LYY29" s="160">
        <f t="shared" ref="LYY29" si="4390">LYW29*$C$29</f>
        <v>2.6990536328189384E+60</v>
      </c>
      <c r="LZA29" s="160">
        <f t="shared" ref="LZA29" si="4391">LYY29*$C$29</f>
        <v>2.7800252418035066E+60</v>
      </c>
      <c r="LZC29" s="160">
        <f t="shared" ref="LZC29" si="4392">LZA29*$C$29</f>
        <v>2.8634259990576118E+60</v>
      </c>
      <c r="LZE29" s="160">
        <f t="shared" ref="LZE29" si="4393">LZC29*$C$29</f>
        <v>2.9493287790293401E+60</v>
      </c>
      <c r="LZG29" s="160">
        <f t="shared" ref="LZG29" si="4394">LZE29*$C$29</f>
        <v>3.0378086424002202E+60</v>
      </c>
      <c r="LZI29" s="160">
        <f t="shared" ref="LZI29" si="4395">LZG29*$C$29</f>
        <v>3.1289429016722268E+60</v>
      </c>
      <c r="LZK29" s="160">
        <f t="shared" ref="LZK29" si="4396">LZI29*$C$29</f>
        <v>3.2228111887223933E+60</v>
      </c>
      <c r="LZM29" s="160">
        <f t="shared" ref="LZM29" si="4397">LZK29*$C$29</f>
        <v>3.3194955243840653E+60</v>
      </c>
      <c r="LZO29" s="160">
        <f t="shared" ref="LZO29" si="4398">LZM29*$C$29</f>
        <v>3.4190803901155873E+60</v>
      </c>
      <c r="LZQ29" s="160">
        <f t="shared" ref="LZQ29" si="4399">LZO29*$C$29</f>
        <v>3.5216528018190549E+60</v>
      </c>
      <c r="LZS29" s="160">
        <f t="shared" ref="LZS29" si="4400">LZQ29*$C$29</f>
        <v>3.6273023858736266E+60</v>
      </c>
      <c r="LZU29" s="160">
        <f t="shared" ref="LZU29" si="4401">LZS29*$C$29</f>
        <v>3.7361214574498356E+60</v>
      </c>
      <c r="LZW29" s="160">
        <f t="shared" ref="LZW29" si="4402">LZU29*$C$29</f>
        <v>3.848205101173331E+60</v>
      </c>
      <c r="LZY29" s="160">
        <f t="shared" ref="LZY29" si="4403">LZW29*$C$29</f>
        <v>3.9636512542085313E+60</v>
      </c>
      <c r="MAA29" s="160">
        <f t="shared" ref="MAA29" si="4404">LZY29*$C$29</f>
        <v>4.0825607918347876E+60</v>
      </c>
      <c r="MAC29" s="160">
        <f t="shared" ref="MAC29" si="4405">MAA29*$C$29</f>
        <v>4.2050376155898313E+60</v>
      </c>
      <c r="MAE29" s="160">
        <f t="shared" ref="MAE29" si="4406">MAC29*$C$29</f>
        <v>4.3311887440575265E+60</v>
      </c>
      <c r="MAG29" s="160">
        <f t="shared" ref="MAG29" si="4407">MAE29*$C$29</f>
        <v>4.4611244063792527E+60</v>
      </c>
      <c r="MAI29" s="160">
        <f t="shared" ref="MAI29" si="4408">MAG29*$C$29</f>
        <v>4.5949581385706301E+60</v>
      </c>
      <c r="MAK29" s="160">
        <f t="shared" ref="MAK29" si="4409">MAI29*$C$29</f>
        <v>4.7328068827277488E+60</v>
      </c>
      <c r="MAM29" s="160">
        <f t="shared" ref="MAM29" si="4410">MAK29*$C$29</f>
        <v>4.8747910892095816E+60</v>
      </c>
      <c r="MAO29" s="160">
        <f t="shared" ref="MAO29" si="4411">MAM29*$C$29</f>
        <v>5.0210348218858693E+60</v>
      </c>
      <c r="MAQ29" s="160">
        <f t="shared" ref="MAQ29" si="4412">MAO29*$C$29</f>
        <v>5.1716658665424453E+60</v>
      </c>
      <c r="MAS29" s="160">
        <f t="shared" ref="MAS29" si="4413">MAQ29*$C$29</f>
        <v>5.3268158425387186E+60</v>
      </c>
      <c r="MAU29" s="160">
        <f t="shared" ref="MAU29" si="4414">MAS29*$C$29</f>
        <v>5.4866203178148806E+60</v>
      </c>
      <c r="MAW29" s="160">
        <f t="shared" ref="MAW29" si="4415">MAU29*$C$29</f>
        <v>5.6512189273493271E+60</v>
      </c>
      <c r="MAY29" s="160">
        <f t="shared" ref="MAY29" si="4416">MAW29*$C$29</f>
        <v>5.8207554951698072E+60</v>
      </c>
      <c r="MBA29" s="160">
        <f t="shared" ref="MBA29" si="4417">MAY29*$C$29</f>
        <v>5.9953781600249016E+60</v>
      </c>
      <c r="MBC29" s="160">
        <f t="shared" ref="MBC29" si="4418">MBA29*$C$29</f>
        <v>6.1752395048256485E+60</v>
      </c>
      <c r="MBE29" s="160">
        <f t="shared" ref="MBE29" si="4419">MBC29*$C$29</f>
        <v>6.3604966899704181E+60</v>
      </c>
      <c r="MBG29" s="160">
        <f t="shared" ref="MBG29" si="4420">MBE29*$C$29</f>
        <v>6.5513115906695307E+60</v>
      </c>
      <c r="MBI29" s="160">
        <f t="shared" ref="MBI29" si="4421">MBG29*$C$29</f>
        <v>6.7478509383896169E+60</v>
      </c>
      <c r="MBK29" s="160">
        <f t="shared" ref="MBK29" si="4422">MBI29*$C$29</f>
        <v>6.9502864665413052E+60</v>
      </c>
      <c r="MBM29" s="160">
        <f t="shared" ref="MBM29" si="4423">MBK29*$C$29</f>
        <v>7.1587950605375438E+60</v>
      </c>
      <c r="MBO29" s="160">
        <f t="shared" ref="MBO29" si="4424">MBM29*$C$29</f>
        <v>7.3735589123536699E+60</v>
      </c>
      <c r="MBQ29" s="160">
        <f t="shared" ref="MBQ29" si="4425">MBO29*$C$29</f>
        <v>7.5947656797242807E+60</v>
      </c>
      <c r="MBS29" s="160">
        <f t="shared" ref="MBS29" si="4426">MBQ29*$C$29</f>
        <v>7.8226086501160092E+60</v>
      </c>
      <c r="MBU29" s="160">
        <f t="shared" ref="MBU29" si="4427">MBS29*$C$29</f>
        <v>8.0572869096194896E+60</v>
      </c>
      <c r="MBW29" s="160">
        <f t="shared" ref="MBW29" si="4428">MBU29*$C$29</f>
        <v>8.2990055169080749E+60</v>
      </c>
      <c r="MBY29" s="160">
        <f t="shared" ref="MBY29" si="4429">MBW29*$C$29</f>
        <v>8.547975682415317E+60</v>
      </c>
      <c r="MCA29" s="160">
        <f t="shared" ref="MCA29" si="4430">MBY29*$C$29</f>
        <v>8.8044149528877766E+60</v>
      </c>
      <c r="MCC29" s="160">
        <f t="shared" ref="MCC29" si="4431">MCA29*$C$29</f>
        <v>9.0685474014744107E+60</v>
      </c>
      <c r="MCE29" s="160">
        <f t="shared" ref="MCE29" si="4432">MCC29*$C$29</f>
        <v>9.3406038235186437E+60</v>
      </c>
      <c r="MCG29" s="160">
        <f t="shared" ref="MCG29" si="4433">MCE29*$C$29</f>
        <v>9.6208219382242032E+60</v>
      </c>
      <c r="MCI29" s="160">
        <f t="shared" ref="MCI29" si="4434">MCG29*$C$29</f>
        <v>9.9094465963709289E+60</v>
      </c>
      <c r="MCK29" s="160">
        <f t="shared" ref="MCK29" si="4435">MCI29*$C$29</f>
        <v>1.0206729994262057E+61</v>
      </c>
      <c r="MCM29" s="160">
        <f t="shared" ref="MCM29" si="4436">MCK29*$C$29</f>
        <v>1.0512931894089919E+61</v>
      </c>
      <c r="MCO29" s="160">
        <f t="shared" ref="MCO29" si="4437">MCM29*$C$29</f>
        <v>1.0828319850912617E+61</v>
      </c>
      <c r="MCQ29" s="160">
        <f t="shared" ref="MCQ29" si="4438">MCO29*$C$29</f>
        <v>1.1153169446439996E+61</v>
      </c>
      <c r="MCS29" s="160">
        <f t="shared" ref="MCS29" si="4439">MCQ29*$C$29</f>
        <v>1.1487764529833196E+61</v>
      </c>
      <c r="MCU29" s="160">
        <f t="shared" ref="MCU29" si="4440">MCS29*$C$29</f>
        <v>1.1832397465728193E+61</v>
      </c>
      <c r="MCW29" s="160">
        <f t="shared" ref="MCW29" si="4441">MCU29*$C$29</f>
        <v>1.2187369389700039E+61</v>
      </c>
      <c r="MCY29" s="160">
        <f t="shared" ref="MCY29" si="4442">MCW29*$C$29</f>
        <v>1.255299047139104E+61</v>
      </c>
      <c r="MDA29" s="160">
        <f t="shared" ref="MDA29" si="4443">MCY29*$C$29</f>
        <v>1.2929580185532771E+61</v>
      </c>
      <c r="MDC29" s="160">
        <f t="shared" ref="MDC29" si="4444">MDA29*$C$29</f>
        <v>1.3317467591098756E+61</v>
      </c>
      <c r="MDE29" s="160">
        <f t="shared" ref="MDE29" si="4445">MDC29*$C$29</f>
        <v>1.371699161883172E+61</v>
      </c>
      <c r="MDG29" s="160">
        <f t="shared" ref="MDG29" si="4446">MDE29*$C$29</f>
        <v>1.4128501367396673E+61</v>
      </c>
      <c r="MDI29" s="160">
        <f t="shared" ref="MDI29" si="4447">MDG29*$C$29</f>
        <v>1.4552356408418572E+61</v>
      </c>
      <c r="MDK29" s="160">
        <f t="shared" ref="MDK29" si="4448">MDI29*$C$29</f>
        <v>1.4988927100671131E+61</v>
      </c>
      <c r="MDM29" s="160">
        <f t="shared" ref="MDM29" si="4449">MDK29*$C$29</f>
        <v>1.5438594913691264E+61</v>
      </c>
      <c r="MDO29" s="160">
        <f t="shared" ref="MDO29" si="4450">MDM29*$C$29</f>
        <v>1.5901752761102003E+61</v>
      </c>
      <c r="MDQ29" s="160">
        <f t="shared" ref="MDQ29" si="4451">MDO29*$C$29</f>
        <v>1.6378805343935064E+61</v>
      </c>
      <c r="MDS29" s="160">
        <f t="shared" ref="MDS29" si="4452">MDQ29*$C$29</f>
        <v>1.6870169504253116E+61</v>
      </c>
      <c r="MDU29" s="160">
        <f t="shared" ref="MDU29" si="4453">MDS29*$C$29</f>
        <v>1.7376274589380711E+61</v>
      </c>
      <c r="MDW29" s="160">
        <f t="shared" ref="MDW29" si="4454">MDU29*$C$29</f>
        <v>1.7897562827062134E+61</v>
      </c>
      <c r="MDY29" s="160">
        <f t="shared" ref="MDY29" si="4455">MDW29*$C$29</f>
        <v>1.8434489711873997E+61</v>
      </c>
      <c r="MEA29" s="160">
        <f t="shared" ref="MEA29" si="4456">MDY29*$C$29</f>
        <v>1.8987524403230217E+61</v>
      </c>
      <c r="MEC29" s="160">
        <f t="shared" ref="MEC29" si="4457">MEA29*$C$29</f>
        <v>1.9557150135327125E+61</v>
      </c>
      <c r="MEE29" s="160">
        <f t="shared" ref="MEE29" si="4458">MEC29*$C$29</f>
        <v>2.014386463938694E+61</v>
      </c>
      <c r="MEG29" s="160">
        <f t="shared" ref="MEG29" si="4459">MEE29*$C$29</f>
        <v>2.0748180578568547E+61</v>
      </c>
      <c r="MEI29" s="160">
        <f t="shared" ref="MEI29" si="4460">MEG29*$C$29</f>
        <v>2.1370625995925605E+61</v>
      </c>
      <c r="MEK29" s="160">
        <f t="shared" ref="MEK29" si="4461">MEI29*$C$29</f>
        <v>2.2011744775803372E+61</v>
      </c>
      <c r="MEM29" s="160">
        <f t="shared" ref="MEM29" si="4462">MEK29*$C$29</f>
        <v>2.2672097119077473E+61</v>
      </c>
      <c r="MEO29" s="160">
        <f t="shared" ref="MEO29" si="4463">MEM29*$C$29</f>
        <v>2.3352260032649798E+61</v>
      </c>
      <c r="MEQ29" s="160">
        <f t="shared" ref="MEQ29" si="4464">MEO29*$C$29</f>
        <v>2.4052827833629292E+61</v>
      </c>
      <c r="MES29" s="160">
        <f t="shared" ref="MES29" si="4465">MEQ29*$C$29</f>
        <v>2.4774412668638172E+61</v>
      </c>
      <c r="MEU29" s="160">
        <f t="shared" ref="MEU29" si="4466">MES29*$C$29</f>
        <v>2.5517645048697318E+61</v>
      </c>
      <c r="MEW29" s="160">
        <f t="shared" ref="MEW29" si="4467">MEU29*$C$29</f>
        <v>2.6283174400158241E+61</v>
      </c>
      <c r="MEY29" s="160">
        <f t="shared" ref="MEY29" si="4468">MEW29*$C$29</f>
        <v>2.707166963216299E+61</v>
      </c>
      <c r="MFA29" s="160">
        <f t="shared" ref="MFA29" si="4469">MEY29*$C$29</f>
        <v>2.7883819721127883E+61</v>
      </c>
      <c r="MFC29" s="160">
        <f t="shared" ref="MFC29" si="4470">MFA29*$C$29</f>
        <v>2.8720334312761722E+61</v>
      </c>
      <c r="MFE29" s="160">
        <f t="shared" ref="MFE29" si="4471">MFC29*$C$29</f>
        <v>2.9581944342144572E+61</v>
      </c>
      <c r="MFG29" s="160">
        <f t="shared" ref="MFG29" si="4472">MFE29*$C$29</f>
        <v>3.0469402672408908E+61</v>
      </c>
      <c r="MFI29" s="160">
        <f t="shared" ref="MFI29" si="4473">MFG29*$C$29</f>
        <v>3.1383484752581175E+61</v>
      </c>
      <c r="MFK29" s="160">
        <f t="shared" ref="MFK29" si="4474">MFI29*$C$29</f>
        <v>3.2324989295158611E+61</v>
      </c>
      <c r="MFM29" s="160">
        <f t="shared" ref="MFM29" si="4475">MFK29*$C$29</f>
        <v>3.3294738974013368E+61</v>
      </c>
      <c r="MFO29" s="160">
        <f t="shared" ref="MFO29" si="4476">MFM29*$C$29</f>
        <v>3.4293581143233768E+61</v>
      </c>
      <c r="MFQ29" s="160">
        <f t="shared" ref="MFQ29" si="4477">MFO29*$C$29</f>
        <v>3.5322388577530782E+61</v>
      </c>
      <c r="MFS29" s="160">
        <f t="shared" ref="MFS29" si="4478">MFQ29*$C$29</f>
        <v>3.6382060234856706E+61</v>
      </c>
      <c r="MFU29" s="160">
        <f t="shared" ref="MFU29" si="4479">MFS29*$C$29</f>
        <v>3.7473522041902411E+61</v>
      </c>
      <c r="MFW29" s="160">
        <f t="shared" ref="MFW29" si="4480">MFU29*$C$29</f>
        <v>3.8597727703159483E+61</v>
      </c>
      <c r="MFY29" s="160">
        <f t="shared" ref="MFY29" si="4481">MFW29*$C$29</f>
        <v>3.9755659534254267E+61</v>
      </c>
      <c r="MGA29" s="160">
        <f t="shared" ref="MGA29" si="4482">MFY29*$C$29</f>
        <v>4.0948329320281898E+61</v>
      </c>
      <c r="MGC29" s="160">
        <f t="shared" ref="MGC29" si="4483">MGA29*$C$29</f>
        <v>4.2176779199890354E+61</v>
      </c>
      <c r="MGE29" s="160">
        <f t="shared" ref="MGE29" si="4484">MGC29*$C$29</f>
        <v>4.3442082575887067E+61</v>
      </c>
      <c r="MGG29" s="160">
        <f t="shared" ref="MGG29" si="4485">MGE29*$C$29</f>
        <v>4.4745345053163678E+61</v>
      </c>
      <c r="MGI29" s="160">
        <f t="shared" ref="MGI29" si="4486">MGG29*$C$29</f>
        <v>4.608770540475859E+61</v>
      </c>
      <c r="MGK29" s="160">
        <f t="shared" ref="MGK29" si="4487">MGI29*$C$29</f>
        <v>4.7470336566901351E+61</v>
      </c>
      <c r="MGM29" s="160">
        <f t="shared" ref="MGM29" si="4488">MGK29*$C$29</f>
        <v>4.8894446663908391E+61</v>
      </c>
      <c r="MGO29" s="160">
        <f t="shared" ref="MGO29" si="4489">MGM29*$C$29</f>
        <v>5.0361280063825647E+61</v>
      </c>
      <c r="MGQ29" s="160">
        <f t="shared" ref="MGQ29" si="4490">MGO29*$C$29</f>
        <v>5.1872118465740422E+61</v>
      </c>
      <c r="MGS29" s="160">
        <f t="shared" ref="MGS29" si="4491">MGQ29*$C$29</f>
        <v>5.3428282019712641E+61</v>
      </c>
      <c r="MGU29" s="160">
        <f t="shared" ref="MGU29" si="4492">MGS29*$C$29</f>
        <v>5.503113048030402E+61</v>
      </c>
      <c r="MGW29" s="160">
        <f t="shared" ref="MGW29" si="4493">MGU29*$C$29</f>
        <v>5.6682064394713144E+61</v>
      </c>
      <c r="MGY29" s="160">
        <f t="shared" ref="MGY29" si="4494">MGW29*$C$29</f>
        <v>5.838252632655454E+61</v>
      </c>
      <c r="MHA29" s="160">
        <f t="shared" ref="MHA29" si="4495">MGY29*$C$29</f>
        <v>6.013400211635118E+61</v>
      </c>
      <c r="MHC29" s="160">
        <f t="shared" ref="MHC29" si="4496">MHA29*$C$29</f>
        <v>6.1938022179841716E+61</v>
      </c>
      <c r="MHE29" s="160">
        <f t="shared" ref="MHE29" si="4497">MHC29*$C$29</f>
        <v>6.3796162845236965E+61</v>
      </c>
      <c r="MHG29" s="160">
        <f t="shared" ref="MHG29" si="4498">MHE29*$C$29</f>
        <v>6.5710047730594072E+61</v>
      </c>
      <c r="MHI29" s="160">
        <f t="shared" ref="MHI29" si="4499">MHG29*$C$29</f>
        <v>6.7681349162511896E+61</v>
      </c>
      <c r="MHK29" s="160">
        <f t="shared" ref="MHK29" si="4500">MHI29*$C$29</f>
        <v>6.9711789637387254E+61</v>
      </c>
      <c r="MHM29" s="160">
        <f t="shared" ref="MHM29" si="4501">MHK29*$C$29</f>
        <v>7.1803143326508869E+61</v>
      </c>
      <c r="MHO29" s="160">
        <f t="shared" ref="MHO29" si="4502">MHM29*$C$29</f>
        <v>7.3957237626304138E+61</v>
      </c>
      <c r="MHQ29" s="160">
        <f t="shared" ref="MHQ29" si="4503">MHO29*$C$29</f>
        <v>7.6175954755093269E+61</v>
      </c>
      <c r="MHS29" s="160">
        <f t="shared" ref="MHS29" si="4504">MHQ29*$C$29</f>
        <v>7.8461233397746064E+61</v>
      </c>
      <c r="MHU29" s="160">
        <f t="shared" ref="MHU29" si="4505">MHS29*$C$29</f>
        <v>8.081507039967845E+61</v>
      </c>
      <c r="MHW29" s="160">
        <f t="shared" ref="MHW29" si="4506">MHU29*$C$29</f>
        <v>8.323952251166881E+61</v>
      </c>
      <c r="MHY29" s="160">
        <f t="shared" ref="MHY29" si="4507">MHW29*$C$29</f>
        <v>8.573670818701888E+61</v>
      </c>
      <c r="MIA29" s="160">
        <f t="shared" ref="MIA29" si="4508">MHY29*$C$29</f>
        <v>8.8308809432629444E+61</v>
      </c>
      <c r="MIC29" s="160">
        <f t="shared" ref="MIC29" si="4509">MIA29*$C$29</f>
        <v>9.0958073715608327E+61</v>
      </c>
      <c r="MIE29" s="160">
        <f t="shared" ref="MIE29" si="4510">MIC29*$C$29</f>
        <v>9.368681592707658E+61</v>
      </c>
      <c r="MIG29" s="160">
        <f t="shared" ref="MIG29" si="4511">MIE29*$C$29</f>
        <v>9.6497420404888881E+61</v>
      </c>
      <c r="MII29" s="160">
        <f t="shared" ref="MII29" si="4512">MIG29*$C$29</f>
        <v>9.9392343017035553E+61</v>
      </c>
      <c r="MIK29" s="160">
        <f t="shared" ref="MIK29" si="4513">MII29*$C$29</f>
        <v>1.0237411330754662E+62</v>
      </c>
      <c r="MIM29" s="160">
        <f t="shared" ref="MIM29" si="4514">MIK29*$C$29</f>
        <v>1.0544533670677303E+62</v>
      </c>
      <c r="MIO29" s="160">
        <f t="shared" ref="MIO29" si="4515">MIM29*$C$29</f>
        <v>1.0860869680797622E+62</v>
      </c>
      <c r="MIQ29" s="160">
        <f t="shared" ref="MIQ29" si="4516">MIO29*$C$29</f>
        <v>1.118669577122155E+62</v>
      </c>
      <c r="MIS29" s="160">
        <f t="shared" ref="MIS29" si="4517">MIQ29*$C$29</f>
        <v>1.1522296644358197E+62</v>
      </c>
      <c r="MIU29" s="160">
        <f t="shared" ref="MIU29" si="4518">MIS29*$C$29</f>
        <v>1.1867965543688943E+62</v>
      </c>
      <c r="MIW29" s="160">
        <f t="shared" ref="MIW29" si="4519">MIU29*$C$29</f>
        <v>1.2224004509999611E+62</v>
      </c>
      <c r="MIY29" s="160">
        <f t="shared" ref="MIY29" si="4520">MIW29*$C$29</f>
        <v>1.25907246452996E+62</v>
      </c>
      <c r="MJA29" s="160">
        <f t="shared" ref="MJA29" si="4521">MIY29*$C$29</f>
        <v>1.2968446384658589E+62</v>
      </c>
      <c r="MJC29" s="160">
        <f t="shared" ref="MJC29" si="4522">MJA29*$C$29</f>
        <v>1.3357499776198346E+62</v>
      </c>
      <c r="MJE29" s="160">
        <f t="shared" ref="MJE29" si="4523">MJC29*$C$29</f>
        <v>1.3758224769484297E+62</v>
      </c>
      <c r="MJG29" s="160">
        <f t="shared" ref="MJG29" si="4524">MJE29*$C$29</f>
        <v>1.4170971512568827E+62</v>
      </c>
      <c r="MJI29" s="160">
        <f t="shared" ref="MJI29" si="4525">MJG29*$C$29</f>
        <v>1.4596100657945893E+62</v>
      </c>
      <c r="MJK29" s="160">
        <f t="shared" ref="MJK29" si="4526">MJI29*$C$29</f>
        <v>1.5033983677684271E+62</v>
      </c>
      <c r="MJM29" s="160">
        <f t="shared" ref="MJM29" si="4527">MJK29*$C$29</f>
        <v>1.54850031880148E+62</v>
      </c>
      <c r="MJO29" s="160">
        <f t="shared" ref="MJO29" si="4528">MJM29*$C$29</f>
        <v>1.5949553283655244E+62</v>
      </c>
      <c r="MJQ29" s="160">
        <f t="shared" ref="MJQ29" si="4529">MJO29*$C$29</f>
        <v>1.6428039882164901E+62</v>
      </c>
      <c r="MJS29" s="160">
        <f t="shared" ref="MJS29" si="4530">MJQ29*$C$29</f>
        <v>1.6920881078629848E+62</v>
      </c>
      <c r="MJU29" s="160">
        <f t="shared" ref="MJU29" si="4531">MJS29*$C$29</f>
        <v>1.7428507510988744E+62</v>
      </c>
      <c r="MJW29" s="160">
        <f t="shared" ref="MJW29" si="4532">MJU29*$C$29</f>
        <v>1.7951362736318407E+62</v>
      </c>
      <c r="MJY29" s="160">
        <f t="shared" ref="MJY29" si="4533">MJW29*$C$29</f>
        <v>1.8489903618407961E+62</v>
      </c>
      <c r="MKA29" s="160">
        <f t="shared" ref="MKA29" si="4534">MJY29*$C$29</f>
        <v>1.9044600726960201E+62</v>
      </c>
      <c r="MKC29" s="160">
        <f t="shared" ref="MKC29" si="4535">MKA29*$C$29</f>
        <v>1.9615938748769007E+62</v>
      </c>
      <c r="MKE29" s="160">
        <f t="shared" ref="MKE29" si="4536">MKC29*$C$29</f>
        <v>2.0204416911232078E+62</v>
      </c>
      <c r="MKG29" s="160">
        <f t="shared" ref="MKG29" si="4537">MKE29*$C$29</f>
        <v>2.0810549418569041E+62</v>
      </c>
      <c r="MKI29" s="160">
        <f t="shared" ref="MKI29" si="4538">MKG29*$C$29</f>
        <v>2.1434865901126114E+62</v>
      </c>
      <c r="MKK29" s="160">
        <f t="shared" ref="MKK29" si="4539">MKI29*$C$29</f>
        <v>2.2077911878159898E+62</v>
      </c>
      <c r="MKM29" s="160">
        <f t="shared" ref="MKM29" si="4540">MKK29*$C$29</f>
        <v>2.2740249234504696E+62</v>
      </c>
      <c r="MKO29" s="160">
        <f t="shared" ref="MKO29" si="4541">MKM29*$C$29</f>
        <v>2.3422456711539836E+62</v>
      </c>
      <c r="MKQ29" s="160">
        <f t="shared" ref="MKQ29" si="4542">MKO29*$C$29</f>
        <v>2.4125130412886029E+62</v>
      </c>
      <c r="MKS29" s="160">
        <f t="shared" ref="MKS29" si="4543">MKQ29*$C$29</f>
        <v>2.4848884325272612E+62</v>
      </c>
      <c r="MKU29" s="160">
        <f t="shared" ref="MKU29" si="4544">MKS29*$C$29</f>
        <v>2.5594350855030791E+62</v>
      </c>
      <c r="MKW29" s="160">
        <f t="shared" ref="MKW29" si="4545">MKU29*$C$29</f>
        <v>2.6362181380681716E+62</v>
      </c>
      <c r="MKY29" s="160">
        <f t="shared" ref="MKY29" si="4546">MKW29*$C$29</f>
        <v>2.7153046822102168E+62</v>
      </c>
      <c r="MLA29" s="160">
        <f t="shared" ref="MLA29" si="4547">MKY29*$C$29</f>
        <v>2.7967638226765232E+62</v>
      </c>
      <c r="MLC29" s="160">
        <f t="shared" ref="MLC29" si="4548">MLA29*$C$29</f>
        <v>2.8806667373568189E+62</v>
      </c>
      <c r="MLE29" s="160">
        <f t="shared" ref="MLE29" si="4549">MLC29*$C$29</f>
        <v>2.9670867394775234E+62</v>
      </c>
      <c r="MLG29" s="160">
        <f t="shared" ref="MLG29" si="4550">MLE29*$C$29</f>
        <v>3.0560993416618493E+62</v>
      </c>
      <c r="MLI29" s="160">
        <f t="shared" ref="MLI29" si="4551">MLG29*$C$29</f>
        <v>3.1477823219117051E+62</v>
      </c>
      <c r="MLK29" s="160">
        <f t="shared" ref="MLK29" si="4552">MLI29*$C$29</f>
        <v>3.2422157915690565E+62</v>
      </c>
      <c r="MLM29" s="160">
        <f t="shared" ref="MLM29" si="4553">MLK29*$C$29</f>
        <v>3.3394822653161285E+62</v>
      </c>
      <c r="MLO29" s="160">
        <f t="shared" ref="MLO29" si="4554">MLM29*$C$29</f>
        <v>3.4396667332756124E+62</v>
      </c>
      <c r="MLQ29" s="160">
        <f t="shared" ref="MLQ29" si="4555">MLO29*$C$29</f>
        <v>3.5428567352738808E+62</v>
      </c>
      <c r="MLS29" s="160">
        <f t="shared" ref="MLS29" si="4556">MLQ29*$C$29</f>
        <v>3.6491424373320972E+62</v>
      </c>
      <c r="MLU29" s="160">
        <f t="shared" ref="MLU29" si="4557">MLS29*$C$29</f>
        <v>3.7586167104520604E+62</v>
      </c>
      <c r="MLW29" s="160">
        <f t="shared" ref="MLW29" si="4558">MLU29*$C$29</f>
        <v>3.8713752117656225E+62</v>
      </c>
      <c r="MLY29" s="160">
        <f t="shared" ref="MLY29" si="4559">MLW29*$C$29</f>
        <v>3.9875164681185914E+62</v>
      </c>
      <c r="MMA29" s="160">
        <f t="shared" ref="MMA29" si="4560">MLY29*$C$29</f>
        <v>4.1071419621621491E+62</v>
      </c>
      <c r="MMC29" s="160">
        <f t="shared" ref="MMC29" si="4561">MMA29*$C$29</f>
        <v>4.2303562210270138E+62</v>
      </c>
      <c r="MME29" s="160">
        <f t="shared" ref="MME29" si="4562">MMC29*$C$29</f>
        <v>4.3572669076578246E+62</v>
      </c>
      <c r="MMG29" s="160">
        <f t="shared" ref="MMG29" si="4563">MME29*$C$29</f>
        <v>4.4879849148875595E+62</v>
      </c>
      <c r="MMI29" s="160">
        <f t="shared" ref="MMI29" si="4564">MMG29*$C$29</f>
        <v>4.6226244623341861E+62</v>
      </c>
      <c r="MMK29" s="160">
        <f t="shared" ref="MMK29" si="4565">MMI29*$C$29</f>
        <v>4.7613031962042115E+62</v>
      </c>
      <c r="MMM29" s="160">
        <f t="shared" ref="MMM29" si="4566">MMK29*$C$29</f>
        <v>4.9041422920903376E+62</v>
      </c>
      <c r="MMO29" s="160">
        <f t="shared" ref="MMO29" si="4567">MMM29*$C$29</f>
        <v>5.0512665608530481E+62</v>
      </c>
      <c r="MMQ29" s="160">
        <f t="shared" ref="MMQ29" si="4568">MMO29*$C$29</f>
        <v>5.2028045576786394E+62</v>
      </c>
      <c r="MMS29" s="160">
        <f t="shared" ref="MMS29" si="4569">MMQ29*$C$29</f>
        <v>5.358888694408999E+62</v>
      </c>
      <c r="MMU29" s="160">
        <f t="shared" ref="MMU29" si="4570">MMS29*$C$29</f>
        <v>5.5196553552412692E+62</v>
      </c>
      <c r="MMW29" s="160">
        <f t="shared" ref="MMW29" si="4571">MMU29*$C$29</f>
        <v>5.6852450158985073E+62</v>
      </c>
      <c r="MMY29" s="160">
        <f t="shared" ref="MMY29" si="4572">MMW29*$C$29</f>
        <v>5.855802366375463E+62</v>
      </c>
      <c r="MNA29" s="160">
        <f t="shared" ref="MNA29" si="4573">MMY29*$C$29</f>
        <v>6.031476437366727E+62</v>
      </c>
      <c r="MNC29" s="160">
        <f t="shared" ref="MNC29" si="4574">MNA29*$C$29</f>
        <v>6.2124207304877288E+62</v>
      </c>
      <c r="MNE29" s="160">
        <f t="shared" ref="MNE29" si="4575">MNC29*$C$29</f>
        <v>6.3987933524023608E+62</v>
      </c>
      <c r="MNG29" s="160">
        <f t="shared" ref="MNG29" si="4576">MNE29*$C$29</f>
        <v>6.5907571529744314E+62</v>
      </c>
      <c r="MNI29" s="160">
        <f t="shared" ref="MNI29" si="4577">MNG29*$C$29</f>
        <v>6.7884798675636648E+62</v>
      </c>
      <c r="MNK29" s="160">
        <f t="shared" ref="MNK29" si="4578">MNI29*$C$29</f>
        <v>6.9921342635905754E+62</v>
      </c>
      <c r="MNM29" s="160">
        <f t="shared" ref="MNM29" si="4579">MNK29*$C$29</f>
        <v>7.2018982914982931E+62</v>
      </c>
      <c r="MNO29" s="160">
        <f t="shared" ref="MNO29" si="4580">MNM29*$C$29</f>
        <v>7.4179552402432422E+62</v>
      </c>
      <c r="MNQ29" s="160">
        <f t="shared" ref="MNQ29" si="4581">MNO29*$C$29</f>
        <v>7.6404938974505394E+62</v>
      </c>
      <c r="MNS29" s="160">
        <f t="shared" ref="MNS29" si="4582">MNQ29*$C$29</f>
        <v>7.8697087143740558E+62</v>
      </c>
      <c r="MNU29" s="160">
        <f t="shared" ref="MNU29" si="4583">MNS29*$C$29</f>
        <v>8.1057999758052781E+62</v>
      </c>
      <c r="MNW29" s="160">
        <f t="shared" ref="MNW29" si="4584">MNU29*$C$29</f>
        <v>8.3489739750794373E+62</v>
      </c>
      <c r="MNY29" s="160">
        <f t="shared" ref="MNY29" si="4585">MNW29*$C$29</f>
        <v>8.5994431943318204E+62</v>
      </c>
      <c r="MOA29" s="160">
        <f t="shared" ref="MOA29" si="4586">MNY29*$C$29</f>
        <v>8.8574264901617751E+62</v>
      </c>
      <c r="MOC29" s="160">
        <f t="shared" ref="MOC29" si="4587">MOA29*$C$29</f>
        <v>9.123149284866628E+62</v>
      </c>
      <c r="MOE29" s="160">
        <f t="shared" ref="MOE29" si="4588">MOC29*$C$29</f>
        <v>9.3968437634126279E+62</v>
      </c>
      <c r="MOG29" s="160">
        <f t="shared" ref="MOG29" si="4589">MOE29*$C$29</f>
        <v>9.6787490763150075E+62</v>
      </c>
      <c r="MOI29" s="160">
        <f t="shared" ref="MOI29" si="4590">MOG29*$C$29</f>
        <v>9.969111548604458E+62</v>
      </c>
      <c r="MOK29" s="160">
        <f t="shared" ref="MOK29" si="4591">MOI29*$C$29</f>
        <v>1.0268184895062591E+63</v>
      </c>
      <c r="MOM29" s="160">
        <f t="shared" ref="MOM29" si="4592">MOK29*$C$29</f>
        <v>1.057623044191447E+63</v>
      </c>
      <c r="MOO29" s="160">
        <f t="shared" ref="MOO29" si="4593">MOM29*$C$29</f>
        <v>1.0893517355171904E+63</v>
      </c>
      <c r="MOQ29" s="160">
        <f t="shared" ref="MOQ29" si="4594">MOO29*$C$29</f>
        <v>1.1220322875827062E+63</v>
      </c>
      <c r="MOS29" s="160">
        <f t="shared" ref="MOS29" si="4595">MOQ29*$C$29</f>
        <v>1.1556932562101873E+63</v>
      </c>
      <c r="MOU29" s="160">
        <f t="shared" ref="MOU29" si="4596">MOS29*$C$29</f>
        <v>1.1903640538964931E+63</v>
      </c>
      <c r="MOW29" s="160">
        <f t="shared" ref="MOW29" si="4597">MOU29*$C$29</f>
        <v>1.2260749755133878E+63</v>
      </c>
      <c r="MOY29" s="160">
        <f t="shared" ref="MOY29" si="4598">MOW29*$C$29</f>
        <v>1.2628572247787896E+63</v>
      </c>
      <c r="MPA29" s="160">
        <f t="shared" ref="MPA29" si="4599">MOY29*$C$29</f>
        <v>1.3007429415221533E+63</v>
      </c>
      <c r="MPC29" s="160">
        <f t="shared" ref="MPC29" si="4600">MPA29*$C$29</f>
        <v>1.339765229767818E+63</v>
      </c>
      <c r="MPE29" s="160">
        <f t="shared" ref="MPE29" si="4601">MPC29*$C$29</f>
        <v>1.3799581866608525E+63</v>
      </c>
      <c r="MPG29" s="160">
        <f t="shared" ref="MPG29" si="4602">MPE29*$C$29</f>
        <v>1.421356932260678E+63</v>
      </c>
      <c r="MPI29" s="160">
        <f t="shared" ref="MPI29" si="4603">MPG29*$C$29</f>
        <v>1.4639976402284984E+63</v>
      </c>
      <c r="MPK29" s="160">
        <f t="shared" ref="MPK29" si="4604">MPI29*$C$29</f>
        <v>1.5079175694353534E+63</v>
      </c>
      <c r="MPM29" s="160">
        <f t="shared" ref="MPM29" si="4605">MPK29*$C$29</f>
        <v>1.553155096518414E+63</v>
      </c>
      <c r="MPO29" s="160">
        <f t="shared" ref="MPO29" si="4606">MPM29*$C$29</f>
        <v>1.5997497494139664E+63</v>
      </c>
      <c r="MPQ29" s="160">
        <f t="shared" ref="MPQ29" si="4607">MPO29*$C$29</f>
        <v>1.6477422418963855E+63</v>
      </c>
      <c r="MPS29" s="160">
        <f t="shared" ref="MPS29" si="4608">MPQ29*$C$29</f>
        <v>1.697174509153277E+63</v>
      </c>
      <c r="MPU29" s="160">
        <f t="shared" ref="MPU29" si="4609">MPS29*$C$29</f>
        <v>1.7480897444278755E+63</v>
      </c>
      <c r="MPW29" s="160">
        <f t="shared" ref="MPW29" si="4610">MPU29*$C$29</f>
        <v>1.800532436760712E+63</v>
      </c>
      <c r="MPY29" s="160">
        <f t="shared" ref="MPY29" si="4611">MPW29*$C$29</f>
        <v>1.8545484098635335E+63</v>
      </c>
      <c r="MQA29" s="160">
        <f t="shared" ref="MQA29" si="4612">MPY29*$C$29</f>
        <v>1.9101848621594396E+63</v>
      </c>
      <c r="MQC29" s="160">
        <f t="shared" ref="MQC29" si="4613">MQA29*$C$29</f>
        <v>1.9674904080242226E+63</v>
      </c>
      <c r="MQE29" s="160">
        <f t="shared" ref="MQE29" si="4614">MQC29*$C$29</f>
        <v>2.0265151202649494E+63</v>
      </c>
      <c r="MQG29" s="160">
        <f t="shared" ref="MQG29" si="4615">MQE29*$C$29</f>
        <v>2.0873105738728979E+63</v>
      </c>
      <c r="MQI29" s="160">
        <f t="shared" ref="MQI29" si="4616">MQG29*$C$29</f>
        <v>2.1499298910890849E+63</v>
      </c>
      <c r="MQK29" s="160">
        <f t="shared" ref="MQK29" si="4617">MQI29*$C$29</f>
        <v>2.2144277878217574E+63</v>
      </c>
      <c r="MQM29" s="160">
        <f t="shared" ref="MQM29" si="4618">MQK29*$C$29</f>
        <v>2.2808606214564102E+63</v>
      </c>
      <c r="MQO29" s="160">
        <f t="shared" ref="MQO29" si="4619">MQM29*$C$29</f>
        <v>2.3492864401001025E+63</v>
      </c>
      <c r="MQQ29" s="160">
        <f t="shared" ref="MQQ29" si="4620">MQO29*$C$29</f>
        <v>2.4197650333031057E+63</v>
      </c>
      <c r="MQS29" s="160">
        <f t="shared" ref="MQS29" si="4621">MQQ29*$C$29</f>
        <v>2.4923579843021988E+63</v>
      </c>
      <c r="MQU29" s="160">
        <f t="shared" ref="MQU29" si="4622">MQS29*$C$29</f>
        <v>2.5671287238312648E+63</v>
      </c>
      <c r="MQW29" s="160">
        <f t="shared" ref="MQW29" si="4623">MQU29*$C$29</f>
        <v>2.6441425855462027E+63</v>
      </c>
      <c r="MQY29" s="160">
        <f t="shared" ref="MQY29" si="4624">MQW29*$C$29</f>
        <v>2.723466863112589E+63</v>
      </c>
      <c r="MRA29" s="160">
        <f t="shared" ref="MRA29" si="4625">MQY29*$C$29</f>
        <v>2.8051708690059665E+63</v>
      </c>
      <c r="MRC29" s="160">
        <f t="shared" ref="MRC29" si="4626">MRA29*$C$29</f>
        <v>2.8893259950761456E+63</v>
      </c>
      <c r="MRE29" s="160">
        <f t="shared" ref="MRE29" si="4627">MRC29*$C$29</f>
        <v>2.97600577492843E+63</v>
      </c>
      <c r="MRG29" s="160">
        <f t="shared" ref="MRG29" si="4628">MRE29*$C$29</f>
        <v>3.0652859481762828E+63</v>
      </c>
      <c r="MRI29" s="160">
        <f t="shared" ref="MRI29" si="4629">MRG29*$C$29</f>
        <v>3.1572445266215715E+63</v>
      </c>
      <c r="MRK29" s="160">
        <f t="shared" ref="MRK29" si="4630">MRI29*$C$29</f>
        <v>3.2519618624202186E+63</v>
      </c>
      <c r="MRM29" s="160">
        <f t="shared" ref="MRM29" si="4631">MRK29*$C$29</f>
        <v>3.3495207182928255E+63</v>
      </c>
      <c r="MRO29" s="160">
        <f t="shared" ref="MRO29" si="4632">MRM29*$C$29</f>
        <v>3.4500063398416101E+63</v>
      </c>
      <c r="MRQ29" s="160">
        <f t="shared" ref="MRQ29" si="4633">MRO29*$C$29</f>
        <v>3.5535065300368582E+63</v>
      </c>
      <c r="MRS29" s="160">
        <f t="shared" ref="MRS29" si="4634">MRQ29*$C$29</f>
        <v>3.6601117259379643E+63</v>
      </c>
      <c r="MRU29" s="160">
        <f t="shared" ref="MRU29" si="4635">MRS29*$C$29</f>
        <v>3.7699150777161033E+63</v>
      </c>
      <c r="MRW29" s="160">
        <f t="shared" ref="MRW29" si="4636">MRU29*$C$29</f>
        <v>3.8830125300475863E+63</v>
      </c>
      <c r="MRY29" s="160">
        <f t="shared" ref="MRY29" si="4637">MRW29*$C$29</f>
        <v>3.9995029059490142E+63</v>
      </c>
      <c r="MSA29" s="160">
        <f t="shared" ref="MSA29" si="4638">MRY29*$C$29</f>
        <v>4.1194879931274846E+63</v>
      </c>
      <c r="MSC29" s="160">
        <f t="shared" ref="MSC29" si="4639">MSA29*$C$29</f>
        <v>4.2430726329213094E+63</v>
      </c>
      <c r="MSE29" s="160">
        <f t="shared" ref="MSE29" si="4640">MSC29*$C$29</f>
        <v>4.3703648119089489E+63</v>
      </c>
      <c r="MSG29" s="160">
        <f t="shared" ref="MSG29" si="4641">MSE29*$C$29</f>
        <v>4.5014757562662174E+63</v>
      </c>
      <c r="MSI29" s="160">
        <f t="shared" ref="MSI29" si="4642">MSG29*$C$29</f>
        <v>4.6365200289542039E+63</v>
      </c>
      <c r="MSK29" s="160">
        <f t="shared" ref="MSK29" si="4643">MSI29*$C$29</f>
        <v>4.7756156298228305E+63</v>
      </c>
      <c r="MSM29" s="160">
        <f t="shared" ref="MSM29" si="4644">MSK29*$C$29</f>
        <v>4.9188840987175157E+63</v>
      </c>
      <c r="MSO29" s="160">
        <f t="shared" ref="MSO29" si="4645">MSM29*$C$29</f>
        <v>5.0664506216790417E+63</v>
      </c>
      <c r="MSQ29" s="160">
        <f t="shared" ref="MSQ29" si="4646">MSO29*$C$29</f>
        <v>5.2184441403294132E+63</v>
      </c>
      <c r="MSS29" s="160">
        <f t="shared" ref="MSS29" si="4647">MSQ29*$C$29</f>
        <v>5.374997464539296E+63</v>
      </c>
      <c r="MSU29" s="160">
        <f t="shared" ref="MSU29" si="4648">MSS29*$C$29</f>
        <v>5.536247388475475E+63</v>
      </c>
      <c r="MSW29" s="160">
        <f t="shared" ref="MSW29" si="4649">MSU29*$C$29</f>
        <v>5.7023348101297395E+63</v>
      </c>
      <c r="MSY29" s="160">
        <f t="shared" ref="MSY29" si="4650">MSW29*$C$29</f>
        <v>5.8734048544336318E+63</v>
      </c>
      <c r="MTA29" s="160">
        <f t="shared" ref="MTA29" si="4651">MSY29*$C$29</f>
        <v>6.0496070000666406E+63</v>
      </c>
      <c r="MTC29" s="160">
        <f t="shared" ref="MTC29" si="4652">MTA29*$C$29</f>
        <v>6.2310952100686396E+63</v>
      </c>
      <c r="MTE29" s="160">
        <f t="shared" ref="MTE29" si="4653">MTC29*$C$29</f>
        <v>6.4180280663706987E+63</v>
      </c>
      <c r="MTG29" s="160">
        <f t="shared" ref="MTG29" si="4654">MTE29*$C$29</f>
        <v>6.6105689083618193E+63</v>
      </c>
      <c r="MTI29" s="160">
        <f t="shared" ref="MTI29" si="4655">MTG29*$C$29</f>
        <v>6.8088859756126745E+63</v>
      </c>
      <c r="MTK29" s="160">
        <f t="shared" ref="MTK29" si="4656">MTI29*$C$29</f>
        <v>7.0131525548810549E+63</v>
      </c>
      <c r="MTM29" s="160">
        <f t="shared" ref="MTM29" si="4657">MTK29*$C$29</f>
        <v>7.2235471315274869E+63</v>
      </c>
      <c r="MTO29" s="160">
        <f t="shared" ref="MTO29" si="4658">MTM29*$C$29</f>
        <v>7.4402535454733115E+63</v>
      </c>
      <c r="MTQ29" s="160">
        <f t="shared" ref="MTQ29" si="4659">MTO29*$C$29</f>
        <v>7.6634611518375111E+63</v>
      </c>
      <c r="MTS29" s="160">
        <f t="shared" ref="MTS29" si="4660">MTQ29*$C$29</f>
        <v>7.893364986392636E+63</v>
      </c>
      <c r="MTU29" s="160">
        <f t="shared" ref="MTU29" si="4661">MTS29*$C$29</f>
        <v>8.130165935984416E+63</v>
      </c>
      <c r="MTW29" s="160">
        <f t="shared" ref="MTW29" si="4662">MTU29*$C$29</f>
        <v>8.3740709140639485E+63</v>
      </c>
      <c r="MTY29" s="160">
        <f t="shared" ref="MTY29" si="4663">MTW29*$C$29</f>
        <v>8.6252930414858675E+63</v>
      </c>
      <c r="MUA29" s="160">
        <f t="shared" ref="MUA29" si="4664">MTY29*$C$29</f>
        <v>8.8840518327304439E+63</v>
      </c>
      <c r="MUC29" s="160">
        <f t="shared" ref="MUC29" si="4665">MUA29*$C$29</f>
        <v>9.1505733877123572E+63</v>
      </c>
      <c r="MUE29" s="160">
        <f t="shared" ref="MUE29" si="4666">MUC29*$C$29</f>
        <v>9.4250905893437288E+63</v>
      </c>
      <c r="MUG29" s="160">
        <f t="shared" ref="MUG29" si="4667">MUE29*$C$29</f>
        <v>9.7078433070240415E+63</v>
      </c>
      <c r="MUI29" s="160">
        <f t="shared" ref="MUI29" si="4668">MUG29*$C$29</f>
        <v>9.9990786062347633E+63</v>
      </c>
      <c r="MUK29" s="160">
        <f t="shared" ref="MUK29" si="4669">MUI29*$C$29</f>
        <v>1.0299050964421807E+64</v>
      </c>
      <c r="MUM29" s="160">
        <f t="shared" ref="MUM29" si="4670">MUK29*$C$29</f>
        <v>1.0608022493354461E+64</v>
      </c>
      <c r="MUO29" s="160">
        <f t="shared" ref="MUO29" si="4671">MUM29*$C$29</f>
        <v>1.0926263168155096E+64</v>
      </c>
      <c r="MUQ29" s="160">
        <f t="shared" ref="MUQ29" si="4672">MUO29*$C$29</f>
        <v>1.1254051063199749E+64</v>
      </c>
      <c r="MUS29" s="160">
        <f t="shared" ref="MUS29" si="4673">MUQ29*$C$29</f>
        <v>1.1591672595095742E+64</v>
      </c>
      <c r="MUU29" s="160">
        <f t="shared" ref="MUU29" si="4674">MUS29*$C$29</f>
        <v>1.1939422772948614E+64</v>
      </c>
      <c r="MUW29" s="160">
        <f t="shared" ref="MUW29" si="4675">MUU29*$C$29</f>
        <v>1.2297605456137073E+64</v>
      </c>
      <c r="MUY29" s="160">
        <f t="shared" ref="MUY29" si="4676">MUW29*$C$29</f>
        <v>1.2666533619821185E+64</v>
      </c>
      <c r="MVA29" s="160">
        <f t="shared" ref="MVA29" si="4677">MUY29*$C$29</f>
        <v>1.304652962841582E+64</v>
      </c>
      <c r="MVC29" s="160">
        <f t="shared" ref="MVC29" si="4678">MVA29*$C$29</f>
        <v>1.3437925517268294E+64</v>
      </c>
      <c r="MVE29" s="160">
        <f t="shared" ref="MVE29" si="4679">MVC29*$C$29</f>
        <v>1.3841063282786342E+64</v>
      </c>
      <c r="MVG29" s="160">
        <f t="shared" ref="MVG29" si="4680">MVE29*$C$29</f>
        <v>1.4256295181269932E+64</v>
      </c>
      <c r="MVI29" s="160">
        <f t="shared" ref="MVI29" si="4681">MVG29*$C$29</f>
        <v>1.468398403670803E+64</v>
      </c>
      <c r="MVK29" s="160">
        <f t="shared" ref="MVK29" si="4682">MVI29*$C$29</f>
        <v>1.5124503557809271E+64</v>
      </c>
      <c r="MVM29" s="160">
        <f t="shared" ref="MVM29" si="4683">MVK29*$C$29</f>
        <v>1.557823866454355E+64</v>
      </c>
      <c r="MVO29" s="160">
        <f t="shared" ref="MVO29" si="4684">MVM29*$C$29</f>
        <v>1.6045585824479858E+64</v>
      </c>
      <c r="MVQ29" s="160">
        <f t="shared" ref="MVQ29" si="4685">MVO29*$C$29</f>
        <v>1.6526953399214253E+64</v>
      </c>
      <c r="MVS29" s="160">
        <f t="shared" ref="MVS29" si="4686">MVQ29*$C$29</f>
        <v>1.702276200119068E+64</v>
      </c>
      <c r="MVU29" s="160">
        <f t="shared" ref="MVU29" si="4687">MVS29*$C$29</f>
        <v>1.7533444861226402E+64</v>
      </c>
      <c r="MVW29" s="160">
        <f t="shared" ref="MVW29" si="4688">MVU29*$C$29</f>
        <v>1.8059448207063194E+64</v>
      </c>
      <c r="MVY29" s="160">
        <f t="shared" ref="MVY29" si="4689">MVW29*$C$29</f>
        <v>1.860123165327509E+64</v>
      </c>
      <c r="MWA29" s="160">
        <f t="shared" ref="MWA29" si="4690">MVY29*$C$29</f>
        <v>1.9159268602873345E+64</v>
      </c>
      <c r="MWC29" s="160">
        <f t="shared" ref="MWC29" si="4691">MWA29*$C$29</f>
        <v>1.9734046660959544E+64</v>
      </c>
      <c r="MWE29" s="160">
        <f t="shared" ref="MWE29" si="4692">MWC29*$C$29</f>
        <v>2.0326068060788332E+64</v>
      </c>
      <c r="MWG29" s="160">
        <f t="shared" ref="MWG29" si="4693">MWE29*$C$29</f>
        <v>2.0935850102611984E+64</v>
      </c>
      <c r="MWI29" s="160">
        <f t="shared" ref="MWI29" si="4694">MWG29*$C$29</f>
        <v>2.1563925605690343E+64</v>
      </c>
      <c r="MWK29" s="160">
        <f t="shared" ref="MWK29" si="4695">MWI29*$C$29</f>
        <v>2.2210843373861055E+64</v>
      </c>
      <c r="MWM29" s="160">
        <f t="shared" ref="MWM29" si="4696">MWK29*$C$29</f>
        <v>2.2877168675076886E+64</v>
      </c>
      <c r="MWO29" s="160">
        <f t="shared" ref="MWO29" si="4697">MWM29*$C$29</f>
        <v>2.3563483735329193E+64</v>
      </c>
      <c r="MWQ29" s="160">
        <f t="shared" ref="MWQ29" si="4698">MWO29*$C$29</f>
        <v>2.4270388247389068E+64</v>
      </c>
      <c r="MWS29" s="160">
        <f t="shared" ref="MWS29" si="4699">MWQ29*$C$29</f>
        <v>2.4998499894810739E+64</v>
      </c>
      <c r="MWU29" s="160">
        <f t="shared" ref="MWU29" si="4700">MWS29*$C$29</f>
        <v>2.5748454891655063E+64</v>
      </c>
      <c r="MWW29" s="160">
        <f t="shared" ref="MWW29" si="4701">MWU29*$C$29</f>
        <v>2.6520908538404718E+64</v>
      </c>
      <c r="MWY29" s="160">
        <f t="shared" ref="MWY29" si="4702">MWW29*$C$29</f>
        <v>2.7316535794556857E+64</v>
      </c>
      <c r="MXA29" s="160">
        <f t="shared" ref="MXA29" si="4703">MWY29*$C$29</f>
        <v>2.8136031868393564E+64</v>
      </c>
      <c r="MXC29" s="160">
        <f t="shared" ref="MXC29" si="4704">MXA29*$C$29</f>
        <v>2.8980112824445373E+64</v>
      </c>
      <c r="MXE29" s="160">
        <f t="shared" ref="MXE29" si="4705">MXC29*$C$29</f>
        <v>2.9849516209178733E+64</v>
      </c>
      <c r="MXG29" s="160">
        <f t="shared" ref="MXG29" si="4706">MXE29*$C$29</f>
        <v>3.0745001695454093E+64</v>
      </c>
      <c r="MXI29" s="160">
        <f t="shared" ref="MXI29" si="4707">MXG29*$C$29</f>
        <v>3.1667351746317715E+64</v>
      </c>
      <c r="MXK29" s="160">
        <f t="shared" ref="MXK29" si="4708">MXI29*$C$29</f>
        <v>3.2617372298707246E+64</v>
      </c>
      <c r="MXM29" s="160">
        <f t="shared" ref="MXM29" si="4709">MXK29*$C$29</f>
        <v>3.3595893467668462E+64</v>
      </c>
      <c r="MXO29" s="160">
        <f t="shared" ref="MXO29" si="4710">MXM29*$C$29</f>
        <v>3.4603770271698515E+64</v>
      </c>
      <c r="MXQ29" s="160">
        <f t="shared" ref="MXQ29" si="4711">MXO29*$C$29</f>
        <v>3.5641883379849471E+64</v>
      </c>
      <c r="MXS29" s="160">
        <f t="shared" ref="MXS29" si="4712">MXQ29*$C$29</f>
        <v>3.6711139881244957E+64</v>
      </c>
      <c r="MXU29" s="160">
        <f t="shared" ref="MXU29" si="4713">MXS29*$C$29</f>
        <v>3.7812474077682309E+64</v>
      </c>
      <c r="MXW29" s="160">
        <f t="shared" ref="MXW29" si="4714">MXU29*$C$29</f>
        <v>3.8946848300012778E+64</v>
      </c>
      <c r="MXY29" s="160">
        <f t="shared" ref="MXY29" si="4715">MXW29*$C$29</f>
        <v>4.0115253749013163E+64</v>
      </c>
      <c r="MYA29" s="160">
        <f t="shared" ref="MYA29" si="4716">MXY29*$C$29</f>
        <v>4.131871136148356E+64</v>
      </c>
      <c r="MYC29" s="160">
        <f t="shared" ref="MYC29" si="4717">MYA29*$C$29</f>
        <v>4.2558272702328069E+64</v>
      </c>
      <c r="MYE29" s="160">
        <f t="shared" ref="MYE29" si="4718">MYC29*$C$29</f>
        <v>4.3835020883397911E+64</v>
      </c>
      <c r="MYG29" s="160">
        <f t="shared" ref="MYG29" si="4719">MYE29*$C$29</f>
        <v>4.515007150989985E+64</v>
      </c>
      <c r="MYI29" s="160">
        <f t="shared" ref="MYI29" si="4720">MYG29*$C$29</f>
        <v>4.6504573655196847E+64</v>
      </c>
      <c r="MYK29" s="160">
        <f t="shared" ref="MYK29" si="4721">MYI29*$C$29</f>
        <v>4.7899710864852751E+64</v>
      </c>
      <c r="MYM29" s="160">
        <f t="shared" ref="MYM29" si="4722">MYK29*$C$29</f>
        <v>4.9336702190798336E+64</v>
      </c>
      <c r="MYO29" s="160">
        <f t="shared" ref="MYO29" si="4723">MYM29*$C$29</f>
        <v>5.0816803256522288E+64</v>
      </c>
      <c r="MYQ29" s="160">
        <f t="shared" ref="MYQ29" si="4724">MYO29*$C$29</f>
        <v>5.234130735421796E+64</v>
      </c>
      <c r="MYS29" s="160">
        <f t="shared" ref="MYS29" si="4725">MYQ29*$C$29</f>
        <v>5.3911546574844497E+64</v>
      </c>
      <c r="MYU29" s="160">
        <f t="shared" ref="MYU29" si="4726">MYS29*$C$29</f>
        <v>5.5528892972089836E+64</v>
      </c>
      <c r="MYW29" s="160">
        <f t="shared" ref="MYW29" si="4727">MYU29*$C$29</f>
        <v>5.7194759761252534E+64</v>
      </c>
      <c r="MYY29" s="160">
        <f t="shared" ref="MYY29" si="4728">MYW29*$C$29</f>
        <v>5.8910602554090112E+64</v>
      </c>
      <c r="MZA29" s="160">
        <f t="shared" ref="MZA29" si="4729">MYY29*$C$29</f>
        <v>6.067792063071282E+64</v>
      </c>
      <c r="MZC29" s="160">
        <f t="shared" ref="MZC29" si="4730">MZA29*$C$29</f>
        <v>6.2498258249634208E+64</v>
      </c>
      <c r="MZE29" s="160">
        <f t="shared" ref="MZE29" si="4731">MZC29*$C$29</f>
        <v>6.4373205997123238E+64</v>
      </c>
      <c r="MZG29" s="160">
        <f t="shared" ref="MZG29" si="4732">MZE29*$C$29</f>
        <v>6.6304402177036935E+64</v>
      </c>
      <c r="MZI29" s="160">
        <f t="shared" ref="MZI29" si="4733">MZG29*$C$29</f>
        <v>6.8293534242348046E+64</v>
      </c>
      <c r="MZK29" s="160">
        <f t="shared" ref="MZK29" si="4734">MZI29*$C$29</f>
        <v>7.0342340269618488E+64</v>
      </c>
      <c r="MZM29" s="160">
        <f t="shared" ref="MZM29" si="4735">MZK29*$C$29</f>
        <v>7.2452610477707042E+64</v>
      </c>
      <c r="MZO29" s="160">
        <f t="shared" ref="MZO29" si="4736">MZM29*$C$29</f>
        <v>7.4626188792038258E+64</v>
      </c>
      <c r="MZQ29" s="160">
        <f t="shared" ref="MZQ29" si="4737">MZO29*$C$29</f>
        <v>7.6864974455799404E+64</v>
      </c>
      <c r="MZS29" s="160">
        <f t="shared" ref="MZS29" si="4738">MZQ29*$C$29</f>
        <v>7.9170923689473389E+64</v>
      </c>
      <c r="MZU29" s="160">
        <f t="shared" ref="MZU29" si="4739">MZS29*$C$29</f>
        <v>8.1546051400157595E+64</v>
      </c>
      <c r="MZW29" s="160">
        <f t="shared" ref="MZW29" si="4740">MZU29*$C$29</f>
        <v>8.399243294216232E+64</v>
      </c>
      <c r="MZY29" s="160">
        <f t="shared" ref="MZY29" si="4741">MZW29*$C$29</f>
        <v>8.6512205930427192E+64</v>
      </c>
      <c r="NAA29" s="160">
        <f t="shared" ref="NAA29" si="4742">MZY29*$C$29</f>
        <v>8.9107572108340013E+64</v>
      </c>
      <c r="NAC29" s="160">
        <f t="shared" ref="NAC29" si="4743">NAA29*$C$29</f>
        <v>9.1780799271590211E+64</v>
      </c>
      <c r="NAE29" s="160">
        <f t="shared" ref="NAE29" si="4744">NAC29*$C$29</f>
        <v>9.4534223249737925E+64</v>
      </c>
      <c r="NAG29" s="160">
        <f t="shared" ref="NAG29" si="4745">NAE29*$C$29</f>
        <v>9.7370249947230068E+64</v>
      </c>
      <c r="NAI29" s="160">
        <f t="shared" ref="NAI29" si="4746">NAG29*$C$29</f>
        <v>1.0029135744564698E+65</v>
      </c>
      <c r="NAK29" s="160">
        <f t="shared" ref="NAK29" si="4747">NAI29*$C$29</f>
        <v>1.0330009816901639E+65</v>
      </c>
      <c r="NAM29" s="160">
        <f t="shared" ref="NAM29" si="4748">NAK29*$C$29</f>
        <v>1.0639910111408688E+65</v>
      </c>
      <c r="NAO29" s="160">
        <f t="shared" ref="NAO29" si="4749">NAM29*$C$29</f>
        <v>1.0959107414750948E+65</v>
      </c>
      <c r="NAQ29" s="160">
        <f t="shared" ref="NAQ29" si="4750">NAO29*$C$29</f>
        <v>1.1287880637193477E+65</v>
      </c>
      <c r="NAS29" s="160">
        <f t="shared" ref="NAS29" si="4751">NAQ29*$C$29</f>
        <v>1.1626517056309281E+65</v>
      </c>
      <c r="NAU29" s="160">
        <f t="shared" ref="NAU29" si="4752">NAS29*$C$29</f>
        <v>1.1975312567998561E+65</v>
      </c>
      <c r="NAW29" s="160">
        <f t="shared" ref="NAW29" si="4753">NAU29*$C$29</f>
        <v>1.2334571945038519E+65</v>
      </c>
      <c r="NAY29" s="160">
        <f t="shared" ref="NAY29" si="4754">NAW29*$C$29</f>
        <v>1.2704609103389675E+65</v>
      </c>
      <c r="NBA29" s="160">
        <f t="shared" ref="NBA29" si="4755">NAY29*$C$29</f>
        <v>1.3085747376491366E+65</v>
      </c>
      <c r="NBC29" s="160">
        <f t="shared" ref="NBC29" si="4756">NBA29*$C$29</f>
        <v>1.3478319797786108E+65</v>
      </c>
      <c r="NBE29" s="160">
        <f t="shared" ref="NBE29" si="4757">NBC29*$C$29</f>
        <v>1.3882669391719692E+65</v>
      </c>
      <c r="NBG29" s="160">
        <f t="shared" ref="NBG29" si="4758">NBE29*$C$29</f>
        <v>1.4299149473471282E+65</v>
      </c>
      <c r="NBI29" s="160">
        <f t="shared" ref="NBI29" si="4759">NBG29*$C$29</f>
        <v>1.4728123957675421E+65</v>
      </c>
      <c r="NBK29" s="160">
        <f t="shared" ref="NBK29" si="4760">NBI29*$C$29</f>
        <v>1.5169967676405685E+65</v>
      </c>
      <c r="NBM29" s="160">
        <f t="shared" ref="NBM29" si="4761">NBK29*$C$29</f>
        <v>1.5625066706697856E+65</v>
      </c>
      <c r="NBO29" s="160">
        <f t="shared" ref="NBO29" si="4762">NBM29*$C$29</f>
        <v>1.6093818707898792E+65</v>
      </c>
      <c r="NBQ29" s="160">
        <f t="shared" ref="NBQ29" si="4763">NBO29*$C$29</f>
        <v>1.6576633269135756E+65</v>
      </c>
      <c r="NBS29" s="160">
        <f t="shared" ref="NBS29" si="4764">NBQ29*$C$29</f>
        <v>1.7073932267209829E+65</v>
      </c>
      <c r="NBU29" s="160">
        <f t="shared" ref="NBU29" si="4765">NBS29*$C$29</f>
        <v>1.7586150235226124E+65</v>
      </c>
      <c r="NBW29" s="160">
        <f t="shared" ref="NBW29" si="4766">NBU29*$C$29</f>
        <v>1.8113734742282909E+65</v>
      </c>
      <c r="NBY29" s="160">
        <f t="shared" ref="NBY29" si="4767">NBW29*$C$29</f>
        <v>1.8657146784551398E+65</v>
      </c>
      <c r="NCA29" s="160">
        <f t="shared" ref="NCA29" si="4768">NBY29*$C$29</f>
        <v>1.9216861188087941E+65</v>
      </c>
      <c r="NCC29" s="160">
        <f t="shared" ref="NCC29" si="4769">NCA29*$C$29</f>
        <v>1.9793367023730579E+65</v>
      </c>
      <c r="NCE29" s="160">
        <f t="shared" ref="NCE29" si="4770">NCC29*$C$29</f>
        <v>2.0387168034442498E+65</v>
      </c>
      <c r="NCG29" s="160">
        <f t="shared" ref="NCG29" si="4771">NCE29*$C$29</f>
        <v>2.0998783075475774E+65</v>
      </c>
      <c r="NCI29" s="160">
        <f t="shared" ref="NCI29" si="4772">NCG29*$C$29</f>
        <v>2.1628746567740048E+65</v>
      </c>
      <c r="NCK29" s="160">
        <f t="shared" ref="NCK29" si="4773">NCI29*$C$29</f>
        <v>2.2277608964772249E+65</v>
      </c>
      <c r="NCM29" s="160">
        <f t="shared" ref="NCM29" si="4774">NCK29*$C$29</f>
        <v>2.2945937233715415E+65</v>
      </c>
      <c r="NCO29" s="160">
        <f t="shared" ref="NCO29" si="4775">NCM29*$C$29</f>
        <v>2.3634315350726877E+65</v>
      </c>
      <c r="NCQ29" s="160">
        <f t="shared" ref="NCQ29" si="4776">NCO29*$C$29</f>
        <v>2.4343344811248682E+65</v>
      </c>
      <c r="NCS29" s="160">
        <f t="shared" ref="NCS29" si="4777">NCQ29*$C$29</f>
        <v>2.5073645155586145E+65</v>
      </c>
      <c r="NCU29" s="160">
        <f t="shared" ref="NCU29" si="4778">NCS29*$C$29</f>
        <v>2.5825854510253731E+65</v>
      </c>
      <c r="NCW29" s="160">
        <f t="shared" ref="NCW29" si="4779">NCU29*$C$29</f>
        <v>2.6600630145561345E+65</v>
      </c>
      <c r="NCY29" s="160">
        <f t="shared" ref="NCY29" si="4780">NCW29*$C$29</f>
        <v>2.7398649049928188E+65</v>
      </c>
      <c r="NDA29" s="160">
        <f t="shared" ref="NDA29" si="4781">NCY29*$C$29</f>
        <v>2.8220608521426034E+65</v>
      </c>
      <c r="NDC29" s="160">
        <f t="shared" ref="NDC29" si="4782">NDA29*$C$29</f>
        <v>2.9067226777068815E+65</v>
      </c>
      <c r="NDE29" s="160">
        <f t="shared" ref="NDE29" si="4783">NDC29*$C$29</f>
        <v>2.9939243580380882E+65</v>
      </c>
      <c r="NDG29" s="160">
        <f t="shared" ref="NDG29" si="4784">NDE29*$C$29</f>
        <v>3.0837420887792307E+65</v>
      </c>
      <c r="NDI29" s="160">
        <f t="shared" ref="NDI29" si="4785">NDG29*$C$29</f>
        <v>3.1762543514426077E+65</v>
      </c>
      <c r="NDK29" s="160">
        <f t="shared" ref="NDK29" si="4786">NDI29*$C$29</f>
        <v>3.271541981985886E+65</v>
      </c>
      <c r="NDM29" s="160">
        <f t="shared" ref="NDM29" si="4787">NDK29*$C$29</f>
        <v>3.3696882414454626E+65</v>
      </c>
      <c r="NDO29" s="160">
        <f t="shared" ref="NDO29" si="4788">NDM29*$C$29</f>
        <v>3.4707788886888267E+65</v>
      </c>
      <c r="NDQ29" s="160">
        <f t="shared" ref="NDQ29" si="4789">NDO29*$C$29</f>
        <v>3.5749022553494915E+65</v>
      </c>
      <c r="NDS29" s="160">
        <f t="shared" ref="NDS29" si="4790">NDQ29*$C$29</f>
        <v>3.6821493230099763E+65</v>
      </c>
      <c r="NDU29" s="160">
        <f t="shared" ref="NDU29" si="4791">NDS29*$C$29</f>
        <v>3.7926138027002759E+65</v>
      </c>
      <c r="NDW29" s="160">
        <f t="shared" ref="NDW29" si="4792">NDU29*$C$29</f>
        <v>3.9063922167812843E+65</v>
      </c>
      <c r="NDY29" s="160">
        <f t="shared" ref="NDY29" si="4793">NDW29*$C$29</f>
        <v>4.0235839832847227E+65</v>
      </c>
      <c r="NEA29" s="160">
        <f t="shared" ref="NEA29" si="4794">NDY29*$C$29</f>
        <v>4.1442915027832643E+65</v>
      </c>
      <c r="NEC29" s="160">
        <f t="shared" ref="NEC29" si="4795">NEA29*$C$29</f>
        <v>4.268620247866762E+65</v>
      </c>
      <c r="NEE29" s="160">
        <f t="shared" ref="NEE29" si="4796">NEC29*$C$29</f>
        <v>4.3966788553027654E+65</v>
      </c>
      <c r="NEG29" s="160">
        <f t="shared" ref="NEG29" si="4797">NEE29*$C$29</f>
        <v>4.528579220961849E+65</v>
      </c>
      <c r="NEI29" s="160">
        <f t="shared" ref="NEI29" si="4798">NEG29*$C$29</f>
        <v>4.6644365975907048E+65</v>
      </c>
      <c r="NEK29" s="160">
        <f t="shared" ref="NEK29" si="4799">NEI29*$C$29</f>
        <v>4.8043696955184265E+65</v>
      </c>
      <c r="NEM29" s="160">
        <f t="shared" ref="NEM29" si="4800">NEK29*$C$29</f>
        <v>4.9485007863839798E+65</v>
      </c>
      <c r="NEO29" s="160">
        <f t="shared" ref="NEO29" si="4801">NEM29*$C$29</f>
        <v>5.0969558099754993E+65</v>
      </c>
      <c r="NEQ29" s="160">
        <f t="shared" ref="NEQ29" si="4802">NEO29*$C$29</f>
        <v>5.2498644842747644E+65</v>
      </c>
      <c r="NES29" s="160">
        <f t="shared" ref="NES29" si="4803">NEQ29*$C$29</f>
        <v>5.4073604188030079E+65</v>
      </c>
      <c r="NEU29" s="160">
        <f t="shared" ref="NEU29" si="4804">NES29*$C$29</f>
        <v>5.5695812313670987E+65</v>
      </c>
      <c r="NEW29" s="160">
        <f t="shared" ref="NEW29" si="4805">NEU29*$C$29</f>
        <v>5.7366686683081118E+65</v>
      </c>
      <c r="NEY29" s="160">
        <f t="shared" ref="NEY29" si="4806">NEW29*$C$29</f>
        <v>5.908768728357355E+65</v>
      </c>
      <c r="NFA29" s="160">
        <f t="shared" ref="NFA29" si="4807">NEY29*$C$29</f>
        <v>6.0860317902080761E+65</v>
      </c>
      <c r="NFC29" s="160">
        <f t="shared" ref="NFC29" si="4808">NFA29*$C$29</f>
        <v>6.2686127439143189E+65</v>
      </c>
      <c r="NFE29" s="160">
        <f t="shared" ref="NFE29" si="4809">NFC29*$C$29</f>
        <v>6.4566711262317486E+65</v>
      </c>
      <c r="NFG29" s="160">
        <f t="shared" ref="NFG29" si="4810">NFE29*$C$29</f>
        <v>6.6503712600187017E+65</v>
      </c>
      <c r="NFI29" s="160">
        <f t="shared" ref="NFI29" si="4811">NFG29*$C$29</f>
        <v>6.8498823978192625E+65</v>
      </c>
      <c r="NFK29" s="160">
        <f t="shared" ref="NFK29" si="4812">NFI29*$C$29</f>
        <v>7.0553788697538409E+65</v>
      </c>
      <c r="NFM29" s="160">
        <f t="shared" ref="NFM29" si="4813">NFK29*$C$29</f>
        <v>7.2670402358464564E+65</v>
      </c>
      <c r="NFO29" s="160">
        <f t="shared" ref="NFO29" si="4814">NFM29*$C$29</f>
        <v>7.4850514429218503E+65</v>
      </c>
      <c r="NFQ29" s="160">
        <f t="shared" ref="NFQ29" si="4815">NFO29*$C$29</f>
        <v>7.7096029862095056E+65</v>
      </c>
      <c r="NFS29" s="160">
        <f t="shared" ref="NFS29" si="4816">NFQ29*$C$29</f>
        <v>7.9408910757957907E+65</v>
      </c>
      <c r="NFU29" s="160">
        <f t="shared" ref="NFU29" si="4817">NFS29*$C$29</f>
        <v>8.1791178080696649E+65</v>
      </c>
      <c r="NFW29" s="160">
        <f t="shared" ref="NFW29" si="4818">NFU29*$C$29</f>
        <v>8.424491342311755E+65</v>
      </c>
      <c r="NFY29" s="160">
        <f t="shared" ref="NFY29" si="4819">NFW29*$C$29</f>
        <v>8.6772260825811085E+65</v>
      </c>
      <c r="NGA29" s="160">
        <f t="shared" ref="NGA29" si="4820">NFY29*$C$29</f>
        <v>8.9375428650585417E+65</v>
      </c>
      <c r="NGC29" s="160">
        <f t="shared" ref="NGC29" si="4821">NGA29*$C$29</f>
        <v>9.2056691510102988E+65</v>
      </c>
      <c r="NGE29" s="160">
        <f t="shared" ref="NGE29" si="4822">NGC29*$C$29</f>
        <v>9.4818392255406072E+65</v>
      </c>
      <c r="NGG29" s="160">
        <f t="shared" ref="NGG29" si="4823">NGE29*$C$29</f>
        <v>9.7662944023068253E+65</v>
      </c>
      <c r="NGI29" s="160">
        <f t="shared" ref="NGI29" si="4824">NGG29*$C$29</f>
        <v>1.005928323437603E+66</v>
      </c>
      <c r="NGK29" s="160">
        <f t="shared" ref="NGK29" si="4825">NGI29*$C$29</f>
        <v>1.0361061731407311E+66</v>
      </c>
      <c r="NGM29" s="160">
        <f t="shared" ref="NGM29" si="4826">NGK29*$C$29</f>
        <v>1.067189358334953E+66</v>
      </c>
      <c r="NGO29" s="160">
        <f t="shared" ref="NGO29" si="4827">NGM29*$C$29</f>
        <v>1.0992050390850016E+66</v>
      </c>
      <c r="NGQ29" s="160">
        <f t="shared" ref="NGQ29" si="4828">NGO29*$C$29</f>
        <v>1.1321811902575516E+66</v>
      </c>
      <c r="NGS29" s="160">
        <f t="shared" ref="NGS29" si="4829">NGQ29*$C$29</f>
        <v>1.1661466259652782E+66</v>
      </c>
      <c r="NGU29" s="160">
        <f t="shared" ref="NGU29" si="4830">NGS29*$C$29</f>
        <v>1.2011310247442366E+66</v>
      </c>
      <c r="NGW29" s="160">
        <f t="shared" ref="NGW29" si="4831">NGU29*$C$29</f>
        <v>1.2371649554865637E+66</v>
      </c>
      <c r="NGY29" s="160">
        <f t="shared" ref="NGY29" si="4832">NGW29*$C$29</f>
        <v>1.2742799041511606E+66</v>
      </c>
      <c r="NHA29" s="160">
        <f t="shared" ref="NHA29" si="4833">NGY29*$C$29</f>
        <v>1.3125083012756953E+66</v>
      </c>
      <c r="NHC29" s="160">
        <f t="shared" ref="NHC29" si="4834">NHA29*$C$29</f>
        <v>1.3518835503139662E+66</v>
      </c>
      <c r="NHE29" s="160">
        <f t="shared" ref="NHE29" si="4835">NHC29*$C$29</f>
        <v>1.3924400568233852E+66</v>
      </c>
      <c r="NHG29" s="160">
        <f t="shared" ref="NHG29" si="4836">NHE29*$C$29</f>
        <v>1.4342132585280867E+66</v>
      </c>
      <c r="NHI29" s="160">
        <f t="shared" ref="NHI29" si="4837">NHG29*$C$29</f>
        <v>1.4772396562839295E+66</v>
      </c>
      <c r="NHK29" s="160">
        <f t="shared" ref="NHK29" si="4838">NHI29*$C$29</f>
        <v>1.5215568459724474E+66</v>
      </c>
      <c r="NHM29" s="160">
        <f t="shared" ref="NHM29" si="4839">NHK29*$C$29</f>
        <v>1.5672035513516209E+66</v>
      </c>
      <c r="NHO29" s="160">
        <f t="shared" ref="NHO29" si="4840">NHM29*$C$29</f>
        <v>1.6142196578921696E+66</v>
      </c>
      <c r="NHQ29" s="160">
        <f t="shared" ref="NHQ29" si="4841">NHO29*$C$29</f>
        <v>1.6626462476289349E+66</v>
      </c>
      <c r="NHS29" s="160">
        <f t="shared" ref="NHS29" si="4842">NHQ29*$C$29</f>
        <v>1.712525635057803E+66</v>
      </c>
      <c r="NHU29" s="160">
        <f t="shared" ref="NHU29" si="4843">NHS29*$C$29</f>
        <v>1.7639014041095372E+66</v>
      </c>
      <c r="NHW29" s="160">
        <f t="shared" ref="NHW29" si="4844">NHU29*$C$29</f>
        <v>1.8168184462328232E+66</v>
      </c>
      <c r="NHY29" s="160">
        <f t="shared" ref="NHY29" si="4845">NHW29*$C$29</f>
        <v>1.871322999619808E+66</v>
      </c>
      <c r="NIA29" s="160">
        <f t="shared" ref="NIA29" si="4846">NHY29*$C$29</f>
        <v>1.9274626896084023E+66</v>
      </c>
      <c r="NIC29" s="160">
        <f t="shared" ref="NIC29" si="4847">NIA29*$C$29</f>
        <v>1.9852865702966544E+66</v>
      </c>
      <c r="NIE29" s="160">
        <f t="shared" ref="NIE29" si="4848">NIC29*$C$29</f>
        <v>2.0448451674055541E+66</v>
      </c>
      <c r="NIG29" s="160">
        <f t="shared" ref="NIG29" si="4849">NIE29*$C$29</f>
        <v>2.1061905224277207E+66</v>
      </c>
      <c r="NII29" s="160">
        <f t="shared" ref="NII29" si="4850">NIG29*$C$29</f>
        <v>2.1693762381005524E+66</v>
      </c>
      <c r="NIK29" s="160">
        <f t="shared" ref="NIK29" si="4851">NII29*$C$29</f>
        <v>2.2344575252435691E+66</v>
      </c>
      <c r="NIM29" s="160">
        <f t="shared" ref="NIM29" si="4852">NIK29*$C$29</f>
        <v>2.3014912510008764E+66</v>
      </c>
      <c r="NIO29" s="160">
        <f t="shared" ref="NIO29" si="4853">NIM29*$C$29</f>
        <v>2.3705359885309029E+66</v>
      </c>
      <c r="NIQ29" s="160">
        <f t="shared" ref="NIQ29" si="4854">NIO29*$C$29</f>
        <v>2.4416520681868301E+66</v>
      </c>
      <c r="NIS29" s="160">
        <f t="shared" ref="NIS29" si="4855">NIQ29*$C$29</f>
        <v>2.5149016302324352E+66</v>
      </c>
      <c r="NIU29" s="160">
        <f t="shared" ref="NIU29" si="4856">NIS29*$C$29</f>
        <v>2.5903486791394085E+66</v>
      </c>
      <c r="NIW29" s="160">
        <f t="shared" ref="NIW29" si="4857">NIU29*$C$29</f>
        <v>2.6680591395135906E+66</v>
      </c>
      <c r="NIY29" s="160">
        <f t="shared" ref="NIY29" si="4858">NIW29*$C$29</f>
        <v>2.7481009136989982E+66</v>
      </c>
      <c r="NJA29" s="160">
        <f t="shared" ref="NJA29" si="4859">NIY29*$C$29</f>
        <v>2.8305439411099682E+66</v>
      </c>
      <c r="NJC29" s="160">
        <f t="shared" ref="NJC29" si="4860">NJA29*$C$29</f>
        <v>2.9154602593432672E+66</v>
      </c>
      <c r="NJE29" s="160">
        <f t="shared" ref="NJE29" si="4861">NJC29*$C$29</f>
        <v>3.0029240671235653E+66</v>
      </c>
      <c r="NJG29" s="160">
        <f t="shared" ref="NJG29" si="4862">NJE29*$C$29</f>
        <v>3.0930117891372723E+66</v>
      </c>
      <c r="NJI29" s="160">
        <f t="shared" ref="NJI29" si="4863">NJG29*$C$29</f>
        <v>3.1858021428113906E+66</v>
      </c>
      <c r="NJK29" s="160">
        <f t="shared" ref="NJK29" si="4864">NJI29*$C$29</f>
        <v>3.2813762070957325E+66</v>
      </c>
      <c r="NJM29" s="160">
        <f t="shared" ref="NJM29" si="4865">NJK29*$C$29</f>
        <v>3.3798174933086046E+66</v>
      </c>
      <c r="NJO29" s="160">
        <f t="shared" ref="NJO29" si="4866">NJM29*$C$29</f>
        <v>3.4812120181078631E+66</v>
      </c>
      <c r="NJQ29" s="160">
        <f t="shared" ref="NJQ29" si="4867">NJO29*$C$29</f>
        <v>3.585648378651099E+66</v>
      </c>
      <c r="NJS29" s="160">
        <f t="shared" ref="NJS29" si="4868">NJQ29*$C$29</f>
        <v>3.6932178300106317E+66</v>
      </c>
      <c r="NJU29" s="160">
        <f t="shared" ref="NJU29" si="4869">NJS29*$C$29</f>
        <v>3.8040143649109511E+66</v>
      </c>
      <c r="NJW29" s="160">
        <f t="shared" ref="NJW29" si="4870">NJU29*$C$29</f>
        <v>3.91813479585828E+66</v>
      </c>
      <c r="NJY29" s="160">
        <f t="shared" ref="NJY29" si="4871">NJW29*$C$29</f>
        <v>4.0356788397340288E+66</v>
      </c>
      <c r="NKA29" s="160">
        <f t="shared" ref="NKA29" si="4872">NJY29*$C$29</f>
        <v>4.1567492049260497E+66</v>
      </c>
      <c r="NKC29" s="160">
        <f t="shared" ref="NKC29" si="4873">NKA29*$C$29</f>
        <v>4.2814516810738311E+66</v>
      </c>
      <c r="NKE29" s="160">
        <f t="shared" ref="NKE29" si="4874">NKC29*$C$29</f>
        <v>4.4098952315060464E+66</v>
      </c>
      <c r="NKG29" s="160">
        <f t="shared" ref="NKG29" si="4875">NKE29*$C$29</f>
        <v>4.5421920884512276E+66</v>
      </c>
      <c r="NKI29" s="160">
        <f t="shared" ref="NKI29" si="4876">NKG29*$C$29</f>
        <v>4.6784578511047643E+66</v>
      </c>
      <c r="NKK29" s="160">
        <f t="shared" ref="NKK29" si="4877">NKI29*$C$29</f>
        <v>4.8188115866379074E+66</v>
      </c>
      <c r="NKM29" s="160">
        <f t="shared" ref="NKM29" si="4878">NKK29*$C$29</f>
        <v>4.9633759342370449E+66</v>
      </c>
      <c r="NKO29" s="160">
        <f t="shared" ref="NKO29" si="4879">NKM29*$C$29</f>
        <v>5.1122772122641564E+66</v>
      </c>
      <c r="NKQ29" s="160">
        <f t="shared" ref="NKQ29" si="4880">NKO29*$C$29</f>
        <v>5.2656455286320809E+66</v>
      </c>
      <c r="NKS29" s="160">
        <f t="shared" ref="NKS29" si="4881">NKQ29*$C$29</f>
        <v>5.4236148944910434E+66</v>
      </c>
      <c r="NKU29" s="160">
        <f t="shared" ref="NKU29" si="4882">NKS29*$C$29</f>
        <v>5.5863233413257747E+66</v>
      </c>
      <c r="NKW29" s="160">
        <f t="shared" ref="NKW29" si="4883">NKU29*$C$29</f>
        <v>5.7539130415655482E+66</v>
      </c>
      <c r="NKY29" s="160">
        <f t="shared" ref="NKY29" si="4884">NKW29*$C$29</f>
        <v>5.9265304328125148E+66</v>
      </c>
      <c r="NLA29" s="160">
        <f t="shared" ref="NLA29" si="4885">NKY29*$C$29</f>
        <v>6.1043263457968905E+66</v>
      </c>
      <c r="NLC29" s="160">
        <f t="shared" ref="NLC29" si="4886">NLA29*$C$29</f>
        <v>6.2874561361707974E+66</v>
      </c>
      <c r="NLE29" s="160">
        <f t="shared" ref="NLE29" si="4887">NLC29*$C$29</f>
        <v>6.4760798202559213E+66</v>
      </c>
      <c r="NLG29" s="160">
        <f t="shared" ref="NLG29" si="4888">NLE29*$C$29</f>
        <v>6.6703622148635993E+66</v>
      </c>
      <c r="NLI29" s="160">
        <f t="shared" ref="NLI29" si="4889">NLG29*$C$29</f>
        <v>6.8704730813095075E+66</v>
      </c>
      <c r="NLK29" s="160">
        <f t="shared" ref="NLK29" si="4890">NLI29*$C$29</f>
        <v>7.0765872737487923E+66</v>
      </c>
      <c r="NLM29" s="160">
        <f t="shared" ref="NLM29" si="4891">NLK29*$C$29</f>
        <v>7.2888848919612563E+66</v>
      </c>
      <c r="NLO29" s="160">
        <f t="shared" ref="NLO29" si="4892">NLM29*$C$29</f>
        <v>7.5075514387200946E+66</v>
      </c>
      <c r="NLQ29" s="160">
        <f t="shared" ref="NLQ29" si="4893">NLO29*$C$29</f>
        <v>7.7327779818816972E+66</v>
      </c>
      <c r="NLS29" s="160">
        <f t="shared" ref="NLS29" si="4894">NLQ29*$C$29</f>
        <v>7.9647613213381479E+66</v>
      </c>
      <c r="NLU29" s="160">
        <f t="shared" ref="NLU29" si="4895">NLS29*$C$29</f>
        <v>8.2037041609782921E+66</v>
      </c>
      <c r="NLW29" s="160">
        <f t="shared" ref="NLW29" si="4896">NLU29*$C$29</f>
        <v>8.4498152858076414E+66</v>
      </c>
      <c r="NLY29" s="160">
        <f t="shared" ref="NLY29" si="4897">NLW29*$C$29</f>
        <v>8.7033097443818707E+66</v>
      </c>
      <c r="NMA29" s="160">
        <f t="shared" ref="NMA29" si="4898">NLY29*$C$29</f>
        <v>8.9644090367133276E+66</v>
      </c>
      <c r="NMC29" s="160">
        <f t="shared" ref="NMC29" si="4899">NMA29*$C$29</f>
        <v>9.2333413078147272E+66</v>
      </c>
      <c r="NME29" s="160">
        <f t="shared" ref="NME29" si="4900">NMC29*$C$29</f>
        <v>9.5103415470491691E+66</v>
      </c>
      <c r="NMG29" s="160">
        <f t="shared" ref="NMG29" si="4901">NME29*$C$29</f>
        <v>9.7956517934606446E+66</v>
      </c>
      <c r="NMI29" s="160">
        <f t="shared" ref="NMI29" si="4902">NMG29*$C$29</f>
        <v>1.0089521347264464E+67</v>
      </c>
      <c r="NMK29" s="160">
        <f t="shared" ref="NMK29" si="4903">NMI29*$C$29</f>
        <v>1.0392206987682399E+67</v>
      </c>
      <c r="NMM29" s="160">
        <f t="shared" ref="NMM29" si="4904">NMK29*$C$29</f>
        <v>1.0703973197312871E+67</v>
      </c>
      <c r="NMO29" s="160">
        <f t="shared" ref="NMO29" si="4905">NMM29*$C$29</f>
        <v>1.1025092393232257E+67</v>
      </c>
      <c r="NMQ29" s="160">
        <f t="shared" ref="NMQ29" si="4906">NMO29*$C$29</f>
        <v>1.1355845165029224E+67</v>
      </c>
      <c r="NMS29" s="160">
        <f t="shared" ref="NMS29" si="4907">NMQ29*$C$29</f>
        <v>1.1696520519980101E+67</v>
      </c>
      <c r="NMU29" s="160">
        <f t="shared" ref="NMU29" si="4908">NMS29*$C$29</f>
        <v>1.2047416135579504E+67</v>
      </c>
      <c r="NMW29" s="160">
        <f t="shared" ref="NMW29" si="4909">NMU29*$C$29</f>
        <v>1.240883861964689E+67</v>
      </c>
      <c r="NMY29" s="160">
        <f t="shared" ref="NMY29" si="4910">NMW29*$C$29</f>
        <v>1.2781103778236296E+67</v>
      </c>
      <c r="NNA29" s="160">
        <f t="shared" ref="NNA29" si="4911">NMY29*$C$29</f>
        <v>1.3164536891583385E+67</v>
      </c>
      <c r="NNC29" s="160">
        <f t="shared" ref="NNC29" si="4912">NNA29*$C$29</f>
        <v>1.3559472998330887E+67</v>
      </c>
      <c r="NNE29" s="160">
        <f t="shared" ref="NNE29" si="4913">NNC29*$C$29</f>
        <v>1.3966257188280815E+67</v>
      </c>
      <c r="NNG29" s="160">
        <f t="shared" ref="NNG29" si="4914">NNE29*$C$29</f>
        <v>1.4385244903929241E+67</v>
      </c>
      <c r="NNI29" s="160">
        <f t="shared" ref="NNI29" si="4915">NNG29*$C$29</f>
        <v>1.4816802251047119E+67</v>
      </c>
      <c r="NNK29" s="160">
        <f t="shared" ref="NNK29" si="4916">NNI29*$C$29</f>
        <v>1.5261306318578532E+67</v>
      </c>
      <c r="NNM29" s="160">
        <f t="shared" ref="NNM29" si="4917">NNK29*$C$29</f>
        <v>1.5719145508135888E+67</v>
      </c>
      <c r="NNO29" s="160">
        <f t="shared" ref="NNO29" si="4918">NNM29*$C$29</f>
        <v>1.6190719873379965E+67</v>
      </c>
      <c r="NNQ29" s="160">
        <f t="shared" ref="NNQ29" si="4919">NNO29*$C$29</f>
        <v>1.6676441469581364E+67</v>
      </c>
      <c r="NNS29" s="160">
        <f t="shared" ref="NNS29" si="4920">NNQ29*$C$29</f>
        <v>1.7176734713668806E+67</v>
      </c>
      <c r="NNU29" s="160">
        <f t="shared" ref="NNU29" si="4921">NNS29*$C$29</f>
        <v>1.7692036755078871E+67</v>
      </c>
      <c r="NNW29" s="160">
        <f t="shared" ref="NNW29" si="4922">NNU29*$C$29</f>
        <v>1.8222797857731236E+67</v>
      </c>
      <c r="NNY29" s="160">
        <f t="shared" ref="NNY29" si="4923">NNW29*$C$29</f>
        <v>1.8769481793463174E+67</v>
      </c>
      <c r="NOA29" s="160">
        <f t="shared" ref="NOA29" si="4924">NNY29*$C$29</f>
        <v>1.933256624726707E+67</v>
      </c>
      <c r="NOC29" s="160">
        <f t="shared" ref="NOC29" si="4925">NOA29*$C$29</f>
        <v>1.9912543234685082E+67</v>
      </c>
      <c r="NOE29" s="160">
        <f t="shared" ref="NOE29" si="4926">NOC29*$C$29</f>
        <v>2.0509919531725635E+67</v>
      </c>
      <c r="NOG29" s="160">
        <f t="shared" ref="NOG29" si="4927">NOE29*$C$29</f>
        <v>2.1125217117677404E+67</v>
      </c>
      <c r="NOI29" s="160">
        <f t="shared" ref="NOI29" si="4928">NOG29*$C$29</f>
        <v>2.1758973631207726E+67</v>
      </c>
      <c r="NOK29" s="160">
        <f t="shared" ref="NOK29" si="4929">NOI29*$C$29</f>
        <v>2.2411742840143958E+67</v>
      </c>
      <c r="NOM29" s="160">
        <f t="shared" ref="NOM29" si="4930">NOK29*$C$29</f>
        <v>2.3084095125348276E+67</v>
      </c>
      <c r="NOO29" s="160">
        <f t="shared" ref="NOO29" si="4931">NOM29*$C$29</f>
        <v>2.3776617979108724E+67</v>
      </c>
      <c r="NOQ29" s="160">
        <f t="shared" ref="NOQ29" si="4932">NOO29*$C$29</f>
        <v>2.4489916518481988E+67</v>
      </c>
      <c r="NOS29" s="160">
        <f t="shared" ref="NOS29" si="4933">NOQ29*$C$29</f>
        <v>2.5224614014036449E+67</v>
      </c>
      <c r="NOU29" s="160">
        <f t="shared" ref="NOU29" si="4934">NOS29*$C$29</f>
        <v>2.5981352434457541E+67</v>
      </c>
      <c r="NOW29" s="160">
        <f t="shared" ref="NOW29" si="4935">NOU29*$C$29</f>
        <v>2.6760793007491268E+67</v>
      </c>
      <c r="NOY29" s="160">
        <f t="shared" ref="NOY29" si="4936">NOW29*$C$29</f>
        <v>2.7563616797716005E+67</v>
      </c>
      <c r="NPA29" s="160">
        <f t="shared" ref="NPA29" si="4937">NOY29*$C$29</f>
        <v>2.8390525301647487E+67</v>
      </c>
      <c r="NPC29" s="160">
        <f t="shared" ref="NPC29" si="4938">NPA29*$C$29</f>
        <v>2.9242241060696911E+67</v>
      </c>
      <c r="NPE29" s="160">
        <f t="shared" ref="NPE29" si="4939">NPC29*$C$29</f>
        <v>3.0119508292517822E+67</v>
      </c>
      <c r="NPG29" s="160">
        <f t="shared" ref="NPG29" si="4940">NPE29*$C$29</f>
        <v>3.1023093541293361E+67</v>
      </c>
      <c r="NPI29" s="160">
        <f t="shared" ref="NPI29" si="4941">NPG29*$C$29</f>
        <v>3.1953786347532163E+67</v>
      </c>
      <c r="NPK29" s="160">
        <f t="shared" ref="NPK29" si="4942">NPI29*$C$29</f>
        <v>3.2912399937958129E+67</v>
      </c>
      <c r="NPM29" s="160">
        <f t="shared" ref="NPM29" si="4943">NPK29*$C$29</f>
        <v>3.3899771936096871E+67</v>
      </c>
      <c r="NPO29" s="160">
        <f t="shared" ref="NPO29" si="4944">NPM29*$C$29</f>
        <v>3.4916765094179775E+67</v>
      </c>
      <c r="NPQ29" s="160">
        <f t="shared" ref="NPQ29" si="4945">NPO29*$C$29</f>
        <v>3.5964268047005171E+67</v>
      </c>
      <c r="NPS29" s="160">
        <f t="shared" ref="NPS29" si="4946">NPQ29*$C$29</f>
        <v>3.7043196088415326E+67</v>
      </c>
      <c r="NPU29" s="160">
        <f t="shared" ref="NPU29" si="4947">NPS29*$C$29</f>
        <v>3.8154491971067787E+67</v>
      </c>
      <c r="NPW29" s="160">
        <f t="shared" ref="NPW29" si="4948">NPU29*$C$29</f>
        <v>3.9299126730199819E+67</v>
      </c>
      <c r="NPY29" s="160">
        <f t="shared" ref="NPY29" si="4949">NPW29*$C$29</f>
        <v>4.0478100532105813E+67</v>
      </c>
      <c r="NQA29" s="160">
        <f t="shared" ref="NQA29" si="4950">NPY29*$C$29</f>
        <v>4.1692443548068987E+67</v>
      </c>
      <c r="NQC29" s="160">
        <f t="shared" ref="NQC29" si="4951">NQA29*$C$29</f>
        <v>4.2943216854511057E+67</v>
      </c>
      <c r="NQE29" s="160">
        <f t="shared" ref="NQE29" si="4952">NQC29*$C$29</f>
        <v>4.4231513360146393E+67</v>
      </c>
      <c r="NQG29" s="160">
        <f t="shared" ref="NQG29" si="4953">NQE29*$C$29</f>
        <v>4.5558458760950784E+67</v>
      </c>
      <c r="NQI29" s="160">
        <f t="shared" ref="NQI29" si="4954">NQG29*$C$29</f>
        <v>4.6925212523779306E+67</v>
      </c>
      <c r="NQK29" s="160">
        <f t="shared" ref="NQK29" si="4955">NQI29*$C$29</f>
        <v>4.8332968899492687E+67</v>
      </c>
      <c r="NQM29" s="160">
        <f t="shared" ref="NQM29" si="4956">NQK29*$C$29</f>
        <v>4.9782957966477468E+67</v>
      </c>
      <c r="NQO29" s="160">
        <f t="shared" ref="NQO29" si="4957">NQM29*$C$29</f>
        <v>5.1276446705471794E+67</v>
      </c>
      <c r="NQQ29" s="160">
        <f t="shared" ref="NQQ29" si="4958">NQO29*$C$29</f>
        <v>5.2814740106635948E+67</v>
      </c>
      <c r="NQS29" s="160">
        <f t="shared" ref="NQS29" si="4959">NQQ29*$C$29</f>
        <v>5.4399182309835029E+67</v>
      </c>
      <c r="NQU29" s="160">
        <f t="shared" ref="NQU29" si="4960">NQS29*$C$29</f>
        <v>5.6031157779130083E+67</v>
      </c>
      <c r="NQW29" s="160">
        <f t="shared" ref="NQW29" si="4961">NQU29*$C$29</f>
        <v>5.7712092512503991E+67</v>
      </c>
      <c r="NQY29" s="160">
        <f t="shared" ref="NQY29" si="4962">NQW29*$C$29</f>
        <v>5.9443455287879118E+67</v>
      </c>
      <c r="NRA29" s="160">
        <f t="shared" ref="NRA29" si="4963">NQY29*$C$29</f>
        <v>6.1226758946515492E+67</v>
      </c>
      <c r="NRC29" s="160">
        <f t="shared" ref="NRC29" si="4964">NRA29*$C$29</f>
        <v>6.3063561714910954E+67</v>
      </c>
      <c r="NRE29" s="160">
        <f t="shared" ref="NRE29" si="4965">NRC29*$C$29</f>
        <v>6.4955468566358279E+67</v>
      </c>
      <c r="NRG29" s="160">
        <f t="shared" ref="NRG29" si="4966">NRE29*$C$29</f>
        <v>6.6904132623349024E+67</v>
      </c>
      <c r="NRI29" s="160">
        <f t="shared" ref="NRI29" si="4967">NRG29*$C$29</f>
        <v>6.8911256602049497E+67</v>
      </c>
      <c r="NRK29" s="160">
        <f t="shared" ref="NRK29" si="4968">NRI29*$C$29</f>
        <v>7.0978594300110987E+67</v>
      </c>
      <c r="NRM29" s="160">
        <f t="shared" ref="NRM29" si="4969">NRK29*$C$29</f>
        <v>7.3107952129114314E+67</v>
      </c>
      <c r="NRO29" s="160">
        <f t="shared" ref="NRO29" si="4970">NRM29*$C$29</f>
        <v>7.530119069298775E+67</v>
      </c>
      <c r="NRQ29" s="160">
        <f t="shared" ref="NRQ29" si="4971">NRO29*$C$29</f>
        <v>7.7560226413777385E+67</v>
      </c>
      <c r="NRS29" s="160">
        <f t="shared" ref="NRS29" si="4972">NRQ29*$C$29</f>
        <v>7.988703320619071E+67</v>
      </c>
      <c r="NRU29" s="160">
        <f t="shared" ref="NRU29" si="4973">NRS29*$C$29</f>
        <v>8.2283644202376431E+67</v>
      </c>
      <c r="NRW29" s="160">
        <f t="shared" ref="NRW29" si="4974">NRU29*$C$29</f>
        <v>8.4752153528447728E+67</v>
      </c>
      <c r="NRY29" s="160">
        <f t="shared" ref="NRY29" si="4975">NRW29*$C$29</f>
        <v>8.7294718134301161E+67</v>
      </c>
      <c r="NSA29" s="160">
        <f t="shared" ref="NSA29" si="4976">NRY29*$C$29</f>
        <v>8.9913559678330195E+67</v>
      </c>
      <c r="NSC29" s="160">
        <f t="shared" ref="NSC29" si="4977">NSA29*$C$29</f>
        <v>9.2610966468680108E+67</v>
      </c>
      <c r="NSE29" s="160">
        <f t="shared" ref="NSE29" si="4978">NSC29*$C$29</f>
        <v>9.538929546274051E+67</v>
      </c>
      <c r="NSG29" s="160">
        <f t="shared" ref="NSG29" si="4979">NSE29*$C$29</f>
        <v>9.8250974326622728E+67</v>
      </c>
      <c r="NSI29" s="160">
        <f t="shared" ref="NSI29" si="4980">NSG29*$C$29</f>
        <v>1.0119850355642142E+68</v>
      </c>
      <c r="NSK29" s="160">
        <f t="shared" ref="NSK29" si="4981">NSI29*$C$29</f>
        <v>1.0423445866311406E+68</v>
      </c>
      <c r="NSM29" s="160">
        <f t="shared" ref="NSM29" si="4982">NSK29*$C$29</f>
        <v>1.0736149242300748E+68</v>
      </c>
      <c r="NSO29" s="160">
        <f t="shared" ref="NSO29" si="4983">NSM29*$C$29</f>
        <v>1.105823371956977E+68</v>
      </c>
      <c r="NSQ29" s="160">
        <f t="shared" ref="NSQ29" si="4984">NSO29*$C$29</f>
        <v>1.1389980731156864E+68</v>
      </c>
      <c r="NSS29" s="160">
        <f t="shared" ref="NSS29" si="4985">NSQ29*$C$29</f>
        <v>1.1731680153091569E+68</v>
      </c>
      <c r="NSU29" s="160">
        <f t="shared" ref="NSU29" si="4986">NSS29*$C$29</f>
        <v>1.2083630557684316E+68</v>
      </c>
      <c r="NSW29" s="160">
        <f t="shared" ref="NSW29" si="4987">NSU29*$C$29</f>
        <v>1.2446139474414846E+68</v>
      </c>
      <c r="NSY29" s="160">
        <f t="shared" ref="NSY29" si="4988">NSW29*$C$29</f>
        <v>1.2819523658647292E+68</v>
      </c>
      <c r="NTA29" s="160">
        <f t="shared" ref="NTA29" si="4989">NSY29*$C$29</f>
        <v>1.3204109368406711E+68</v>
      </c>
      <c r="NTC29" s="160">
        <f t="shared" ref="NTC29" si="4990">NTA29*$C$29</f>
        <v>1.3600232649458913E+68</v>
      </c>
      <c r="NTE29" s="160">
        <f t="shared" ref="NTE29" si="4991">NTC29*$C$29</f>
        <v>1.4008239628942681E+68</v>
      </c>
      <c r="NTG29" s="160">
        <f t="shared" ref="NTG29" si="4992">NTE29*$C$29</f>
        <v>1.4428486817810963E+68</v>
      </c>
      <c r="NTI29" s="160">
        <f t="shared" ref="NTI29" si="4993">NTG29*$C$29</f>
        <v>1.4861341422345292E+68</v>
      </c>
      <c r="NTK29" s="160">
        <f t="shared" ref="NTK29" si="4994">NTI29*$C$29</f>
        <v>1.5307181665015651E+68</v>
      </c>
      <c r="NTM29" s="160">
        <f t="shared" ref="NTM29" si="4995">NTK29*$C$29</f>
        <v>1.576639711496612E+68</v>
      </c>
      <c r="NTO29" s="160">
        <f t="shared" ref="NTO29" si="4996">NTM29*$C$29</f>
        <v>1.6239389028415104E+68</v>
      </c>
      <c r="NTQ29" s="160">
        <f t="shared" ref="NTQ29" si="4997">NTO29*$C$29</f>
        <v>1.6726570699267557E+68</v>
      </c>
      <c r="NTS29" s="160">
        <f t="shared" ref="NTS29" si="4998">NTQ29*$C$29</f>
        <v>1.7228367820245585E+68</v>
      </c>
      <c r="NTU29" s="160">
        <f t="shared" ref="NTU29" si="4999">NTS29*$C$29</f>
        <v>1.7745218854852954E+68</v>
      </c>
      <c r="NTW29" s="160">
        <f t="shared" ref="NTW29" si="5000">NTU29*$C$29</f>
        <v>1.8277575420498543E+68</v>
      </c>
      <c r="NTY29" s="160">
        <f t="shared" ref="NTY29" si="5001">NTW29*$C$29</f>
        <v>1.8825902683113501E+68</v>
      </c>
      <c r="NUA29" s="160">
        <f t="shared" ref="NUA29" si="5002">NTY29*$C$29</f>
        <v>1.9390679763606906E+68</v>
      </c>
      <c r="NUC29" s="160">
        <f t="shared" ref="NUC29" si="5003">NUA29*$C$29</f>
        <v>1.9972400156515113E+68</v>
      </c>
      <c r="NUE29" s="160">
        <f t="shared" ref="NUE29" si="5004">NUC29*$C$29</f>
        <v>2.0571572161210567E+68</v>
      </c>
      <c r="NUG29" s="160">
        <f t="shared" ref="NUG29" si="5005">NUE29*$C$29</f>
        <v>2.1188719326046885E+68</v>
      </c>
      <c r="NUI29" s="160">
        <f t="shared" ref="NUI29" si="5006">NUG29*$C$29</f>
        <v>2.1824380905828291E+68</v>
      </c>
      <c r="NUK29" s="160">
        <f t="shared" ref="NUK29" si="5007">NUI29*$C$29</f>
        <v>2.247911233300314E+68</v>
      </c>
      <c r="NUM29" s="160">
        <f t="shared" ref="NUM29" si="5008">NUK29*$C$29</f>
        <v>2.3153485702993236E+68</v>
      </c>
      <c r="NUO29" s="160">
        <f t="shared" ref="NUO29" si="5009">NUM29*$C$29</f>
        <v>2.3848090274083035E+68</v>
      </c>
      <c r="NUQ29" s="160">
        <f t="shared" ref="NUQ29" si="5010">NUO29*$C$29</f>
        <v>2.4563532982305527E+68</v>
      </c>
      <c r="NUS29" s="160">
        <f t="shared" ref="NUS29" si="5011">NUQ29*$C$29</f>
        <v>2.5300438971774694E+68</v>
      </c>
      <c r="NUU29" s="160">
        <f t="shared" ref="NUU29" si="5012">NUS29*$C$29</f>
        <v>2.6059452140927937E+68</v>
      </c>
      <c r="NUW29" s="160">
        <f t="shared" ref="NUW29" si="5013">NUU29*$C$29</f>
        <v>2.6841235705155774E+68</v>
      </c>
      <c r="NUY29" s="160">
        <f t="shared" ref="NUY29" si="5014">NUW29*$C$29</f>
        <v>2.7646472776310446E+68</v>
      </c>
      <c r="NVA29" s="160">
        <f t="shared" ref="NVA29" si="5015">NUY29*$C$29</f>
        <v>2.847586695959976E+68</v>
      </c>
      <c r="NVC29" s="160">
        <f t="shared" ref="NVC29" si="5016">NVA29*$C$29</f>
        <v>2.9330142968387755E+68</v>
      </c>
      <c r="NVE29" s="160">
        <f t="shared" ref="NVE29" si="5017">NVC29*$C$29</f>
        <v>3.0210047257439388E+68</v>
      </c>
      <c r="NVG29" s="160">
        <f t="shared" ref="NVG29" si="5018">NVE29*$C$29</f>
        <v>3.1116348675162569E+68</v>
      </c>
      <c r="NVI29" s="160">
        <f t="shared" ref="NVI29" si="5019">NVG29*$C$29</f>
        <v>3.2049839135417447E+68</v>
      </c>
      <c r="NVK29" s="160">
        <f t="shared" ref="NVK29" si="5020">NVI29*$C$29</f>
        <v>3.3011334309479973E+68</v>
      </c>
      <c r="NVM29" s="160">
        <f t="shared" ref="NVM29" si="5021">NVK29*$C$29</f>
        <v>3.4001674338764373E+68</v>
      </c>
      <c r="NVO29" s="160">
        <f t="shared" ref="NVO29" si="5022">NVM29*$C$29</f>
        <v>3.5021724568927303E+68</v>
      </c>
      <c r="NVQ29" s="160">
        <f t="shared" ref="NVQ29" si="5023">NVO29*$C$29</f>
        <v>3.6072376305995124E+68</v>
      </c>
      <c r="NVS29" s="160">
        <f t="shared" ref="NVS29" si="5024">NVQ29*$C$29</f>
        <v>3.7154547595174979E+68</v>
      </c>
      <c r="NVU29" s="160">
        <f t="shared" ref="NVU29" si="5025">NVS29*$C$29</f>
        <v>3.8269184023030229E+68</v>
      </c>
      <c r="NVW29" s="160">
        <f t="shared" ref="NVW29" si="5026">NVU29*$C$29</f>
        <v>3.9417259543721139E+68</v>
      </c>
      <c r="NVY29" s="160">
        <f t="shared" ref="NVY29" si="5027">NVW29*$C$29</f>
        <v>4.0599777330032773E+68</v>
      </c>
      <c r="NWA29" s="160">
        <f t="shared" ref="NWA29" si="5028">NVY29*$C$29</f>
        <v>4.1817770649933758E+68</v>
      </c>
      <c r="NWC29" s="160">
        <f t="shared" ref="NWC29" si="5029">NWA29*$C$29</f>
        <v>4.3072303769431774E+68</v>
      </c>
      <c r="NWE29" s="160">
        <f t="shared" ref="NWE29" si="5030">NWC29*$C$29</f>
        <v>4.436447288251473E+68</v>
      </c>
      <c r="NWG29" s="160">
        <f t="shared" ref="NWG29" si="5031">NWE29*$C$29</f>
        <v>4.5695407068990173E+68</v>
      </c>
      <c r="NWI29" s="160">
        <f t="shared" ref="NWI29" si="5032">NWG29*$C$29</f>
        <v>4.7066269281059882E+68</v>
      </c>
      <c r="NWK29" s="160">
        <f t="shared" ref="NWK29" si="5033">NWI29*$C$29</f>
        <v>4.8478257359491684E+68</v>
      </c>
      <c r="NWM29" s="160">
        <f t="shared" ref="NWM29" si="5034">NWK29*$C$29</f>
        <v>4.9932605080276432E+68</v>
      </c>
      <c r="NWO29" s="160">
        <f t="shared" ref="NWO29" si="5035">NWM29*$C$29</f>
        <v>5.1430583232684723E+68</v>
      </c>
      <c r="NWQ29" s="160">
        <f t="shared" ref="NWQ29" si="5036">NWO29*$C$29</f>
        <v>5.2973500729665268E+68</v>
      </c>
      <c r="NWS29" s="160">
        <f t="shared" ref="NWS29" si="5037">NWQ29*$C$29</f>
        <v>5.4562705751555229E+68</v>
      </c>
      <c r="NWU29" s="160">
        <f t="shared" ref="NWU29" si="5038">NWS29*$C$29</f>
        <v>5.6199586924101887E+68</v>
      </c>
      <c r="NWW29" s="160">
        <f t="shared" ref="NWW29" si="5039">NWU29*$C$29</f>
        <v>5.7885574531824949E+68</v>
      </c>
      <c r="NWY29" s="160">
        <f t="shared" ref="NWY29" si="5040">NWW29*$C$29</f>
        <v>5.9622141767779698E+68</v>
      </c>
      <c r="NXA29" s="160">
        <f t="shared" ref="NXA29" si="5041">NWY29*$C$29</f>
        <v>6.1410806020813094E+68</v>
      </c>
      <c r="NXC29" s="160">
        <f t="shared" ref="NXC29" si="5042">NXA29*$C$29</f>
        <v>6.3253130201437486E+68</v>
      </c>
      <c r="NXE29" s="160">
        <f t="shared" ref="NXE29" si="5043">NXC29*$C$29</f>
        <v>6.5150724107480614E+68</v>
      </c>
      <c r="NXG29" s="160">
        <f t="shared" ref="NXG29" si="5044">NXE29*$C$29</f>
        <v>6.7105245830705037E+68</v>
      </c>
      <c r="NXI29" s="160">
        <f t="shared" ref="NXI29" si="5045">NXG29*$C$29</f>
        <v>6.9118403205626191E+68</v>
      </c>
      <c r="NXK29" s="160">
        <f t="shared" ref="NXK29" si="5046">NXI29*$C$29</f>
        <v>7.1191955301794975E+68</v>
      </c>
      <c r="NXM29" s="160">
        <f t="shared" ref="NXM29" si="5047">NXK29*$C$29</f>
        <v>7.3327713960848825E+68</v>
      </c>
      <c r="NXO29" s="160">
        <f t="shared" ref="NXO29" si="5048">NXM29*$C$29</f>
        <v>7.5527545379674296E+68</v>
      </c>
      <c r="NXQ29" s="160">
        <f t="shared" ref="NXQ29" si="5049">NXO29*$C$29</f>
        <v>7.7793371741064525E+68</v>
      </c>
      <c r="NXS29" s="160">
        <f t="shared" ref="NXS29" si="5050">NXQ29*$C$29</f>
        <v>8.0127172893296465E+68</v>
      </c>
      <c r="NXU29" s="160">
        <f t="shared" ref="NXU29" si="5051">NXS29*$C$29</f>
        <v>8.2530988080095364E+68</v>
      </c>
      <c r="NXW29" s="160">
        <f t="shared" ref="NXW29" si="5052">NXU29*$C$29</f>
        <v>8.5006917722498225E+68</v>
      </c>
      <c r="NXY29" s="160">
        <f t="shared" ref="NXY29" si="5053">NXW29*$C$29</f>
        <v>8.7557125254173169E+68</v>
      </c>
      <c r="NYA29" s="160">
        <f t="shared" ref="NYA29" si="5054">NXY29*$C$29</f>
        <v>9.0183839011798363E+68</v>
      </c>
      <c r="NYC29" s="160">
        <f t="shared" ref="NYC29" si="5055">NYA29*$C$29</f>
        <v>9.2889354182152326E+68</v>
      </c>
      <c r="NYE29" s="160">
        <f t="shared" ref="NYE29" si="5056">NYC29*$C$29</f>
        <v>9.5676034807616895E+68</v>
      </c>
      <c r="NYG29" s="160">
        <f t="shared" ref="NYG29" si="5057">NYE29*$C$29</f>
        <v>9.8546315851845402E+68</v>
      </c>
      <c r="NYI29" s="160">
        <f t="shared" ref="NYI29" si="5058">NYG29*$C$29</f>
        <v>1.0150270532740077E+69</v>
      </c>
      <c r="NYK29" s="160">
        <f t="shared" ref="NYK29" si="5059">NYI29*$C$29</f>
        <v>1.0454778648722279E+69</v>
      </c>
      <c r="NYM29" s="160">
        <f t="shared" ref="NYM29" si="5060">NYK29*$C$29</f>
        <v>1.0768422008183946E+69</v>
      </c>
      <c r="NYO29" s="160">
        <f t="shared" ref="NYO29" si="5061">NYM29*$C$29</f>
        <v>1.1091474668429464E+69</v>
      </c>
      <c r="NYQ29" s="160">
        <f t="shared" ref="NYQ29" si="5062">NYO29*$C$29</f>
        <v>1.1424218908482349E+69</v>
      </c>
      <c r="NYS29" s="160">
        <f t="shared" ref="NYS29" si="5063">NYQ29*$C$29</f>
        <v>1.1766945475736821E+69</v>
      </c>
      <c r="NYU29" s="160">
        <f t="shared" ref="NYU29" si="5064">NYS29*$C$29</f>
        <v>1.2119953840008925E+69</v>
      </c>
      <c r="NYW29" s="160">
        <f t="shared" ref="NYW29" si="5065">NYU29*$C$29</f>
        <v>1.2483552455209193E+69</v>
      </c>
      <c r="NYY29" s="160">
        <f t="shared" ref="NYY29" si="5066">NYW29*$C$29</f>
        <v>1.2858059028865469E+69</v>
      </c>
      <c r="NZA29" s="160">
        <f t="shared" ref="NZA29" si="5067">NYY29*$C$29</f>
        <v>1.3243800799731433E+69</v>
      </c>
      <c r="NZC29" s="160">
        <f t="shared" ref="NZC29" si="5068">NZA29*$C$29</f>
        <v>1.3641114823723376E+69</v>
      </c>
      <c r="NZE29" s="160">
        <f t="shared" ref="NZE29" si="5069">NZC29*$C$29</f>
        <v>1.4050348268435078E+69</v>
      </c>
      <c r="NZG29" s="160">
        <f t="shared" ref="NZG29" si="5070">NZE29*$C$29</f>
        <v>1.4471858716488132E+69</v>
      </c>
      <c r="NZI29" s="160">
        <f t="shared" ref="NZI29" si="5071">NZG29*$C$29</f>
        <v>1.4906014477982776E+69</v>
      </c>
      <c r="NZK29" s="160">
        <f t="shared" ref="NZK29" si="5072">NZI29*$C$29</f>
        <v>1.5353194912322259E+69</v>
      </c>
      <c r="NZM29" s="160">
        <f t="shared" ref="NZM29" si="5073">NZK29*$C$29</f>
        <v>1.5813790759691927E+69</v>
      </c>
      <c r="NZO29" s="160">
        <f t="shared" ref="NZO29" si="5074">NZM29*$C$29</f>
        <v>1.6288204482482685E+69</v>
      </c>
      <c r="NZQ29" s="160">
        <f t="shared" ref="NZQ29" si="5075">NZO29*$C$29</f>
        <v>1.6776850616957166E+69</v>
      </c>
      <c r="NZS29" s="160">
        <f t="shared" ref="NZS29" si="5076">NZQ29*$C$29</f>
        <v>1.728015613546588E+69</v>
      </c>
      <c r="NZU29" s="160">
        <f t="shared" ref="NZU29" si="5077">NZS29*$C$29</f>
        <v>1.7798560819529856E+69</v>
      </c>
      <c r="NZW29" s="160">
        <f t="shared" ref="NZW29" si="5078">NZU29*$C$29</f>
        <v>1.8332517644115752E+69</v>
      </c>
      <c r="NZY29" s="160">
        <f t="shared" ref="NZY29" si="5079">NZW29*$C$29</f>
        <v>1.8882493173439223E+69</v>
      </c>
      <c r="OAA29" s="160">
        <f t="shared" ref="OAA29" si="5080">NZY29*$C$29</f>
        <v>1.9448967968642402E+69</v>
      </c>
      <c r="OAC29" s="160">
        <f t="shared" ref="OAC29" si="5081">OAA29*$C$29</f>
        <v>2.0032437007701674E+69</v>
      </c>
      <c r="OAE29" s="160">
        <f t="shared" ref="OAE29" si="5082">OAC29*$C$29</f>
        <v>2.0633410117932725E+69</v>
      </c>
      <c r="OAG29" s="160">
        <f t="shared" ref="OAG29" si="5083">OAE29*$C$29</f>
        <v>2.1252412421470708E+69</v>
      </c>
      <c r="OAI29" s="160">
        <f t="shared" ref="OAI29" si="5084">OAG29*$C$29</f>
        <v>2.1889984794114828E+69</v>
      </c>
      <c r="OAK29" s="160">
        <f t="shared" ref="OAK29" si="5085">OAI29*$C$29</f>
        <v>2.2546684337938274E+69</v>
      </c>
      <c r="OAM29" s="160">
        <f t="shared" ref="OAM29" si="5086">OAK29*$C$29</f>
        <v>2.3223084868076422E+69</v>
      </c>
      <c r="OAO29" s="160">
        <f t="shared" ref="OAO29" si="5087">OAM29*$C$29</f>
        <v>2.3919777414118716E+69</v>
      </c>
      <c r="OAQ29" s="160">
        <f t="shared" ref="OAQ29" si="5088">OAO29*$C$29</f>
        <v>2.4637370736542278E+69</v>
      </c>
      <c r="OAS29" s="160">
        <f t="shared" ref="OAS29" si="5089">OAQ29*$C$29</f>
        <v>2.5376491858638548E+69</v>
      </c>
      <c r="OAU29" s="160">
        <f t="shared" ref="OAU29" si="5090">OAS29*$C$29</f>
        <v>2.6137786614397705E+69</v>
      </c>
      <c r="OAW29" s="160">
        <f t="shared" ref="OAW29" si="5091">OAU29*$C$29</f>
        <v>2.6921920212829638E+69</v>
      </c>
      <c r="OAY29" s="160">
        <f t="shared" ref="OAY29" si="5092">OAW29*$C$29</f>
        <v>2.7729577819214529E+69</v>
      </c>
      <c r="OBA29" s="160">
        <f t="shared" ref="OBA29" si="5093">OAY29*$C$29</f>
        <v>2.8561465153790965E+69</v>
      </c>
      <c r="OBC29" s="160">
        <f t="shared" ref="OBC29" si="5094">OBA29*$C$29</f>
        <v>2.9418309108404696E+69</v>
      </c>
      <c r="OBE29" s="160">
        <f t="shared" ref="OBE29" si="5095">OBC29*$C$29</f>
        <v>3.0300858381656837E+69</v>
      </c>
      <c r="OBG29" s="160">
        <f t="shared" ref="OBG29" si="5096">OBE29*$C$29</f>
        <v>3.1209884133106542E+69</v>
      </c>
      <c r="OBI29" s="160">
        <f t="shared" ref="OBI29" si="5097">OBG29*$C$29</f>
        <v>3.2146180657099739E+69</v>
      </c>
      <c r="OBK29" s="160">
        <f t="shared" ref="OBK29" si="5098">OBI29*$C$29</f>
        <v>3.3110566076812732E+69</v>
      </c>
      <c r="OBM29" s="160">
        <f t="shared" ref="OBM29" si="5099">OBK29*$C$29</f>
        <v>3.4103883059117115E+69</v>
      </c>
      <c r="OBO29" s="160">
        <f t="shared" ref="OBO29" si="5100">OBM29*$C$29</f>
        <v>3.5126999550890631E+69</v>
      </c>
      <c r="OBQ29" s="160">
        <f t="shared" ref="OBQ29" si="5101">OBO29*$C$29</f>
        <v>3.6180809537417348E+69</v>
      </c>
      <c r="OBS29" s="160">
        <f t="shared" ref="OBS29" si="5102">OBQ29*$C$29</f>
        <v>3.726623382353987E+69</v>
      </c>
      <c r="OBU29" s="160">
        <f t="shared" ref="OBU29" si="5103">OBS29*$C$29</f>
        <v>3.838422083824607E+69</v>
      </c>
      <c r="OBW29" s="160">
        <f t="shared" ref="OBW29" si="5104">OBU29*$C$29</f>
        <v>3.9535747463393456E+69</v>
      </c>
      <c r="OBY29" s="160">
        <f t="shared" ref="OBY29" si="5105">OBW29*$C$29</f>
        <v>4.0721819887295263E+69</v>
      </c>
      <c r="OCA29" s="160">
        <f t="shared" ref="OCA29" si="5106">OBY29*$C$29</f>
        <v>4.1943474483914125E+69</v>
      </c>
      <c r="OCC29" s="160">
        <f t="shared" ref="OCC29" si="5107">OCA29*$C$29</f>
        <v>4.3201778718431548E+69</v>
      </c>
      <c r="OCE29" s="160">
        <f t="shared" ref="OCE29" si="5108">OCC29*$C$29</f>
        <v>4.4497832079984495E+69</v>
      </c>
      <c r="OCG29" s="160">
        <f t="shared" ref="OCG29" si="5109">OCE29*$C$29</f>
        <v>4.5832767042384033E+69</v>
      </c>
      <c r="OCI29" s="160">
        <f t="shared" ref="OCI29" si="5110">OCG29*$C$29</f>
        <v>4.7207750053655558E+69</v>
      </c>
      <c r="OCK29" s="160">
        <f t="shared" ref="OCK29" si="5111">OCI29*$C$29</f>
        <v>4.8623982555265227E+69</v>
      </c>
      <c r="OCM29" s="160">
        <f t="shared" ref="OCM29" si="5112">OCK29*$C$29</f>
        <v>5.0082702031923186E+69</v>
      </c>
      <c r="OCO29" s="160">
        <f t="shared" ref="OCO29" si="5113">OCM29*$C$29</f>
        <v>5.158518309288088E+69</v>
      </c>
      <c r="OCQ29" s="160">
        <f t="shared" ref="OCQ29" si="5114">OCO29*$C$29</f>
        <v>5.313273858566731E+69</v>
      </c>
      <c r="OCS29" s="160">
        <f t="shared" ref="OCS29" si="5115">OCQ29*$C$29</f>
        <v>5.4726720743237333E+69</v>
      </c>
      <c r="OCU29" s="160">
        <f t="shared" ref="OCU29" si="5116">OCS29*$C$29</f>
        <v>5.6368522365534457E+69</v>
      </c>
      <c r="OCW29" s="160">
        <f t="shared" ref="OCW29" si="5117">OCU29*$C$29</f>
        <v>5.805957803650049E+69</v>
      </c>
      <c r="OCY29" s="160">
        <f t="shared" ref="OCY29" si="5118">OCW29*$C$29</f>
        <v>5.980136537759551E+69</v>
      </c>
      <c r="ODA29" s="160">
        <f t="shared" ref="ODA29" si="5119">OCY29*$C$29</f>
        <v>6.1595406338923377E+69</v>
      </c>
      <c r="ODC29" s="160">
        <f t="shared" ref="ODC29" si="5120">ODA29*$C$29</f>
        <v>6.3443268529091079E+69</v>
      </c>
      <c r="ODE29" s="160">
        <f t="shared" ref="ODE29" si="5121">ODC29*$C$29</f>
        <v>6.5346566584963812E+69</v>
      </c>
      <c r="ODG29" s="160">
        <f t="shared" ref="ODG29" si="5122">ODE29*$C$29</f>
        <v>6.7306963582512731E+69</v>
      </c>
      <c r="ODI29" s="160">
        <f t="shared" ref="ODI29" si="5123">ODG29*$C$29</f>
        <v>6.9326172489988108E+69</v>
      </c>
      <c r="ODK29" s="160">
        <f t="shared" ref="ODK29" si="5124">ODI29*$C$29</f>
        <v>7.1405957664687756E+69</v>
      </c>
      <c r="ODM29" s="160">
        <f t="shared" ref="ODM29" si="5125">ODK29*$C$29</f>
        <v>7.3548136394628386E+69</v>
      </c>
      <c r="ODO29" s="160">
        <f t="shared" ref="ODO29" si="5126">ODM29*$C$29</f>
        <v>7.5754580486467237E+69</v>
      </c>
      <c r="ODQ29" s="160">
        <f t="shared" ref="ODQ29" si="5127">ODO29*$C$29</f>
        <v>7.8027217901061261E+69</v>
      </c>
      <c r="ODS29" s="160">
        <f t="shared" ref="ODS29" si="5128">ODQ29*$C$29</f>
        <v>8.0368034438093101E+69</v>
      </c>
      <c r="ODU29" s="160">
        <f t="shared" ref="ODU29" si="5129">ODS29*$C$29</f>
        <v>8.2779075471235902E+69</v>
      </c>
      <c r="ODW29" s="160">
        <f t="shared" ref="ODW29" si="5130">ODU29*$C$29</f>
        <v>8.5262447735372982E+69</v>
      </c>
      <c r="ODY29" s="160">
        <f t="shared" ref="ODY29" si="5131">ODW29*$C$29</f>
        <v>8.7820321167434172E+69</v>
      </c>
      <c r="OEA29" s="160">
        <f t="shared" ref="OEA29" si="5132">ODY29*$C$29</f>
        <v>9.0454930802457196E+69</v>
      </c>
      <c r="OEC29" s="160">
        <f t="shared" ref="OEC29" si="5133">OEA29*$C$29</f>
        <v>9.3168578726530921E+69</v>
      </c>
      <c r="OEE29" s="160">
        <f t="shared" ref="OEE29" si="5134">OEC29*$C$29</f>
        <v>9.5963636088326858E+69</v>
      </c>
      <c r="OEG29" s="160">
        <f t="shared" ref="OEG29" si="5135">OEE29*$C$29</f>
        <v>9.8842545170976662E+69</v>
      </c>
      <c r="OEI29" s="160">
        <f t="shared" ref="OEI29" si="5136">OEG29*$C$29</f>
        <v>1.0180782152610596E+70</v>
      </c>
      <c r="OEK29" s="160">
        <f t="shared" ref="OEK29" si="5137">OEI29*$C$29</f>
        <v>1.0486205617188915E+70</v>
      </c>
      <c r="OEM29" s="160">
        <f t="shared" ref="OEM29" si="5138">OEK29*$C$29</f>
        <v>1.0800791785704582E+70</v>
      </c>
      <c r="OEO29" s="160">
        <f t="shared" ref="OEO29" si="5139">OEM29*$C$29</f>
        <v>1.112481553927572E+70</v>
      </c>
      <c r="OEQ29" s="160">
        <f t="shared" ref="OEQ29" si="5140">OEO29*$C$29</f>
        <v>1.1458560005453992E+70</v>
      </c>
      <c r="OES29" s="160">
        <f t="shared" ref="OES29" si="5141">OEQ29*$C$29</f>
        <v>1.1802316805617612E+70</v>
      </c>
      <c r="OEU29" s="160">
        <f t="shared" ref="OEU29" si="5142">OES29*$C$29</f>
        <v>1.2156386309786141E+70</v>
      </c>
      <c r="OEW29" s="160">
        <f t="shared" ref="OEW29" si="5143">OEU29*$C$29</f>
        <v>1.2521077899079725E+70</v>
      </c>
      <c r="OEY29" s="160">
        <f t="shared" ref="OEY29" si="5144">OEW29*$C$29</f>
        <v>1.2896710236052118E+70</v>
      </c>
      <c r="OFA29" s="160">
        <f t="shared" ref="OFA29" si="5145">OEY29*$C$29</f>
        <v>1.3283611543133682E+70</v>
      </c>
      <c r="OFC29" s="160">
        <f t="shared" ref="OFC29" si="5146">OFA29*$C$29</f>
        <v>1.3682119889427692E+70</v>
      </c>
      <c r="OFE29" s="160">
        <f t="shared" ref="OFE29" si="5147">OFC29*$C$29</f>
        <v>1.4092583486110523E+70</v>
      </c>
      <c r="OFG29" s="160">
        <f t="shared" ref="OFG29" si="5148">OFE29*$C$29</f>
        <v>1.4515360990693839E+70</v>
      </c>
      <c r="OFI29" s="160">
        <f t="shared" ref="OFI29" si="5149">OFG29*$C$29</f>
        <v>1.4950821820414655E+70</v>
      </c>
      <c r="OFK29" s="160">
        <f t="shared" ref="OFK29" si="5150">OFI29*$C$29</f>
        <v>1.5399346475027096E+70</v>
      </c>
      <c r="OFM29" s="160">
        <f t="shared" ref="OFM29" si="5151">OFK29*$C$29</f>
        <v>1.5861326869277911E+70</v>
      </c>
      <c r="OFO29" s="160">
        <f t="shared" ref="OFO29" si="5152">OFM29*$C$29</f>
        <v>1.6337166675356247E+70</v>
      </c>
      <c r="OFQ29" s="160">
        <f t="shared" ref="OFQ29" si="5153">OFO29*$C$29</f>
        <v>1.6827281675616934E+70</v>
      </c>
      <c r="OFS29" s="160">
        <f t="shared" ref="OFS29" si="5154">OFQ29*$C$29</f>
        <v>1.7332100125885441E+70</v>
      </c>
      <c r="OFU29" s="160">
        <f t="shared" ref="OFU29" si="5155">OFS29*$C$29</f>
        <v>1.7852063129662004E+70</v>
      </c>
      <c r="OFW29" s="160">
        <f t="shared" ref="OFW29" si="5156">OFU29*$C$29</f>
        <v>1.8387625023551865E+70</v>
      </c>
      <c r="OFY29" s="160">
        <f t="shared" ref="OFY29" si="5157">OFW29*$C$29</f>
        <v>1.8939253774258422E+70</v>
      </c>
      <c r="OGA29" s="160">
        <f t="shared" ref="OGA29" si="5158">OFY29*$C$29</f>
        <v>1.9507431387486176E+70</v>
      </c>
      <c r="OGC29" s="160">
        <f t="shared" ref="OGC29" si="5159">OGA29*$C$29</f>
        <v>2.009265432911076E+70</v>
      </c>
      <c r="OGE29" s="160">
        <f t="shared" ref="OGE29" si="5160">OGC29*$C$29</f>
        <v>2.0695433958984085E+70</v>
      </c>
      <c r="OGG29" s="160">
        <f t="shared" ref="OGG29" si="5161">OGE29*$C$29</f>
        <v>2.1316296977753608E+70</v>
      </c>
      <c r="OGI29" s="160">
        <f t="shared" ref="OGI29" si="5162">OGG29*$C$29</f>
        <v>2.1955785887086217E+70</v>
      </c>
      <c r="OGK29" s="160">
        <f t="shared" ref="OGK29" si="5163">OGI29*$C$29</f>
        <v>2.2614459463698804E+70</v>
      </c>
      <c r="OGM29" s="160">
        <f t="shared" ref="OGM29" si="5164">OGK29*$C$29</f>
        <v>2.3292893247609768E+70</v>
      </c>
      <c r="OGO29" s="160">
        <f t="shared" ref="OGO29" si="5165">OGM29*$C$29</f>
        <v>2.3991680045038061E+70</v>
      </c>
      <c r="OGQ29" s="160">
        <f t="shared" ref="OGQ29" si="5166">OGO29*$C$29</f>
        <v>2.4711430446389203E+70</v>
      </c>
      <c r="OGS29" s="160">
        <f t="shared" ref="OGS29" si="5167">OGQ29*$C$29</f>
        <v>2.5452773359780881E+70</v>
      </c>
      <c r="OGU29" s="160">
        <f t="shared" ref="OGU29" si="5168">OGS29*$C$29</f>
        <v>2.6216356560574308E+70</v>
      </c>
      <c r="OGW29" s="160">
        <f t="shared" ref="OGW29" si="5169">OGU29*$C$29</f>
        <v>2.7002847257391537E+70</v>
      </c>
      <c r="OGY29" s="160">
        <f t="shared" ref="OGY29" si="5170">OGW29*$C$29</f>
        <v>2.7812932675113286E+70</v>
      </c>
      <c r="OHA29" s="160">
        <f t="shared" ref="OHA29" si="5171">OGY29*$C$29</f>
        <v>2.8647320655366684E+70</v>
      </c>
      <c r="OHC29" s="160">
        <f t="shared" ref="OHC29" si="5172">OHA29*$C$29</f>
        <v>2.9506740275027684E+70</v>
      </c>
      <c r="OHE29" s="160">
        <f t="shared" ref="OHE29" si="5173">OHC29*$C$29</f>
        <v>3.0391942483278517E+70</v>
      </c>
      <c r="OHG29" s="160">
        <f t="shared" ref="OHG29" si="5174">OHE29*$C$29</f>
        <v>3.1303700757776875E+70</v>
      </c>
      <c r="OHI29" s="160">
        <f t="shared" ref="OHI29" si="5175">OHG29*$C$29</f>
        <v>3.2242811780510183E+70</v>
      </c>
      <c r="OHK29" s="160">
        <f t="shared" ref="OHK29" si="5176">OHI29*$C$29</f>
        <v>3.3210096133925489E+70</v>
      </c>
      <c r="OHM29" s="160">
        <f t="shared" ref="OHM29" si="5177">OHK29*$C$29</f>
        <v>3.4206399017943258E+70</v>
      </c>
      <c r="OHO29" s="160">
        <f t="shared" ref="OHO29" si="5178">OHM29*$C$29</f>
        <v>3.5232590988481555E+70</v>
      </c>
      <c r="OHQ29" s="160">
        <f t="shared" ref="OHQ29" si="5179">OHO29*$C$29</f>
        <v>3.6289568718136005E+70</v>
      </c>
      <c r="OHS29" s="160">
        <f t="shared" ref="OHS29" si="5180">OHQ29*$C$29</f>
        <v>3.7378255779680083E+70</v>
      </c>
      <c r="OHU29" s="160">
        <f t="shared" ref="OHU29" si="5181">OHS29*$C$29</f>
        <v>3.8499603453070488E+70</v>
      </c>
      <c r="OHW29" s="160">
        <f t="shared" ref="OHW29" si="5182">OHU29*$C$29</f>
        <v>3.9654591556662602E+70</v>
      </c>
      <c r="OHY29" s="160">
        <f t="shared" ref="OHY29" si="5183">OHW29*$C$29</f>
        <v>4.0844229303362478E+70</v>
      </c>
      <c r="OIA29" s="160">
        <f t="shared" ref="OIA29" si="5184">OHY29*$C$29</f>
        <v>4.2069556182463355E+70</v>
      </c>
      <c r="OIC29" s="160">
        <f t="shared" ref="OIC29" si="5185">OIA29*$C$29</f>
        <v>4.3331642867937254E+70</v>
      </c>
      <c r="OIE29" s="160">
        <f t="shared" ref="OIE29" si="5186">OIC29*$C$29</f>
        <v>4.4631592153975374E+70</v>
      </c>
      <c r="OIG29" s="160">
        <f t="shared" ref="OIG29" si="5187">OIE29*$C$29</f>
        <v>4.5970539918594638E+70</v>
      </c>
      <c r="OII29" s="160">
        <f t="shared" ref="OII29" si="5188">OIG29*$C$29</f>
        <v>4.734965611615248E+70</v>
      </c>
      <c r="OIK29" s="160">
        <f t="shared" ref="OIK29" si="5189">OII29*$C$29</f>
        <v>4.8770145799637057E+70</v>
      </c>
      <c r="OIM29" s="160">
        <f t="shared" ref="OIM29" si="5190">OIK29*$C$29</f>
        <v>5.0233250173626172E+70</v>
      </c>
      <c r="OIO29" s="160">
        <f t="shared" ref="OIO29" si="5191">OIM29*$C$29</f>
        <v>5.1740247678834958E+70</v>
      </c>
      <c r="OIQ29" s="160">
        <f t="shared" ref="OIQ29" si="5192">OIO29*$C$29</f>
        <v>5.3292455109200007E+70</v>
      </c>
      <c r="OIS29" s="160">
        <f t="shared" ref="OIS29" si="5193">OIQ29*$C$29</f>
        <v>5.4891228762476006E+70</v>
      </c>
      <c r="OIU29" s="160">
        <f t="shared" ref="OIU29" si="5194">OIS29*$C$29</f>
        <v>5.6537965625350284E+70</v>
      </c>
      <c r="OIW29" s="160">
        <f t="shared" ref="OIW29" si="5195">OIU29*$C$29</f>
        <v>5.8234104594110793E+70</v>
      </c>
      <c r="OIY29" s="160">
        <f t="shared" ref="OIY29" si="5196">OIW29*$C$29</f>
        <v>5.998112773193412E+70</v>
      </c>
      <c r="OJA29" s="160">
        <f t="shared" ref="OJA29" si="5197">OIY29*$C$29</f>
        <v>6.178056156389215E+70</v>
      </c>
      <c r="OJC29" s="160">
        <f t="shared" ref="OJC29" si="5198">OJA29*$C$29</f>
        <v>6.3633978410808912E+70</v>
      </c>
      <c r="OJE29" s="160">
        <f t="shared" ref="OJE29" si="5199">OJC29*$C$29</f>
        <v>6.554299776313318E+70</v>
      </c>
      <c r="OJG29" s="160">
        <f t="shared" ref="OJG29" si="5200">OJE29*$C$29</f>
        <v>6.7509287696027172E+70</v>
      </c>
      <c r="OJI29" s="160">
        <f t="shared" ref="OJI29" si="5201">OJG29*$C$29</f>
        <v>6.9534566326907993E+70</v>
      </c>
      <c r="OJK29" s="160">
        <f t="shared" ref="OJK29" si="5202">OJI29*$C$29</f>
        <v>7.1620603316715231E+70</v>
      </c>
      <c r="OJM29" s="160">
        <f t="shared" ref="OJM29" si="5203">OJK29*$C$29</f>
        <v>7.3769221416216688E+70</v>
      </c>
      <c r="OJO29" s="160">
        <f t="shared" ref="OJO29" si="5204">OJM29*$C$29</f>
        <v>7.5982298058703187E+70</v>
      </c>
      <c r="OJQ29" s="160">
        <f t="shared" ref="OJQ29" si="5205">OJO29*$C$29</f>
        <v>7.8261767000464278E+70</v>
      </c>
      <c r="OJS29" s="160">
        <f t="shared" ref="OJS29" si="5206">OJQ29*$C$29</f>
        <v>8.0609620010478208E+70</v>
      </c>
      <c r="OJU29" s="160">
        <f t="shared" ref="OJU29" si="5207">OJS29*$C$29</f>
        <v>8.3027908610792557E+70</v>
      </c>
      <c r="OJW29" s="160">
        <f t="shared" ref="OJW29" si="5208">OJU29*$C$29</f>
        <v>8.5518745869116338E+70</v>
      </c>
      <c r="OJY29" s="160">
        <f t="shared" ref="OJY29" si="5209">OJW29*$C$29</f>
        <v>8.8084308245189831E+70</v>
      </c>
      <c r="OKA29" s="160">
        <f t="shared" ref="OKA29" si="5210">OJY29*$C$29</f>
        <v>9.0726837492545524E+70</v>
      </c>
      <c r="OKC29" s="160">
        <f t="shared" ref="OKC29" si="5211">OKA29*$C$29</f>
        <v>9.3448642617321887E+70</v>
      </c>
      <c r="OKE29" s="160">
        <f t="shared" ref="OKE29" si="5212">OKC29*$C$29</f>
        <v>9.6252101895841544E+70</v>
      </c>
      <c r="OKG29" s="160">
        <f t="shared" ref="OKG29" si="5213">OKE29*$C$29</f>
        <v>9.913966495271679E+70</v>
      </c>
      <c r="OKI29" s="160">
        <f t="shared" ref="OKI29" si="5214">OKG29*$C$29</f>
        <v>1.021138549012983E+71</v>
      </c>
      <c r="OKK29" s="160">
        <f t="shared" ref="OKK29" si="5215">OKI29*$C$29</f>
        <v>1.0517727054833724E+71</v>
      </c>
      <c r="OKM29" s="160">
        <f t="shared" ref="OKM29" si="5216">OKK29*$C$29</f>
        <v>1.0833258866478736E+71</v>
      </c>
      <c r="OKO29" s="160">
        <f t="shared" ref="OKO29" si="5217">OKM29*$C$29</f>
        <v>1.1158256632473099E+71</v>
      </c>
      <c r="OKQ29" s="160">
        <f t="shared" ref="OKQ29" si="5218">OKO29*$C$29</f>
        <v>1.1493004331447292E+71</v>
      </c>
      <c r="OKS29" s="160">
        <f t="shared" ref="OKS29" si="5219">OKQ29*$C$29</f>
        <v>1.1837794461390711E+71</v>
      </c>
      <c r="OKU29" s="160">
        <f t="shared" ref="OKU29" si="5220">OKS29*$C$29</f>
        <v>1.2192928295232432E+71</v>
      </c>
      <c r="OKW29" s="160">
        <f t="shared" ref="OKW29" si="5221">OKU29*$C$29</f>
        <v>1.2558716144089407E+71</v>
      </c>
      <c r="OKY29" s="160">
        <f t="shared" ref="OKY29" si="5222">OKW29*$C$29</f>
        <v>1.293547762841209E+71</v>
      </c>
      <c r="OLA29" s="160">
        <f t="shared" ref="OLA29" si="5223">OKY29*$C$29</f>
        <v>1.3323541957264452E+71</v>
      </c>
      <c r="OLC29" s="160">
        <f t="shared" ref="OLC29" si="5224">OLA29*$C$29</f>
        <v>1.3723248215982385E+71</v>
      </c>
      <c r="OLE29" s="160">
        <f t="shared" ref="OLE29" si="5225">OLC29*$C$29</f>
        <v>1.4134945662461857E+71</v>
      </c>
      <c r="OLG29" s="160">
        <f t="shared" ref="OLG29" si="5226">OLE29*$C$29</f>
        <v>1.4558994032335713E+71</v>
      </c>
      <c r="OLI29" s="160">
        <f t="shared" ref="OLI29" si="5227">OLG29*$C$29</f>
        <v>1.4995763853305785E+71</v>
      </c>
      <c r="OLK29" s="160">
        <f t="shared" ref="OLK29" si="5228">OLI29*$C$29</f>
        <v>1.5445636768904959E+71</v>
      </c>
      <c r="OLM29" s="160">
        <f t="shared" ref="OLM29" si="5229">OLK29*$C$29</f>
        <v>1.5909005871972109E+71</v>
      </c>
      <c r="OLO29" s="160">
        <f t="shared" ref="OLO29" si="5230">OLM29*$C$29</f>
        <v>1.6386276048131274E+71</v>
      </c>
      <c r="OLQ29" s="160">
        <f t="shared" ref="OLQ29" si="5231">OLO29*$C$29</f>
        <v>1.6877864329575214E+71</v>
      </c>
      <c r="OLS29" s="160">
        <f t="shared" ref="OLS29" si="5232">OLQ29*$C$29</f>
        <v>1.738420025946247E+71</v>
      </c>
      <c r="OLU29" s="160">
        <f t="shared" ref="OLU29" si="5233">OLS29*$C$29</f>
        <v>1.7905726267246345E+71</v>
      </c>
      <c r="OLW29" s="160">
        <f t="shared" ref="OLW29" si="5234">OLU29*$C$29</f>
        <v>1.8442898055263737E+71</v>
      </c>
      <c r="OLY29" s="160">
        <f t="shared" ref="OLY29" si="5235">OLW29*$C$29</f>
        <v>1.8996184996921649E+71</v>
      </c>
      <c r="OMA29" s="160">
        <f t="shared" ref="OMA29" si="5236">OLY29*$C$29</f>
        <v>1.95660705468293E+71</v>
      </c>
      <c r="OMC29" s="160">
        <f t="shared" ref="OMC29" si="5237">OMA29*$C$29</f>
        <v>2.0153052663234179E+71</v>
      </c>
      <c r="OME29" s="160">
        <f t="shared" ref="OME29" si="5238">OMC29*$C$29</f>
        <v>2.0757644243131205E+71</v>
      </c>
      <c r="OMG29" s="160">
        <f t="shared" ref="OMG29" si="5239">OME29*$C$29</f>
        <v>2.1380373570425143E+71</v>
      </c>
      <c r="OMI29" s="160">
        <f t="shared" ref="OMI29" si="5240">OMG29*$C$29</f>
        <v>2.2021784777537897E+71</v>
      </c>
      <c r="OMK29" s="160">
        <f t="shared" ref="OMK29" si="5241">OMI29*$C$29</f>
        <v>2.2682438320864035E+71</v>
      </c>
      <c r="OMM29" s="160">
        <f t="shared" ref="OMM29" si="5242">OMK29*$C$29</f>
        <v>2.3362911470489955E+71</v>
      </c>
      <c r="OMO29" s="160">
        <f t="shared" ref="OMO29" si="5243">OMM29*$C$29</f>
        <v>2.4063798814604654E+71</v>
      </c>
      <c r="OMQ29" s="160">
        <f t="shared" ref="OMQ29" si="5244">OMO29*$C$29</f>
        <v>2.4785712779042793E+71</v>
      </c>
      <c r="OMS29" s="160">
        <f t="shared" ref="OMS29" si="5245">OMQ29*$C$29</f>
        <v>2.5529284162414077E+71</v>
      </c>
      <c r="OMU29" s="160">
        <f t="shared" ref="OMU29" si="5246">OMS29*$C$29</f>
        <v>2.62951626872865E+71</v>
      </c>
      <c r="OMW29" s="160">
        <f t="shared" ref="OMW29" si="5247">OMU29*$C$29</f>
        <v>2.7084017567905097E+71</v>
      </c>
      <c r="OMY29" s="160">
        <f t="shared" ref="OMY29" si="5248">OMW29*$C$29</f>
        <v>2.7896538094942253E+71</v>
      </c>
      <c r="ONA29" s="160">
        <f t="shared" ref="ONA29" si="5249">OMY29*$C$29</f>
        <v>2.873343423779052E+71</v>
      </c>
      <c r="ONC29" s="160">
        <f t="shared" ref="ONC29" si="5250">ONA29*$C$29</f>
        <v>2.9595437264924238E+71</v>
      </c>
      <c r="ONE29" s="160">
        <f t="shared" ref="ONE29" si="5251">ONC29*$C$29</f>
        <v>3.0483300382871968E+71</v>
      </c>
      <c r="ONG29" s="160">
        <f t="shared" ref="ONG29" si="5252">ONE29*$C$29</f>
        <v>3.1397799394358129E+71</v>
      </c>
      <c r="ONI29" s="160">
        <f t="shared" ref="ONI29" si="5253">ONG29*$C$29</f>
        <v>3.2339733376188875E+71</v>
      </c>
      <c r="ONK29" s="160">
        <f t="shared" ref="ONK29" si="5254">ONI29*$C$29</f>
        <v>3.3309925377474541E+71</v>
      </c>
      <c r="ONM29" s="160">
        <f t="shared" ref="ONM29" si="5255">ONK29*$C$29</f>
        <v>3.4309223138798776E+71</v>
      </c>
      <c r="ONO29" s="160">
        <f t="shared" ref="ONO29" si="5256">ONM29*$C$29</f>
        <v>3.5338499832962742E+71</v>
      </c>
      <c r="ONQ29" s="160">
        <f t="shared" ref="ONQ29" si="5257">ONO29*$C$29</f>
        <v>3.6398654827951624E+71</v>
      </c>
      <c r="ONS29" s="160">
        <f t="shared" ref="ONS29" si="5258">ONQ29*$C$29</f>
        <v>3.7490614472790174E+71</v>
      </c>
      <c r="ONU29" s="160">
        <f t="shared" ref="ONU29" si="5259">ONS29*$C$29</f>
        <v>3.8615332906973879E+71</v>
      </c>
      <c r="ONW29" s="160">
        <f t="shared" ref="ONW29" si="5260">ONU29*$C$29</f>
        <v>3.9773792894183097E+71</v>
      </c>
      <c r="ONY29" s="160">
        <f t="shared" ref="ONY29" si="5261">ONW29*$C$29</f>
        <v>4.0967006681008589E+71</v>
      </c>
      <c r="OOA29" s="160">
        <f t="shared" ref="OOA29" si="5262">ONY29*$C$29</f>
        <v>4.2196016881438848E+71</v>
      </c>
      <c r="OOC29" s="160">
        <f t="shared" ref="OOC29" si="5263">OOA29*$C$29</f>
        <v>4.3461897387882013E+71</v>
      </c>
      <c r="OOE29" s="160">
        <f t="shared" ref="OOE29" si="5264">OOC29*$C$29</f>
        <v>4.4765754309518472E+71</v>
      </c>
      <c r="OOG29" s="160">
        <f t="shared" ref="OOG29" si="5265">OOE29*$C$29</f>
        <v>4.6108726938804023E+71</v>
      </c>
      <c r="OOI29" s="160">
        <f t="shared" ref="OOI29" si="5266">OOG29*$C$29</f>
        <v>4.7491988746968149E+71</v>
      </c>
      <c r="OOK29" s="160">
        <f t="shared" ref="OOK29" si="5267">OOI29*$C$29</f>
        <v>4.8916748409377196E+71</v>
      </c>
      <c r="OOM29" s="160">
        <f t="shared" ref="OOM29" si="5268">OOK29*$C$29</f>
        <v>5.0384250861658515E+71</v>
      </c>
      <c r="OOO29" s="160">
        <f t="shared" ref="OOO29" si="5269">OOM29*$C$29</f>
        <v>5.1895778387508272E+71</v>
      </c>
      <c r="OOQ29" s="160">
        <f t="shared" ref="OOQ29" si="5270">OOO29*$C$29</f>
        <v>5.3452651739133524E+71</v>
      </c>
      <c r="OOS29" s="160">
        <f t="shared" ref="OOS29" si="5271">OOQ29*$C$29</f>
        <v>5.5056231291307532E+71</v>
      </c>
      <c r="OOU29" s="160">
        <f t="shared" ref="OOU29" si="5272">OOS29*$C$29</f>
        <v>5.6707918230046755E+71</v>
      </c>
      <c r="OOW29" s="160">
        <f t="shared" ref="OOW29" si="5273">OOU29*$C$29</f>
        <v>5.8409155776948156E+71</v>
      </c>
      <c r="OOY29" s="160">
        <f t="shared" ref="OOY29" si="5274">OOW29*$C$29</f>
        <v>6.0161430450256607E+71</v>
      </c>
      <c r="OPA29" s="160">
        <f t="shared" ref="OPA29" si="5275">OOY29*$C$29</f>
        <v>6.1966273363764306E+71</v>
      </c>
      <c r="OPC29" s="160">
        <f t="shared" ref="OPC29" si="5276">OPA29*$C$29</f>
        <v>6.3825261564677238E+71</v>
      </c>
      <c r="OPE29" s="160">
        <f t="shared" ref="OPE29" si="5277">OPC29*$C$29</f>
        <v>6.5740019411617559E+71</v>
      </c>
      <c r="OPG29" s="160">
        <f t="shared" ref="OPG29" si="5278">OPE29*$C$29</f>
        <v>6.771221999396609E+71</v>
      </c>
      <c r="OPI29" s="160">
        <f t="shared" ref="OPI29" si="5279">OPG29*$C$29</f>
        <v>6.974358659378507E+71</v>
      </c>
      <c r="OPK29" s="160">
        <f t="shared" ref="OPK29" si="5280">OPI29*$C$29</f>
        <v>7.1835894191598627E+71</v>
      </c>
      <c r="OPM29" s="160">
        <f t="shared" ref="OPM29" si="5281">OPK29*$C$29</f>
        <v>7.3990971017346588E+71</v>
      </c>
      <c r="OPO29" s="160">
        <f t="shared" ref="OPO29" si="5282">OPM29*$C$29</f>
        <v>7.6210700147866991E+71</v>
      </c>
      <c r="OPQ29" s="160">
        <f t="shared" ref="OPQ29" si="5283">OPO29*$C$29</f>
        <v>7.8497021152303003E+71</v>
      </c>
      <c r="OPS29" s="160">
        <f t="shared" ref="OPS29" si="5284">OPQ29*$C$29</f>
        <v>8.0851931786872096E+71</v>
      </c>
      <c r="OPU29" s="160">
        <f t="shared" ref="OPU29" si="5285">OPS29*$C$29</f>
        <v>8.3277489740478263E+71</v>
      </c>
      <c r="OPW29" s="160">
        <f t="shared" ref="OPW29" si="5286">OPU29*$C$29</f>
        <v>8.5775814432692614E+71</v>
      </c>
      <c r="OPY29" s="160">
        <f t="shared" ref="OPY29" si="5287">OPW29*$C$29</f>
        <v>8.8349088865673402E+71</v>
      </c>
      <c r="OQA29" s="160">
        <f t="shared" ref="OQA29" si="5288">OPY29*$C$29</f>
        <v>9.0999561531643615E+71</v>
      </c>
      <c r="OQC29" s="160">
        <f t="shared" ref="OQC29" si="5289">OQA29*$C$29</f>
        <v>9.3729548377592926E+71</v>
      </c>
      <c r="OQE29" s="160">
        <f t="shared" ref="OQE29" si="5290">OQC29*$C$29</f>
        <v>9.6541434828920723E+71</v>
      </c>
      <c r="OQG29" s="160">
        <f t="shared" ref="OQG29" si="5291">OQE29*$C$29</f>
        <v>9.9437677873788356E+71</v>
      </c>
      <c r="OQI29" s="160">
        <f t="shared" ref="OQI29" si="5292">OQG29*$C$29</f>
        <v>1.0242080821000202E+72</v>
      </c>
      <c r="OQK29" s="160">
        <f t="shared" ref="OQK29" si="5293">OQI29*$C$29</f>
        <v>1.0549343245630209E+72</v>
      </c>
      <c r="OQM29" s="160">
        <f t="shared" ref="OQM29" si="5294">OQK29*$C$29</f>
        <v>1.0865823542999115E+72</v>
      </c>
      <c r="OQO29" s="160">
        <f t="shared" ref="OQO29" si="5295">OQM29*$C$29</f>
        <v>1.1191798249289088E+72</v>
      </c>
      <c r="OQQ29" s="160">
        <f t="shared" ref="OQQ29" si="5296">OQO29*$C$29</f>
        <v>1.1527552196767762E+72</v>
      </c>
      <c r="OQS29" s="160">
        <f t="shared" ref="OQS29" si="5297">OQQ29*$C$29</f>
        <v>1.1873378762670796E+72</v>
      </c>
      <c r="OQU29" s="160">
        <f t="shared" ref="OQU29" si="5298">OQS29*$C$29</f>
        <v>1.2229580125550921E+72</v>
      </c>
      <c r="OQW29" s="160">
        <f t="shared" ref="OQW29" si="5299">OQU29*$C$29</f>
        <v>1.2596467529317448E+72</v>
      </c>
      <c r="OQY29" s="160">
        <f t="shared" ref="OQY29" si="5300">OQW29*$C$29</f>
        <v>1.2974361555196972E+72</v>
      </c>
      <c r="ORA29" s="160">
        <f t="shared" ref="ORA29" si="5301">OQY29*$C$29</f>
        <v>1.3363592401852881E+72</v>
      </c>
      <c r="ORC29" s="160">
        <f t="shared" ref="ORC29" si="5302">ORA29*$C$29</f>
        <v>1.3764500173908468E+72</v>
      </c>
      <c r="ORE29" s="160">
        <f t="shared" ref="ORE29" si="5303">ORC29*$C$29</f>
        <v>1.4177435179125721E+72</v>
      </c>
      <c r="ORG29" s="160">
        <f t="shared" ref="ORG29" si="5304">ORE29*$C$29</f>
        <v>1.4602758234499494E+72</v>
      </c>
      <c r="ORI29" s="160">
        <f t="shared" ref="ORI29" si="5305">ORG29*$C$29</f>
        <v>1.5040840981534479E+72</v>
      </c>
      <c r="ORK29" s="160">
        <f t="shared" ref="ORK29" si="5306">ORI29*$C$29</f>
        <v>1.5492066210980513E+72</v>
      </c>
      <c r="ORM29" s="160">
        <f t="shared" ref="ORM29" si="5307">ORK29*$C$29</f>
        <v>1.5956828197309929E+72</v>
      </c>
      <c r="ORO29" s="160">
        <f t="shared" ref="ORO29" si="5308">ORM29*$C$29</f>
        <v>1.6435533043229227E+72</v>
      </c>
      <c r="ORQ29" s="160">
        <f t="shared" ref="ORQ29" si="5309">ORO29*$C$29</f>
        <v>1.6928599034526104E+72</v>
      </c>
      <c r="ORS29" s="160">
        <f t="shared" ref="ORS29" si="5310">ORQ29*$C$29</f>
        <v>1.7436457005561888E+72</v>
      </c>
      <c r="ORU29" s="160">
        <f t="shared" ref="ORU29" si="5311">ORS29*$C$29</f>
        <v>1.7959550715728744E+72</v>
      </c>
      <c r="ORW29" s="160">
        <f t="shared" ref="ORW29" si="5312">ORU29*$C$29</f>
        <v>1.8498337237200609E+72</v>
      </c>
      <c r="ORY29" s="160">
        <f t="shared" ref="ORY29" si="5313">ORW29*$C$29</f>
        <v>1.9053287354316628E+72</v>
      </c>
      <c r="OSA29" s="160">
        <f t="shared" ref="OSA29" si="5314">ORY29*$C$29</f>
        <v>1.9624885974946129E+72</v>
      </c>
      <c r="OSC29" s="160">
        <f t="shared" ref="OSC29" si="5315">OSA29*$C$29</f>
        <v>2.0213632554194512E+72</v>
      </c>
      <c r="OSE29" s="160">
        <f t="shared" ref="OSE29" si="5316">OSC29*$C$29</f>
        <v>2.0820041530820346E+72</v>
      </c>
      <c r="OSG29" s="160">
        <f t="shared" ref="OSG29" si="5317">OSE29*$C$29</f>
        <v>2.1444642776744958E+72</v>
      </c>
      <c r="OSI29" s="160">
        <f t="shared" ref="OSI29" si="5318">OSG29*$C$29</f>
        <v>2.2087982060047305E+72</v>
      </c>
      <c r="OSK29" s="160">
        <f t="shared" ref="OSK29" si="5319">OSI29*$C$29</f>
        <v>2.2750621521848726E+72</v>
      </c>
      <c r="OSM29" s="160">
        <f t="shared" ref="OSM29" si="5320">OSK29*$C$29</f>
        <v>2.3433140167504189E+72</v>
      </c>
      <c r="OSO29" s="160">
        <f t="shared" ref="OSO29" si="5321">OSM29*$C$29</f>
        <v>2.4136134372529316E+72</v>
      </c>
      <c r="OSQ29" s="160">
        <f t="shared" ref="OSQ29" si="5322">OSO29*$C$29</f>
        <v>2.4860218403705197E+72</v>
      </c>
      <c r="OSS29" s="160">
        <f t="shared" ref="OSS29" si="5323">OSQ29*$C$29</f>
        <v>2.5606024955816355E+72</v>
      </c>
      <c r="OSU29" s="160">
        <f t="shared" ref="OSU29" si="5324">OSS29*$C$29</f>
        <v>2.6374205704490848E+72</v>
      </c>
      <c r="OSW29" s="160">
        <f t="shared" ref="OSW29" si="5325">OSU29*$C$29</f>
        <v>2.7165431875625573E+72</v>
      </c>
      <c r="OSY29" s="160">
        <f t="shared" ref="OSY29" si="5326">OSW29*$C$29</f>
        <v>2.7980394831894339E+72</v>
      </c>
      <c r="OTA29" s="160">
        <f t="shared" ref="OTA29" si="5327">OSY29*$C$29</f>
        <v>2.8819806676851169E+72</v>
      </c>
      <c r="OTC29" s="160">
        <f t="shared" ref="OTC29" si="5328">OTA29*$C$29</f>
        <v>2.9684400877156706E+72</v>
      </c>
      <c r="OTE29" s="160">
        <f t="shared" ref="OTE29" si="5329">OTC29*$C$29</f>
        <v>3.0574932903471407E+72</v>
      </c>
      <c r="OTG29" s="160">
        <f t="shared" ref="OTG29" si="5330">OTE29*$C$29</f>
        <v>3.1492180890575549E+72</v>
      </c>
      <c r="OTI29" s="160">
        <f t="shared" ref="OTI29" si="5331">OTG29*$C$29</f>
        <v>3.2436946317292818E+72</v>
      </c>
      <c r="OTK29" s="160">
        <f t="shared" ref="OTK29" si="5332">OTI29*$C$29</f>
        <v>3.3410054706811604E+72</v>
      </c>
      <c r="OTM29" s="160">
        <f t="shared" ref="OTM29" si="5333">OTK29*$C$29</f>
        <v>3.4412356348015954E+72</v>
      </c>
      <c r="OTO29" s="160">
        <f t="shared" ref="OTO29" si="5334">OTM29*$C$29</f>
        <v>3.5444727038456432E+72</v>
      </c>
      <c r="OTQ29" s="160">
        <f t="shared" ref="OTQ29" si="5335">OTO29*$C$29</f>
        <v>3.650806884961013E+72</v>
      </c>
      <c r="OTS29" s="160">
        <f t="shared" ref="OTS29" si="5336">OTQ29*$C$29</f>
        <v>3.7603310915098431E+72</v>
      </c>
      <c r="OTU29" s="160">
        <f t="shared" ref="OTU29" si="5337">OTS29*$C$29</f>
        <v>3.8731410242551386E+72</v>
      </c>
      <c r="OTW29" s="160">
        <f t="shared" ref="OTW29" si="5338">OTU29*$C$29</f>
        <v>3.9893352549827928E+72</v>
      </c>
      <c r="OTY29" s="160">
        <f t="shared" ref="OTY29" si="5339">OTW29*$C$29</f>
        <v>4.109015312632277E+72</v>
      </c>
      <c r="OUA29" s="160">
        <f t="shared" ref="OUA29" si="5340">OTY29*$C$29</f>
        <v>4.2322857720112455E+72</v>
      </c>
      <c r="OUC29" s="160">
        <f t="shared" ref="OUC29" si="5341">OUA29*$C$29</f>
        <v>4.3592543451715829E+72</v>
      </c>
      <c r="OUE29" s="160">
        <f t="shared" ref="OUE29" si="5342">OUC29*$C$29</f>
        <v>4.4900319755267302E+72</v>
      </c>
      <c r="OUG29" s="160">
        <f t="shared" ref="OUG29" si="5343">OUE29*$C$29</f>
        <v>4.6247329347925323E+72</v>
      </c>
      <c r="OUI29" s="160">
        <f t="shared" ref="OUI29" si="5344">OUG29*$C$29</f>
        <v>4.7634749228363083E+72</v>
      </c>
      <c r="OUK29" s="160">
        <f t="shared" ref="OUK29" si="5345">OUI29*$C$29</f>
        <v>4.9063791705213973E+72</v>
      </c>
      <c r="OUM29" s="160">
        <f t="shared" ref="OUM29" si="5346">OUK29*$C$29</f>
        <v>5.0535705456370389E+72</v>
      </c>
      <c r="OUO29" s="160">
        <f t="shared" ref="OUO29" si="5347">OUM29*$C$29</f>
        <v>5.2051776620061502E+72</v>
      </c>
      <c r="OUQ29" s="160">
        <f t="shared" ref="OUQ29" si="5348">OUO29*$C$29</f>
        <v>5.3613329918663348E+72</v>
      </c>
      <c r="OUS29" s="160">
        <f t="shared" ref="OUS29" si="5349">OUQ29*$C$29</f>
        <v>5.5221729816223253E+72</v>
      </c>
      <c r="OUU29" s="160">
        <f t="shared" ref="OUU29" si="5350">OUS29*$C$29</f>
        <v>5.6878381710709952E+72</v>
      </c>
      <c r="OUW29" s="160">
        <f t="shared" ref="OUW29" si="5351">OUU29*$C$29</f>
        <v>5.8584733162031254E+72</v>
      </c>
      <c r="OUY29" s="160">
        <f t="shared" ref="OUY29" si="5352">OUW29*$C$29</f>
        <v>6.034227515689219E+72</v>
      </c>
      <c r="OVA29" s="160">
        <f t="shared" ref="OVA29" si="5353">OUY29*$C$29</f>
        <v>6.2152543411598957E+72</v>
      </c>
      <c r="OVC29" s="160">
        <f t="shared" ref="OVC29" si="5354">OVA29*$C$29</f>
        <v>6.4017119713946929E+72</v>
      </c>
      <c r="OVE29" s="160">
        <f t="shared" ref="OVE29" si="5355">OVC29*$C$29</f>
        <v>6.5937633305365336E+72</v>
      </c>
      <c r="OVG29" s="160">
        <f t="shared" ref="OVG29" si="5356">OVE29*$C$29</f>
        <v>6.7915762304526299E+72</v>
      </c>
      <c r="OVI29" s="160">
        <f t="shared" ref="OVI29" si="5357">OVG29*$C$29</f>
        <v>6.9953235173662092E+72</v>
      </c>
      <c r="OVK29" s="160">
        <f t="shared" ref="OVK29" si="5358">OVI29*$C$29</f>
        <v>7.205183222887196E+72</v>
      </c>
      <c r="OVM29" s="160">
        <f t="shared" ref="OVM29" si="5359">OVK29*$C$29</f>
        <v>7.4213387195738117E+72</v>
      </c>
      <c r="OVO29" s="160">
        <f t="shared" ref="OVO29" si="5360">OVM29*$C$29</f>
        <v>7.6439788811610255E+72</v>
      </c>
      <c r="OVQ29" s="160">
        <f t="shared" ref="OVQ29" si="5361">OVO29*$C$29</f>
        <v>7.8732982475958562E+72</v>
      </c>
      <c r="OVS29" s="160">
        <f t="shared" ref="OVS29" si="5362">OVQ29*$C$29</f>
        <v>8.1094971950237315E+72</v>
      </c>
      <c r="OVU29" s="160">
        <f t="shared" ref="OVU29" si="5363">OVS29*$C$29</f>
        <v>8.3527821108744444E+72</v>
      </c>
      <c r="OVW29" s="160">
        <f t="shared" ref="OVW29" si="5364">OVU29*$C$29</f>
        <v>8.6033655742006775E+72</v>
      </c>
      <c r="OVY29" s="160">
        <f t="shared" ref="OVY29" si="5365">OVW29*$C$29</f>
        <v>8.8614665414266977E+72</v>
      </c>
      <c r="OWA29" s="160">
        <f t="shared" ref="OWA29" si="5366">OVY29*$C$29</f>
        <v>9.1273105376694989E+72</v>
      </c>
      <c r="OWC29" s="160">
        <f t="shared" ref="OWC29" si="5367">OWA29*$C$29</f>
        <v>9.4011298537995834E+72</v>
      </c>
      <c r="OWE29" s="160">
        <f t="shared" ref="OWE29" si="5368">OWC29*$C$29</f>
        <v>9.6831637494135707E+72</v>
      </c>
      <c r="OWG29" s="160">
        <f t="shared" ref="OWG29" si="5369">OWE29*$C$29</f>
        <v>9.9736586618959778E+72</v>
      </c>
      <c r="OWI29" s="160">
        <f t="shared" ref="OWI29" si="5370">OWG29*$C$29</f>
        <v>1.0272868421752857E+73</v>
      </c>
      <c r="OWK29" s="160">
        <f t="shared" ref="OWK29" si="5371">OWI29*$C$29</f>
        <v>1.0581054474405443E+73</v>
      </c>
      <c r="OWM29" s="160">
        <f t="shared" ref="OWM29" si="5372">OWK29*$C$29</f>
        <v>1.0898486108637607E+73</v>
      </c>
      <c r="OWO29" s="160">
        <f t="shared" ref="OWO29" si="5373">OWM29*$C$29</f>
        <v>1.1225440691896735E+73</v>
      </c>
      <c r="OWQ29" s="160">
        <f t="shared" ref="OWQ29" si="5374">OWO29*$C$29</f>
        <v>1.1562203912653637E+73</v>
      </c>
      <c r="OWS29" s="160">
        <f t="shared" ref="OWS29" si="5375">OWQ29*$C$29</f>
        <v>1.1909070030033246E+73</v>
      </c>
      <c r="OWU29" s="160">
        <f t="shared" ref="OWU29" si="5376">OWS29*$C$29</f>
        <v>1.2266342130934244E+73</v>
      </c>
      <c r="OWW29" s="160">
        <f t="shared" ref="OWW29" si="5377">OWU29*$C$29</f>
        <v>1.2634332394862272E+73</v>
      </c>
      <c r="OWY29" s="160">
        <f t="shared" ref="OWY29" si="5378">OWW29*$C$29</f>
        <v>1.3013362366708141E+73</v>
      </c>
      <c r="OXA29" s="160">
        <f t="shared" ref="OXA29" si="5379">OWY29*$C$29</f>
        <v>1.3403763237709386E+73</v>
      </c>
      <c r="OXC29" s="160">
        <f t="shared" ref="OXC29" si="5380">OXA29*$C$29</f>
        <v>1.3805876134840668E+73</v>
      </c>
      <c r="OXE29" s="160">
        <f t="shared" ref="OXE29" si="5381">OXC29*$C$29</f>
        <v>1.4220052418885888E+73</v>
      </c>
      <c r="OXG29" s="160">
        <f t="shared" ref="OXG29" si="5382">OXE29*$C$29</f>
        <v>1.4646653991452466E+73</v>
      </c>
      <c r="OXI29" s="160">
        <f t="shared" ref="OXI29" si="5383">OXG29*$C$29</f>
        <v>1.5086053611196042E+73</v>
      </c>
      <c r="OXK29" s="160">
        <f t="shared" ref="OXK29" si="5384">OXI29*$C$29</f>
        <v>1.5538635219531924E+73</v>
      </c>
      <c r="OXM29" s="160">
        <f t="shared" ref="OXM29" si="5385">OXK29*$C$29</f>
        <v>1.6004794276117882E+73</v>
      </c>
      <c r="OXO29" s="160">
        <f t="shared" ref="OXO29" si="5386">OXM29*$C$29</f>
        <v>1.6484938104401418E+73</v>
      </c>
      <c r="OXQ29" s="160">
        <f t="shared" ref="OXQ29" si="5387">OXO29*$C$29</f>
        <v>1.697948624753346E+73</v>
      </c>
      <c r="OXS29" s="160">
        <f t="shared" ref="OXS29" si="5388">OXQ29*$C$29</f>
        <v>1.7488870834959465E+73</v>
      </c>
      <c r="OXU29" s="160">
        <f t="shared" ref="OXU29" si="5389">OXS29*$C$29</f>
        <v>1.8013536960008248E+73</v>
      </c>
      <c r="OXW29" s="160">
        <f t="shared" ref="OXW29" si="5390">OXU29*$C$29</f>
        <v>1.8553943068808497E+73</v>
      </c>
      <c r="OXY29" s="160">
        <f t="shared" ref="OXY29" si="5391">OXW29*$C$29</f>
        <v>1.9110561360872752E+73</v>
      </c>
      <c r="OYA29" s="160">
        <f t="shared" ref="OYA29" si="5392">OXY29*$C$29</f>
        <v>1.9683878201698935E+73</v>
      </c>
      <c r="OYC29" s="160">
        <f t="shared" ref="OYC29" si="5393">OYA29*$C$29</f>
        <v>2.0274394547749904E+73</v>
      </c>
      <c r="OYE29" s="160">
        <f t="shared" ref="OYE29" si="5394">OYC29*$C$29</f>
        <v>2.0882626384182402E+73</v>
      </c>
      <c r="OYG29" s="160">
        <f t="shared" ref="OYG29" si="5395">OYE29*$C$29</f>
        <v>2.1509105175707875E+73</v>
      </c>
      <c r="OYI29" s="160">
        <f t="shared" ref="OYI29" si="5396">OYG29*$C$29</f>
        <v>2.2154378330979111E+73</v>
      </c>
      <c r="OYK29" s="160">
        <f t="shared" ref="OYK29" si="5397">OYI29*$C$29</f>
        <v>2.2819009680908486E+73</v>
      </c>
      <c r="OYM29" s="160">
        <f t="shared" ref="OYM29" si="5398">OYK29*$C$29</f>
        <v>2.3503579971335742E+73</v>
      </c>
      <c r="OYO29" s="160">
        <f t="shared" ref="OYO29" si="5399">OYM29*$C$29</f>
        <v>2.4208687370475814E+73</v>
      </c>
      <c r="OYQ29" s="160">
        <f t="shared" ref="OYQ29" si="5400">OYO29*$C$29</f>
        <v>2.4934947991590087E+73</v>
      </c>
      <c r="OYS29" s="160">
        <f t="shared" ref="OYS29" si="5401">OYQ29*$C$29</f>
        <v>2.5682996431337792E+73</v>
      </c>
      <c r="OYU29" s="160">
        <f t="shared" ref="OYU29" si="5402">OYS29*$C$29</f>
        <v>2.6453486324277925E+73</v>
      </c>
      <c r="OYW29" s="160">
        <f t="shared" ref="OYW29" si="5403">OYU29*$C$29</f>
        <v>2.7247090914006264E+73</v>
      </c>
      <c r="OYY29" s="160">
        <f t="shared" ref="OYY29" si="5404">OYW29*$C$29</f>
        <v>2.8064503641426454E+73</v>
      </c>
      <c r="OZA29" s="160">
        <f t="shared" ref="OZA29" si="5405">OYY29*$C$29</f>
        <v>2.8906438750669249E+73</v>
      </c>
      <c r="OZC29" s="160">
        <f t="shared" ref="OZC29" si="5406">OZA29*$C$29</f>
        <v>2.9773631913189329E+73</v>
      </c>
      <c r="OZE29" s="160">
        <f t="shared" ref="OZE29" si="5407">OZC29*$C$29</f>
        <v>3.066684087058501E+73</v>
      </c>
      <c r="OZG29" s="160">
        <f t="shared" ref="OZG29" si="5408">OZE29*$C$29</f>
        <v>3.1586846096702559E+73</v>
      </c>
      <c r="OZI29" s="160">
        <f t="shared" ref="OZI29" si="5409">OZG29*$C$29</f>
        <v>3.2534451479603638E+73</v>
      </c>
      <c r="OZK29" s="160">
        <f t="shared" ref="OZK29" si="5410">OZI29*$C$29</f>
        <v>3.3510485023991751E+73</v>
      </c>
      <c r="OZM29" s="160">
        <f t="shared" ref="OZM29" si="5411">OZK29*$C$29</f>
        <v>3.4515799574711502E+73</v>
      </c>
      <c r="OZO29" s="160">
        <f t="shared" ref="OZO29" si="5412">OZM29*$C$29</f>
        <v>3.555127356195285E+73</v>
      </c>
      <c r="OZQ29" s="160">
        <f t="shared" ref="OZQ29" si="5413">OZO29*$C$29</f>
        <v>3.6617811768811434E+73</v>
      </c>
      <c r="OZS29" s="160">
        <f t="shared" ref="OZS29" si="5414">OZQ29*$C$29</f>
        <v>3.7716346121875779E+73</v>
      </c>
      <c r="OZU29" s="160">
        <f t="shared" ref="OZU29" si="5415">OZS29*$C$29</f>
        <v>3.8847836505532056E+73</v>
      </c>
      <c r="OZW29" s="160">
        <f t="shared" ref="OZW29" si="5416">OZU29*$C$29</f>
        <v>4.0013271600698016E+73</v>
      </c>
      <c r="OZY29" s="160">
        <f t="shared" ref="OZY29" si="5417">OZW29*$C$29</f>
        <v>4.1213669748718959E+73</v>
      </c>
      <c r="PAA29" s="160">
        <f t="shared" ref="PAA29" si="5418">OZY29*$C$29</f>
        <v>4.2450079841180526E+73</v>
      </c>
      <c r="PAC29" s="160">
        <f t="shared" ref="PAC29" si="5419">PAA29*$C$29</f>
        <v>4.3723582236415945E+73</v>
      </c>
      <c r="PAE29" s="160">
        <f t="shared" ref="PAE29" si="5420">PAC29*$C$29</f>
        <v>4.5035289703508427E+73</v>
      </c>
      <c r="PAG29" s="160">
        <f t="shared" ref="PAG29" si="5421">PAE29*$C$29</f>
        <v>4.6386348394613682E+73</v>
      </c>
      <c r="PAI29" s="160">
        <f t="shared" ref="PAI29" si="5422">PAG29*$C$29</f>
        <v>4.7777938846452095E+73</v>
      </c>
      <c r="PAK29" s="160">
        <f t="shared" ref="PAK29" si="5423">PAI29*$C$29</f>
        <v>4.9211277011845661E+73</v>
      </c>
      <c r="PAM29" s="160">
        <f t="shared" ref="PAM29" si="5424">PAK29*$C$29</f>
        <v>5.068761532220103E+73</v>
      </c>
      <c r="PAO29" s="160">
        <f t="shared" ref="PAO29" si="5425">PAM29*$C$29</f>
        <v>5.2208243781867065E+73</v>
      </c>
      <c r="PAQ29" s="160">
        <f t="shared" ref="PAQ29" si="5426">PAO29*$C$29</f>
        <v>5.3774491095323078E+73</v>
      </c>
      <c r="PAS29" s="160">
        <f t="shared" ref="PAS29" si="5427">PAQ29*$C$29</f>
        <v>5.5387725828182772E+73</v>
      </c>
      <c r="PAU29" s="160">
        <f t="shared" ref="PAU29" si="5428">PAS29*$C$29</f>
        <v>5.7049357603028255E+73</v>
      </c>
      <c r="PAW29" s="160">
        <f t="shared" ref="PAW29" si="5429">PAU29*$C$29</f>
        <v>5.876083833111911E+73</v>
      </c>
      <c r="PAY29" s="160">
        <f t="shared" ref="PAY29" si="5430">PAW29*$C$29</f>
        <v>6.052366348105269E+73</v>
      </c>
      <c r="PBA29" s="160">
        <f t="shared" ref="PBA29" si="5431">PAY29*$C$29</f>
        <v>6.2339373385484278E+73</v>
      </c>
      <c r="PBC29" s="160">
        <f t="shared" ref="PBC29" si="5432">PBA29*$C$29</f>
        <v>6.4209554587048806E+73</v>
      </c>
      <c r="PBE29" s="160">
        <f t="shared" ref="PBE29" si="5433">PBC29*$C$29</f>
        <v>6.6135841224660275E+73</v>
      </c>
      <c r="PBG29" s="160">
        <f t="shared" ref="PBG29" si="5434">PBE29*$C$29</f>
        <v>6.8119916461400087E+73</v>
      </c>
      <c r="PBI29" s="160">
        <f t="shared" ref="PBI29" si="5435">PBG29*$C$29</f>
        <v>7.0163513955242086E+73</v>
      </c>
      <c r="PBK29" s="160">
        <f t="shared" ref="PBK29" si="5436">PBI29*$C$29</f>
        <v>7.2268419373899353E+73</v>
      </c>
      <c r="PBM29" s="160">
        <f t="shared" ref="PBM29" si="5437">PBK29*$C$29</f>
        <v>7.443647195511633E+73</v>
      </c>
      <c r="PBO29" s="160">
        <f t="shared" ref="PBO29" si="5438">PBM29*$C$29</f>
        <v>7.6669566113769817E+73</v>
      </c>
      <c r="PBQ29" s="160">
        <f t="shared" ref="PBQ29" si="5439">PBO29*$C$29</f>
        <v>7.8969653097182909E+73</v>
      </c>
      <c r="PBS29" s="160">
        <f t="shared" ref="PBS29" si="5440">PBQ29*$C$29</f>
        <v>8.1338742690098398E+73</v>
      </c>
      <c r="PBU29" s="160">
        <f t="shared" ref="PBU29" si="5441">PBS29*$C$29</f>
        <v>8.3778904970801357E+73</v>
      </c>
      <c r="PBW29" s="160">
        <f t="shared" ref="PBW29" si="5442">PBU29*$C$29</f>
        <v>8.6292272119925397E+73</v>
      </c>
      <c r="PBY29" s="160">
        <f t="shared" ref="PBY29" si="5443">PBW29*$C$29</f>
        <v>8.8881040283523167E+73</v>
      </c>
      <c r="PCA29" s="160">
        <f t="shared" ref="PCA29" si="5444">PBY29*$C$29</f>
        <v>9.1547471492028867E+73</v>
      </c>
      <c r="PCC29" s="160">
        <f t="shared" ref="PCC29" si="5445">PCA29*$C$29</f>
        <v>9.4293895636789734E+73</v>
      </c>
      <c r="PCE29" s="160">
        <f t="shared" ref="PCE29" si="5446">PCC29*$C$29</f>
        <v>9.7122712505893425E+73</v>
      </c>
      <c r="PCG29" s="160">
        <f t="shared" ref="PCG29" si="5447">PCE29*$C$29</f>
        <v>1.0003639388107023E+74</v>
      </c>
      <c r="PCI29" s="160">
        <f t="shared" ref="PCI29" si="5448">PCG29*$C$29</f>
        <v>1.0303748569750234E+74</v>
      </c>
      <c r="PCK29" s="160">
        <f t="shared" ref="PCK29" si="5449">PCI29*$C$29</f>
        <v>1.0612861026842741E+74</v>
      </c>
      <c r="PCM29" s="160">
        <f t="shared" ref="PCM29" si="5450">PCK29*$C$29</f>
        <v>1.0931246857648024E+74</v>
      </c>
      <c r="PCO29" s="160">
        <f t="shared" ref="PCO29" si="5451">PCM29*$C$29</f>
        <v>1.1259184263377465E+74</v>
      </c>
      <c r="PCQ29" s="160">
        <f t="shared" ref="PCQ29" si="5452">PCO29*$C$29</f>
        <v>1.159695979127879E+74</v>
      </c>
      <c r="PCS29" s="160">
        <f t="shared" ref="PCS29" si="5453">PCQ29*$C$29</f>
        <v>1.1944868585017153E+74</v>
      </c>
      <c r="PCU29" s="160">
        <f t="shared" ref="PCU29" si="5454">PCS29*$C$29</f>
        <v>1.2303214642567667E+74</v>
      </c>
      <c r="PCW29" s="160">
        <f t="shared" ref="PCW29" si="5455">PCU29*$C$29</f>
        <v>1.2672311081844698E+74</v>
      </c>
      <c r="PCY29" s="160">
        <f t="shared" ref="PCY29" si="5456">PCW29*$C$29</f>
        <v>1.3052480414300039E+74</v>
      </c>
      <c r="PDA29" s="160">
        <f t="shared" ref="PDA29" si="5457">PCY29*$C$29</f>
        <v>1.344405482672904E+74</v>
      </c>
      <c r="PDC29" s="160">
        <f t="shared" ref="PDC29" si="5458">PDA29*$C$29</f>
        <v>1.3847376471530911E+74</v>
      </c>
      <c r="PDE29" s="160">
        <f t="shared" ref="PDE29" si="5459">PDC29*$C$29</f>
        <v>1.4262797765676838E+74</v>
      </c>
      <c r="PDG29" s="160">
        <f t="shared" ref="PDG29" si="5460">PDE29*$C$29</f>
        <v>1.4690681698647145E+74</v>
      </c>
      <c r="PDI29" s="160">
        <f t="shared" ref="PDI29" si="5461">PDG29*$C$29</f>
        <v>1.513140214960656E+74</v>
      </c>
      <c r="PDK29" s="160">
        <f t="shared" ref="PDK29" si="5462">PDI29*$C$29</f>
        <v>1.5585344214094757E+74</v>
      </c>
      <c r="PDM29" s="160">
        <f t="shared" ref="PDM29" si="5463">PDK29*$C$29</f>
        <v>1.60529045405176E+74</v>
      </c>
      <c r="PDO29" s="160">
        <f t="shared" ref="PDO29" si="5464">PDM29*$C$29</f>
        <v>1.6534491676733128E+74</v>
      </c>
      <c r="PDQ29" s="160">
        <f t="shared" ref="PDQ29" si="5465">PDO29*$C$29</f>
        <v>1.7030526427035122E+74</v>
      </c>
      <c r="PDS29" s="160">
        <f t="shared" ref="PDS29" si="5466">PDQ29*$C$29</f>
        <v>1.7541442219846177E+74</v>
      </c>
      <c r="PDU29" s="160">
        <f t="shared" ref="PDU29" si="5467">PDS29*$C$29</f>
        <v>1.8067685486441563E+74</v>
      </c>
      <c r="PDW29" s="160">
        <f t="shared" ref="PDW29" si="5468">PDU29*$C$29</f>
        <v>1.8609716051034811E+74</v>
      </c>
      <c r="PDY29" s="160">
        <f t="shared" ref="PDY29" si="5469">PDW29*$C$29</f>
        <v>1.9168007532565856E+74</v>
      </c>
      <c r="PEA29" s="160">
        <f t="shared" ref="PEA29" si="5470">PDY29*$C$29</f>
        <v>1.9743047758542833E+74</v>
      </c>
      <c r="PEC29" s="160">
        <f t="shared" ref="PEC29" si="5471">PEA29*$C$29</f>
        <v>2.0335339191299118E+74</v>
      </c>
      <c r="PEE29" s="160">
        <f t="shared" ref="PEE29" si="5472">PEC29*$C$29</f>
        <v>2.0945399367038091E+74</v>
      </c>
      <c r="PEG29" s="160">
        <f t="shared" ref="PEG29" si="5473">PEE29*$C$29</f>
        <v>2.1573761348049234E+74</v>
      </c>
      <c r="PEI29" s="160">
        <f t="shared" ref="PEI29" si="5474">PEG29*$C$29</f>
        <v>2.2220974188490711E+74</v>
      </c>
      <c r="PEK29" s="160">
        <f t="shared" ref="PEK29" si="5475">PEI29*$C$29</f>
        <v>2.2887603414145431E+74</v>
      </c>
      <c r="PEM29" s="160">
        <f t="shared" ref="PEM29" si="5476">PEK29*$C$29</f>
        <v>2.3574231516569795E+74</v>
      </c>
      <c r="PEO29" s="160">
        <f t="shared" ref="PEO29" si="5477">PEM29*$C$29</f>
        <v>2.4281458462066892E+74</v>
      </c>
      <c r="PEQ29" s="160">
        <f t="shared" ref="PEQ29" si="5478">PEO29*$C$29</f>
        <v>2.5009902215928897E+74</v>
      </c>
      <c r="PES29" s="160">
        <f t="shared" ref="PES29" si="5479">PEQ29*$C$29</f>
        <v>2.5760199282406763E+74</v>
      </c>
      <c r="PEU29" s="160">
        <f t="shared" ref="PEU29" si="5480">PES29*$C$29</f>
        <v>2.6533005260878964E+74</v>
      </c>
      <c r="PEW29" s="160">
        <f t="shared" ref="PEW29" si="5481">PEU29*$C$29</f>
        <v>2.7328995418705333E+74</v>
      </c>
      <c r="PEY29" s="160">
        <f t="shared" ref="PEY29" si="5482">PEW29*$C$29</f>
        <v>2.8148865281266496E+74</v>
      </c>
      <c r="PFA29" s="160">
        <f t="shared" ref="PFA29" si="5483">PEY29*$C$29</f>
        <v>2.8993331239704494E+74</v>
      </c>
      <c r="PFC29" s="160">
        <f t="shared" ref="PFC29" si="5484">PFA29*$C$29</f>
        <v>2.9863131176895629E+74</v>
      </c>
      <c r="PFE29" s="160">
        <f t="shared" ref="PFE29" si="5485">PFC29*$C$29</f>
        <v>3.0759025112202497E+74</v>
      </c>
      <c r="PFG29" s="160">
        <f t="shared" ref="PFG29" si="5486">PFE29*$C$29</f>
        <v>3.1681795865568574E+74</v>
      </c>
      <c r="PFI29" s="160">
        <f t="shared" ref="PFI29" si="5487">PFG29*$C$29</f>
        <v>3.2632249741535632E+74</v>
      </c>
      <c r="PFK29" s="160">
        <f t="shared" ref="PFK29" si="5488">PFI29*$C$29</f>
        <v>3.36112172337817E+74</v>
      </c>
      <c r="PFM29" s="160">
        <f t="shared" ref="PFM29" si="5489">PFK29*$C$29</f>
        <v>3.4619553750795151E+74</v>
      </c>
      <c r="PFO29" s="160">
        <f t="shared" ref="PFO29" si="5490">PFM29*$C$29</f>
        <v>3.5658140363319006E+74</v>
      </c>
      <c r="PFQ29" s="160">
        <f t="shared" ref="PFQ29" si="5491">PFO29*$C$29</f>
        <v>3.6727884574218576E+74</v>
      </c>
      <c r="PFS29" s="160">
        <f t="shared" ref="PFS29" si="5492">PFQ29*$C$29</f>
        <v>3.7829721111445136E+74</v>
      </c>
      <c r="PFU29" s="160">
        <f t="shared" ref="PFU29" si="5493">PFS29*$C$29</f>
        <v>3.8964612744788488E+74</v>
      </c>
      <c r="PFW29" s="160">
        <f t="shared" ref="PFW29" si="5494">PFU29*$C$29</f>
        <v>4.0133551127132142E+74</v>
      </c>
      <c r="PFY29" s="160">
        <f t="shared" ref="PFY29" si="5495">PFW29*$C$29</f>
        <v>4.1337557660946106E+74</v>
      </c>
      <c r="PGA29" s="160">
        <f t="shared" ref="PGA29" si="5496">PFY29*$C$29</f>
        <v>4.2577684390774489E+74</v>
      </c>
      <c r="PGC29" s="160">
        <f t="shared" ref="PGC29" si="5497">PGA29*$C$29</f>
        <v>4.3855014922497724E+74</v>
      </c>
      <c r="PGE29" s="160">
        <f t="shared" ref="PGE29" si="5498">PGC29*$C$29</f>
        <v>4.5170665370172658E+74</v>
      </c>
      <c r="PGG29" s="160">
        <f t="shared" ref="PGG29" si="5499">PGE29*$C$29</f>
        <v>4.6525785331277842E+74</v>
      </c>
      <c r="PGI29" s="160">
        <f t="shared" ref="PGI29" si="5500">PGG29*$C$29</f>
        <v>4.7921558891216174E+74</v>
      </c>
      <c r="PGK29" s="160">
        <f t="shared" ref="PGK29" si="5501">PGI29*$C$29</f>
        <v>4.9359205657952658E+74</v>
      </c>
      <c r="PGM29" s="160">
        <f t="shared" ref="PGM29" si="5502">PGK29*$C$29</f>
        <v>5.0839981827691236E+74</v>
      </c>
      <c r="PGO29" s="160">
        <f t="shared" ref="PGO29" si="5503">PGM29*$C$29</f>
        <v>5.2365181282521978E+74</v>
      </c>
      <c r="PGQ29" s="160">
        <f t="shared" ref="PGQ29" si="5504">PGO29*$C$29</f>
        <v>5.3936136720997635E+74</v>
      </c>
      <c r="PGS29" s="160">
        <f t="shared" ref="PGS29" si="5505">PGQ29*$C$29</f>
        <v>5.5554220822627561E+74</v>
      </c>
      <c r="PGU29" s="160">
        <f t="shared" ref="PGU29" si="5506">PGS29*$C$29</f>
        <v>5.722084744730639E+74</v>
      </c>
      <c r="PGW29" s="160">
        <f t="shared" ref="PGW29" si="5507">PGU29*$C$29</f>
        <v>5.8937472870725585E+74</v>
      </c>
      <c r="PGY29" s="160">
        <f t="shared" ref="PGY29" si="5508">PGW29*$C$29</f>
        <v>6.0705597056847353E+74</v>
      </c>
      <c r="PHA29" s="160">
        <f t="shared" ref="PHA29" si="5509">PGY29*$C$29</f>
        <v>6.2526764968552775E+74</v>
      </c>
      <c r="PHC29" s="160">
        <f t="shared" ref="PHC29" si="5510">PHA29*$C$29</f>
        <v>6.4402567917609362E+74</v>
      </c>
      <c r="PHE29" s="160">
        <f t="shared" ref="PHE29" si="5511">PHC29*$C$29</f>
        <v>6.6334644955137643E+74</v>
      </c>
      <c r="PHG29" s="160">
        <f t="shared" ref="PHG29" si="5512">PHE29*$C$29</f>
        <v>6.8324684303791775E+74</v>
      </c>
      <c r="PHI29" s="160">
        <f t="shared" ref="PHI29" si="5513">PHG29*$C$29</f>
        <v>7.0374424832905528E+74</v>
      </c>
      <c r="PHK29" s="160">
        <f t="shared" ref="PHK29" si="5514">PHI29*$C$29</f>
        <v>7.2485657577892698E+74</v>
      </c>
      <c r="PHM29" s="160">
        <f t="shared" ref="PHM29" si="5515">PHK29*$C$29</f>
        <v>7.4660227305229479E+74</v>
      </c>
      <c r="PHO29" s="160">
        <f t="shared" ref="PHO29" si="5516">PHM29*$C$29</f>
        <v>7.6900034124386366E+74</v>
      </c>
      <c r="PHQ29" s="160">
        <f t="shared" ref="PHQ29" si="5517">PHO29*$C$29</f>
        <v>7.9207035148117959E+74</v>
      </c>
      <c r="PHS29" s="160">
        <f t="shared" ref="PHS29" si="5518">PHQ29*$C$29</f>
        <v>8.15832462025615E+74</v>
      </c>
      <c r="PHU29" s="160">
        <f t="shared" ref="PHU29" si="5519">PHS29*$C$29</f>
        <v>8.4030743588638349E+74</v>
      </c>
      <c r="PHW29" s="160">
        <f t="shared" ref="PHW29" si="5520">PHU29*$C$29</f>
        <v>8.6551665896297502E+74</v>
      </c>
      <c r="PHY29" s="160">
        <f t="shared" ref="PHY29" si="5521">PHW29*$C$29</f>
        <v>8.9148215873186433E+74</v>
      </c>
      <c r="PIA29" s="160">
        <f t="shared" ref="PIA29" si="5522">PHY29*$C$29</f>
        <v>9.1822662349382025E+74</v>
      </c>
      <c r="PIC29" s="160">
        <f t="shared" ref="PIC29" si="5523">PIA29*$C$29</f>
        <v>9.4577342219863496E+74</v>
      </c>
      <c r="PIE29" s="160">
        <f t="shared" ref="PIE29" si="5524">PIC29*$C$29</f>
        <v>9.7414662486459403E+74</v>
      </c>
      <c r="PIG29" s="160">
        <f t="shared" ref="PIG29" si="5525">PIE29*$C$29</f>
        <v>1.0033710236105319E+75</v>
      </c>
      <c r="PII29" s="160">
        <f t="shared" ref="PII29" si="5526">PIG29*$C$29</f>
        <v>1.0334721543188478E+75</v>
      </c>
      <c r="PIK29" s="160">
        <f t="shared" ref="PIK29" si="5527">PII29*$C$29</f>
        <v>1.0644763189484132E+75</v>
      </c>
      <c r="PIM29" s="160">
        <f t="shared" ref="PIM29" si="5528">PIK29*$C$29</f>
        <v>1.0964106085168657E+75</v>
      </c>
      <c r="PIO29" s="160">
        <f t="shared" ref="PIO29" si="5529">PIM29*$C$29</f>
        <v>1.1293029267723717E+75</v>
      </c>
      <c r="PIQ29" s="160">
        <f t="shared" ref="PIQ29" si="5530">PIO29*$C$29</f>
        <v>1.163182014575543E+75</v>
      </c>
      <c r="PIS29" s="160">
        <f t="shared" ref="PIS29" si="5531">PIQ29*$C$29</f>
        <v>1.1980774750128093E+75</v>
      </c>
      <c r="PIU29" s="160">
        <f t="shared" ref="PIU29" si="5532">PIS29*$C$29</f>
        <v>1.2340197992631935E+75</v>
      </c>
      <c r="PIW29" s="160">
        <f t="shared" ref="PIW29" si="5533">PIU29*$C$29</f>
        <v>1.2710403932410894E+75</v>
      </c>
      <c r="PIY29" s="160">
        <f t="shared" ref="PIY29" si="5534">PIW29*$C$29</f>
        <v>1.3091716050383222E+75</v>
      </c>
      <c r="PJA29" s="160">
        <f t="shared" ref="PJA29" si="5535">PIY29*$C$29</f>
        <v>1.3484467531894718E+75</v>
      </c>
      <c r="PJC29" s="160">
        <f t="shared" ref="PJC29" si="5536">PJA29*$C$29</f>
        <v>1.3889001557851559E+75</v>
      </c>
      <c r="PJE29" s="160">
        <f t="shared" ref="PJE29" si="5537">PJC29*$C$29</f>
        <v>1.4305671604587106E+75</v>
      </c>
      <c r="PJG29" s="160">
        <f t="shared" ref="PJG29" si="5538">PJE29*$C$29</f>
        <v>1.473484175272472E+75</v>
      </c>
      <c r="PJI29" s="160">
        <f t="shared" ref="PJI29" si="5539">PJG29*$C$29</f>
        <v>1.5176887005306461E+75</v>
      </c>
      <c r="PJK29" s="160">
        <f t="shared" ref="PJK29" si="5540">PJI29*$C$29</f>
        <v>1.5632193615465656E+75</v>
      </c>
      <c r="PJM29" s="160">
        <f t="shared" ref="PJM29" si="5541">PJK29*$C$29</f>
        <v>1.6101159423929626E+75</v>
      </c>
      <c r="PJO29" s="160">
        <f t="shared" ref="PJO29" si="5542">PJM29*$C$29</f>
        <v>1.6584194206647515E+75</v>
      </c>
      <c r="PJQ29" s="160">
        <f t="shared" ref="PJQ29" si="5543">PJO29*$C$29</f>
        <v>1.7081720032846941E+75</v>
      </c>
      <c r="PJS29" s="160">
        <f t="shared" ref="PJS29" si="5544">PJQ29*$C$29</f>
        <v>1.759417163383235E+75</v>
      </c>
      <c r="PJU29" s="160">
        <f t="shared" ref="PJU29" si="5545">PJS29*$C$29</f>
        <v>1.8121996782847319E+75</v>
      </c>
      <c r="PJW29" s="160">
        <f t="shared" ref="PJW29" si="5546">PJU29*$C$29</f>
        <v>1.8665656686332738E+75</v>
      </c>
      <c r="PJY29" s="160">
        <f t="shared" ref="PJY29" si="5547">PJW29*$C$29</f>
        <v>1.9225626386922722E+75</v>
      </c>
      <c r="PKA29" s="160">
        <f t="shared" ref="PKA29" si="5548">PJY29*$C$29</f>
        <v>1.9802395178530406E+75</v>
      </c>
      <c r="PKC29" s="160">
        <f t="shared" ref="PKC29" si="5549">PKA29*$C$29</f>
        <v>2.0396467033886317E+75</v>
      </c>
      <c r="PKE29" s="160">
        <f t="shared" ref="PKE29" si="5550">PKC29*$C$29</f>
        <v>2.1008361044902907E+75</v>
      </c>
      <c r="PKG29" s="160">
        <f t="shared" ref="PKG29" si="5551">PKE29*$C$29</f>
        <v>2.1638611876249997E+75</v>
      </c>
      <c r="PKI29" s="160">
        <f t="shared" ref="PKI29" si="5552">PKG29*$C$29</f>
        <v>2.2287770232537499E+75</v>
      </c>
      <c r="PKK29" s="160">
        <f t="shared" ref="PKK29" si="5553">PKI29*$C$29</f>
        <v>2.2956403339513625E+75</v>
      </c>
      <c r="PKM29" s="160">
        <f t="shared" ref="PKM29" si="5554">PKK29*$C$29</f>
        <v>2.3645095439699034E+75</v>
      </c>
      <c r="PKO29" s="160">
        <f t="shared" ref="PKO29" si="5555">PKM29*$C$29</f>
        <v>2.4354448302890004E+75</v>
      </c>
      <c r="PKQ29" s="160">
        <f t="shared" ref="PKQ29" si="5556">PKO29*$C$29</f>
        <v>2.5085081751976706E+75</v>
      </c>
      <c r="PKS29" s="160">
        <f t="shared" ref="PKS29" si="5557">PKQ29*$C$29</f>
        <v>2.5837634204536006E+75</v>
      </c>
      <c r="PKU29" s="160">
        <f t="shared" ref="PKU29" si="5558">PKS29*$C$29</f>
        <v>2.6612763230672086E+75</v>
      </c>
      <c r="PKW29" s="160">
        <f t="shared" ref="PKW29" si="5559">PKU29*$C$29</f>
        <v>2.7411146127592251E+75</v>
      </c>
      <c r="PKY29" s="160">
        <f t="shared" ref="PKY29" si="5560">PKW29*$C$29</f>
        <v>2.8233480511420018E+75</v>
      </c>
      <c r="PLA29" s="160">
        <f t="shared" ref="PLA29" si="5561">PKY29*$C$29</f>
        <v>2.9080484926762619E+75</v>
      </c>
      <c r="PLC29" s="160">
        <f t="shared" ref="PLC29" si="5562">PLA29*$C$29</f>
        <v>2.9952899474565501E+75</v>
      </c>
      <c r="PLE29" s="160">
        <f t="shared" ref="PLE29" si="5563">PLC29*$C$29</f>
        <v>3.0851486458802465E+75</v>
      </c>
      <c r="PLG29" s="160">
        <f t="shared" ref="PLG29" si="5564">PLE29*$C$29</f>
        <v>3.1777031052566541E+75</v>
      </c>
      <c r="PLI29" s="160">
        <f t="shared" ref="PLI29" si="5565">PLG29*$C$29</f>
        <v>3.2730341984143539E+75</v>
      </c>
      <c r="PLK29" s="160">
        <f t="shared" ref="PLK29" si="5566">PLI29*$C$29</f>
        <v>3.3712252243667845E+75</v>
      </c>
      <c r="PLM29" s="160">
        <f t="shared" ref="PLM29" si="5567">PLK29*$C$29</f>
        <v>3.4723619810977879E+75</v>
      </c>
      <c r="PLO29" s="160">
        <f t="shared" ref="PLO29" si="5568">PLM29*$C$29</f>
        <v>3.5765328405307217E+75</v>
      </c>
      <c r="PLQ29" s="160">
        <f t="shared" ref="PLQ29" si="5569">PLO29*$C$29</f>
        <v>3.6838288257466432E+75</v>
      </c>
      <c r="PLS29" s="160">
        <f t="shared" ref="PLS29" si="5570">PLQ29*$C$29</f>
        <v>3.7943436905190426E+75</v>
      </c>
      <c r="PLU29" s="160">
        <f t="shared" ref="PLU29" si="5571">PLS29*$C$29</f>
        <v>3.9081740012346138E+75</v>
      </c>
      <c r="PLW29" s="160">
        <f t="shared" ref="PLW29" si="5572">PLU29*$C$29</f>
        <v>4.025419221271652E+75</v>
      </c>
      <c r="PLY29" s="160">
        <f t="shared" ref="PLY29" si="5573">PLW29*$C$29</f>
        <v>4.1461817979098013E+75</v>
      </c>
      <c r="PMA29" s="160">
        <f t="shared" ref="PMA29" si="5574">PLY29*$C$29</f>
        <v>4.2705672518470954E+75</v>
      </c>
      <c r="PMC29" s="160">
        <f t="shared" ref="PMC29" si="5575">PMA29*$C$29</f>
        <v>4.3986842694025086E+75</v>
      </c>
      <c r="PME29" s="160">
        <f t="shared" ref="PME29" si="5576">PMC29*$C$29</f>
        <v>4.5306447974845841E+75</v>
      </c>
      <c r="PMG29" s="160">
        <f t="shared" ref="PMG29" si="5577">PME29*$C$29</f>
        <v>4.6665641414091216E+75</v>
      </c>
      <c r="PMI29" s="160">
        <f t="shared" ref="PMI29" si="5578">PMG29*$C$29</f>
        <v>4.8065610656513956E+75</v>
      </c>
      <c r="PMK29" s="160">
        <f t="shared" ref="PMK29" si="5579">PMI29*$C$29</f>
        <v>4.9507578976209375E+75</v>
      </c>
      <c r="PMM29" s="160">
        <f t="shared" ref="PMM29" si="5580">PMK29*$C$29</f>
        <v>5.0992806345495658E+75</v>
      </c>
      <c r="PMO29" s="160">
        <f t="shared" ref="PMO29" si="5581">PMM29*$C$29</f>
        <v>5.2522590535860532E+75</v>
      </c>
      <c r="PMQ29" s="160">
        <f t="shared" ref="PMQ29" si="5582">PMO29*$C$29</f>
        <v>5.4098268251936347E+75</v>
      </c>
      <c r="PMS29" s="160">
        <f t="shared" ref="PMS29" si="5583">PMQ29*$C$29</f>
        <v>5.5721216299494437E+75</v>
      </c>
      <c r="PMU29" s="160">
        <f t="shared" ref="PMU29" si="5584">PMS29*$C$29</f>
        <v>5.7392852788479274E+75</v>
      </c>
      <c r="PMW29" s="160">
        <f t="shared" ref="PMW29" si="5585">PMU29*$C$29</f>
        <v>5.9114638372133651E+75</v>
      </c>
      <c r="PMY29" s="160">
        <f t="shared" ref="PMY29" si="5586">PMW29*$C$29</f>
        <v>6.0888077523297664E+75</v>
      </c>
      <c r="PNA29" s="160">
        <f t="shared" ref="PNA29" si="5587">PMY29*$C$29</f>
        <v>6.2714719848996594E+75</v>
      </c>
      <c r="PNC29" s="160">
        <f t="shared" ref="PNC29" si="5588">PNA29*$C$29</f>
        <v>6.4596161444466498E+75</v>
      </c>
      <c r="PNE29" s="160">
        <f t="shared" ref="PNE29" si="5589">PNC29*$C$29</f>
        <v>6.6534046287800493E+75</v>
      </c>
      <c r="PNG29" s="160">
        <f t="shared" ref="PNG29" si="5590">PNE29*$C$29</f>
        <v>6.853006767643451E+75</v>
      </c>
      <c r="PNI29" s="160">
        <f t="shared" ref="PNI29" si="5591">PNG29*$C$29</f>
        <v>7.0585969706727546E+75</v>
      </c>
      <c r="PNK29" s="160">
        <f t="shared" ref="PNK29" si="5592">PNI29*$C$29</f>
        <v>7.2703548797929368E+75</v>
      </c>
      <c r="PNM29" s="160">
        <f t="shared" ref="PNM29" si="5593">PNK29*$C$29</f>
        <v>7.4884655261867245E+75</v>
      </c>
      <c r="PNO29" s="160">
        <f t="shared" ref="PNO29" si="5594">PNM29*$C$29</f>
        <v>7.7131194919723272E+75</v>
      </c>
      <c r="PNQ29" s="160">
        <f t="shared" ref="PNQ29" si="5595">PNO29*$C$29</f>
        <v>7.9445130767314969E+75</v>
      </c>
      <c r="PNS29" s="160">
        <f t="shared" ref="PNS29" si="5596">PNQ29*$C$29</f>
        <v>8.1828484690334415E+75</v>
      </c>
      <c r="PNU29" s="160">
        <f t="shared" ref="PNU29" si="5597">PNS29*$C$29</f>
        <v>8.4283339231044443E+75</v>
      </c>
      <c r="PNW29" s="160">
        <f t="shared" ref="PNW29" si="5598">PNU29*$C$29</f>
        <v>8.6811839407975778E+75</v>
      </c>
      <c r="PNY29" s="160">
        <f t="shared" ref="PNY29" si="5599">PNW29*$C$29</f>
        <v>8.9416194590215062E+75</v>
      </c>
      <c r="POA29" s="160">
        <f t="shared" ref="POA29" si="5600">PNY29*$C$29</f>
        <v>9.2098680427921515E+75</v>
      </c>
      <c r="POC29" s="160">
        <f t="shared" ref="POC29" si="5601">POA29*$C$29</f>
        <v>9.4861640840759161E+75</v>
      </c>
      <c r="POE29" s="160">
        <f t="shared" ref="POE29" si="5602">POC29*$C$29</f>
        <v>9.7707490065981933E+75</v>
      </c>
      <c r="POG29" s="160">
        <f t="shared" ref="POG29" si="5603">POE29*$C$29</f>
        <v>1.006387147679614E+76</v>
      </c>
      <c r="POI29" s="160">
        <f t="shared" ref="POI29" si="5604">POG29*$C$29</f>
        <v>1.0365787621100024E+76</v>
      </c>
      <c r="POK29" s="160">
        <f t="shared" ref="POK29" si="5605">POI29*$C$29</f>
        <v>1.0676761249733025E+76</v>
      </c>
      <c r="POM29" s="160">
        <f t="shared" ref="POM29" si="5606">POK29*$C$29</f>
        <v>1.0997064087225015E+76</v>
      </c>
      <c r="POO29" s="160">
        <f t="shared" ref="POO29" si="5607">POM29*$C$29</f>
        <v>1.1326976009841765E+76</v>
      </c>
      <c r="POQ29" s="160">
        <f t="shared" ref="POQ29" si="5608">POO29*$C$29</f>
        <v>1.1666785290137019E+76</v>
      </c>
      <c r="POS29" s="160">
        <f t="shared" ref="POS29" si="5609">POQ29*$C$29</f>
        <v>1.2016788848841129E+76</v>
      </c>
      <c r="POU29" s="160">
        <f t="shared" ref="POU29" si="5610">POS29*$C$29</f>
        <v>1.2377292514306363E+76</v>
      </c>
      <c r="POW29" s="160">
        <f t="shared" ref="POW29" si="5611">POU29*$C$29</f>
        <v>1.2748611289735555E+76</v>
      </c>
      <c r="POY29" s="160">
        <f t="shared" ref="POY29" si="5612">POW29*$C$29</f>
        <v>1.3131069628427621E+76</v>
      </c>
      <c r="PPA29" s="160">
        <f t="shared" ref="PPA29" si="5613">POY29*$C$29</f>
        <v>1.352500171728045E+76</v>
      </c>
      <c r="PPC29" s="160">
        <f t="shared" ref="PPC29" si="5614">PPA29*$C$29</f>
        <v>1.3930751768798863E+76</v>
      </c>
      <c r="PPE29" s="160">
        <f t="shared" ref="PPE29" si="5615">PPC29*$C$29</f>
        <v>1.434867432186283E+76</v>
      </c>
      <c r="PPG29" s="160">
        <f t="shared" ref="PPG29" si="5616">PPE29*$C$29</f>
        <v>1.4779134551518716E+76</v>
      </c>
      <c r="PPI29" s="160">
        <f t="shared" ref="PPI29" si="5617">PPG29*$C$29</f>
        <v>1.5222508588064278E+76</v>
      </c>
      <c r="PPK29" s="160">
        <f t="shared" ref="PPK29" si="5618">PPI29*$C$29</f>
        <v>1.5679183845706208E+76</v>
      </c>
      <c r="PPM29" s="160">
        <f t="shared" ref="PPM29" si="5619">PPK29*$C$29</f>
        <v>1.6149559361077394E+76</v>
      </c>
      <c r="PPO29" s="160">
        <f t="shared" ref="PPO29" si="5620">PPM29*$C$29</f>
        <v>1.6634046141909715E+76</v>
      </c>
      <c r="PPQ29" s="160">
        <f t="shared" ref="PPQ29" si="5621">PPO29*$C$29</f>
        <v>1.7133067526167007E+76</v>
      </c>
      <c r="PPS29" s="160">
        <f t="shared" ref="PPS29" si="5622">PPQ29*$C$29</f>
        <v>1.7647059551952018E+76</v>
      </c>
      <c r="PPU29" s="160">
        <f t="shared" ref="PPU29" si="5623">PPS29*$C$29</f>
        <v>1.8176471338510578E+76</v>
      </c>
      <c r="PPW29" s="160">
        <f t="shared" ref="PPW29" si="5624">PPU29*$C$29</f>
        <v>1.8721765478665896E+76</v>
      </c>
      <c r="PPY29" s="160">
        <f t="shared" ref="PPY29" si="5625">PPW29*$C$29</f>
        <v>1.9283418443025873E+76</v>
      </c>
      <c r="PQA29" s="160">
        <f t="shared" ref="PQA29" si="5626">PPY29*$C$29</f>
        <v>1.986192099631665E+76</v>
      </c>
      <c r="PQC29" s="160">
        <f t="shared" ref="PQC29" si="5627">PQA29*$C$29</f>
        <v>2.0457778626206148E+76</v>
      </c>
      <c r="PQE29" s="160">
        <f t="shared" ref="PQE29" si="5628">PQC29*$C$29</f>
        <v>2.1071511984992333E+76</v>
      </c>
      <c r="PQG29" s="160">
        <f t="shared" ref="PQG29" si="5629">PQE29*$C$29</f>
        <v>2.1703657344542102E+76</v>
      </c>
      <c r="PQI29" s="160">
        <f t="shared" ref="PQI29" si="5630">PQG29*$C$29</f>
        <v>2.2354767064878365E+76</v>
      </c>
      <c r="PQK29" s="160">
        <f t="shared" ref="PQK29" si="5631">PQI29*$C$29</f>
        <v>2.3025410076824717E+76</v>
      </c>
      <c r="PQM29" s="160">
        <f t="shared" ref="PQM29" si="5632">PQK29*$C$29</f>
        <v>2.3716172379129458E+76</v>
      </c>
      <c r="PQO29" s="160">
        <f t="shared" ref="PQO29" si="5633">PQM29*$C$29</f>
        <v>2.4427657550503343E+76</v>
      </c>
      <c r="PQQ29" s="160">
        <f t="shared" ref="PQQ29" si="5634">PQO29*$C$29</f>
        <v>2.5160487277018445E+76</v>
      </c>
      <c r="PQS29" s="160">
        <f t="shared" ref="PQS29" si="5635">PQQ29*$C$29</f>
        <v>2.5915301895328999E+76</v>
      </c>
      <c r="PQU29" s="160">
        <f t="shared" ref="PQU29" si="5636">PQS29*$C$29</f>
        <v>2.6692760952188868E+76</v>
      </c>
      <c r="PQW29" s="160">
        <f t="shared" ref="PQW29" si="5637">PQU29*$C$29</f>
        <v>2.7493543780754534E+76</v>
      </c>
      <c r="PQY29" s="160">
        <f t="shared" ref="PQY29" si="5638">PQW29*$C$29</f>
        <v>2.8318350094177172E+76</v>
      </c>
      <c r="PRA29" s="160">
        <f t="shared" ref="PRA29" si="5639">PQY29*$C$29</f>
        <v>2.9167900597002488E+76</v>
      </c>
      <c r="PRC29" s="160">
        <f t="shared" ref="PRC29" si="5640">PRA29*$C$29</f>
        <v>3.0042937614912562E+76</v>
      </c>
      <c r="PRE29" s="160">
        <f t="shared" ref="PRE29" si="5641">PRC29*$C$29</f>
        <v>3.0944225743359941E+76</v>
      </c>
      <c r="PRG29" s="160">
        <f t="shared" ref="PRG29" si="5642">PRE29*$C$29</f>
        <v>3.1872552515660741E+76</v>
      </c>
      <c r="PRI29" s="160">
        <f t="shared" ref="PRI29" si="5643">PRG29*$C$29</f>
        <v>3.2828729091130562E+76</v>
      </c>
      <c r="PRK29" s="160">
        <f t="shared" ref="PRK29" si="5644">PRI29*$C$29</f>
        <v>3.3813590963864482E+76</v>
      </c>
      <c r="PRM29" s="160">
        <f t="shared" ref="PRM29" si="5645">PRK29*$C$29</f>
        <v>3.4827998692780416E+76</v>
      </c>
      <c r="PRO29" s="160">
        <f t="shared" ref="PRO29" si="5646">PRM29*$C$29</f>
        <v>3.5872838653563826E+76</v>
      </c>
      <c r="PRQ29" s="160">
        <f t="shared" ref="PRQ29" si="5647">PRO29*$C$29</f>
        <v>3.6949023813170744E+76</v>
      </c>
      <c r="PRS29" s="160">
        <f t="shared" ref="PRS29" si="5648">PRQ29*$C$29</f>
        <v>3.805749452756587E+76</v>
      </c>
      <c r="PRU29" s="160">
        <f t="shared" ref="PRU29" si="5649">PRS29*$C$29</f>
        <v>3.919921936339285E+76</v>
      </c>
      <c r="PRW29" s="160">
        <f t="shared" ref="PRW29" si="5650">PRU29*$C$29</f>
        <v>4.0375195944294635E+76</v>
      </c>
      <c r="PRY29" s="160">
        <f t="shared" ref="PRY29" si="5651">PRW29*$C$29</f>
        <v>4.1586451822623474E+76</v>
      </c>
      <c r="PSA29" s="160">
        <f t="shared" ref="PSA29" si="5652">PRY29*$C$29</f>
        <v>4.283404537730218E+76</v>
      </c>
      <c r="PSC29" s="160">
        <f t="shared" ref="PSC29" si="5653">PSA29*$C$29</f>
        <v>4.4119066738621248E+76</v>
      </c>
      <c r="PSE29" s="160">
        <f t="shared" ref="PSE29" si="5654">PSC29*$C$29</f>
        <v>4.5442638740779888E+76</v>
      </c>
      <c r="PSG29" s="160">
        <f t="shared" ref="PSG29" si="5655">PSE29*$C$29</f>
        <v>4.6805917903003289E+76</v>
      </c>
      <c r="PSI29" s="160">
        <f t="shared" ref="PSI29" si="5656">PSG29*$C$29</f>
        <v>4.8210095440093389E+76</v>
      </c>
      <c r="PSK29" s="160">
        <f t="shared" ref="PSK29" si="5657">PSI29*$C$29</f>
        <v>4.9656398303296192E+76</v>
      </c>
      <c r="PSM29" s="160">
        <f t="shared" ref="PSM29" si="5658">PSK29*$C$29</f>
        <v>5.114609025239508E+76</v>
      </c>
      <c r="PSO29" s="160">
        <f t="shared" ref="PSO29" si="5659">PSM29*$C$29</f>
        <v>5.2680472959966935E+76</v>
      </c>
      <c r="PSQ29" s="160">
        <f t="shared" ref="PSQ29" si="5660">PSO29*$C$29</f>
        <v>5.4260887148765945E+76</v>
      </c>
      <c r="PSS29" s="160">
        <f t="shared" ref="PSS29" si="5661">PSQ29*$C$29</f>
        <v>5.5888713763228928E+76</v>
      </c>
      <c r="PSU29" s="160">
        <f t="shared" ref="PSU29" si="5662">PSS29*$C$29</f>
        <v>5.7565375176125799E+76</v>
      </c>
      <c r="PSW29" s="160">
        <f t="shared" ref="PSW29" si="5663">PSU29*$C$29</f>
        <v>5.9292336431409576E+76</v>
      </c>
      <c r="PSY29" s="160">
        <f t="shared" ref="PSY29" si="5664">PSW29*$C$29</f>
        <v>6.1071106524351861E+76</v>
      </c>
      <c r="PTA29" s="160">
        <f t="shared" ref="PTA29" si="5665">PSY29*$C$29</f>
        <v>6.2903239720082422E+76</v>
      </c>
      <c r="PTC29" s="160">
        <f t="shared" ref="PTC29" si="5666">PTA29*$C$29</f>
        <v>6.4790336911684895E+76</v>
      </c>
      <c r="PTE29" s="160">
        <f t="shared" ref="PTE29" si="5667">PTC29*$C$29</f>
        <v>6.6734047019035446E+76</v>
      </c>
      <c r="PTG29" s="160">
        <f t="shared" ref="PTG29" si="5668">PTE29*$C$29</f>
        <v>6.8736068429606515E+76</v>
      </c>
      <c r="PTI29" s="160">
        <f t="shared" ref="PTI29" si="5669">PTG29*$C$29</f>
        <v>7.0798150482494707E+76</v>
      </c>
      <c r="PTK29" s="160">
        <f t="shared" ref="PTK29" si="5670">PTI29*$C$29</f>
        <v>7.2922094996969551E+76</v>
      </c>
      <c r="PTM29" s="160">
        <f t="shared" ref="PTM29" si="5671">PTK29*$C$29</f>
        <v>7.5109757846878642E+76</v>
      </c>
      <c r="PTO29" s="160">
        <f t="shared" ref="PTO29" si="5672">PTM29*$C$29</f>
        <v>7.7363050582284998E+76</v>
      </c>
      <c r="PTQ29" s="160">
        <f t="shared" ref="PTQ29" si="5673">PTO29*$C$29</f>
        <v>7.9683942099753549E+76</v>
      </c>
      <c r="PTS29" s="160">
        <f t="shared" ref="PTS29" si="5674">PTQ29*$C$29</f>
        <v>8.2074460362746164E+76</v>
      </c>
      <c r="PTU29" s="160">
        <f t="shared" ref="PTU29" si="5675">PTS29*$C$29</f>
        <v>8.4536694173628552E+76</v>
      </c>
      <c r="PTW29" s="160">
        <f t="shared" ref="PTW29" si="5676">PTU29*$C$29</f>
        <v>8.7072794998837408E+76</v>
      </c>
      <c r="PTY29" s="160">
        <f t="shared" ref="PTY29" si="5677">PTW29*$C$29</f>
        <v>8.9684978848802534E+76</v>
      </c>
      <c r="PUA29" s="160">
        <f t="shared" ref="PUA29" si="5678">PTY29*$C$29</f>
        <v>9.2375528214266613E+76</v>
      </c>
      <c r="PUC29" s="160">
        <f t="shared" ref="PUC29" si="5679">PUA29*$C$29</f>
        <v>9.5146794060694614E+76</v>
      </c>
      <c r="PUE29" s="160">
        <f t="shared" ref="PUE29" si="5680">PUC29*$C$29</f>
        <v>9.8001197882515454E+76</v>
      </c>
      <c r="PUG29" s="160">
        <f t="shared" ref="PUG29" si="5681">PUE29*$C$29</f>
        <v>1.0094123381899092E+77</v>
      </c>
      <c r="PUI29" s="160">
        <f t="shared" ref="PUI29" si="5682">PUG29*$C$29</f>
        <v>1.0396947083356065E+77</v>
      </c>
      <c r="PUK29" s="160">
        <f t="shared" ref="PUK29" si="5683">PUI29*$C$29</f>
        <v>1.0708855495856748E+77</v>
      </c>
      <c r="PUM29" s="160">
        <f t="shared" ref="PUM29" si="5684">PUK29*$C$29</f>
        <v>1.103012116073245E+77</v>
      </c>
      <c r="PUO29" s="160">
        <f t="shared" ref="PUO29" si="5685">PUM29*$C$29</f>
        <v>1.1361024795554424E+77</v>
      </c>
      <c r="PUQ29" s="160">
        <f t="shared" ref="PUQ29" si="5686">PUO29*$C$29</f>
        <v>1.1701855539421056E+77</v>
      </c>
      <c r="PUS29" s="160">
        <f t="shared" ref="PUS29" si="5687">PUQ29*$C$29</f>
        <v>1.2052911205603688E+77</v>
      </c>
      <c r="PUU29" s="160">
        <f t="shared" ref="PUU29" si="5688">PUS29*$C$29</f>
        <v>1.2414498541771799E+77</v>
      </c>
      <c r="PUW29" s="160">
        <f t="shared" ref="PUW29" si="5689">PUU29*$C$29</f>
        <v>1.2786933498024953E+77</v>
      </c>
      <c r="PUY29" s="160">
        <f t="shared" ref="PUY29" si="5690">PUW29*$C$29</f>
        <v>1.3170541502965702E+77</v>
      </c>
      <c r="PVA29" s="160">
        <f t="shared" ref="PVA29" si="5691">PUY29*$C$29</f>
        <v>1.3565657748054673E+77</v>
      </c>
      <c r="PVC29" s="160">
        <f t="shared" ref="PVC29" si="5692">PVA29*$C$29</f>
        <v>1.3972627480496314E+77</v>
      </c>
      <c r="PVE29" s="160">
        <f t="shared" ref="PVE29" si="5693">PVC29*$C$29</f>
        <v>1.4391806304911203E+77</v>
      </c>
      <c r="PVG29" s="160">
        <f t="shared" ref="PVG29" si="5694">PVE29*$C$29</f>
        <v>1.4823560494058538E+77</v>
      </c>
      <c r="PVI29" s="160">
        <f t="shared" ref="PVI29" si="5695">PVG29*$C$29</f>
        <v>1.5268267308880294E+77</v>
      </c>
      <c r="PVK29" s="160">
        <f t="shared" ref="PVK29" si="5696">PVI29*$C$29</f>
        <v>1.5726315328146703E+77</v>
      </c>
      <c r="PVM29" s="160">
        <f t="shared" ref="PVM29" si="5697">PVK29*$C$29</f>
        <v>1.6198104787991104E+77</v>
      </c>
      <c r="PVO29" s="160">
        <f t="shared" ref="PVO29" si="5698">PVM29*$C$29</f>
        <v>1.6684047931630838E+77</v>
      </c>
      <c r="PVQ29" s="160">
        <f t="shared" ref="PVQ29" si="5699">PVO29*$C$29</f>
        <v>1.7184569369579763E+77</v>
      </c>
      <c r="PVS29" s="160">
        <f t="shared" ref="PVS29" si="5700">PVQ29*$C$29</f>
        <v>1.7700106450667156E+77</v>
      </c>
      <c r="PVU29" s="160">
        <f t="shared" ref="PVU29" si="5701">PVS29*$C$29</f>
        <v>1.8231109644187171E+77</v>
      </c>
      <c r="PVW29" s="160">
        <f t="shared" ref="PVW29" si="5702">PVU29*$C$29</f>
        <v>1.8778042933512788E+77</v>
      </c>
      <c r="PVY29" s="160">
        <f t="shared" ref="PVY29" si="5703">PVW29*$C$29</f>
        <v>1.9341384221518171E+77</v>
      </c>
      <c r="PWA29" s="160">
        <f t="shared" ref="PWA29" si="5704">PVY29*$C$29</f>
        <v>1.9921625748163716E+77</v>
      </c>
      <c r="PWC29" s="160">
        <f t="shared" ref="PWC29" si="5705">PWA29*$C$29</f>
        <v>2.0519274520608629E+77</v>
      </c>
      <c r="PWE29" s="160">
        <f t="shared" ref="PWE29" si="5706">PWC29*$C$29</f>
        <v>2.1134852756226888E+77</v>
      </c>
      <c r="PWG29" s="160">
        <f t="shared" ref="PWG29" si="5707">PWE29*$C$29</f>
        <v>2.1768898338913695E+77</v>
      </c>
      <c r="PWI29" s="160">
        <f t="shared" ref="PWI29" si="5708">PWG29*$C$29</f>
        <v>2.2421965289081106E+77</v>
      </c>
      <c r="PWK29" s="160">
        <f t="shared" ref="PWK29" si="5709">PWI29*$C$29</f>
        <v>2.309462424775354E+77</v>
      </c>
      <c r="PWM29" s="160">
        <f t="shared" ref="PWM29" si="5710">PWK29*$C$29</f>
        <v>2.3787462975186148E+77</v>
      </c>
      <c r="PWO29" s="160">
        <f t="shared" ref="PWO29" si="5711">PWM29*$C$29</f>
        <v>2.4501086864441733E+77</v>
      </c>
      <c r="PWQ29" s="160">
        <f t="shared" ref="PWQ29" si="5712">PWO29*$C$29</f>
        <v>2.5236119470374983E+77</v>
      </c>
      <c r="PWS29" s="160">
        <f t="shared" ref="PWS29" si="5713">PWQ29*$C$29</f>
        <v>2.5993203054486233E+77</v>
      </c>
      <c r="PWU29" s="160">
        <f t="shared" ref="PWU29" si="5714">PWS29*$C$29</f>
        <v>2.6772999146120818E+77</v>
      </c>
      <c r="PWW29" s="160">
        <f t="shared" ref="PWW29" si="5715">PWU29*$C$29</f>
        <v>2.7576189120504445E+77</v>
      </c>
      <c r="PWY29" s="160">
        <f t="shared" ref="PWY29" si="5716">PWW29*$C$29</f>
        <v>2.8403474794119579E+77</v>
      </c>
      <c r="PXA29" s="160">
        <f t="shared" ref="PXA29" si="5717">PWY29*$C$29</f>
        <v>2.9255579037943168E+77</v>
      </c>
      <c r="PXC29" s="160">
        <f t="shared" ref="PXC29" si="5718">PXA29*$C$29</f>
        <v>3.0133246409081461E+77</v>
      </c>
      <c r="PXE29" s="160">
        <f t="shared" ref="PXE29" si="5719">PXC29*$C$29</f>
        <v>3.1037243801353905E+77</v>
      </c>
      <c r="PXG29" s="160">
        <f t="shared" ref="PXG29" si="5720">PXE29*$C$29</f>
        <v>3.1968361115394525E+77</v>
      </c>
      <c r="PXI29" s="160">
        <f t="shared" ref="PXI29" si="5721">PXG29*$C$29</f>
        <v>3.292741194885636E+77</v>
      </c>
      <c r="PXK29" s="160">
        <f t="shared" ref="PXK29" si="5722">PXI29*$C$29</f>
        <v>3.3915234307322053E+77</v>
      </c>
      <c r="PXM29" s="160">
        <f t="shared" ref="PXM29" si="5723">PXK29*$C$29</f>
        <v>3.4932691336541718E+77</v>
      </c>
      <c r="PXO29" s="160">
        <f t="shared" ref="PXO29" si="5724">PXM29*$C$29</f>
        <v>3.5980672076637969E+77</v>
      </c>
      <c r="PXQ29" s="160">
        <f t="shared" ref="PXQ29" si="5725">PXO29*$C$29</f>
        <v>3.7060092238937111E+77</v>
      </c>
      <c r="PXS29" s="160">
        <f t="shared" ref="PXS29" si="5726">PXQ29*$C$29</f>
        <v>3.8171895006105223E+77</v>
      </c>
      <c r="PXU29" s="160">
        <f t="shared" ref="PXU29" si="5727">PXS29*$C$29</f>
        <v>3.9317051856288379E+77</v>
      </c>
      <c r="PXW29" s="160">
        <f t="shared" ref="PXW29" si="5728">PXU29*$C$29</f>
        <v>4.0496563411977033E+77</v>
      </c>
      <c r="PXY29" s="160">
        <f t="shared" ref="PXY29" si="5729">PXW29*$C$29</f>
        <v>4.1711460314336343E+77</v>
      </c>
      <c r="PYA29" s="160">
        <f t="shared" ref="PYA29" si="5730">PXY29*$C$29</f>
        <v>4.2962804123766433E+77</v>
      </c>
      <c r="PYC29" s="160">
        <f t="shared" ref="PYC29" si="5731">PYA29*$C$29</f>
        <v>4.4251688247479426E+77</v>
      </c>
      <c r="PYE29" s="160">
        <f t="shared" ref="PYE29" si="5732">PYC29*$C$29</f>
        <v>4.5579238894903809E+77</v>
      </c>
      <c r="PYG29" s="160">
        <f t="shared" ref="PYG29" si="5733">PYE29*$C$29</f>
        <v>4.6946616061750921E+77</v>
      </c>
      <c r="PYI29" s="160">
        <f t="shared" ref="PYI29" si="5734">PYG29*$C$29</f>
        <v>4.8355014543603452E+77</v>
      </c>
      <c r="PYK29" s="160">
        <f t="shared" ref="PYK29" si="5735">PYI29*$C$29</f>
        <v>4.9805664979911554E+77</v>
      </c>
      <c r="PYM29" s="160">
        <f t="shared" ref="PYM29" si="5736">PYK29*$C$29</f>
        <v>5.1299834929308907E+77</v>
      </c>
      <c r="PYO29" s="160">
        <f t="shared" ref="PYO29" si="5737">PYM29*$C$29</f>
        <v>5.2838829977188178E+77</v>
      </c>
      <c r="PYQ29" s="160">
        <f t="shared" ref="PYQ29" si="5738">PYO29*$C$29</f>
        <v>5.4423994876503826E+77</v>
      </c>
      <c r="PYS29" s="160">
        <f t="shared" ref="PYS29" si="5739">PYQ29*$C$29</f>
        <v>5.6056714722798941E+77</v>
      </c>
      <c r="PYU29" s="160">
        <f t="shared" ref="PYU29" si="5740">PYS29*$C$29</f>
        <v>5.7738416164482911E+77</v>
      </c>
      <c r="PYW29" s="160">
        <f t="shared" ref="PYW29" si="5741">PYU29*$C$29</f>
        <v>5.9470568649417402E+77</v>
      </c>
      <c r="PYY29" s="160">
        <f t="shared" ref="PYY29" si="5742">PYW29*$C$29</f>
        <v>6.1254685708899922E+77</v>
      </c>
      <c r="PZA29" s="160">
        <f t="shared" ref="PZA29" si="5743">PYY29*$C$29</f>
        <v>6.3092326280166924E+77</v>
      </c>
      <c r="PZC29" s="160">
        <f t="shared" ref="PZC29" si="5744">PZA29*$C$29</f>
        <v>6.4985096068571938E+77</v>
      </c>
      <c r="PZE29" s="160">
        <f t="shared" ref="PZE29" si="5745">PZC29*$C$29</f>
        <v>6.6934648950629099E+77</v>
      </c>
      <c r="PZG29" s="160">
        <f t="shared" ref="PZG29" si="5746">PZE29*$C$29</f>
        <v>6.8942688419147973E+77</v>
      </c>
      <c r="PZI29" s="160">
        <f t="shared" ref="PZI29" si="5747">PZG29*$C$29</f>
        <v>7.1010969071722409E+77</v>
      </c>
      <c r="PZK29" s="160">
        <f t="shared" ref="PZK29" si="5748">PZI29*$C$29</f>
        <v>7.3141298143874083E+77</v>
      </c>
      <c r="PZM29" s="160">
        <f t="shared" ref="PZM29" si="5749">PZK29*$C$29</f>
        <v>7.5335537088190306E+77</v>
      </c>
      <c r="PZO29" s="160">
        <f t="shared" ref="PZO29" si="5750">PZM29*$C$29</f>
        <v>7.7595603200836016E+77</v>
      </c>
      <c r="PZQ29" s="160">
        <f t="shared" ref="PZQ29" si="5751">PZO29*$C$29</f>
        <v>7.9923471296861096E+77</v>
      </c>
      <c r="PZS29" s="160">
        <f t="shared" ref="PZS29" si="5752">PZQ29*$C$29</f>
        <v>8.2321175435766934E+77</v>
      </c>
      <c r="PZU29" s="160">
        <f t="shared" ref="PZU29" si="5753">PZS29*$C$29</f>
        <v>8.479081069883994E+77</v>
      </c>
      <c r="PZW29" s="160">
        <f t="shared" ref="PZW29" si="5754">PZU29*$C$29</f>
        <v>8.7334535019805142E+77</v>
      </c>
      <c r="PZY29" s="160">
        <f t="shared" ref="PZY29" si="5755">PZW29*$C$29</f>
        <v>8.9954571070399303E+77</v>
      </c>
      <c r="QAA29" s="160">
        <f t="shared" ref="QAA29" si="5756">PZY29*$C$29</f>
        <v>9.2653208202511287E+77</v>
      </c>
      <c r="QAC29" s="160">
        <f t="shared" ref="QAC29" si="5757">QAA29*$C$29</f>
        <v>9.5432804448586622E+77</v>
      </c>
      <c r="QAE29" s="160">
        <f t="shared" ref="QAE29" si="5758">QAC29*$C$29</f>
        <v>9.829578858204422E+77</v>
      </c>
      <c r="QAG29" s="160">
        <f t="shared" ref="QAG29" si="5759">QAE29*$C$29</f>
        <v>1.0124466223950555E+78</v>
      </c>
      <c r="QAI29" s="160">
        <f t="shared" ref="QAI29" si="5760">QAG29*$C$29</f>
        <v>1.0428200210669073E+78</v>
      </c>
      <c r="QAK29" s="160">
        <f t="shared" ref="QAK29" si="5761">QAI29*$C$29</f>
        <v>1.0741046216989144E+78</v>
      </c>
      <c r="QAM29" s="160">
        <f t="shared" ref="QAM29" si="5762">QAK29*$C$29</f>
        <v>1.106327760349882E+78</v>
      </c>
      <c r="QAO29" s="160">
        <f t="shared" ref="QAO29" si="5763">QAM29*$C$29</f>
        <v>1.1395175931603786E+78</v>
      </c>
      <c r="QAQ29" s="160">
        <f t="shared" ref="QAQ29" si="5764">QAO29*$C$29</f>
        <v>1.1737031209551899E+78</v>
      </c>
      <c r="QAS29" s="160">
        <f t="shared" ref="QAS29" si="5765">QAQ29*$C$29</f>
        <v>1.2089142145838456E+78</v>
      </c>
      <c r="QAU29" s="160">
        <f t="shared" ref="QAU29" si="5766">QAS29*$C$29</f>
        <v>1.245181641021361E+78</v>
      </c>
      <c r="QAW29" s="160">
        <f t="shared" ref="QAW29" si="5767">QAU29*$C$29</f>
        <v>1.2825370902520019E+78</v>
      </c>
      <c r="QAY29" s="160">
        <f t="shared" ref="QAY29" si="5768">QAW29*$C$29</f>
        <v>1.3210132029595621E+78</v>
      </c>
      <c r="QBA29" s="160">
        <f t="shared" ref="QBA29" si="5769">QAY29*$C$29</f>
        <v>1.3606435990483491E+78</v>
      </c>
      <c r="QBC29" s="160">
        <f t="shared" ref="QBC29" si="5770">QBA29*$C$29</f>
        <v>1.4014629070197996E+78</v>
      </c>
      <c r="QBE29" s="160">
        <f t="shared" ref="QBE29" si="5771">QBC29*$C$29</f>
        <v>1.4435067942303936E+78</v>
      </c>
      <c r="QBG29" s="160">
        <f t="shared" ref="QBG29" si="5772">QBE29*$C$29</f>
        <v>1.4868119980573053E+78</v>
      </c>
      <c r="QBI29" s="160">
        <f t="shared" ref="QBI29" si="5773">QBG29*$C$29</f>
        <v>1.5314163579990246E+78</v>
      </c>
      <c r="QBK29" s="160">
        <f t="shared" ref="QBK29" si="5774">QBI29*$C$29</f>
        <v>1.5773588487389953E+78</v>
      </c>
      <c r="QBM29" s="160">
        <f t="shared" ref="QBM29" si="5775">QBK29*$C$29</f>
        <v>1.6246796142011651E+78</v>
      </c>
      <c r="QBO29" s="160">
        <f t="shared" ref="QBO29" si="5776">QBM29*$C$29</f>
        <v>1.6734200026272001E+78</v>
      </c>
      <c r="QBQ29" s="160">
        <f t="shared" ref="QBQ29" si="5777">QBO29*$C$29</f>
        <v>1.7236226027060161E+78</v>
      </c>
      <c r="QBS29" s="160">
        <f t="shared" ref="QBS29" si="5778">QBQ29*$C$29</f>
        <v>1.7753312807871967E+78</v>
      </c>
      <c r="QBU29" s="160">
        <f t="shared" ref="QBU29" si="5779">QBS29*$C$29</f>
        <v>1.8285912192108128E+78</v>
      </c>
      <c r="QBW29" s="160">
        <f t="shared" ref="QBW29" si="5780">QBU29*$C$29</f>
        <v>1.8834489557871371E+78</v>
      </c>
      <c r="QBY29" s="160">
        <f t="shared" ref="QBY29" si="5781">QBW29*$C$29</f>
        <v>1.9399524244607512E+78</v>
      </c>
      <c r="QCA29" s="160">
        <f t="shared" ref="QCA29" si="5782">QBY29*$C$29</f>
        <v>1.9981509971945739E+78</v>
      </c>
      <c r="QCC29" s="160">
        <f t="shared" ref="QCC29" si="5783">QCA29*$C$29</f>
        <v>2.0580955271104113E+78</v>
      </c>
      <c r="QCE29" s="160">
        <f t="shared" ref="QCE29" si="5784">QCC29*$C$29</f>
        <v>2.1198383929237236E+78</v>
      </c>
      <c r="QCG29" s="160">
        <f t="shared" ref="QCG29" si="5785">QCE29*$C$29</f>
        <v>2.1834335447114353E+78</v>
      </c>
      <c r="QCI29" s="160">
        <f t="shared" ref="QCI29" si="5786">QCG29*$C$29</f>
        <v>2.2489365510527783E+78</v>
      </c>
      <c r="QCK29" s="160">
        <f t="shared" ref="QCK29" si="5787">QCI29*$C$29</f>
        <v>2.3164046475843619E+78</v>
      </c>
      <c r="QCM29" s="160">
        <f t="shared" ref="QCM29" si="5788">QCK29*$C$29</f>
        <v>2.3858967870118929E+78</v>
      </c>
      <c r="QCO29" s="160">
        <f t="shared" ref="QCO29" si="5789">QCM29*$C$29</f>
        <v>2.4574736906222498E+78</v>
      </c>
      <c r="QCQ29" s="160">
        <f t="shared" ref="QCQ29" si="5790">QCO29*$C$29</f>
        <v>2.5311979013409172E+78</v>
      </c>
      <c r="QCS29" s="160">
        <f t="shared" ref="QCS29" si="5791">QCQ29*$C$29</f>
        <v>2.6071338383811447E+78</v>
      </c>
      <c r="QCU29" s="160">
        <f t="shared" ref="QCU29" si="5792">QCS29*$C$29</f>
        <v>2.685347853532579E+78</v>
      </c>
      <c r="QCW29" s="160">
        <f t="shared" ref="QCW29" si="5793">QCU29*$C$29</f>
        <v>2.7659082891385567E+78</v>
      </c>
      <c r="QCY29" s="160">
        <f t="shared" ref="QCY29" si="5794">QCW29*$C$29</f>
        <v>2.8488855378127136E+78</v>
      </c>
      <c r="QDA29" s="160">
        <f t="shared" ref="QDA29" si="5795">QCY29*$C$29</f>
        <v>2.9343521039470952E+78</v>
      </c>
      <c r="QDC29" s="160">
        <f t="shared" ref="QDC29" si="5796">QDA29*$C$29</f>
        <v>3.0223826670655081E+78</v>
      </c>
      <c r="QDE29" s="160">
        <f t="shared" ref="QDE29" si="5797">QDC29*$C$29</f>
        <v>3.1130541470774734E+78</v>
      </c>
      <c r="QDG29" s="160">
        <f t="shared" ref="QDG29" si="5798">QDE29*$C$29</f>
        <v>3.2064457714897978E+78</v>
      </c>
      <c r="QDI29" s="160">
        <f t="shared" ref="QDI29" si="5799">QDG29*$C$29</f>
        <v>3.3026391446344919E+78</v>
      </c>
      <c r="QDK29" s="160">
        <f t="shared" ref="QDK29" si="5800">QDI29*$C$29</f>
        <v>3.4017183189735266E+78</v>
      </c>
      <c r="QDM29" s="160">
        <f t="shared" ref="QDM29" si="5801">QDK29*$C$29</f>
        <v>3.5037698685427326E+78</v>
      </c>
      <c r="QDO29" s="160">
        <f t="shared" ref="QDO29" si="5802">QDM29*$C$29</f>
        <v>3.6088829645990148E+78</v>
      </c>
      <c r="QDQ29" s="160">
        <f t="shared" ref="QDQ29" si="5803">QDO29*$C$29</f>
        <v>3.7171494535369855E+78</v>
      </c>
      <c r="QDS29" s="160">
        <f t="shared" ref="QDS29" si="5804">QDQ29*$C$29</f>
        <v>3.8286639371430951E+78</v>
      </c>
      <c r="QDU29" s="160">
        <f t="shared" ref="QDU29" si="5805">QDS29*$C$29</f>
        <v>3.9435238552573884E+78</v>
      </c>
      <c r="QDW29" s="160">
        <f t="shared" ref="QDW29" si="5806">QDU29*$C$29</f>
        <v>4.0618295709151101E+78</v>
      </c>
      <c r="QDY29" s="160">
        <f t="shared" ref="QDY29" si="5807">QDW29*$C$29</f>
        <v>4.1836844580425636E+78</v>
      </c>
      <c r="QEA29" s="160">
        <f t="shared" ref="QEA29" si="5808">QDY29*$C$29</f>
        <v>4.3091949917838405E+78</v>
      </c>
      <c r="QEC29" s="160">
        <f t="shared" ref="QEC29" si="5809">QEA29*$C$29</f>
        <v>4.438470841537356E+78</v>
      </c>
      <c r="QEE29" s="160">
        <f t="shared" ref="QEE29" si="5810">QEC29*$C$29</f>
        <v>4.5716249667834765E+78</v>
      </c>
      <c r="QEG29" s="160">
        <f t="shared" ref="QEG29" si="5811">QEE29*$C$29</f>
        <v>4.7087737157869811E+78</v>
      </c>
      <c r="QEI29" s="160">
        <f t="shared" ref="QEI29" si="5812">QEG29*$C$29</f>
        <v>4.8500369272605904E+78</v>
      </c>
      <c r="QEK29" s="160">
        <f t="shared" ref="QEK29" si="5813">QEI29*$C$29</f>
        <v>4.9955380350784079E+78</v>
      </c>
      <c r="QEM29" s="160">
        <f t="shared" ref="QEM29" si="5814">QEK29*$C$29</f>
        <v>5.14540417613076E+78</v>
      </c>
      <c r="QEO29" s="160">
        <f t="shared" ref="QEO29" si="5815">QEM29*$C$29</f>
        <v>5.2997663014146831E+78</v>
      </c>
      <c r="QEQ29" s="160">
        <f t="shared" ref="QEQ29" si="5816">QEO29*$C$29</f>
        <v>5.4587592904571241E+78</v>
      </c>
      <c r="QES29" s="160">
        <f t="shared" ref="QES29" si="5817">QEQ29*$C$29</f>
        <v>5.6225220691708376E+78</v>
      </c>
      <c r="QEU29" s="160">
        <f t="shared" ref="QEU29" si="5818">QES29*$C$29</f>
        <v>5.7911977312459633E+78</v>
      </c>
      <c r="QEW29" s="160">
        <f t="shared" ref="QEW29" si="5819">QEU29*$C$29</f>
        <v>5.9649336631833421E+78</v>
      </c>
      <c r="QEY29" s="160">
        <f t="shared" ref="QEY29" si="5820">QEW29*$C$29</f>
        <v>6.1438816730788423E+78</v>
      </c>
      <c r="QFA29" s="160">
        <f t="shared" ref="QFA29" si="5821">QEY29*$C$29</f>
        <v>6.328198123271208E+78</v>
      </c>
      <c r="QFC29" s="160">
        <f t="shared" ref="QFC29" si="5822">QFA29*$C$29</f>
        <v>6.5180440669693441E+78</v>
      </c>
      <c r="QFE29" s="160">
        <f t="shared" ref="QFE29" si="5823">QFC29*$C$29</f>
        <v>6.7135853889784246E+78</v>
      </c>
      <c r="QFG29" s="160">
        <f t="shared" ref="QFG29" si="5824">QFE29*$C$29</f>
        <v>6.9149929506477773E+78</v>
      </c>
      <c r="QFI29" s="160">
        <f t="shared" ref="QFI29" si="5825">QFG29*$C$29</f>
        <v>7.1224427391672104E+78</v>
      </c>
      <c r="QFK29" s="160">
        <f t="shared" ref="QFK29" si="5826">QFI29*$C$29</f>
        <v>7.3361160213422269E+78</v>
      </c>
      <c r="QFM29" s="160">
        <f t="shared" ref="QFM29" si="5827">QFK29*$C$29</f>
        <v>7.5561995019824934E+78</v>
      </c>
      <c r="QFO29" s="160">
        <f t="shared" ref="QFO29" si="5828">QFM29*$C$29</f>
        <v>7.7828854870419676E+78</v>
      </c>
      <c r="QFQ29" s="160">
        <f t="shared" ref="QFQ29" si="5829">QFO29*$C$29</f>
        <v>8.0163720516532272E+78</v>
      </c>
      <c r="QFS29" s="160">
        <f t="shared" ref="QFS29" si="5830">QFQ29*$C$29</f>
        <v>8.2568632132028235E+78</v>
      </c>
      <c r="QFU29" s="160">
        <f t="shared" ref="QFU29" si="5831">QFS29*$C$29</f>
        <v>8.504569109598909E+78</v>
      </c>
      <c r="QFW29" s="160">
        <f t="shared" ref="QFW29" si="5832">QFU29*$C$29</f>
        <v>8.7597061828868768E+78</v>
      </c>
      <c r="QFY29" s="160">
        <f t="shared" ref="QFY29" si="5833">QFW29*$C$29</f>
        <v>9.0224973683734842E+78</v>
      </c>
      <c r="QGA29" s="160">
        <f t="shared" ref="QGA29" si="5834">QFY29*$C$29</f>
        <v>9.2931722894246896E+78</v>
      </c>
      <c r="QGC29" s="160">
        <f t="shared" ref="QGC29" si="5835">QGA29*$C$29</f>
        <v>9.5719674581074309E+78</v>
      </c>
      <c r="QGE29" s="160">
        <f t="shared" ref="QGE29" si="5836">QGC29*$C$29</f>
        <v>9.8591264818506533E+78</v>
      </c>
      <c r="QGG29" s="160">
        <f t="shared" ref="QGG29" si="5837">QGE29*$C$29</f>
        <v>1.0154900276306174E+79</v>
      </c>
      <c r="QGI29" s="160">
        <f t="shared" ref="QGI29" si="5838">QGG29*$C$29</f>
        <v>1.0459547284595358E+79</v>
      </c>
      <c r="QGK29" s="160">
        <f t="shared" ref="QGK29" si="5839">QGI29*$C$29</f>
        <v>1.0773333703133219E+79</v>
      </c>
      <c r="QGM29" s="160">
        <f t="shared" ref="QGM29" si="5840">QGK29*$C$29</f>
        <v>1.1096533714227215E+79</v>
      </c>
      <c r="QGO29" s="160">
        <f t="shared" ref="QGO29" si="5841">QGM29*$C$29</f>
        <v>1.1429429725654032E+79</v>
      </c>
      <c r="QGQ29" s="160">
        <f t="shared" ref="QGQ29" si="5842">QGO29*$C$29</f>
        <v>1.1772312617423653E+79</v>
      </c>
      <c r="QGS29" s="160">
        <f t="shared" ref="QGS29" si="5843">QGQ29*$C$29</f>
        <v>1.2125481995946364E+79</v>
      </c>
      <c r="QGU29" s="160">
        <f t="shared" ref="QGU29" si="5844">QGS29*$C$29</f>
        <v>1.2489246455824755E+79</v>
      </c>
      <c r="QGW29" s="160">
        <f t="shared" ref="QGW29" si="5845">QGU29*$C$29</f>
        <v>1.2863923849499498E+79</v>
      </c>
      <c r="QGY29" s="160">
        <f t="shared" ref="QGY29" si="5846">QGW29*$C$29</f>
        <v>1.3249841564984483E+79</v>
      </c>
      <c r="QHA29" s="160">
        <f t="shared" ref="QHA29" si="5847">QGY29*$C$29</f>
        <v>1.3647336811934017E+79</v>
      </c>
      <c r="QHC29" s="160">
        <f t="shared" ref="QHC29" si="5848">QHA29*$C$29</f>
        <v>1.4056756916292039E+79</v>
      </c>
      <c r="QHE29" s="160">
        <f t="shared" ref="QHE29" si="5849">QHC29*$C$29</f>
        <v>1.44784596237808E+79</v>
      </c>
      <c r="QHG29" s="160">
        <f t="shared" ref="QHG29" si="5850">QHE29*$C$29</f>
        <v>1.4912813412494225E+79</v>
      </c>
      <c r="QHI29" s="160">
        <f t="shared" ref="QHI29" si="5851">QHG29*$C$29</f>
        <v>1.5360197814869053E+79</v>
      </c>
      <c r="QHK29" s="160">
        <f t="shared" ref="QHK29" si="5852">QHI29*$C$29</f>
        <v>1.5821003749315123E+79</v>
      </c>
      <c r="QHM29" s="160">
        <f t="shared" ref="QHM29" si="5853">QHK29*$C$29</f>
        <v>1.6295633861794578E+79</v>
      </c>
      <c r="QHO29" s="160">
        <f t="shared" ref="QHO29" si="5854">QHM29*$C$29</f>
        <v>1.6784502877648415E+79</v>
      </c>
      <c r="QHQ29" s="160">
        <f t="shared" ref="QHQ29" si="5855">QHO29*$C$29</f>
        <v>1.7288037963977869E+79</v>
      </c>
      <c r="QHS29" s="160">
        <f t="shared" ref="QHS29" si="5856">QHQ29*$C$29</f>
        <v>1.7806679102897207E+79</v>
      </c>
      <c r="QHU29" s="160">
        <f t="shared" ref="QHU29" si="5857">QHS29*$C$29</f>
        <v>1.8340879475984123E+79</v>
      </c>
      <c r="QHW29" s="160">
        <f t="shared" ref="QHW29" si="5858">QHU29*$C$29</f>
        <v>1.8891105860263647E+79</v>
      </c>
      <c r="QHY29" s="160">
        <f t="shared" ref="QHY29" si="5859">QHW29*$C$29</f>
        <v>1.9457839036071556E+79</v>
      </c>
      <c r="QIA29" s="160">
        <f t="shared" ref="QIA29" si="5860">QHY29*$C$29</f>
        <v>2.0041574207153704E+79</v>
      </c>
      <c r="QIC29" s="160">
        <f t="shared" ref="QIC29" si="5861">QIA29*$C$29</f>
        <v>2.0642821433368314E+79</v>
      </c>
      <c r="QIE29" s="160">
        <f t="shared" ref="QIE29" si="5862">QIC29*$C$29</f>
        <v>2.1262106076369365E+79</v>
      </c>
      <c r="QIG29" s="160">
        <f t="shared" ref="QIG29" si="5863">QIE29*$C$29</f>
        <v>2.1899969258660448E+79</v>
      </c>
      <c r="QII29" s="160">
        <f t="shared" ref="QII29" si="5864">QIG29*$C$29</f>
        <v>2.2556968336420263E+79</v>
      </c>
      <c r="QIK29" s="160">
        <f t="shared" ref="QIK29" si="5865">QII29*$C$29</f>
        <v>2.3233677386512871E+79</v>
      </c>
      <c r="QIM29" s="160">
        <f t="shared" ref="QIM29" si="5866">QIK29*$C$29</f>
        <v>2.3930687708108257E+79</v>
      </c>
      <c r="QIO29" s="160">
        <f t="shared" ref="QIO29" si="5867">QIM29*$C$29</f>
        <v>2.4648608339351506E+79</v>
      </c>
      <c r="QIQ29" s="160">
        <f t="shared" ref="QIQ29" si="5868">QIO29*$C$29</f>
        <v>2.5388066589532052E+79</v>
      </c>
      <c r="QIS29" s="160">
        <f t="shared" ref="QIS29" si="5869">QIQ29*$C$29</f>
        <v>2.6149708587218014E+79</v>
      </c>
      <c r="QIU29" s="160">
        <f t="shared" ref="QIU29" si="5870">QIS29*$C$29</f>
        <v>2.6934199844834554E+79</v>
      </c>
      <c r="QIW29" s="160">
        <f t="shared" ref="QIW29" si="5871">QIU29*$C$29</f>
        <v>2.774222584017959E+79</v>
      </c>
      <c r="QIY29" s="160">
        <f t="shared" ref="QIY29" si="5872">QIW29*$C$29</f>
        <v>2.8574492615384978E+79</v>
      </c>
      <c r="QJA29" s="160">
        <f t="shared" ref="QJA29" si="5873">QIY29*$C$29</f>
        <v>2.9431727393846527E+79</v>
      </c>
      <c r="QJC29" s="160">
        <f t="shared" ref="QJC29" si="5874">QJA29*$C$29</f>
        <v>3.0314679215661923E+79</v>
      </c>
      <c r="QJE29" s="160">
        <f t="shared" ref="QJE29" si="5875">QJC29*$C$29</f>
        <v>3.1224119592131779E+79</v>
      </c>
      <c r="QJG29" s="160">
        <f t="shared" ref="QJG29" si="5876">QJE29*$C$29</f>
        <v>3.2160843179895735E+79</v>
      </c>
      <c r="QJI29" s="160">
        <f t="shared" ref="QJI29" si="5877">QJG29*$C$29</f>
        <v>3.3125668475292604E+79</v>
      </c>
      <c r="QJK29" s="160">
        <f t="shared" ref="QJK29" si="5878">QJI29*$C$29</f>
        <v>3.4119438529551383E+79</v>
      </c>
      <c r="QJM29" s="160">
        <f t="shared" ref="QJM29" si="5879">QJK29*$C$29</f>
        <v>3.5143021685437923E+79</v>
      </c>
      <c r="QJO29" s="160">
        <f t="shared" ref="QJO29" si="5880">QJM29*$C$29</f>
        <v>3.619731233600106E+79</v>
      </c>
      <c r="QJQ29" s="160">
        <f t="shared" ref="QJQ29" si="5881">QJO29*$C$29</f>
        <v>3.7283231706081092E+79</v>
      </c>
      <c r="QJS29" s="160">
        <f t="shared" ref="QJS29" si="5882">QJQ29*$C$29</f>
        <v>3.8401728657263523E+79</v>
      </c>
      <c r="QJU29" s="160">
        <f t="shared" ref="QJU29" si="5883">QJS29*$C$29</f>
        <v>3.9553780516981428E+79</v>
      </c>
      <c r="QJW29" s="160">
        <f t="shared" ref="QJW29" si="5884">QJU29*$C$29</f>
        <v>4.0740393932490875E+79</v>
      </c>
      <c r="QJY29" s="160">
        <f t="shared" ref="QJY29" si="5885">QJW29*$C$29</f>
        <v>4.1962605750465601E+79</v>
      </c>
      <c r="QKA29" s="160">
        <f t="shared" ref="QKA29" si="5886">QJY29*$C$29</f>
        <v>4.322148392297957E+79</v>
      </c>
      <c r="QKC29" s="160">
        <f t="shared" ref="QKC29" si="5887">QKA29*$C$29</f>
        <v>4.4518128440668958E+79</v>
      </c>
      <c r="QKE29" s="160">
        <f t="shared" ref="QKE29" si="5888">QKC29*$C$29</f>
        <v>4.5853672293889028E+79</v>
      </c>
      <c r="QKG29" s="160">
        <f t="shared" ref="QKG29" si="5889">QKE29*$C$29</f>
        <v>4.7229282462705703E+79</v>
      </c>
      <c r="QKI29" s="160">
        <f t="shared" ref="QKI29" si="5890">QKG29*$C$29</f>
        <v>4.8646160936586876E+79</v>
      </c>
      <c r="QKK29" s="160">
        <f t="shared" ref="QKK29" si="5891">QKI29*$C$29</f>
        <v>5.0105545764684486E+79</v>
      </c>
      <c r="QKM29" s="160">
        <f t="shared" ref="QKM29" si="5892">QKK29*$C$29</f>
        <v>5.160871213762502E+79</v>
      </c>
      <c r="QKO29" s="160">
        <f t="shared" ref="QKO29" si="5893">QKM29*$C$29</f>
        <v>5.3156973501753774E+79</v>
      </c>
      <c r="QKQ29" s="160">
        <f t="shared" ref="QKQ29" si="5894">QKO29*$C$29</f>
        <v>5.475168270680639E+79</v>
      </c>
      <c r="QKS29" s="160">
        <f t="shared" ref="QKS29" si="5895">QKQ29*$C$29</f>
        <v>5.6394233188010581E+79</v>
      </c>
      <c r="QKU29" s="160">
        <f t="shared" ref="QKU29" si="5896">QKS29*$C$29</f>
        <v>5.8086060183650902E+79</v>
      </c>
      <c r="QKW29" s="160">
        <f t="shared" ref="QKW29" si="5897">QKU29*$C$29</f>
        <v>5.9828641989160428E+79</v>
      </c>
      <c r="QKY29" s="160">
        <f t="shared" ref="QKY29" si="5898">QKW29*$C$29</f>
        <v>6.1623501248835244E+79</v>
      </c>
      <c r="QLA29" s="160">
        <f t="shared" ref="QLA29" si="5899">QKY29*$C$29</f>
        <v>6.3472206286300303E+79</v>
      </c>
      <c r="QLC29" s="160">
        <f t="shared" ref="QLC29" si="5900">QLA29*$C$29</f>
        <v>6.5376372474889308E+79</v>
      </c>
      <c r="QLE29" s="160">
        <f t="shared" ref="QLE29" si="5901">QLC29*$C$29</f>
        <v>6.7337663649135987E+79</v>
      </c>
      <c r="QLG29" s="160">
        <f t="shared" ref="QLG29" si="5902">QLE29*$C$29</f>
        <v>6.9357793558610069E+79</v>
      </c>
      <c r="QLI29" s="160">
        <f t="shared" ref="QLI29" si="5903">QLG29*$C$29</f>
        <v>7.143852736536837E+79</v>
      </c>
      <c r="QLK29" s="160">
        <f t="shared" ref="QLK29" si="5904">QLI29*$C$29</f>
        <v>7.3581683186329421E+79</v>
      </c>
      <c r="QLM29" s="160">
        <f t="shared" ref="QLM29" si="5905">QLK29*$C$29</f>
        <v>7.5789133681919302E+79</v>
      </c>
      <c r="QLO29" s="160">
        <f t="shared" ref="QLO29" si="5906">QLM29*$C$29</f>
        <v>7.8062807692376887E+79</v>
      </c>
      <c r="QLQ29" s="160">
        <f t="shared" ref="QLQ29" si="5907">QLO29*$C$29</f>
        <v>8.0404691923148192E+79</v>
      </c>
      <c r="QLS29" s="160">
        <f t="shared" ref="QLS29" si="5908">QLQ29*$C$29</f>
        <v>8.281683268084264E+79</v>
      </c>
      <c r="QLU29" s="160">
        <f t="shared" ref="QLU29" si="5909">QLS29*$C$29</f>
        <v>8.530133766126792E+79</v>
      </c>
      <c r="QLW29" s="160">
        <f t="shared" ref="QLW29" si="5910">QLU29*$C$29</f>
        <v>8.7860377791105954E+79</v>
      </c>
      <c r="QLY29" s="160">
        <f t="shared" ref="QLY29" si="5911">QLW29*$C$29</f>
        <v>9.0496189124839131E+79</v>
      </c>
      <c r="QMA29" s="160">
        <f t="shared" ref="QMA29" si="5912">QLY29*$C$29</f>
        <v>9.3211074798584302E+79</v>
      </c>
      <c r="QMC29" s="160">
        <f t="shared" ref="QMC29" si="5913">QMA29*$C$29</f>
        <v>9.6007407042541832E+79</v>
      </c>
      <c r="QME29" s="160">
        <f t="shared" ref="QME29" si="5914">QMC29*$C$29</f>
        <v>9.8887629253818085E+79</v>
      </c>
      <c r="QMG29" s="160">
        <f t="shared" ref="QMG29" si="5915">QME29*$C$29</f>
        <v>1.0185425813143263E+80</v>
      </c>
      <c r="QMI29" s="160">
        <f t="shared" ref="QMI29" si="5916">QMG29*$C$29</f>
        <v>1.0490988587537561E+80</v>
      </c>
      <c r="QMK29" s="160">
        <f t="shared" ref="QMK29" si="5917">QMI29*$C$29</f>
        <v>1.0805718245163688E+80</v>
      </c>
      <c r="QMM29" s="160">
        <f t="shared" ref="QMM29" si="5918">QMK29*$C$29</f>
        <v>1.1129889792518599E+80</v>
      </c>
      <c r="QMO29" s="160">
        <f t="shared" ref="QMO29" si="5919">QMM29*$C$29</f>
        <v>1.1463786486294157E+80</v>
      </c>
      <c r="QMQ29" s="160">
        <f t="shared" ref="QMQ29" si="5920">QMO29*$C$29</f>
        <v>1.1807700080882982E+80</v>
      </c>
      <c r="QMS29" s="160">
        <f t="shared" ref="QMS29" si="5921">QMQ29*$C$29</f>
        <v>1.2161931083309472E+80</v>
      </c>
      <c r="QMU29" s="160">
        <f t="shared" ref="QMU29" si="5922">QMS29*$C$29</f>
        <v>1.2526789015808755E+80</v>
      </c>
      <c r="QMW29" s="160">
        <f t="shared" ref="QMW29" si="5923">QMU29*$C$29</f>
        <v>1.2902592686283018E+80</v>
      </c>
      <c r="QMY29" s="160">
        <f t="shared" ref="QMY29" si="5924">QMW29*$C$29</f>
        <v>1.3289670466871507E+80</v>
      </c>
      <c r="QNA29" s="160">
        <f t="shared" ref="QNA29" si="5925">QMY29*$C$29</f>
        <v>1.3688360580877652E+80</v>
      </c>
      <c r="QNC29" s="160">
        <f t="shared" ref="QNC29" si="5926">QNA29*$C$29</f>
        <v>1.4099011398303982E+80</v>
      </c>
      <c r="QNE29" s="160">
        <f t="shared" ref="QNE29" si="5927">QNC29*$C$29</f>
        <v>1.4521981740253101E+80</v>
      </c>
      <c r="QNG29" s="160">
        <f t="shared" ref="QNG29" si="5928">QNE29*$C$29</f>
        <v>1.4957641192460694E+80</v>
      </c>
      <c r="QNI29" s="160">
        <f t="shared" ref="QNI29" si="5929">QNG29*$C$29</f>
        <v>1.5406370428234516E+80</v>
      </c>
      <c r="QNK29" s="160">
        <f t="shared" ref="QNK29" si="5930">QNI29*$C$29</f>
        <v>1.5868561541081553E+80</v>
      </c>
      <c r="QNM29" s="160">
        <f t="shared" ref="QNM29" si="5931">QNK29*$C$29</f>
        <v>1.6344618387313999E+80</v>
      </c>
      <c r="QNO29" s="160">
        <f t="shared" ref="QNO29" si="5932">QNM29*$C$29</f>
        <v>1.683495693893342E+80</v>
      </c>
      <c r="QNQ29" s="160">
        <f t="shared" ref="QNQ29" si="5933">QNO29*$C$29</f>
        <v>1.7340005647101424E+80</v>
      </c>
      <c r="QNS29" s="160">
        <f t="shared" ref="QNS29" si="5934">QNQ29*$C$29</f>
        <v>1.7860205816514467E+80</v>
      </c>
      <c r="QNU29" s="160">
        <f t="shared" ref="QNU29" si="5935">QNS29*$C$29</f>
        <v>1.8396011991009902E+80</v>
      </c>
      <c r="QNW29" s="160">
        <f t="shared" ref="QNW29" si="5936">QNU29*$C$29</f>
        <v>1.8947892350740199E+80</v>
      </c>
      <c r="QNY29" s="160">
        <f t="shared" ref="QNY29" si="5937">QNW29*$C$29</f>
        <v>1.9516329121262406E+80</v>
      </c>
      <c r="QOA29" s="160">
        <f t="shared" ref="QOA29" si="5938">QNY29*$C$29</f>
        <v>2.0101818994900279E+80</v>
      </c>
      <c r="QOC29" s="160">
        <f t="shared" ref="QOC29" si="5939">QOA29*$C$29</f>
        <v>2.0704873564747288E+80</v>
      </c>
      <c r="QOE29" s="160">
        <f t="shared" ref="QOE29" si="5940">QOC29*$C$29</f>
        <v>2.1326019771689707E+80</v>
      </c>
      <c r="QOG29" s="160">
        <f t="shared" ref="QOG29" si="5941">QOE29*$C$29</f>
        <v>2.1965800364840398E+80</v>
      </c>
      <c r="QOI29" s="160">
        <f t="shared" ref="QOI29" si="5942">QOG29*$C$29</f>
        <v>2.262477437578561E+80</v>
      </c>
      <c r="QOK29" s="160">
        <f t="shared" ref="QOK29" si="5943">QOI29*$C$29</f>
        <v>2.3303517607059178E+80</v>
      </c>
      <c r="QOM29" s="160">
        <f t="shared" ref="QOM29" si="5944">QOK29*$C$29</f>
        <v>2.4002623135270953E+80</v>
      </c>
      <c r="QOO29" s="160">
        <f t="shared" ref="QOO29" si="5945">QOM29*$C$29</f>
        <v>2.4722701829329082E+80</v>
      </c>
      <c r="QOQ29" s="160">
        <f t="shared" ref="QOQ29" si="5946">QOO29*$C$29</f>
        <v>2.5464382884208957E+80</v>
      </c>
      <c r="QOS29" s="160">
        <f t="shared" ref="QOS29" si="5947">QOQ29*$C$29</f>
        <v>2.6228314370735229E+80</v>
      </c>
      <c r="QOU29" s="160">
        <f t="shared" ref="QOU29" si="5948">QOS29*$C$29</f>
        <v>2.7015163801857286E+80</v>
      </c>
      <c r="QOW29" s="160">
        <f t="shared" ref="QOW29" si="5949">QOU29*$C$29</f>
        <v>2.7825618715913003E+80</v>
      </c>
      <c r="QOY29" s="160">
        <f t="shared" ref="QOY29" si="5950">QOW29*$C$29</f>
        <v>2.8660387277390392E+80</v>
      </c>
      <c r="QPA29" s="160">
        <f t="shared" ref="QPA29" si="5951">QOY29*$C$29</f>
        <v>2.9520198895712106E+80</v>
      </c>
      <c r="QPC29" s="160">
        <f t="shared" ref="QPC29" si="5952">QPA29*$C$29</f>
        <v>3.040580486258347E+80</v>
      </c>
      <c r="QPE29" s="160">
        <f t="shared" ref="QPE29" si="5953">QPC29*$C$29</f>
        <v>3.1317979008460977E+80</v>
      </c>
      <c r="QPG29" s="160">
        <f t="shared" ref="QPG29" si="5954">QPE29*$C$29</f>
        <v>3.2257518378714808E+80</v>
      </c>
      <c r="QPI29" s="160">
        <f t="shared" ref="QPI29" si="5955">QPG29*$C$29</f>
        <v>3.3225243930076253E+80</v>
      </c>
      <c r="QPK29" s="160">
        <f t="shared" ref="QPK29" si="5956">QPI29*$C$29</f>
        <v>3.422200124797854E+80</v>
      </c>
      <c r="QPM29" s="160">
        <f t="shared" ref="QPM29" si="5957">QPK29*$C$29</f>
        <v>3.5248661285417896E+80</v>
      </c>
      <c r="QPO29" s="160">
        <f t="shared" ref="QPO29" si="5958">QPM29*$C$29</f>
        <v>3.6306121123980434E+80</v>
      </c>
      <c r="QPQ29" s="160">
        <f t="shared" ref="QPQ29" si="5959">QPO29*$C$29</f>
        <v>3.7395304757699846E+80</v>
      </c>
      <c r="QPS29" s="160">
        <f t="shared" ref="QPS29" si="5960">QPQ29*$C$29</f>
        <v>3.8517163900430843E+80</v>
      </c>
      <c r="QPU29" s="160">
        <f t="shared" ref="QPU29" si="5961">QPS29*$C$29</f>
        <v>3.9672678817443769E+80</v>
      </c>
      <c r="QPW29" s="160">
        <f t="shared" ref="QPW29" si="5962">QPU29*$C$29</f>
        <v>4.0862859181967081E+80</v>
      </c>
      <c r="QPY29" s="160">
        <f t="shared" ref="QPY29" si="5963">QPW29*$C$29</f>
        <v>4.2088744957426095E+80</v>
      </c>
      <c r="QQA29" s="160">
        <f t="shared" ref="QQA29" si="5964">QPY29*$C$29</f>
        <v>4.3351407306148881E+80</v>
      </c>
      <c r="QQC29" s="160">
        <f t="shared" ref="QQC29" si="5965">QQA29*$C$29</f>
        <v>4.4651949525333349E+80</v>
      </c>
      <c r="QQE29" s="160">
        <f t="shared" ref="QQE29" si="5966">QQC29*$C$29</f>
        <v>4.5991508011093349E+80</v>
      </c>
      <c r="QQG29" s="160">
        <f t="shared" ref="QQG29" si="5967">QQE29*$C$29</f>
        <v>4.7371253251426151E+80</v>
      </c>
      <c r="QQI29" s="160">
        <f t="shared" ref="QQI29" si="5968">QQG29*$C$29</f>
        <v>4.8792390848968937E+80</v>
      </c>
      <c r="QQK29" s="160">
        <f t="shared" ref="QQK29" si="5969">QQI29*$C$29</f>
        <v>5.025616257443801E+80</v>
      </c>
      <c r="QQM29" s="160">
        <f t="shared" ref="QQM29" si="5970">QQK29*$C$29</f>
        <v>5.1763847451671147E+80</v>
      </c>
      <c r="QQO29" s="160">
        <f t="shared" ref="QQO29" si="5971">QQM29*$C$29</f>
        <v>5.3316762875221285E+80</v>
      </c>
      <c r="QQQ29" s="160">
        <f t="shared" ref="QQQ29" si="5972">QQO29*$C$29</f>
        <v>5.4916265761477929E+80</v>
      </c>
      <c r="QQS29" s="160">
        <f t="shared" ref="QQS29" si="5973">QQQ29*$C$29</f>
        <v>5.6563753734322268E+80</v>
      </c>
      <c r="QQU29" s="160">
        <f t="shared" ref="QQU29" si="5974">QQS29*$C$29</f>
        <v>5.8260666346351934E+80</v>
      </c>
      <c r="QQW29" s="160">
        <f t="shared" ref="QQW29" si="5975">QQU29*$C$29</f>
        <v>6.0008486336742493E+80</v>
      </c>
      <c r="QQY29" s="160">
        <f t="shared" ref="QQY29" si="5976">QQW29*$C$29</f>
        <v>6.1808740926844769E+80</v>
      </c>
      <c r="QRA29" s="160">
        <f t="shared" ref="QRA29" si="5977">QQY29*$C$29</f>
        <v>6.366300315465011E+80</v>
      </c>
      <c r="QRC29" s="160">
        <f t="shared" ref="QRC29" si="5978">QRA29*$C$29</f>
        <v>6.5572893249289613E+80</v>
      </c>
      <c r="QRE29" s="160">
        <f t="shared" ref="QRE29" si="5979">QRC29*$C$29</f>
        <v>6.7540080046768307E+80</v>
      </c>
      <c r="QRG29" s="160">
        <f t="shared" ref="QRG29" si="5980">QRE29*$C$29</f>
        <v>6.9566282448171363E+80</v>
      </c>
      <c r="QRI29" s="160">
        <f t="shared" ref="QRI29" si="5981">QRG29*$C$29</f>
        <v>7.1653270921616508E+80</v>
      </c>
      <c r="QRK29" s="160">
        <f t="shared" ref="QRK29" si="5982">QRI29*$C$29</f>
        <v>7.3802869049265002E+80</v>
      </c>
      <c r="QRM29" s="160">
        <f t="shared" ref="QRM29" si="5983">QRK29*$C$29</f>
        <v>7.6016955120742958E+80</v>
      </c>
      <c r="QRO29" s="160">
        <f t="shared" ref="QRO29" si="5984">QRM29*$C$29</f>
        <v>7.8297463774365246E+80</v>
      </c>
      <c r="QRQ29" s="160">
        <f t="shared" ref="QRQ29" si="5985">QRO29*$C$29</f>
        <v>8.0646387687596207E+80</v>
      </c>
      <c r="QRS29" s="160">
        <f t="shared" ref="QRS29" si="5986">QRQ29*$C$29</f>
        <v>8.3065779318224097E+80</v>
      </c>
      <c r="QRU29" s="160">
        <f t="shared" ref="QRU29" si="5987">QRS29*$C$29</f>
        <v>8.5557752697770819E+80</v>
      </c>
      <c r="QRW29" s="160">
        <f t="shared" ref="QRW29" si="5988">QRU29*$C$29</f>
        <v>8.8124485278703946E+80</v>
      </c>
      <c r="QRY29" s="160">
        <f t="shared" ref="QRY29" si="5989">QRW29*$C$29</f>
        <v>9.0768219837065069E+80</v>
      </c>
      <c r="QSA29" s="160">
        <f t="shared" ref="QSA29" si="5990">QRY29*$C$29</f>
        <v>9.3491266432177021E+80</v>
      </c>
      <c r="QSC29" s="160">
        <f t="shared" ref="QSC29" si="5991">QSA29*$C$29</f>
        <v>9.6296004425142334E+80</v>
      </c>
      <c r="QSE29" s="160">
        <f t="shared" ref="QSE29" si="5992">QSC29*$C$29</f>
        <v>9.9184884557896611E+80</v>
      </c>
      <c r="QSG29" s="160">
        <f t="shared" ref="QSG29" si="5993">QSE29*$C$29</f>
        <v>1.0216043109463351E+81</v>
      </c>
      <c r="QSI29" s="160">
        <f t="shared" ref="QSI29" si="5994">QSG29*$C$29</f>
        <v>1.0522524402747252E+81</v>
      </c>
      <c r="QSK29" s="160">
        <f t="shared" ref="QSK29" si="5995">QSI29*$C$29</f>
        <v>1.083820013482967E+81</v>
      </c>
      <c r="QSM29" s="160">
        <f t="shared" ref="QSM29" si="5996">QSK29*$C$29</f>
        <v>1.116334613887456E+81</v>
      </c>
      <c r="QSO29" s="160">
        <f t="shared" ref="QSO29" si="5997">QSM29*$C$29</f>
        <v>1.1498246523040797E+81</v>
      </c>
      <c r="QSQ29" s="160">
        <f t="shared" ref="QSQ29" si="5998">QSO29*$C$29</f>
        <v>1.1843193918732022E+81</v>
      </c>
      <c r="QSS29" s="160">
        <f t="shared" ref="QSS29" si="5999">QSQ29*$C$29</f>
        <v>1.2198489736293983E+81</v>
      </c>
      <c r="QSU29" s="160">
        <f t="shared" ref="QSU29" si="6000">QSS29*$C$29</f>
        <v>1.2564444428382803E+81</v>
      </c>
      <c r="QSW29" s="160">
        <f t="shared" ref="QSW29" si="6001">QSU29*$C$29</f>
        <v>1.2941377761234288E+81</v>
      </c>
      <c r="QSY29" s="160">
        <f t="shared" ref="QSY29" si="6002">QSW29*$C$29</f>
        <v>1.3329619094071316E+81</v>
      </c>
      <c r="QTA29" s="160">
        <f t="shared" ref="QTA29" si="6003">QSY29*$C$29</f>
        <v>1.3729507666893455E+81</v>
      </c>
      <c r="QTC29" s="160">
        <f t="shared" ref="QTC29" si="6004">QTA29*$C$29</f>
        <v>1.4141392896900259E+81</v>
      </c>
      <c r="QTE29" s="160">
        <f t="shared" ref="QTE29" si="6005">QTC29*$C$29</f>
        <v>1.4565634683807266E+81</v>
      </c>
      <c r="QTG29" s="160">
        <f t="shared" ref="QTG29" si="6006">QTE29*$C$29</f>
        <v>1.5002603724321485E+81</v>
      </c>
      <c r="QTI29" s="160">
        <f t="shared" ref="QTI29" si="6007">QTG29*$C$29</f>
        <v>1.545268183605113E+81</v>
      </c>
      <c r="QTK29" s="160">
        <f t="shared" ref="QTK29" si="6008">QTI29*$C$29</f>
        <v>1.5916262291132664E+81</v>
      </c>
      <c r="QTM29" s="160">
        <f t="shared" ref="QTM29" si="6009">QTK29*$C$29</f>
        <v>1.6393750159866645E+81</v>
      </c>
      <c r="QTO29" s="160">
        <f t="shared" ref="QTO29" si="6010">QTM29*$C$29</f>
        <v>1.6885562664662646E+81</v>
      </c>
      <c r="QTQ29" s="160">
        <f t="shared" ref="QTQ29" si="6011">QTO29*$C$29</f>
        <v>1.7392129544602526E+81</v>
      </c>
      <c r="QTS29" s="160">
        <f t="shared" ref="QTS29" si="6012">QTQ29*$C$29</f>
        <v>1.7913893430940602E+81</v>
      </c>
      <c r="QTU29" s="160">
        <f t="shared" ref="QTU29" si="6013">QTS29*$C$29</f>
        <v>1.845131023386882E+81</v>
      </c>
      <c r="QTW29" s="160">
        <f t="shared" ref="QTW29" si="6014">QTU29*$C$29</f>
        <v>1.9004849540884886E+81</v>
      </c>
      <c r="QTY29" s="160">
        <f t="shared" ref="QTY29" si="6015">QTW29*$C$29</f>
        <v>1.9574995027111431E+81</v>
      </c>
      <c r="QUA29" s="160">
        <f t="shared" ref="QUA29" si="6016">QTY29*$C$29</f>
        <v>2.0162244877924775E+81</v>
      </c>
      <c r="QUC29" s="160">
        <f t="shared" ref="QUC29" si="6017">QUA29*$C$29</f>
        <v>2.0767112224262518E+81</v>
      </c>
      <c r="QUE29" s="160">
        <f t="shared" ref="QUE29" si="6018">QUC29*$C$29</f>
        <v>2.1390125590990394E+81</v>
      </c>
      <c r="QUG29" s="160">
        <f t="shared" ref="QUG29" si="6019">QUE29*$C$29</f>
        <v>2.2031829358720107E+81</v>
      </c>
      <c r="QUI29" s="160">
        <f t="shared" ref="QUI29" si="6020">QUG29*$C$29</f>
        <v>2.2692784239481711E+81</v>
      </c>
      <c r="QUK29" s="160">
        <f t="shared" ref="QUK29" si="6021">QUI29*$C$29</f>
        <v>2.3373567766666164E+81</v>
      </c>
      <c r="QUM29" s="160">
        <f t="shared" ref="QUM29" si="6022">QUK29*$C$29</f>
        <v>2.4074774799666151E+81</v>
      </c>
      <c r="QUO29" s="160">
        <f t="shared" ref="QUO29" si="6023">QUM29*$C$29</f>
        <v>2.4797018043656137E+81</v>
      </c>
      <c r="QUQ29" s="160">
        <f t="shared" ref="QUQ29" si="6024">QUO29*$C$29</f>
        <v>2.5540928584965822E+81</v>
      </c>
      <c r="QUS29" s="160">
        <f t="shared" ref="QUS29" si="6025">QUQ29*$C$29</f>
        <v>2.6307156442514797E+81</v>
      </c>
      <c r="QUU29" s="160">
        <f t="shared" ref="QUU29" si="6026">QUS29*$C$29</f>
        <v>2.7096371135790243E+81</v>
      </c>
      <c r="QUW29" s="160">
        <f t="shared" ref="QUW29" si="6027">QUU29*$C$29</f>
        <v>2.7909262269863951E+81</v>
      </c>
      <c r="QUY29" s="160">
        <f t="shared" ref="QUY29" si="6028">QUW29*$C$29</f>
        <v>2.8746540137959868E+81</v>
      </c>
      <c r="QVA29" s="160">
        <f t="shared" ref="QVA29" si="6029">QUY29*$C$29</f>
        <v>2.9608936342098665E+81</v>
      </c>
      <c r="QVC29" s="160">
        <f t="shared" ref="QVC29" si="6030">QVA29*$C$29</f>
        <v>3.0497204432361627E+81</v>
      </c>
      <c r="QVE29" s="160">
        <f t="shared" ref="QVE29" si="6031">QVC29*$C$29</f>
        <v>3.1412120565332477E+81</v>
      </c>
      <c r="QVG29" s="160">
        <f t="shared" ref="QVG29" si="6032">QVE29*$C$29</f>
        <v>3.2354484182292452E+81</v>
      </c>
      <c r="QVI29" s="160">
        <f t="shared" ref="QVI29" si="6033">QVG29*$C$29</f>
        <v>3.3325118707761226E+81</v>
      </c>
      <c r="QVK29" s="160">
        <f t="shared" ref="QVK29" si="6034">QVI29*$C$29</f>
        <v>3.4324872268994065E+81</v>
      </c>
      <c r="QVM29" s="160">
        <f t="shared" ref="QVM29" si="6035">QVK29*$C$29</f>
        <v>3.5354618437063888E+81</v>
      </c>
      <c r="QVO29" s="160">
        <f t="shared" ref="QVO29" si="6036">QVM29*$C$29</f>
        <v>3.6415256990175807E+81</v>
      </c>
      <c r="QVQ29" s="160">
        <f t="shared" ref="QVQ29" si="6037">QVO29*$C$29</f>
        <v>3.7507714699881083E+81</v>
      </c>
      <c r="QVS29" s="160">
        <f t="shared" ref="QVS29" si="6038">QVQ29*$C$29</f>
        <v>3.8632946140877513E+81</v>
      </c>
      <c r="QVU29" s="160">
        <f t="shared" ref="QVU29" si="6039">QVS29*$C$29</f>
        <v>3.9791934525103838E+81</v>
      </c>
      <c r="QVW29" s="160">
        <f t="shared" ref="QVW29" si="6040">QVU29*$C$29</f>
        <v>4.0985692560856956E+81</v>
      </c>
      <c r="QVY29" s="160">
        <f t="shared" ref="QVY29" si="6041">QVW29*$C$29</f>
        <v>4.2215263337682667E+81</v>
      </c>
      <c r="QWA29" s="160">
        <f t="shared" ref="QWA29" si="6042">QVY29*$C$29</f>
        <v>4.3481721237813148E+81</v>
      </c>
      <c r="QWC29" s="160">
        <f t="shared" ref="QWC29" si="6043">QWA29*$C$29</f>
        <v>4.4786172874947547E+81</v>
      </c>
      <c r="QWE29" s="160">
        <f t="shared" ref="QWE29" si="6044">QWC29*$C$29</f>
        <v>4.6129758061195978E+81</v>
      </c>
      <c r="QWG29" s="160">
        <f t="shared" ref="QWG29" si="6045">QWE29*$C$29</f>
        <v>4.7513650803031855E+81</v>
      </c>
      <c r="QWI29" s="160">
        <f t="shared" ref="QWI29" si="6046">QWG29*$C$29</f>
        <v>4.8939060327122808E+81</v>
      </c>
      <c r="QWK29" s="160">
        <f t="shared" ref="QWK29" si="6047">QWI29*$C$29</f>
        <v>5.0407232136936495E+81</v>
      </c>
      <c r="QWM29" s="160">
        <f t="shared" ref="QWM29" si="6048">QWK29*$C$29</f>
        <v>5.1919449101044596E+81</v>
      </c>
      <c r="QWO29" s="160">
        <f t="shared" ref="QWO29" si="6049">QWM29*$C$29</f>
        <v>5.3477032574075931E+81</v>
      </c>
      <c r="QWQ29" s="160">
        <f t="shared" ref="QWQ29" si="6050">QWO29*$C$29</f>
        <v>5.5081343551298209E+81</v>
      </c>
      <c r="QWS29" s="160">
        <f t="shared" ref="QWS29" si="6051">QWQ29*$C$29</f>
        <v>5.6733783857837154E+81</v>
      </c>
      <c r="QWU29" s="160">
        <f t="shared" ref="QWU29" si="6052">QWS29*$C$29</f>
        <v>5.8435797373572269E+81</v>
      </c>
      <c r="QWW29" s="160">
        <f t="shared" ref="QWW29" si="6053">QWU29*$C$29</f>
        <v>6.0188871294779437E+81</v>
      </c>
      <c r="QWY29" s="160">
        <f t="shared" ref="QWY29" si="6054">QWW29*$C$29</f>
        <v>6.1994537433622818E+81</v>
      </c>
      <c r="QXA29" s="160">
        <f t="shared" ref="QXA29" si="6055">QWY29*$C$29</f>
        <v>6.3854373556631505E+81</v>
      </c>
      <c r="QXC29" s="160">
        <f t="shared" ref="QXC29" si="6056">QXA29*$C$29</f>
        <v>6.5770004763330451E+81</v>
      </c>
      <c r="QXE29" s="160">
        <f t="shared" ref="QXE29" si="6057">QXC29*$C$29</f>
        <v>6.7743104906230366E+81</v>
      </c>
      <c r="QXG29" s="160">
        <f t="shared" ref="QXG29" si="6058">QXE29*$C$29</f>
        <v>6.9775398053417279E+81</v>
      </c>
      <c r="QXI29" s="160">
        <f t="shared" ref="QXI29" si="6059">QXG29*$C$29</f>
        <v>7.1868659995019801E+81</v>
      </c>
      <c r="QXK29" s="160">
        <f t="shared" ref="QXK29" si="6060">QXI29*$C$29</f>
        <v>7.4024719794870396E+81</v>
      </c>
      <c r="QXM29" s="160">
        <f t="shared" ref="QXM29" si="6061">QXK29*$C$29</f>
        <v>7.6245461388716505E+81</v>
      </c>
      <c r="QXO29" s="160">
        <f t="shared" ref="QXO29" si="6062">QXM29*$C$29</f>
        <v>7.8532825230377997E+81</v>
      </c>
      <c r="QXQ29" s="160">
        <f t="shared" ref="QXQ29" si="6063">QXO29*$C$29</f>
        <v>8.0888809987289343E+81</v>
      </c>
      <c r="QXS29" s="160">
        <f t="shared" ref="QXS29" si="6064">QXQ29*$C$29</f>
        <v>8.3315474286908022E+81</v>
      </c>
      <c r="QXU29" s="160">
        <f t="shared" ref="QXU29" si="6065">QXS29*$C$29</f>
        <v>8.5814938515515268E+81</v>
      </c>
      <c r="QXW29" s="160">
        <f t="shared" ref="QXW29" si="6066">QXU29*$C$29</f>
        <v>8.8389386670980729E+81</v>
      </c>
      <c r="QXY29" s="160">
        <f t="shared" ref="QXY29" si="6067">QXW29*$C$29</f>
        <v>9.104106827111016E+81</v>
      </c>
      <c r="QYA29" s="160">
        <f t="shared" ref="QYA29" si="6068">QXY29*$C$29</f>
        <v>9.3772300319243473E+81</v>
      </c>
      <c r="QYC29" s="160">
        <f t="shared" ref="QYC29" si="6069">QYA29*$C$29</f>
        <v>9.6585469328820776E+81</v>
      </c>
      <c r="QYE29" s="160">
        <f t="shared" ref="QYE29" si="6070">QYC29*$C$29</f>
        <v>9.9483033408685403E+81</v>
      </c>
      <c r="QYG29" s="160">
        <f t="shared" ref="QYG29" si="6071">QYE29*$C$29</f>
        <v>1.0246752441094596E+82</v>
      </c>
      <c r="QYI29" s="160">
        <f t="shared" ref="QYI29" si="6072">QYG29*$C$29</f>
        <v>1.0554155014327433E+82</v>
      </c>
      <c r="QYK29" s="160">
        <f t="shared" ref="QYK29" si="6073">QYI29*$C$29</f>
        <v>1.0870779664757257E+82</v>
      </c>
      <c r="QYM29" s="160">
        <f t="shared" ref="QYM29" si="6074">QYK29*$C$29</f>
        <v>1.1196903054699975E+82</v>
      </c>
      <c r="QYO29" s="160">
        <f t="shared" ref="QYO29" si="6075">QYM29*$C$29</f>
        <v>1.1532810146340975E+82</v>
      </c>
      <c r="QYQ29" s="160">
        <f t="shared" ref="QYQ29" si="6076">QYO29*$C$29</f>
        <v>1.1878794450731205E+82</v>
      </c>
      <c r="QYS29" s="160">
        <f t="shared" ref="QYS29" si="6077">QYQ29*$C$29</f>
        <v>1.223515828425314E+82</v>
      </c>
      <c r="QYU29" s="160">
        <f t="shared" ref="QYU29" si="6078">QYS29*$C$29</f>
        <v>1.2602213032780736E+82</v>
      </c>
      <c r="QYW29" s="160">
        <f t="shared" ref="QYW29" si="6079">QYU29*$C$29</f>
        <v>1.2980279423764158E+82</v>
      </c>
      <c r="QYY29" s="160">
        <f t="shared" ref="QYY29" si="6080">QYW29*$C$29</f>
        <v>1.3369687806477084E+82</v>
      </c>
      <c r="QZA29" s="160">
        <f t="shared" ref="QZA29" si="6081">QYY29*$C$29</f>
        <v>1.3770778440671396E+82</v>
      </c>
      <c r="QZC29" s="160">
        <f t="shared" ref="QZC29" si="6082">QZA29*$C$29</f>
        <v>1.4183901793891538E+82</v>
      </c>
      <c r="QZE29" s="160">
        <f t="shared" ref="QZE29" si="6083">QZC29*$C$29</f>
        <v>1.4609418847708285E+82</v>
      </c>
      <c r="QZG29" s="160">
        <f t="shared" ref="QZG29" si="6084">QZE29*$C$29</f>
        <v>1.5047701413139534E+82</v>
      </c>
      <c r="QZI29" s="160">
        <f t="shared" ref="QZI29" si="6085">QZG29*$C$29</f>
        <v>1.549913245553372E+82</v>
      </c>
      <c r="QZK29" s="160">
        <f t="shared" ref="QZK29" si="6086">QZI29*$C$29</f>
        <v>1.5964106429199731E+82</v>
      </c>
      <c r="QZM29" s="160">
        <f t="shared" ref="QZM29" si="6087">QZK29*$C$29</f>
        <v>1.6443029622075723E+82</v>
      </c>
      <c r="QZO29" s="160">
        <f t="shared" ref="QZO29" si="6088">QZM29*$C$29</f>
        <v>1.6936320510737995E+82</v>
      </c>
      <c r="QZQ29" s="160">
        <f t="shared" ref="QZQ29" si="6089">QZO29*$C$29</f>
        <v>1.7444410126060135E+82</v>
      </c>
      <c r="QZS29" s="160">
        <f t="shared" ref="QZS29" si="6090">QZQ29*$C$29</f>
        <v>1.7967742429841939E+82</v>
      </c>
      <c r="QZU29" s="160">
        <f t="shared" ref="QZU29" si="6091">QZS29*$C$29</f>
        <v>1.8506774702737197E+82</v>
      </c>
      <c r="QZW29" s="160">
        <f t="shared" ref="QZW29" si="6092">QZU29*$C$29</f>
        <v>1.9061977943819313E+82</v>
      </c>
      <c r="QZY29" s="160">
        <f t="shared" ref="QZY29" si="6093">QZW29*$C$29</f>
        <v>1.9633837282133892E+82</v>
      </c>
      <c r="RAA29" s="160">
        <f t="shared" ref="RAA29" si="6094">QZY29*$C$29</f>
        <v>2.0222852400597909E+82</v>
      </c>
      <c r="RAC29" s="160">
        <f t="shared" ref="RAC29" si="6095">RAA29*$C$29</f>
        <v>2.0829537972615847E+82</v>
      </c>
      <c r="RAE29" s="160">
        <f t="shared" ref="RAE29" si="6096">RAC29*$C$29</f>
        <v>2.1454424111794324E+82</v>
      </c>
      <c r="RAG29" s="160">
        <f t="shared" ref="RAG29" si="6097">RAE29*$C$29</f>
        <v>2.2098056835148155E+82</v>
      </c>
      <c r="RAI29" s="160">
        <f t="shared" ref="RAI29" si="6098">RAG29*$C$29</f>
        <v>2.2760998540202599E+82</v>
      </c>
      <c r="RAK29" s="160">
        <f t="shared" ref="RAK29" si="6099">RAI29*$C$29</f>
        <v>2.3443828496408679E+82</v>
      </c>
      <c r="RAM29" s="160">
        <f t="shared" ref="RAM29" si="6100">RAK29*$C$29</f>
        <v>2.4147143351300938E+82</v>
      </c>
      <c r="RAO29" s="160">
        <f t="shared" ref="RAO29" si="6101">RAM29*$C$29</f>
        <v>2.4871557651839966E+82</v>
      </c>
      <c r="RAQ29" s="160">
        <f t="shared" ref="RAQ29" si="6102">RAO29*$C$29</f>
        <v>2.5617704381395165E+82</v>
      </c>
      <c r="RAS29" s="160">
        <f t="shared" ref="RAS29" si="6103">RAQ29*$C$29</f>
        <v>2.6386235512837022E+82</v>
      </c>
      <c r="RAU29" s="160">
        <f t="shared" ref="RAU29" si="6104">RAS29*$C$29</f>
        <v>2.7177822578222134E+82</v>
      </c>
      <c r="RAW29" s="160">
        <f t="shared" ref="RAW29" si="6105">RAU29*$C$29</f>
        <v>2.7993157255568797E+82</v>
      </c>
      <c r="RAY29" s="160">
        <f t="shared" ref="RAY29" si="6106">RAW29*$C$29</f>
        <v>2.8832951973235863E+82</v>
      </c>
      <c r="RBA29" s="160">
        <f t="shared" ref="RBA29" si="6107">RAY29*$C$29</f>
        <v>2.9697940532432941E+82</v>
      </c>
      <c r="RBC29" s="160">
        <f t="shared" ref="RBC29" si="6108">RBA29*$C$29</f>
        <v>3.0588878748405929E+82</v>
      </c>
      <c r="RBE29" s="160">
        <f t="shared" ref="RBE29" si="6109">RBC29*$C$29</f>
        <v>3.1506545110858108E+82</v>
      </c>
      <c r="RBG29" s="160">
        <f t="shared" ref="RBG29" si="6110">RBE29*$C$29</f>
        <v>3.2451741464183853E+82</v>
      </c>
      <c r="RBI29" s="160">
        <f t="shared" ref="RBI29" si="6111">RBG29*$C$29</f>
        <v>3.3425293708109372E+82</v>
      </c>
      <c r="RBK29" s="160">
        <f t="shared" ref="RBK29" si="6112">RBI29*$C$29</f>
        <v>3.4428052519352657E+82</v>
      </c>
      <c r="RBM29" s="160">
        <f t="shared" ref="RBM29" si="6113">RBK29*$C$29</f>
        <v>3.5460894094933237E+82</v>
      </c>
      <c r="RBO29" s="160">
        <f t="shared" ref="RBO29" si="6114">RBM29*$C$29</f>
        <v>3.6524720917781235E+82</v>
      </c>
      <c r="RBQ29" s="160">
        <f t="shared" ref="RBQ29" si="6115">RBO29*$C$29</f>
        <v>3.7620462545314673E+82</v>
      </c>
      <c r="RBS29" s="160">
        <f t="shared" ref="RBS29" si="6116">RBQ29*$C$29</f>
        <v>3.8749076421674111E+82</v>
      </c>
      <c r="RBU29" s="160">
        <f t="shared" ref="RBU29" si="6117">RBS29*$C$29</f>
        <v>3.9911548714324337E+82</v>
      </c>
      <c r="RBW29" s="160">
        <f t="shared" ref="RBW29" si="6118">RBU29*$C$29</f>
        <v>4.1108895175754067E+82</v>
      </c>
      <c r="RBY29" s="160">
        <f t="shared" ref="RBY29" si="6119">RBW29*$C$29</f>
        <v>4.2342162031026691E+82</v>
      </c>
      <c r="RCA29" s="160">
        <f t="shared" ref="RCA29" si="6120">RBY29*$C$29</f>
        <v>4.3612426891957491E+82</v>
      </c>
      <c r="RCC29" s="160">
        <f t="shared" ref="RCC29" si="6121">RCA29*$C$29</f>
        <v>4.4920799698716215E+82</v>
      </c>
      <c r="RCE29" s="160">
        <f t="shared" ref="RCE29" si="6122">RCC29*$C$29</f>
        <v>4.6268423689677701E+82</v>
      </c>
      <c r="RCG29" s="160">
        <f t="shared" ref="RCG29" si="6123">RCE29*$C$29</f>
        <v>4.7656476400368033E+82</v>
      </c>
      <c r="RCI29" s="160">
        <f t="shared" ref="RCI29" si="6124">RCG29*$C$29</f>
        <v>4.9086170692379073E+82</v>
      </c>
      <c r="RCK29" s="160">
        <f t="shared" ref="RCK29" si="6125">RCI29*$C$29</f>
        <v>5.0558755813150445E+82</v>
      </c>
      <c r="RCM29" s="160">
        <f t="shared" ref="RCM29" si="6126">RCK29*$C$29</f>
        <v>5.2075518487544956E+82</v>
      </c>
      <c r="RCO29" s="160">
        <f t="shared" ref="RCO29" si="6127">RCM29*$C$29</f>
        <v>5.3637784042171305E+82</v>
      </c>
      <c r="RCQ29" s="160">
        <f t="shared" ref="RCQ29" si="6128">RCO29*$C$29</f>
        <v>5.5246917563436448E+82</v>
      </c>
      <c r="RCS29" s="160">
        <f t="shared" ref="RCS29" si="6129">RCQ29*$C$29</f>
        <v>5.6904325090339539E+82</v>
      </c>
      <c r="RCU29" s="160">
        <f t="shared" ref="RCU29" si="6130">RCS29*$C$29</f>
        <v>5.8611454843049727E+82</v>
      </c>
      <c r="RCW29" s="160">
        <f t="shared" ref="RCW29" si="6131">RCU29*$C$29</f>
        <v>6.0369798488341221E+82</v>
      </c>
      <c r="RCY29" s="160">
        <f t="shared" ref="RCY29" si="6132">RCW29*$C$29</f>
        <v>6.2180892442991454E+82</v>
      </c>
      <c r="RDA29" s="160">
        <f t="shared" ref="RDA29" si="6133">RCY29*$C$29</f>
        <v>6.4046319216281196E+82</v>
      </c>
      <c r="RDC29" s="160">
        <f t="shared" ref="RDC29" si="6134">RDA29*$C$29</f>
        <v>6.596770879276963E+82</v>
      </c>
      <c r="RDE29" s="160">
        <f t="shared" ref="RDE29" si="6135">RDC29*$C$29</f>
        <v>6.7946740056552723E+82</v>
      </c>
      <c r="RDG29" s="160">
        <f t="shared" ref="RDG29" si="6136">RDE29*$C$29</f>
        <v>6.9985142258249307E+82</v>
      </c>
      <c r="RDI29" s="160">
        <f t="shared" ref="RDI29" si="6137">RDG29*$C$29</f>
        <v>7.2084696525996793E+82</v>
      </c>
      <c r="RDK29" s="160">
        <f t="shared" ref="RDK29" si="6138">RDI29*$C$29</f>
        <v>7.4247237421776695E+82</v>
      </c>
      <c r="RDM29" s="160">
        <f t="shared" ref="RDM29" si="6139">RDK29*$C$29</f>
        <v>7.6474654544429995E+82</v>
      </c>
      <c r="RDO29" s="160">
        <f t="shared" ref="RDO29" si="6140">RDM29*$C$29</f>
        <v>7.8768894180762891E+82</v>
      </c>
      <c r="RDQ29" s="160">
        <f t="shared" ref="RDQ29" si="6141">RDO29*$C$29</f>
        <v>8.1131961006185786E+82</v>
      </c>
      <c r="RDS29" s="160">
        <f t="shared" ref="RDS29" si="6142">RDQ29*$C$29</f>
        <v>8.3565919836371362E+82</v>
      </c>
      <c r="RDU29" s="160">
        <f t="shared" ref="RDU29" si="6143">RDS29*$C$29</f>
        <v>8.6072897431462511E+82</v>
      </c>
      <c r="RDW29" s="160">
        <f t="shared" ref="RDW29" si="6144">RDU29*$C$29</f>
        <v>8.8655084354406387E+82</v>
      </c>
      <c r="RDY29" s="160">
        <f t="shared" ref="RDY29" si="6145">RDW29*$C$29</f>
        <v>9.1314736885038581E+82</v>
      </c>
      <c r="REA29" s="160">
        <f t="shared" ref="REA29" si="6146">RDY29*$C$29</f>
        <v>9.4054178991589736E+82</v>
      </c>
      <c r="REC29" s="160">
        <f t="shared" ref="REC29" si="6147">REA29*$C$29</f>
        <v>9.6875804361337425E+82</v>
      </c>
      <c r="REE29" s="160">
        <f t="shared" ref="REE29" si="6148">REC29*$C$29</f>
        <v>9.9782078492177555E+82</v>
      </c>
      <c r="REG29" s="160">
        <f t="shared" ref="REG29" si="6149">REE29*$C$29</f>
        <v>1.0277554084694288E+83</v>
      </c>
      <c r="REI29" s="160">
        <f t="shared" ref="REI29" si="6150">REG29*$C$29</f>
        <v>1.0585880707235117E+83</v>
      </c>
      <c r="REK29" s="160">
        <f t="shared" ref="REK29" si="6151">REI29*$C$29</f>
        <v>1.090345712845217E+83</v>
      </c>
      <c r="REM29" s="160">
        <f t="shared" ref="REM29" si="6152">REK29*$C$29</f>
        <v>1.1230560842305736E+83</v>
      </c>
      <c r="REO29" s="160">
        <f t="shared" ref="REO29" si="6153">REM29*$C$29</f>
        <v>1.1567477667574909E+83</v>
      </c>
      <c r="REQ29" s="160">
        <f t="shared" ref="REQ29" si="6154">REO29*$C$29</f>
        <v>1.1914501997602157E+83</v>
      </c>
      <c r="RES29" s="160">
        <f t="shared" ref="RES29" si="6155">REQ29*$C$29</f>
        <v>1.2271937057530223E+83</v>
      </c>
      <c r="REU29" s="160">
        <f t="shared" ref="REU29" si="6156">RES29*$C$29</f>
        <v>1.264009516925613E+83</v>
      </c>
      <c r="REW29" s="160">
        <f t="shared" ref="REW29" si="6157">REU29*$C$29</f>
        <v>1.3019298024333815E+83</v>
      </c>
      <c r="REY29" s="160">
        <f t="shared" ref="REY29" si="6158">REW29*$C$29</f>
        <v>1.340987696506383E+83</v>
      </c>
      <c r="RFA29" s="160">
        <f t="shared" ref="RFA29" si="6159">REY29*$C$29</f>
        <v>1.3812173274015745E+83</v>
      </c>
      <c r="RFC29" s="160">
        <f t="shared" ref="RFC29" si="6160">RFA29*$C$29</f>
        <v>1.4226538472236218E+83</v>
      </c>
      <c r="RFE29" s="160">
        <f t="shared" ref="RFE29" si="6161">RFC29*$C$29</f>
        <v>1.4653334626403306E+83</v>
      </c>
      <c r="RFG29" s="160">
        <f t="shared" ref="RFG29" si="6162">RFE29*$C$29</f>
        <v>1.5092934665195404E+83</v>
      </c>
      <c r="RFI29" s="160">
        <f t="shared" ref="RFI29" si="6163">RFG29*$C$29</f>
        <v>1.5545722705151267E+83</v>
      </c>
      <c r="RFK29" s="160">
        <f t="shared" ref="RFK29" si="6164">RFI29*$C$29</f>
        <v>1.6012094386305807E+83</v>
      </c>
      <c r="RFM29" s="160">
        <f t="shared" ref="RFM29" si="6165">RFK29*$C$29</f>
        <v>1.6492457217894981E+83</v>
      </c>
      <c r="RFO29" s="160">
        <f t="shared" ref="RFO29" si="6166">RFM29*$C$29</f>
        <v>1.6987230934431831E+83</v>
      </c>
      <c r="RFQ29" s="160">
        <f t="shared" ref="RFQ29" si="6167">RFO29*$C$29</f>
        <v>1.7496847862464787E+83</v>
      </c>
      <c r="RFS29" s="160">
        <f t="shared" ref="RFS29" si="6168">RFQ29*$C$29</f>
        <v>1.8021753298338733E+83</v>
      </c>
      <c r="RFU29" s="160">
        <f t="shared" ref="RFU29" si="6169">RFS29*$C$29</f>
        <v>1.8562405897288894E+83</v>
      </c>
      <c r="RFW29" s="160">
        <f t="shared" ref="RFW29" si="6170">RFU29*$C$29</f>
        <v>1.911927807420756E+83</v>
      </c>
      <c r="RFY29" s="160">
        <f t="shared" ref="RFY29" si="6171">RFW29*$C$29</f>
        <v>1.9692856416433788E+83</v>
      </c>
      <c r="RGA29" s="160">
        <f t="shared" ref="RGA29" si="6172">RFY29*$C$29</f>
        <v>2.0283642108926804E+83</v>
      </c>
      <c r="RGC29" s="160">
        <f t="shared" ref="RGC29" si="6173">RGA29*$C$29</f>
        <v>2.0892151372194608E+83</v>
      </c>
      <c r="RGE29" s="160">
        <f t="shared" ref="RGE29" si="6174">RGC29*$C$29</f>
        <v>2.1518915913360447E+83</v>
      </c>
      <c r="RGG29" s="160">
        <f t="shared" ref="RGG29" si="6175">RGE29*$C$29</f>
        <v>2.216448339076126E+83</v>
      </c>
      <c r="RGI29" s="160">
        <f t="shared" ref="RGI29" si="6176">RGG29*$C$29</f>
        <v>2.2829417892484099E+83</v>
      </c>
      <c r="RGK29" s="160">
        <f t="shared" ref="RGK29" si="6177">RGI29*$C$29</f>
        <v>2.3514300429258624E+83</v>
      </c>
      <c r="RGM29" s="160">
        <f t="shared" ref="RGM29" si="6178">RGK29*$C$29</f>
        <v>2.4219729442136383E+83</v>
      </c>
      <c r="RGO29" s="160">
        <f t="shared" ref="RGO29" si="6179">RGM29*$C$29</f>
        <v>2.4946321325400473E+83</v>
      </c>
      <c r="RGQ29" s="160">
        <f t="shared" ref="RGQ29" si="6180">RGO29*$C$29</f>
        <v>2.5694710965162485E+83</v>
      </c>
      <c r="RGS29" s="160">
        <f t="shared" ref="RGS29" si="6181">RGQ29*$C$29</f>
        <v>2.6465552294117358E+83</v>
      </c>
      <c r="RGU29" s="160">
        <f t="shared" ref="RGU29" si="6182">RGS29*$C$29</f>
        <v>2.7259518862940881E+83</v>
      </c>
      <c r="RGW29" s="160">
        <f t="shared" ref="RGW29" si="6183">RGU29*$C$29</f>
        <v>2.8077304428829107E+83</v>
      </c>
      <c r="RGY29" s="160">
        <f t="shared" ref="RGY29" si="6184">RGW29*$C$29</f>
        <v>2.8919623561693979E+83</v>
      </c>
      <c r="RHA29" s="160">
        <f t="shared" ref="RHA29" si="6185">RGY29*$C$29</f>
        <v>2.9787212268544797E+83</v>
      </c>
      <c r="RHC29" s="160">
        <f t="shared" ref="RHC29" si="6186">RHA29*$C$29</f>
        <v>3.068082863660114E+83</v>
      </c>
      <c r="RHE29" s="160">
        <f t="shared" ref="RHE29" si="6187">RHC29*$C$29</f>
        <v>3.1601253495699176E+83</v>
      </c>
      <c r="RHG29" s="160">
        <f t="shared" ref="RHG29" si="6188">RHE29*$C$29</f>
        <v>3.2549291100570153E+83</v>
      </c>
      <c r="RHI29" s="160">
        <f t="shared" ref="RHI29" si="6189">RHG29*$C$29</f>
        <v>3.3525769833587257E+83</v>
      </c>
      <c r="RHK29" s="160">
        <f t="shared" ref="RHK29" si="6190">RHI29*$C$29</f>
        <v>3.4531542928594874E+83</v>
      </c>
      <c r="RHM29" s="160">
        <f t="shared" ref="RHM29" si="6191">RHK29*$C$29</f>
        <v>3.5567489216452719E+83</v>
      </c>
      <c r="RHO29" s="160">
        <f t="shared" ref="RHO29" si="6192">RHM29*$C$29</f>
        <v>3.6634513892946304E+83</v>
      </c>
      <c r="RHQ29" s="160">
        <f t="shared" ref="RHQ29" si="6193">RHO29*$C$29</f>
        <v>3.7733549309734697E+83</v>
      </c>
      <c r="RHS29" s="160">
        <f t="shared" ref="RHS29" si="6194">RHQ29*$C$29</f>
        <v>3.886555578902674E+83</v>
      </c>
      <c r="RHU29" s="160">
        <f t="shared" ref="RHU29" si="6195">RHS29*$C$29</f>
        <v>4.0031522462697544E+83</v>
      </c>
      <c r="RHW29" s="160">
        <f t="shared" ref="RHW29" si="6196">RHU29*$C$29</f>
        <v>4.123246813657847E+83</v>
      </c>
      <c r="RHY29" s="160">
        <f t="shared" ref="RHY29" si="6197">RHW29*$C$29</f>
        <v>4.2469442180675824E+83</v>
      </c>
      <c r="RIA29" s="160">
        <f t="shared" ref="RIA29" si="6198">RHY29*$C$29</f>
        <v>4.3743525446096099E+83</v>
      </c>
      <c r="RIC29" s="160">
        <f t="shared" ref="RIC29" si="6199">RIA29*$C$29</f>
        <v>4.5055831209478982E+83</v>
      </c>
      <c r="RIE29" s="160">
        <f t="shared" ref="RIE29" si="6200">RIC29*$C$29</f>
        <v>4.6407506145763354E+83</v>
      </c>
      <c r="RIG29" s="160">
        <f t="shared" ref="RIG29" si="6201">RIE29*$C$29</f>
        <v>4.7799731330136256E+83</v>
      </c>
      <c r="RII29" s="160">
        <f t="shared" ref="RII29" si="6202">RIG29*$C$29</f>
        <v>4.9233723270040347E+83</v>
      </c>
      <c r="RIK29" s="160">
        <f t="shared" ref="RIK29" si="6203">RII29*$C$29</f>
        <v>5.0710734968141557E+83</v>
      </c>
      <c r="RIM29" s="160">
        <f t="shared" ref="RIM29" si="6204">RIK29*$C$29</f>
        <v>5.2232057017185806E+83</v>
      </c>
      <c r="RIO29" s="160">
        <f t="shared" ref="RIO29" si="6205">RIM29*$C$29</f>
        <v>5.3799018727701377E+83</v>
      </c>
      <c r="RIQ29" s="160">
        <f t="shared" ref="RIQ29" si="6206">RIO29*$C$29</f>
        <v>5.5412989289532415E+83</v>
      </c>
      <c r="RIS29" s="160">
        <f t="shared" ref="RIS29" si="6207">RIQ29*$C$29</f>
        <v>5.7075378968218395E+83</v>
      </c>
      <c r="RIU29" s="160">
        <f t="shared" ref="RIU29" si="6208">RIS29*$C$29</f>
        <v>5.8787640337264953E+83</v>
      </c>
      <c r="RIW29" s="160">
        <f t="shared" ref="RIW29" si="6209">RIU29*$C$29</f>
        <v>6.0551269547382898E+83</v>
      </c>
      <c r="RIY29" s="160">
        <f t="shared" ref="RIY29" si="6210">RIW29*$C$29</f>
        <v>6.2367807633804391E+83</v>
      </c>
      <c r="RJA29" s="160">
        <f t="shared" ref="RJA29" si="6211">RIY29*$C$29</f>
        <v>6.4238841862818524E+83</v>
      </c>
      <c r="RJC29" s="160">
        <f t="shared" ref="RJC29" si="6212">RJA29*$C$29</f>
        <v>6.6166007118703077E+83</v>
      </c>
      <c r="RJE29" s="160">
        <f t="shared" ref="RJE29" si="6213">RJC29*$C$29</f>
        <v>6.815098733226417E+83</v>
      </c>
      <c r="RJG29" s="160">
        <f t="shared" ref="RJG29" si="6214">RJE29*$C$29</f>
        <v>7.0195516952232094E+83</v>
      </c>
      <c r="RJI29" s="160">
        <f t="shared" ref="RJI29" si="6215">RJG29*$C$29</f>
        <v>7.2301382460799059E+83</v>
      </c>
      <c r="RJK29" s="160">
        <f t="shared" ref="RJK29" si="6216">RJI29*$C$29</f>
        <v>7.4470423934623035E+83</v>
      </c>
      <c r="RJM29" s="160">
        <f t="shared" ref="RJM29" si="6217">RJK29*$C$29</f>
        <v>7.670453665266173E+83</v>
      </c>
      <c r="RJO29" s="160">
        <f t="shared" ref="RJO29" si="6218">RJM29*$C$29</f>
        <v>7.9005672752241579E+83</v>
      </c>
      <c r="RJQ29" s="160">
        <f t="shared" ref="RJQ29" si="6219">RJO29*$C$29</f>
        <v>8.1375842934808826E+83</v>
      </c>
      <c r="RJS29" s="160">
        <f t="shared" ref="RJS29" si="6220">RJQ29*$C$29</f>
        <v>8.3817118222853092E+83</v>
      </c>
      <c r="RJU29" s="160">
        <f t="shared" ref="RJU29" si="6221">RJS29*$C$29</f>
        <v>8.6331631769538684E+83</v>
      </c>
      <c r="RJW29" s="160">
        <f t="shared" ref="RJW29" si="6222">RJU29*$C$29</f>
        <v>8.8921580722624846E+83</v>
      </c>
      <c r="RJY29" s="160">
        <f t="shared" ref="RJY29" si="6223">RJW29*$C$29</f>
        <v>9.1589228144303591E+83</v>
      </c>
      <c r="RKA29" s="160">
        <f t="shared" ref="RKA29" si="6224">RJY29*$C$29</f>
        <v>9.4336904988632695E+83</v>
      </c>
      <c r="RKC29" s="160">
        <f t="shared" ref="RKC29" si="6225">RKA29*$C$29</f>
        <v>9.7167012138291671E+83</v>
      </c>
      <c r="RKE29" s="160">
        <f t="shared" ref="RKE29" si="6226">RKC29*$C$29</f>
        <v>1.0008202250244043E+84</v>
      </c>
      <c r="RKG29" s="160">
        <f t="shared" ref="RKG29" si="6227">RKE29*$C$29</f>
        <v>1.0308448317751364E+84</v>
      </c>
      <c r="RKI29" s="160">
        <f t="shared" ref="RKI29" si="6228">RKG29*$C$29</f>
        <v>1.0617701767283904E+84</v>
      </c>
      <c r="RKK29" s="160">
        <f t="shared" ref="RKK29" si="6229">RKI29*$C$29</f>
        <v>1.0936232820302421E+84</v>
      </c>
      <c r="RKM29" s="160">
        <f t="shared" ref="RKM29" si="6230">RKK29*$C$29</f>
        <v>1.1264319804911494E+84</v>
      </c>
      <c r="RKO29" s="160">
        <f t="shared" ref="RKO29" si="6231">RKM29*$C$29</f>
        <v>1.160224939905884E+84</v>
      </c>
      <c r="RKQ29" s="160">
        <f t="shared" ref="RKQ29" si="6232">RKO29*$C$29</f>
        <v>1.1950316881030605E+84</v>
      </c>
      <c r="RKS29" s="160">
        <f t="shared" ref="RKS29" si="6233">RKQ29*$C$29</f>
        <v>1.2308826387461522E+84</v>
      </c>
      <c r="RKU29" s="160">
        <f t="shared" ref="RKU29" si="6234">RKS29*$C$29</f>
        <v>1.2678091179085369E+84</v>
      </c>
      <c r="RKW29" s="160">
        <f t="shared" ref="RKW29" si="6235">RKU29*$C$29</f>
        <v>1.305843391445793E+84</v>
      </c>
      <c r="RKY29" s="160">
        <f t="shared" ref="RKY29" si="6236">RKW29*$C$29</f>
        <v>1.3450186931891668E+84</v>
      </c>
      <c r="RLA29" s="160">
        <f t="shared" ref="RLA29" si="6237">RKY29*$C$29</f>
        <v>1.3853692539848419E+84</v>
      </c>
      <c r="RLC29" s="160">
        <f t="shared" ref="RLC29" si="6238">RLA29*$C$29</f>
        <v>1.4269303316043871E+84</v>
      </c>
      <c r="RLE29" s="160">
        <f t="shared" ref="RLE29" si="6239">RLC29*$C$29</f>
        <v>1.4697382415525188E+84</v>
      </c>
      <c r="RLG29" s="160">
        <f t="shared" ref="RLG29" si="6240">RLE29*$C$29</f>
        <v>1.5138303887990943E+84</v>
      </c>
      <c r="RLI29" s="160">
        <f t="shared" ref="RLI29" si="6241">RLG29*$C$29</f>
        <v>1.5592453004630673E+84</v>
      </c>
      <c r="RLK29" s="160">
        <f t="shared" ref="RLK29" si="6242">RLI29*$C$29</f>
        <v>1.6060226594769594E+84</v>
      </c>
      <c r="RLM29" s="160">
        <f t="shared" ref="RLM29" si="6243">RLK29*$C$29</f>
        <v>1.6542033392612682E+84</v>
      </c>
      <c r="RLO29" s="160">
        <f t="shared" ref="RLO29" si="6244">RLM29*$C$29</f>
        <v>1.7038294394391063E+84</v>
      </c>
      <c r="RLQ29" s="160">
        <f t="shared" ref="RLQ29" si="6245">RLO29*$C$29</f>
        <v>1.7549443226222795E+84</v>
      </c>
      <c r="RLS29" s="160">
        <f t="shared" ref="RLS29" si="6246">RLQ29*$C$29</f>
        <v>1.8075926523009479E+84</v>
      </c>
      <c r="RLU29" s="160">
        <f t="shared" ref="RLU29" si="6247">RLS29*$C$29</f>
        <v>1.8618204318699765E+84</v>
      </c>
      <c r="RLW29" s="160">
        <f t="shared" ref="RLW29" si="6248">RLU29*$C$29</f>
        <v>1.9176750448260758E+84</v>
      </c>
      <c r="RLY29" s="160">
        <f t="shared" ref="RLY29" si="6249">RLW29*$C$29</f>
        <v>1.9752052961708581E+84</v>
      </c>
      <c r="RMA29" s="160">
        <f t="shared" ref="RMA29" si="6250">RLY29*$C$29</f>
        <v>2.0344614550559838E+84</v>
      </c>
      <c r="RMC29" s="160">
        <f t="shared" ref="RMC29" si="6251">RMA29*$C$29</f>
        <v>2.0954952987076633E+84</v>
      </c>
      <c r="RME29" s="160">
        <f t="shared" ref="RME29" si="6252">RMC29*$C$29</f>
        <v>2.1583601576688932E+84</v>
      </c>
      <c r="RMG29" s="160">
        <f t="shared" ref="RMG29" si="6253">RME29*$C$29</f>
        <v>2.2231109623989602E+84</v>
      </c>
      <c r="RMI29" s="160">
        <f t="shared" ref="RMI29" si="6254">RMG29*$C$29</f>
        <v>2.2898042912709292E+84</v>
      </c>
      <c r="RMK29" s="160">
        <f t="shared" ref="RMK29" si="6255">RMI29*$C$29</f>
        <v>2.3584984200090571E+84</v>
      </c>
      <c r="RMM29" s="160">
        <f t="shared" ref="RMM29" si="6256">RMK29*$C$29</f>
        <v>2.4292533726093288E+84</v>
      </c>
      <c r="RMO29" s="160">
        <f t="shared" ref="RMO29" si="6257">RMM29*$C$29</f>
        <v>2.5021309737876088E+84</v>
      </c>
      <c r="RMQ29" s="160">
        <f t="shared" ref="RMQ29" si="6258">RMO29*$C$29</f>
        <v>2.577194903001237E+84</v>
      </c>
      <c r="RMS29" s="160">
        <f t="shared" ref="RMS29" si="6259">RMQ29*$C$29</f>
        <v>2.6545107500912743E+84</v>
      </c>
      <c r="RMU29" s="160">
        <f t="shared" ref="RMU29" si="6260">RMS29*$C$29</f>
        <v>2.7341460725940125E+84</v>
      </c>
      <c r="RMW29" s="160">
        <f t="shared" ref="RMW29" si="6261">RMU29*$C$29</f>
        <v>2.8161704547718329E+84</v>
      </c>
      <c r="RMY29" s="160">
        <f t="shared" ref="RMY29" si="6262">RMW29*$C$29</f>
        <v>2.900655568414988E+84</v>
      </c>
      <c r="RNA29" s="160">
        <f t="shared" ref="RNA29" si="6263">RMY29*$C$29</f>
        <v>2.9876752354674378E+84</v>
      </c>
      <c r="RNC29" s="160">
        <f t="shared" ref="RNC29" si="6264">RNA29*$C$29</f>
        <v>3.077305492531461E+84</v>
      </c>
      <c r="RNE29" s="160">
        <f t="shared" ref="RNE29" si="6265">RNC29*$C$29</f>
        <v>3.1696246573074048E+84</v>
      </c>
      <c r="RNG29" s="160">
        <f t="shared" ref="RNG29" si="6266">RNE29*$C$29</f>
        <v>3.264713397026627E+84</v>
      </c>
      <c r="RNI29" s="160">
        <f t="shared" ref="RNI29" si="6267">RNG29*$C$29</f>
        <v>3.3626547989374261E+84</v>
      </c>
      <c r="RNK29" s="160">
        <f t="shared" ref="RNK29" si="6268">RNI29*$C$29</f>
        <v>3.4635344429055489E+84</v>
      </c>
      <c r="RNM29" s="160">
        <f t="shared" ref="RNM29" si="6269">RNK29*$C$29</f>
        <v>3.5674404761927153E+84</v>
      </c>
      <c r="RNO29" s="160">
        <f t="shared" ref="RNO29" si="6270">RNM29*$C$29</f>
        <v>3.6744636904784968E+84</v>
      </c>
      <c r="RNQ29" s="160">
        <f t="shared" ref="RNQ29" si="6271">RNO29*$C$29</f>
        <v>3.784697601192852E+84</v>
      </c>
      <c r="RNS29" s="160">
        <f t="shared" ref="RNS29" si="6272">RNQ29*$C$29</f>
        <v>3.8982385292286373E+84</v>
      </c>
      <c r="RNU29" s="160">
        <f t="shared" ref="RNU29" si="6273">RNS29*$C$29</f>
        <v>4.0151856851054964E+84</v>
      </c>
      <c r="RNW29" s="160">
        <f t="shared" ref="RNW29" si="6274">RNU29*$C$29</f>
        <v>4.1356412556586612E+84</v>
      </c>
      <c r="RNY29" s="160">
        <f t="shared" ref="RNY29" si="6275">RNW29*$C$29</f>
        <v>4.2597104933284211E+84</v>
      </c>
      <c r="ROA29" s="160">
        <f t="shared" ref="ROA29" si="6276">RNY29*$C$29</f>
        <v>4.3875018081282734E+84</v>
      </c>
      <c r="ROC29" s="160">
        <f t="shared" ref="ROC29" si="6277">ROA29*$C$29</f>
        <v>4.5191268623721214E+84</v>
      </c>
      <c r="ROE29" s="160">
        <f t="shared" ref="ROE29" si="6278">ROC29*$C$29</f>
        <v>4.6547006682432854E+84</v>
      </c>
      <c r="ROG29" s="160">
        <f t="shared" ref="ROG29" si="6279">ROE29*$C$29</f>
        <v>4.7943416882905841E+84</v>
      </c>
      <c r="ROI29" s="160">
        <f t="shared" ref="ROI29" si="6280">ROG29*$C$29</f>
        <v>4.9381719389393014E+84</v>
      </c>
      <c r="ROK29" s="160">
        <f t="shared" ref="ROK29" si="6281">ROI29*$C$29</f>
        <v>5.0863170971074807E+84</v>
      </c>
      <c r="ROM29" s="160">
        <f t="shared" ref="ROM29" si="6282">ROK29*$C$29</f>
        <v>5.2389066100207055E+84</v>
      </c>
      <c r="ROO29" s="160">
        <f t="shared" ref="ROO29" si="6283">ROM29*$C$29</f>
        <v>5.3960738083213264E+84</v>
      </c>
      <c r="ROQ29" s="160">
        <f t="shared" ref="ROQ29" si="6284">ROO29*$C$29</f>
        <v>5.5579560225709665E+84</v>
      </c>
      <c r="ROS29" s="160">
        <f t="shared" ref="ROS29" si="6285">ROQ29*$C$29</f>
        <v>5.7246947032480957E+84</v>
      </c>
      <c r="ROU29" s="160">
        <f t="shared" ref="ROU29" si="6286">ROS29*$C$29</f>
        <v>5.8964355443455389E+84</v>
      </c>
      <c r="ROW29" s="160">
        <f t="shared" ref="ROW29" si="6287">ROU29*$C$29</f>
        <v>6.0733286106759054E+84</v>
      </c>
      <c r="ROY29" s="160">
        <f t="shared" ref="ROY29" si="6288">ROW29*$C$29</f>
        <v>6.2555284689961826E+84</v>
      </c>
      <c r="RPA29" s="160">
        <f t="shared" ref="RPA29" si="6289">ROY29*$C$29</f>
        <v>6.4431943230660685E+84</v>
      </c>
      <c r="RPC29" s="160">
        <f t="shared" ref="RPC29" si="6290">RPA29*$C$29</f>
        <v>6.6364901527580505E+84</v>
      </c>
      <c r="RPE29" s="160">
        <f t="shared" ref="RPE29" si="6291">RPC29*$C$29</f>
        <v>6.835584857340792E+84</v>
      </c>
      <c r="RPG29" s="160">
        <f t="shared" ref="RPG29" si="6292">RPE29*$C$29</f>
        <v>7.0406524030610156E+84</v>
      </c>
      <c r="RPI29" s="160">
        <f t="shared" ref="RPI29" si="6293">RPG29*$C$29</f>
        <v>7.2518719751528459E+84</v>
      </c>
      <c r="RPK29" s="160">
        <f t="shared" ref="RPK29" si="6294">RPI29*$C$29</f>
        <v>7.4694281344074312E+84</v>
      </c>
      <c r="RPM29" s="160">
        <f t="shared" ref="RPM29" si="6295">RPK29*$C$29</f>
        <v>7.6935109784396545E+84</v>
      </c>
      <c r="RPO29" s="160">
        <f t="shared" ref="RPO29" si="6296">RPM29*$C$29</f>
        <v>7.9243163077928444E+84</v>
      </c>
      <c r="RPQ29" s="160">
        <f t="shared" ref="RPQ29" si="6297">RPO29*$C$29</f>
        <v>8.1620457970266294E+84</v>
      </c>
      <c r="RPS29" s="160">
        <f t="shared" ref="RPS29" si="6298">RPQ29*$C$29</f>
        <v>8.4069071709374277E+84</v>
      </c>
      <c r="RPU29" s="160">
        <f t="shared" ref="RPU29" si="6299">RPS29*$C$29</f>
        <v>8.6591143860655507E+84</v>
      </c>
      <c r="RPW29" s="160">
        <f t="shared" ref="RPW29" si="6300">RPU29*$C$29</f>
        <v>8.918887817647518E+84</v>
      </c>
      <c r="RPY29" s="160">
        <f t="shared" ref="RPY29" si="6301">RPW29*$C$29</f>
        <v>9.186454452176943E+84</v>
      </c>
      <c r="RQA29" s="160">
        <f t="shared" ref="RQA29" si="6302">RPY29*$C$29</f>
        <v>9.4620480857422519E+84</v>
      </c>
      <c r="RQC29" s="160">
        <f t="shared" ref="RQC29" si="6303">RQA29*$C$29</f>
        <v>9.7459095283145191E+84</v>
      </c>
      <c r="RQE29" s="160">
        <f t="shared" ref="RQE29" si="6304">RQC29*$C$29</f>
        <v>1.0038286814163955E+85</v>
      </c>
      <c r="RQG29" s="160">
        <f t="shared" ref="RQG29" si="6305">RQE29*$C$29</f>
        <v>1.0339435418588873E+85</v>
      </c>
      <c r="RQI29" s="160">
        <f t="shared" ref="RQI29" si="6306">RQG29*$C$29</f>
        <v>1.064961848114654E+85</v>
      </c>
      <c r="RQK29" s="160">
        <f t="shared" ref="RQK29" si="6307">RQI29*$C$29</f>
        <v>1.0969107035580937E+85</v>
      </c>
      <c r="RQM29" s="160">
        <f t="shared" ref="RQM29" si="6308">RQK29*$C$29</f>
        <v>1.1298180246648365E+85</v>
      </c>
      <c r="RQO29" s="160">
        <f t="shared" ref="RQO29" si="6309">RQM29*$C$29</f>
        <v>1.1637125654047817E+85</v>
      </c>
      <c r="RQQ29" s="160">
        <f t="shared" ref="RQQ29" si="6310">RQO29*$C$29</f>
        <v>1.1986239423669252E+85</v>
      </c>
      <c r="RQS29" s="160">
        <f t="shared" ref="RQS29" si="6311">RQQ29*$C$29</f>
        <v>1.234582660637933E+85</v>
      </c>
      <c r="RQU29" s="160">
        <f t="shared" ref="RQU29" si="6312">RQS29*$C$29</f>
        <v>1.2716201404570709E+85</v>
      </c>
      <c r="RQW29" s="160">
        <f t="shared" ref="RQW29" si="6313">RQU29*$C$29</f>
        <v>1.309768744670783E+85</v>
      </c>
      <c r="RQY29" s="160">
        <f t="shared" ref="RQY29" si="6314">RQW29*$C$29</f>
        <v>1.3490618070109066E+85</v>
      </c>
      <c r="RRA29" s="160">
        <f t="shared" ref="RRA29" si="6315">RQY29*$C$29</f>
        <v>1.3895336612212337E+85</v>
      </c>
      <c r="RRC29" s="160">
        <f t="shared" ref="RRC29" si="6316">RRA29*$C$29</f>
        <v>1.4312196710578708E+85</v>
      </c>
      <c r="RRE29" s="160">
        <f t="shared" ref="RRE29" si="6317">RRC29*$C$29</f>
        <v>1.4741562611896069E+85</v>
      </c>
      <c r="RRG29" s="160">
        <f t="shared" ref="RRG29" si="6318">RRE29*$C$29</f>
        <v>1.5183809490252951E+85</v>
      </c>
      <c r="RRI29" s="160">
        <f t="shared" ref="RRI29" si="6319">RRG29*$C$29</f>
        <v>1.5639323774960541E+85</v>
      </c>
      <c r="RRK29" s="160">
        <f t="shared" ref="RRK29" si="6320">RRI29*$C$29</f>
        <v>1.6108503488209357E+85</v>
      </c>
      <c r="RRM29" s="160">
        <f t="shared" ref="RRM29" si="6321">RRK29*$C$29</f>
        <v>1.6591758592855637E+85</v>
      </c>
      <c r="RRO29" s="160">
        <f t="shared" ref="RRO29" si="6322">RRM29*$C$29</f>
        <v>1.7089511350641308E+85</v>
      </c>
      <c r="RRQ29" s="160">
        <f t="shared" ref="RRQ29" si="6323">RRO29*$C$29</f>
        <v>1.7602196691160547E+85</v>
      </c>
      <c r="RRS29" s="160">
        <f t="shared" ref="RRS29" si="6324">RRQ29*$C$29</f>
        <v>1.8130262591895363E+85</v>
      </c>
      <c r="RRU29" s="160">
        <f t="shared" ref="RRU29" si="6325">RRS29*$C$29</f>
        <v>1.8674170469652224E+85</v>
      </c>
      <c r="RRW29" s="160">
        <f t="shared" ref="RRW29" si="6326">RRU29*$C$29</f>
        <v>1.923439558374179E+85</v>
      </c>
      <c r="RRY29" s="160">
        <f t="shared" ref="RRY29" si="6327">RRW29*$C$29</f>
        <v>1.9811427451254045E+85</v>
      </c>
      <c r="RSA29" s="160">
        <f t="shared" ref="RSA29" si="6328">RRY29*$C$29</f>
        <v>2.0405770274791666E+85</v>
      </c>
      <c r="RSC29" s="160">
        <f t="shared" ref="RSC29" si="6329">RSA29*$C$29</f>
        <v>2.1017943383035417E+85</v>
      </c>
      <c r="RSE29" s="160">
        <f t="shared" ref="RSE29" si="6330">RSC29*$C$29</f>
        <v>2.1648481684526481E+85</v>
      </c>
      <c r="RSG29" s="160">
        <f t="shared" ref="RSG29" si="6331">RSE29*$C$29</f>
        <v>2.2297936135062277E+85</v>
      </c>
      <c r="RSI29" s="160">
        <f t="shared" ref="RSI29" si="6332">RSG29*$C$29</f>
        <v>2.2966874219114146E+85</v>
      </c>
      <c r="RSK29" s="160">
        <f t="shared" ref="RSK29" si="6333">RSI29*$C$29</f>
        <v>2.3655880445687573E+85</v>
      </c>
      <c r="RSM29" s="160">
        <f t="shared" ref="RSM29" si="6334">RSK29*$C$29</f>
        <v>2.4365556859058202E+85</v>
      </c>
      <c r="RSO29" s="160">
        <f t="shared" ref="RSO29" si="6335">RSM29*$C$29</f>
        <v>2.5096523564829949E+85</v>
      </c>
      <c r="RSQ29" s="160">
        <f t="shared" ref="RSQ29" si="6336">RSO29*$C$29</f>
        <v>2.5849419271774849E+85</v>
      </c>
      <c r="RSS29" s="160">
        <f t="shared" ref="RSS29" si="6337">RSQ29*$C$29</f>
        <v>2.6624901849928094E+85</v>
      </c>
      <c r="RSU29" s="160">
        <f t="shared" ref="RSU29" si="6338">RSS29*$C$29</f>
        <v>2.7423648905425936E+85</v>
      </c>
      <c r="RSW29" s="160">
        <f t="shared" ref="RSW29" si="6339">RSU29*$C$29</f>
        <v>2.8246358372588716E+85</v>
      </c>
      <c r="RSY29" s="160">
        <f t="shared" ref="RSY29" si="6340">RSW29*$C$29</f>
        <v>2.9093749123766378E+85</v>
      </c>
      <c r="RTA29" s="160">
        <f t="shared" ref="RTA29" si="6341">RSY29*$C$29</f>
        <v>2.9966561597479369E+85</v>
      </c>
      <c r="RTC29" s="160">
        <f t="shared" ref="RTC29" si="6342">RTA29*$C$29</f>
        <v>3.0865558445403753E+85</v>
      </c>
      <c r="RTE29" s="160">
        <f t="shared" ref="RTE29" si="6343">RTC29*$C$29</f>
        <v>3.1791525198765868E+85</v>
      </c>
      <c r="RTG29" s="160">
        <f t="shared" ref="RTG29" si="6344">RTE29*$C$29</f>
        <v>3.2745270954728844E+85</v>
      </c>
      <c r="RTI29" s="160">
        <f t="shared" ref="RTI29" si="6345">RTG29*$C$29</f>
        <v>3.372762908337071E+85</v>
      </c>
      <c r="RTK29" s="160">
        <f t="shared" ref="RTK29" si="6346">RTI29*$C$29</f>
        <v>3.4739457955871834E+85</v>
      </c>
      <c r="RTM29" s="160">
        <f t="shared" ref="RTM29" si="6347">RTK29*$C$29</f>
        <v>3.5781641694547989E+85</v>
      </c>
      <c r="RTO29" s="160">
        <f t="shared" ref="RTO29" si="6348">RTM29*$C$29</f>
        <v>3.6855090945384428E+85</v>
      </c>
      <c r="RTQ29" s="160">
        <f t="shared" ref="RTQ29" si="6349">RTO29*$C$29</f>
        <v>3.7960743673745958E+85</v>
      </c>
      <c r="RTS29" s="160">
        <f t="shared" ref="RTS29" si="6350">RTQ29*$C$29</f>
        <v>3.9099565983958341E+85</v>
      </c>
      <c r="RTU29" s="160">
        <f t="shared" ref="RTU29" si="6351">RTS29*$C$29</f>
        <v>4.0272552963477089E+85</v>
      </c>
      <c r="RTW29" s="160">
        <f t="shared" ref="RTW29" si="6352">RTU29*$C$29</f>
        <v>4.1480729552381401E+85</v>
      </c>
      <c r="RTY29" s="160">
        <f t="shared" ref="RTY29" si="6353">RTW29*$C$29</f>
        <v>4.2725151438952841E+85</v>
      </c>
      <c r="RUA29" s="160">
        <f t="shared" ref="RUA29" si="6354">RTY29*$C$29</f>
        <v>4.400690598212143E+85</v>
      </c>
      <c r="RUC29" s="160">
        <f t="shared" ref="RUC29" si="6355">RUA29*$C$29</f>
        <v>4.5327113161585074E+85</v>
      </c>
      <c r="RUE29" s="160">
        <f t="shared" ref="RUE29" si="6356">RUC29*$C$29</f>
        <v>4.6686926556432627E+85</v>
      </c>
      <c r="RUG29" s="160">
        <f t="shared" ref="RUG29" si="6357">RUE29*$C$29</f>
        <v>4.8087534353125606E+85</v>
      </c>
      <c r="RUI29" s="160">
        <f t="shared" ref="RUI29" si="6358">RUG29*$C$29</f>
        <v>4.9530160383719374E+85</v>
      </c>
      <c r="RUK29" s="160">
        <f t="shared" ref="RUK29" si="6359">RUI29*$C$29</f>
        <v>5.1016065195230956E+85</v>
      </c>
      <c r="RUM29" s="160">
        <f t="shared" ref="RUM29" si="6360">RUK29*$C$29</f>
        <v>5.2546547151087884E+85</v>
      </c>
      <c r="RUO29" s="160">
        <f t="shared" ref="RUO29" si="6361">RUM29*$C$29</f>
        <v>5.4122943565620519E+85</v>
      </c>
      <c r="RUQ29" s="160">
        <f t="shared" ref="RUQ29" si="6362">RUO29*$C$29</f>
        <v>5.5746631872589134E+85</v>
      </c>
      <c r="RUS29" s="160">
        <f t="shared" ref="RUS29" si="6363">RUQ29*$C$29</f>
        <v>5.741903082876681E+85</v>
      </c>
      <c r="RUU29" s="160">
        <f t="shared" ref="RUU29" si="6364">RUS29*$C$29</f>
        <v>5.9141601753629818E+85</v>
      </c>
      <c r="RUW29" s="160">
        <f t="shared" ref="RUW29" si="6365">RUU29*$C$29</f>
        <v>6.0915849806238717E+85</v>
      </c>
      <c r="RUY29" s="160">
        <f t="shared" ref="RUY29" si="6366">RUW29*$C$29</f>
        <v>6.2743325300425878E+85</v>
      </c>
      <c r="RVA29" s="160">
        <f t="shared" ref="RVA29" si="6367">RUY29*$C$29</f>
        <v>6.4625625059438662E+85</v>
      </c>
      <c r="RVC29" s="160">
        <f t="shared" ref="RVC29" si="6368">RVA29*$C$29</f>
        <v>6.6564393811221823E+85</v>
      </c>
      <c r="RVE29" s="160">
        <f t="shared" ref="RVE29" si="6369">RVC29*$C$29</f>
        <v>6.8561325625558473E+85</v>
      </c>
      <c r="RVG29" s="160">
        <f t="shared" ref="RVG29" si="6370">RVE29*$C$29</f>
        <v>7.0618165394325228E+85</v>
      </c>
      <c r="RVI29" s="160">
        <f t="shared" ref="RVI29" si="6371">RVG29*$C$29</f>
        <v>7.2736710356154989E+85</v>
      </c>
      <c r="RVK29" s="160">
        <f t="shared" ref="RVK29" si="6372">RVI29*$C$29</f>
        <v>7.4918811666839644E+85</v>
      </c>
      <c r="RVM29" s="160">
        <f t="shared" ref="RVM29" si="6373">RVK29*$C$29</f>
        <v>7.7166376016844833E+85</v>
      </c>
      <c r="RVO29" s="160">
        <f t="shared" ref="RVO29" si="6374">RVM29*$C$29</f>
        <v>7.9481367297350176E+85</v>
      </c>
      <c r="RVQ29" s="160">
        <f t="shared" ref="RVQ29" si="6375">RVO29*$C$29</f>
        <v>8.186580831627069E+85</v>
      </c>
      <c r="RVS29" s="160">
        <f t="shared" ref="RVS29" si="6376">RVQ29*$C$29</f>
        <v>8.4321782565758815E+85</v>
      </c>
      <c r="RVU29" s="160">
        <f t="shared" ref="RVU29" si="6377">RVS29*$C$29</f>
        <v>8.6851436042731578E+85</v>
      </c>
      <c r="RVW29" s="160">
        <f t="shared" ref="RVW29" si="6378">RVU29*$C$29</f>
        <v>8.9456979124013526E+85</v>
      </c>
      <c r="RVY29" s="160">
        <f t="shared" ref="RVY29" si="6379">RVW29*$C$29</f>
        <v>9.214068849773393E+85</v>
      </c>
      <c r="RWA29" s="160">
        <f t="shared" ref="RWA29" si="6380">RVY29*$C$29</f>
        <v>9.4904909152665957E+85</v>
      </c>
      <c r="RWC29" s="160">
        <f t="shared" ref="RWC29" si="6381">RWA29*$C$29</f>
        <v>9.7752056427245932E+85</v>
      </c>
      <c r="RWE29" s="160">
        <f t="shared" ref="RWE29" si="6382">RWC29*$C$29</f>
        <v>1.0068461812006331E+86</v>
      </c>
      <c r="RWG29" s="160">
        <f t="shared" ref="RWG29" si="6383">RWE29*$C$29</f>
        <v>1.0370515666366522E+86</v>
      </c>
      <c r="RWI29" s="160">
        <f t="shared" ref="RWI29" si="6384">RWG29*$C$29</f>
        <v>1.0681631136357518E+86</v>
      </c>
      <c r="RWK29" s="160">
        <f t="shared" ref="RWK29" si="6385">RWI29*$C$29</f>
        <v>1.1002080070448243E+86</v>
      </c>
      <c r="RWM29" s="160">
        <f t="shared" ref="RWM29" si="6386">RWK29*$C$29</f>
        <v>1.1332142472561691E+86</v>
      </c>
      <c r="RWO29" s="160">
        <f t="shared" ref="RWO29" si="6387">RWM29*$C$29</f>
        <v>1.1672106746738541E+86</v>
      </c>
      <c r="RWQ29" s="160">
        <f t="shared" ref="RWQ29" si="6388">RWO29*$C$29</f>
        <v>1.2022269949140698E+86</v>
      </c>
      <c r="RWS29" s="160">
        <f t="shared" ref="RWS29" si="6389">RWQ29*$C$29</f>
        <v>1.2382938047614918E+86</v>
      </c>
      <c r="RWU29" s="160">
        <f t="shared" ref="RWU29" si="6390">RWS29*$C$29</f>
        <v>1.2754426189043366E+86</v>
      </c>
      <c r="RWW29" s="160">
        <f t="shared" ref="RWW29" si="6391">RWU29*$C$29</f>
        <v>1.3137058974714669E+86</v>
      </c>
      <c r="RWY29" s="160">
        <f t="shared" ref="RWY29" si="6392">RWW29*$C$29</f>
        <v>1.353117074395611E+86</v>
      </c>
      <c r="RXA29" s="160">
        <f t="shared" ref="RXA29" si="6393">RWY29*$C$29</f>
        <v>1.3937105866274794E+86</v>
      </c>
      <c r="RXC29" s="160">
        <f t="shared" ref="RXC29" si="6394">RXA29*$C$29</f>
        <v>1.4355219042263038E+86</v>
      </c>
      <c r="RXE29" s="160">
        <f t="shared" ref="RXE29" si="6395">RXC29*$C$29</f>
        <v>1.478587561353093E+86</v>
      </c>
      <c r="RXG29" s="160">
        <f t="shared" ref="RXG29" si="6396">RXE29*$C$29</f>
        <v>1.5229451881936857E+86</v>
      </c>
      <c r="RXI29" s="160">
        <f t="shared" ref="RXI29" si="6397">RXG29*$C$29</f>
        <v>1.5686335438394964E+86</v>
      </c>
      <c r="RXK29" s="160">
        <f t="shared" ref="RXK29" si="6398">RXI29*$C$29</f>
        <v>1.6156925501546815E+86</v>
      </c>
      <c r="RXM29" s="160">
        <f t="shared" ref="RXM29" si="6399">RXK29*$C$29</f>
        <v>1.6641633266593219E+86</v>
      </c>
      <c r="RXO29" s="160">
        <f t="shared" ref="RXO29" si="6400">RXM29*$C$29</f>
        <v>1.7140882264591016E+86</v>
      </c>
      <c r="RXQ29" s="160">
        <f t="shared" ref="RXQ29" si="6401">RXO29*$C$29</f>
        <v>1.7655108732528748E+86</v>
      </c>
      <c r="RXS29" s="160">
        <f t="shared" ref="RXS29" si="6402">RXQ29*$C$29</f>
        <v>1.8184761994504611E+86</v>
      </c>
      <c r="RXU29" s="160">
        <f t="shared" ref="RXU29" si="6403">RXS29*$C$29</f>
        <v>1.8730304854339749E+86</v>
      </c>
      <c r="RXW29" s="160">
        <f t="shared" ref="RXW29" si="6404">RXU29*$C$29</f>
        <v>1.9292213999969941E+86</v>
      </c>
      <c r="RXY29" s="160">
        <f t="shared" ref="RXY29" si="6405">RXW29*$C$29</f>
        <v>1.987098041996904E+86</v>
      </c>
      <c r="RYA29" s="160">
        <f t="shared" ref="RYA29" si="6406">RXY29*$C$29</f>
        <v>2.0467109832568112E+86</v>
      </c>
      <c r="RYC29" s="160">
        <f t="shared" ref="RYC29" si="6407">RYA29*$C$29</f>
        <v>2.1081123127545157E+86</v>
      </c>
      <c r="RYE29" s="160">
        <f t="shared" ref="RYE29" si="6408">RYC29*$C$29</f>
        <v>2.1713556821371512E+86</v>
      </c>
      <c r="RYG29" s="160">
        <f t="shared" ref="RYG29" si="6409">RYE29*$C$29</f>
        <v>2.2364963526012658E+86</v>
      </c>
      <c r="RYI29" s="160">
        <f t="shared" ref="RYI29" si="6410">RYG29*$C$29</f>
        <v>2.3035912431793039E+86</v>
      </c>
      <c r="RYK29" s="160">
        <f t="shared" ref="RYK29" si="6411">RYI29*$C$29</f>
        <v>2.3726989804746831E+86</v>
      </c>
      <c r="RYM29" s="160">
        <f t="shared" ref="RYM29" si="6412">RYK29*$C$29</f>
        <v>2.4438799498889236E+86</v>
      </c>
      <c r="RYO29" s="160">
        <f t="shared" ref="RYO29" si="6413">RYM29*$C$29</f>
        <v>2.5171963483855912E+86</v>
      </c>
      <c r="RYQ29" s="160">
        <f t="shared" ref="RYQ29" si="6414">RYO29*$C$29</f>
        <v>2.5927122388371588E+86</v>
      </c>
      <c r="RYS29" s="160">
        <f t="shared" ref="RYS29" si="6415">RYQ29*$C$29</f>
        <v>2.6704936060022737E+86</v>
      </c>
      <c r="RYU29" s="160">
        <f t="shared" ref="RYU29" si="6416">RYS29*$C$29</f>
        <v>2.750608414182342E+86</v>
      </c>
      <c r="RYW29" s="160">
        <f t="shared" ref="RYW29" si="6417">RYU29*$C$29</f>
        <v>2.8331266666078125E+86</v>
      </c>
      <c r="RYY29" s="160">
        <f t="shared" ref="RYY29" si="6418">RYW29*$C$29</f>
        <v>2.9181204666060471E+86</v>
      </c>
      <c r="RZA29" s="160">
        <f t="shared" ref="RZA29" si="6419">RYY29*$C$29</f>
        <v>3.0056640806042288E+86</v>
      </c>
      <c r="RZC29" s="160">
        <f t="shared" ref="RZC29" si="6420">RZA29*$C$29</f>
        <v>3.0958340030223558E+86</v>
      </c>
      <c r="RZE29" s="160">
        <f t="shared" ref="RZE29" si="6421">RZC29*$C$29</f>
        <v>3.1887090231130268E+86</v>
      </c>
      <c r="RZG29" s="160">
        <f t="shared" ref="RZG29" si="6422">RZE29*$C$29</f>
        <v>3.2843702938064178E+86</v>
      </c>
      <c r="RZI29" s="160">
        <f t="shared" ref="RZI29" si="6423">RZG29*$C$29</f>
        <v>3.3829014026206101E+86</v>
      </c>
      <c r="RZK29" s="160">
        <f t="shared" ref="RZK29" si="6424">RZI29*$C$29</f>
        <v>3.4843884446992284E+86</v>
      </c>
      <c r="RZM29" s="160">
        <f t="shared" ref="RZM29" si="6425">RZK29*$C$29</f>
        <v>3.5889200980402052E+86</v>
      </c>
      <c r="RZO29" s="160">
        <f t="shared" ref="RZO29" si="6426">RZM29*$C$29</f>
        <v>3.6965877009814117E+86</v>
      </c>
      <c r="RZQ29" s="160">
        <f t="shared" ref="RZQ29" si="6427">RZO29*$C$29</f>
        <v>3.8074853320108541E+86</v>
      </c>
      <c r="RZS29" s="160">
        <f t="shared" ref="RZS29" si="6428">RZQ29*$C$29</f>
        <v>3.9217098919711799E+86</v>
      </c>
      <c r="RZU29" s="160">
        <f t="shared" ref="RZU29" si="6429">RZS29*$C$29</f>
        <v>4.0393611887303152E+86</v>
      </c>
      <c r="RZW29" s="160">
        <f t="shared" ref="RZW29" si="6430">RZU29*$C$29</f>
        <v>4.1605420243922245E+86</v>
      </c>
      <c r="RZY29" s="160">
        <f t="shared" ref="RZY29" si="6431">RZW29*$C$29</f>
        <v>4.2853582851239913E+86</v>
      </c>
      <c r="SAA29" s="160">
        <f t="shared" ref="SAA29" si="6432">RZY29*$C$29</f>
        <v>4.4139190336777109E+86</v>
      </c>
      <c r="SAC29" s="160">
        <f t="shared" ref="SAC29" si="6433">SAA29*$C$29</f>
        <v>4.5463366046880424E+86</v>
      </c>
      <c r="SAE29" s="160">
        <f t="shared" ref="SAE29" si="6434">SAC29*$C$29</f>
        <v>4.682726702828684E+86</v>
      </c>
      <c r="SAG29" s="160">
        <f t="shared" ref="SAG29" si="6435">SAE29*$C$29</f>
        <v>4.8232085039135448E+86</v>
      </c>
      <c r="SAI29" s="160">
        <f t="shared" ref="SAI29" si="6436">SAG29*$C$29</f>
        <v>4.9679047590309512E+86</v>
      </c>
      <c r="SAK29" s="160">
        <f t="shared" ref="SAK29" si="6437">SAI29*$C$29</f>
        <v>5.1169419018018795E+86</v>
      </c>
      <c r="SAM29" s="160">
        <f t="shared" ref="SAM29" si="6438">SAK29*$C$29</f>
        <v>5.2704501588559357E+86</v>
      </c>
      <c r="SAO29" s="160">
        <f t="shared" ref="SAO29" si="6439">SAM29*$C$29</f>
        <v>5.428563663621614E+86</v>
      </c>
      <c r="SAQ29" s="160">
        <f t="shared" ref="SAQ29" si="6440">SAO29*$C$29</f>
        <v>5.591420573530263E+86</v>
      </c>
      <c r="SAS29" s="160">
        <f t="shared" ref="SAS29" si="6441">SAQ29*$C$29</f>
        <v>5.7591631907361712E+86</v>
      </c>
      <c r="SAU29" s="160">
        <f t="shared" ref="SAU29" si="6442">SAS29*$C$29</f>
        <v>5.9319380864582559E+86</v>
      </c>
      <c r="SAW29" s="160">
        <f t="shared" ref="SAW29" si="6443">SAU29*$C$29</f>
        <v>6.1098962290520034E+86</v>
      </c>
      <c r="SAY29" s="160">
        <f t="shared" ref="SAY29" si="6444">SAW29*$C$29</f>
        <v>6.2931931159235631E+86</v>
      </c>
      <c r="SBA29" s="160">
        <f t="shared" ref="SBA29" si="6445">SAY29*$C$29</f>
        <v>6.4819889094012701E+86</v>
      </c>
      <c r="SBC29" s="160">
        <f t="shared" ref="SBC29" si="6446">SBA29*$C$29</f>
        <v>6.6764485766833087E+86</v>
      </c>
      <c r="SBE29" s="160">
        <f t="shared" ref="SBE29" si="6447">SBC29*$C$29</f>
        <v>6.8767420339838077E+86</v>
      </c>
      <c r="SBG29" s="160">
        <f t="shared" ref="SBG29" si="6448">SBE29*$C$29</f>
        <v>7.0830442950033216E+86</v>
      </c>
      <c r="SBI29" s="160">
        <f t="shared" ref="SBI29" si="6449">SBG29*$C$29</f>
        <v>7.2955356238534219E+86</v>
      </c>
      <c r="SBK29" s="160">
        <f t="shared" ref="SBK29" si="6450">SBI29*$C$29</f>
        <v>7.5144016925690243E+86</v>
      </c>
      <c r="SBM29" s="160">
        <f t="shared" ref="SBM29" si="6451">SBK29*$C$29</f>
        <v>7.7398337433460949E+86</v>
      </c>
      <c r="SBO29" s="160">
        <f t="shared" ref="SBO29" si="6452">SBM29*$C$29</f>
        <v>7.972028755646478E+86</v>
      </c>
      <c r="SBQ29" s="160">
        <f t="shared" ref="SBQ29" si="6453">SBO29*$C$29</f>
        <v>8.211189618315872E+86</v>
      </c>
      <c r="SBS29" s="160">
        <f t="shared" ref="SBS29" si="6454">SBQ29*$C$29</f>
        <v>8.4575253068653488E+86</v>
      </c>
      <c r="SBU29" s="160">
        <f t="shared" ref="SBU29" si="6455">SBS29*$C$29</f>
        <v>8.7112510660713093E+86</v>
      </c>
      <c r="SBW29" s="160">
        <f t="shared" ref="SBW29" si="6456">SBU29*$C$29</f>
        <v>8.972588598053449E+86</v>
      </c>
      <c r="SBY29" s="160">
        <f t="shared" ref="SBY29" si="6457">SBW29*$C$29</f>
        <v>9.2417662559950523E+86</v>
      </c>
      <c r="SCA29" s="160">
        <f t="shared" ref="SCA29" si="6458">SBY29*$C$29</f>
        <v>9.5190192436749037E+86</v>
      </c>
      <c r="SCC29" s="160">
        <f t="shared" ref="SCC29" si="6459">SCA29*$C$29</f>
        <v>9.8045898209851507E+86</v>
      </c>
      <c r="SCE29" s="160">
        <f t="shared" ref="SCE29" si="6460">SCC29*$C$29</f>
        <v>1.0098727515614704E+87</v>
      </c>
      <c r="SCG29" s="160">
        <f t="shared" ref="SCG29" si="6461">SCE29*$C$29</f>
        <v>1.0401689341083146E+87</v>
      </c>
      <c r="SCI29" s="160">
        <f t="shared" ref="SCI29" si="6462">SCG29*$C$29</f>
        <v>1.071374002131564E+87</v>
      </c>
      <c r="SCK29" s="160">
        <f t="shared" ref="SCK29" si="6463">SCI29*$C$29</f>
        <v>1.103515222195511E+87</v>
      </c>
      <c r="SCM29" s="160">
        <f t="shared" ref="SCM29" si="6464">SCK29*$C$29</f>
        <v>1.1366206788613765E+87</v>
      </c>
      <c r="SCO29" s="160">
        <f t="shared" ref="SCO29" si="6465">SCM29*$C$29</f>
        <v>1.1707192992272178E+87</v>
      </c>
      <c r="SCQ29" s="160">
        <f t="shared" ref="SCQ29" si="6466">SCO29*$C$29</f>
        <v>1.2058408782040344E+87</v>
      </c>
      <c r="SCS29" s="160">
        <f t="shared" ref="SCS29" si="6467">SCQ29*$C$29</f>
        <v>1.2420161045501555E+87</v>
      </c>
      <c r="SCU29" s="160">
        <f t="shared" ref="SCU29" si="6468">SCS29*$C$29</f>
        <v>1.2792765876866603E+87</v>
      </c>
      <c r="SCW29" s="160">
        <f t="shared" ref="SCW29" si="6469">SCU29*$C$29</f>
        <v>1.3176548853172602E+87</v>
      </c>
      <c r="SCY29" s="160">
        <f t="shared" ref="SCY29" si="6470">SCW29*$C$29</f>
        <v>1.357184531876778E+87</v>
      </c>
      <c r="SDA29" s="160">
        <f t="shared" ref="SDA29" si="6471">SCY29*$C$29</f>
        <v>1.3979000678330815E+87</v>
      </c>
      <c r="SDC29" s="160">
        <f t="shared" ref="SDC29" si="6472">SDA29*$C$29</f>
        <v>1.4398370698680739E+87</v>
      </c>
      <c r="SDE29" s="160">
        <f t="shared" ref="SDE29" si="6473">SDC29*$C$29</f>
        <v>1.4830321819641161E+87</v>
      </c>
      <c r="SDG29" s="160">
        <f t="shared" ref="SDG29" si="6474">SDE29*$C$29</f>
        <v>1.5275231474230396E+87</v>
      </c>
      <c r="SDI29" s="160">
        <f t="shared" ref="SDI29" si="6475">SDG29*$C$29</f>
        <v>1.5733488418457308E+87</v>
      </c>
      <c r="SDK29" s="160">
        <f t="shared" ref="SDK29" si="6476">SDI29*$C$29</f>
        <v>1.6205493071011028E+87</v>
      </c>
      <c r="SDM29" s="160">
        <f t="shared" ref="SDM29" si="6477">SDK29*$C$29</f>
        <v>1.669165786314136E+87</v>
      </c>
      <c r="SDO29" s="160">
        <f t="shared" ref="SDO29" si="6478">SDM29*$C$29</f>
        <v>1.7192407599035601E+87</v>
      </c>
      <c r="SDQ29" s="160">
        <f t="shared" ref="SDQ29" si="6479">SDO29*$C$29</f>
        <v>1.7708179827006669E+87</v>
      </c>
      <c r="SDS29" s="160">
        <f t="shared" ref="SDS29" si="6480">SDQ29*$C$29</f>
        <v>1.8239425221816868E+87</v>
      </c>
      <c r="SDU29" s="160">
        <f t="shared" ref="SDU29" si="6481">SDS29*$C$29</f>
        <v>1.8786607978471374E+87</v>
      </c>
      <c r="SDW29" s="160">
        <f t="shared" ref="SDW29" si="6482">SDU29*$C$29</f>
        <v>1.9350206217825517E+87</v>
      </c>
      <c r="SDY29" s="160">
        <f t="shared" ref="SDY29" si="6483">SDW29*$C$29</f>
        <v>1.9930712404360281E+87</v>
      </c>
      <c r="SEA29" s="160">
        <f t="shared" ref="SEA29" si="6484">SDY29*$C$29</f>
        <v>2.0528633776491089E+87</v>
      </c>
      <c r="SEC29" s="160">
        <f t="shared" ref="SEC29" si="6485">SEA29*$C$29</f>
        <v>2.114449278978582E+87</v>
      </c>
      <c r="SEE29" s="160">
        <f t="shared" ref="SEE29" si="6486">SEC29*$C$29</f>
        <v>2.1778827573479394E+87</v>
      </c>
      <c r="SEG29" s="160">
        <f t="shared" ref="SEG29" si="6487">SEE29*$C$29</f>
        <v>2.2432192400683777E+87</v>
      </c>
      <c r="SEI29" s="160">
        <f t="shared" ref="SEI29" si="6488">SEG29*$C$29</f>
        <v>2.3105158172704291E+87</v>
      </c>
      <c r="SEK29" s="160">
        <f t="shared" ref="SEK29" si="6489">SEI29*$C$29</f>
        <v>2.3798312917885419E+87</v>
      </c>
      <c r="SEM29" s="160">
        <f t="shared" ref="SEM29" si="6490">SEK29*$C$29</f>
        <v>2.4512262305421982E+87</v>
      </c>
      <c r="SEO29" s="160">
        <f t="shared" ref="SEO29" si="6491">SEM29*$C$29</f>
        <v>2.5247630174584642E+87</v>
      </c>
      <c r="SEQ29" s="160">
        <f t="shared" ref="SEQ29" si="6492">SEO29*$C$29</f>
        <v>2.6005059079822181E+87</v>
      </c>
      <c r="SES29" s="160">
        <f t="shared" ref="SES29" si="6493">SEQ29*$C$29</f>
        <v>2.6785210852216847E+87</v>
      </c>
      <c r="SEU29" s="160">
        <f t="shared" ref="SEU29" si="6494">SES29*$C$29</f>
        <v>2.7588767177783354E+87</v>
      </c>
      <c r="SEW29" s="160">
        <f t="shared" ref="SEW29" si="6495">SEU29*$C$29</f>
        <v>2.8416430193116857E+87</v>
      </c>
      <c r="SEY29" s="160">
        <f t="shared" ref="SEY29" si="6496">SEW29*$C$29</f>
        <v>2.9268923098910363E+87</v>
      </c>
      <c r="SFA29" s="160">
        <f t="shared" ref="SFA29" si="6497">SEY29*$C$29</f>
        <v>3.0146990791877675E+87</v>
      </c>
      <c r="SFC29" s="160">
        <f t="shared" ref="SFC29" si="6498">SFA29*$C$29</f>
        <v>3.1051400515634004E+87</v>
      </c>
      <c r="SFE29" s="160">
        <f t="shared" ref="SFE29" si="6499">SFC29*$C$29</f>
        <v>3.1982942531103025E+87</v>
      </c>
      <c r="SFG29" s="160">
        <f t="shared" ref="SFG29" si="6500">SFE29*$C$29</f>
        <v>3.2942430807036115E+87</v>
      </c>
      <c r="SFI29" s="160">
        <f t="shared" ref="SFI29" si="6501">SFG29*$C$29</f>
        <v>3.3930703731247198E+87</v>
      </c>
      <c r="SFK29" s="160">
        <f t="shared" ref="SFK29" si="6502">SFI29*$C$29</f>
        <v>3.4948624843184614E+87</v>
      </c>
      <c r="SFM29" s="160">
        <f t="shared" ref="SFM29" si="6503">SFK29*$C$29</f>
        <v>3.5997083588480153E+87</v>
      </c>
      <c r="SFO29" s="160">
        <f t="shared" ref="SFO29" si="6504">SFM29*$C$29</f>
        <v>3.7076996096134557E+87</v>
      </c>
      <c r="SFQ29" s="160">
        <f t="shared" ref="SFQ29" si="6505">SFO29*$C$29</f>
        <v>3.8189305979018594E+87</v>
      </c>
      <c r="SFS29" s="160">
        <f t="shared" ref="SFS29" si="6506">SFQ29*$C$29</f>
        <v>3.9334985158389152E+87</v>
      </c>
      <c r="SFU29" s="160">
        <f t="shared" ref="SFU29" si="6507">SFS29*$C$29</f>
        <v>4.0515034713140832E+87</v>
      </c>
      <c r="SFW29" s="160">
        <f t="shared" ref="SFW29" si="6508">SFU29*$C$29</f>
        <v>4.1730485754535058E+87</v>
      </c>
      <c r="SFY29" s="160">
        <f t="shared" ref="SFY29" si="6509">SFW29*$C$29</f>
        <v>4.2982400327171108E+87</v>
      </c>
      <c r="SGA29" s="160">
        <f t="shared" ref="SGA29" si="6510">SFY29*$C$29</f>
        <v>4.427187233698624E+87</v>
      </c>
      <c r="SGC29" s="160">
        <f t="shared" ref="SGC29" si="6511">SGA29*$C$29</f>
        <v>4.5600028507095827E+87</v>
      </c>
      <c r="SGE29" s="160">
        <f t="shared" ref="SGE29" si="6512">SGC29*$C$29</f>
        <v>4.6968029362308706E+87</v>
      </c>
      <c r="SGG29" s="160">
        <f t="shared" ref="SGG29" si="6513">SGE29*$C$29</f>
        <v>4.837707024317797E+87</v>
      </c>
      <c r="SGI29" s="160">
        <f t="shared" ref="SGI29" si="6514">SGG29*$C$29</f>
        <v>4.982838235047331E+87</v>
      </c>
      <c r="SGK29" s="160">
        <f t="shared" ref="SGK29" si="6515">SGI29*$C$29</f>
        <v>5.1323233820987512E+87</v>
      </c>
      <c r="SGM29" s="160">
        <f t="shared" ref="SGM29" si="6516">SGK29*$C$29</f>
        <v>5.2862930835617137E+87</v>
      </c>
      <c r="SGO29" s="160">
        <f t="shared" ref="SGO29" si="6517">SGM29*$C$29</f>
        <v>5.4448818760685654E+87</v>
      </c>
      <c r="SGQ29" s="160">
        <f t="shared" ref="SGQ29" si="6518">SGO29*$C$29</f>
        <v>5.6082283323506222E+87</v>
      </c>
      <c r="SGS29" s="160">
        <f t="shared" ref="SGS29" si="6519">SGQ29*$C$29</f>
        <v>5.7764751823211406E+87</v>
      </c>
      <c r="SGU29" s="160">
        <f t="shared" ref="SGU29" si="6520">SGS29*$C$29</f>
        <v>5.9497694377907746E+87</v>
      </c>
      <c r="SGW29" s="160">
        <f t="shared" ref="SGW29" si="6521">SGU29*$C$29</f>
        <v>6.128262520924498E+87</v>
      </c>
      <c r="SGY29" s="160">
        <f t="shared" ref="SGY29" si="6522">SGW29*$C$29</f>
        <v>6.3121103965522331E+87</v>
      </c>
      <c r="SHA29" s="160">
        <f t="shared" ref="SHA29" si="6523">SGY29*$C$29</f>
        <v>6.5014737084488001E+87</v>
      </c>
      <c r="SHC29" s="160">
        <f t="shared" ref="SHC29" si="6524">SHA29*$C$29</f>
        <v>6.6965179197022646E+87</v>
      </c>
      <c r="SHE29" s="160">
        <f t="shared" ref="SHE29" si="6525">SHC29*$C$29</f>
        <v>6.8974134572933327E+87</v>
      </c>
      <c r="SHG29" s="160">
        <f t="shared" ref="SHG29" si="6526">SHE29*$C$29</f>
        <v>7.1043358610121327E+87</v>
      </c>
      <c r="SHI29" s="160">
        <f t="shared" ref="SHI29" si="6527">SHG29*$C$29</f>
        <v>7.3174659368424964E+87</v>
      </c>
      <c r="SHK29" s="160">
        <f t="shared" ref="SHK29" si="6528">SHI29*$C$29</f>
        <v>7.5369899149477714E+87</v>
      </c>
      <c r="SHM29" s="160">
        <f t="shared" ref="SHM29" si="6529">SHK29*$C$29</f>
        <v>7.7630996123962048E+87</v>
      </c>
      <c r="SHO29" s="160">
        <f t="shared" ref="SHO29" si="6530">SHM29*$C$29</f>
        <v>7.9959926007680916E+87</v>
      </c>
      <c r="SHQ29" s="160">
        <f t="shared" ref="SHQ29" si="6531">SHO29*$C$29</f>
        <v>8.2358723787911344E+87</v>
      </c>
      <c r="SHS29" s="160">
        <f t="shared" ref="SHS29" si="6532">SHQ29*$C$29</f>
        <v>8.4829485501548682E+87</v>
      </c>
      <c r="SHU29" s="160">
        <f t="shared" ref="SHU29" si="6533">SHS29*$C$29</f>
        <v>8.737437006659515E+87</v>
      </c>
      <c r="SHW29" s="160">
        <f t="shared" ref="SHW29" si="6534">SHU29*$C$29</f>
        <v>8.9995601168593003E+87</v>
      </c>
      <c r="SHY29" s="160">
        <f t="shared" ref="SHY29" si="6535">SHW29*$C$29</f>
        <v>9.2695469203650787E+87</v>
      </c>
      <c r="SIA29" s="160">
        <f t="shared" ref="SIA29" si="6536">SHY29*$C$29</f>
        <v>9.5476333279760307E+87</v>
      </c>
      <c r="SIC29" s="160">
        <f t="shared" ref="SIC29" si="6537">SIA29*$C$29</f>
        <v>9.8340623278153121E+87</v>
      </c>
      <c r="SIE29" s="160">
        <f t="shared" ref="SIE29" si="6538">SIC29*$C$29</f>
        <v>1.0129084197649772E+88</v>
      </c>
      <c r="SIG29" s="160">
        <f t="shared" ref="SIG29" si="6539">SIE29*$C$29</f>
        <v>1.0432956723579265E+88</v>
      </c>
      <c r="SII29" s="160">
        <f t="shared" ref="SII29" si="6540">SIG29*$C$29</f>
        <v>1.0745945425286643E+88</v>
      </c>
      <c r="SIK29" s="160">
        <f t="shared" ref="SIK29" si="6541">SII29*$C$29</f>
        <v>1.1068323788045242E+88</v>
      </c>
      <c r="SIM29" s="160">
        <f t="shared" ref="SIM29" si="6542">SIK29*$C$29</f>
        <v>1.1400373501686601E+88</v>
      </c>
      <c r="SIO29" s="160">
        <f t="shared" ref="SIO29" si="6543">SIM29*$C$29</f>
        <v>1.17423847067372E+88</v>
      </c>
      <c r="SIQ29" s="160">
        <f t="shared" ref="SIQ29" si="6544">SIO29*$C$29</f>
        <v>1.2094656247939316E+88</v>
      </c>
      <c r="SIS29" s="160">
        <f t="shared" ref="SIS29" si="6545">SIQ29*$C$29</f>
        <v>1.2457495935377496E+88</v>
      </c>
      <c r="SIU29" s="160">
        <f t="shared" ref="SIU29" si="6546">SIS29*$C$29</f>
        <v>1.2831220813438822E+88</v>
      </c>
      <c r="SIW29" s="160">
        <f t="shared" ref="SIW29" si="6547">SIU29*$C$29</f>
        <v>1.3216157437841987E+88</v>
      </c>
      <c r="SIY29" s="160">
        <f t="shared" ref="SIY29" si="6548">SIW29*$C$29</f>
        <v>1.3612642160977246E+88</v>
      </c>
      <c r="SJA29" s="160">
        <f t="shared" ref="SJA29" si="6549">SIY29*$C$29</f>
        <v>1.4021021425806564E+88</v>
      </c>
      <c r="SJC29" s="160">
        <f t="shared" ref="SJC29" si="6550">SJA29*$C$29</f>
        <v>1.4441652068580761E+88</v>
      </c>
      <c r="SJE29" s="160">
        <f t="shared" ref="SJE29" si="6551">SJC29*$C$29</f>
        <v>1.4874901630638184E+88</v>
      </c>
      <c r="SJG29" s="160">
        <f t="shared" ref="SJG29" si="6552">SJE29*$C$29</f>
        <v>1.5321148679557329E+88</v>
      </c>
      <c r="SJI29" s="160">
        <f t="shared" ref="SJI29" si="6553">SJG29*$C$29</f>
        <v>1.5780783139944049E+88</v>
      </c>
      <c r="SJK29" s="160">
        <f t="shared" ref="SJK29" si="6554">SJI29*$C$29</f>
        <v>1.6254206634142369E+88</v>
      </c>
      <c r="SJM29" s="160">
        <f t="shared" ref="SJM29" si="6555">SJK29*$C$29</f>
        <v>1.6741832833166639E+88</v>
      </c>
      <c r="SJO29" s="160">
        <f t="shared" ref="SJO29" si="6556">SJM29*$C$29</f>
        <v>1.724408781816164E+88</v>
      </c>
      <c r="SJQ29" s="160">
        <f t="shared" ref="SJQ29" si="6557">SJO29*$C$29</f>
        <v>1.7761410452706487E+88</v>
      </c>
      <c r="SJS29" s="160">
        <f t="shared" ref="SJS29" si="6558">SJQ29*$C$29</f>
        <v>1.8294252766287682E+88</v>
      </c>
      <c r="SJU29" s="160">
        <f t="shared" ref="SJU29" si="6559">SJS29*$C$29</f>
        <v>1.8843080349276314E+88</v>
      </c>
      <c r="SJW29" s="160">
        <f t="shared" ref="SJW29" si="6560">SJU29*$C$29</f>
        <v>1.9408372759754604E+88</v>
      </c>
      <c r="SJY29" s="160">
        <f t="shared" ref="SJY29" si="6561">SJW29*$C$29</f>
        <v>1.9990623942547243E+88</v>
      </c>
      <c r="SKA29" s="160">
        <f t="shared" ref="SKA29" si="6562">SJY29*$C$29</f>
        <v>2.0590342660823663E+88</v>
      </c>
      <c r="SKC29" s="160">
        <f t="shared" ref="SKC29" si="6563">SKA29*$C$29</f>
        <v>2.1208052940648374E+88</v>
      </c>
      <c r="SKE29" s="160">
        <f t="shared" ref="SKE29" si="6564">SKC29*$C$29</f>
        <v>2.1844294528867826E+88</v>
      </c>
      <c r="SKG29" s="160">
        <f t="shared" ref="SKG29" si="6565">SKE29*$C$29</f>
        <v>2.2499623364733863E+88</v>
      </c>
      <c r="SKI29" s="160">
        <f t="shared" ref="SKI29" si="6566">SKG29*$C$29</f>
        <v>2.3174612065675877E+88</v>
      </c>
      <c r="SKK29" s="160">
        <f t="shared" ref="SKK29" si="6567">SKI29*$C$29</f>
        <v>2.3869850427646156E+88</v>
      </c>
      <c r="SKM29" s="160">
        <f t="shared" ref="SKM29" si="6568">SKK29*$C$29</f>
        <v>2.4585945940475541E+88</v>
      </c>
      <c r="SKO29" s="160">
        <f t="shared" ref="SKO29" si="6569">SKM29*$C$29</f>
        <v>2.532352431868981E+88</v>
      </c>
      <c r="SKQ29" s="160">
        <f t="shared" ref="SKQ29" si="6570">SKO29*$C$29</f>
        <v>2.6083230048250506E+88</v>
      </c>
      <c r="SKS29" s="160">
        <f t="shared" ref="SKS29" si="6571">SKQ29*$C$29</f>
        <v>2.6865726949698021E+88</v>
      </c>
      <c r="SKU29" s="160">
        <f t="shared" ref="SKU29" si="6572">SKS29*$C$29</f>
        <v>2.7671698758188963E+88</v>
      </c>
      <c r="SKW29" s="160">
        <f t="shared" ref="SKW29" si="6573">SKU29*$C$29</f>
        <v>2.8501849720934632E+88</v>
      </c>
      <c r="SKY29" s="160">
        <f t="shared" ref="SKY29" si="6574">SKW29*$C$29</f>
        <v>2.9356905212562673E+88</v>
      </c>
      <c r="SLA29" s="160">
        <f t="shared" ref="SLA29" si="6575">SKY29*$C$29</f>
        <v>3.0237612368939552E+88</v>
      </c>
      <c r="SLC29" s="160">
        <f t="shared" ref="SLC29" si="6576">SLA29*$C$29</f>
        <v>3.1144740740007741E+88</v>
      </c>
      <c r="SLE29" s="160">
        <f t="shared" ref="SLE29" si="6577">SLC29*$C$29</f>
        <v>3.2079082962207973E+88</v>
      </c>
      <c r="SLG29" s="160">
        <f t="shared" ref="SLG29" si="6578">SLE29*$C$29</f>
        <v>3.3041455451074211E+88</v>
      </c>
      <c r="SLI29" s="160">
        <f t="shared" ref="SLI29" si="6579">SLG29*$C$29</f>
        <v>3.403269911460644E+88</v>
      </c>
      <c r="SLK29" s="160">
        <f t="shared" ref="SLK29" si="6580">SLI29*$C$29</f>
        <v>3.5053680088044638E+88</v>
      </c>
      <c r="SLM29" s="160">
        <f t="shared" ref="SLM29" si="6581">SLK29*$C$29</f>
        <v>3.6105290490685977E+88</v>
      </c>
      <c r="SLO29" s="160">
        <f t="shared" ref="SLO29" si="6582">SLM29*$C$29</f>
        <v>3.7188449205406559E+88</v>
      </c>
      <c r="SLQ29" s="160">
        <f t="shared" ref="SLQ29" si="6583">SLO29*$C$29</f>
        <v>3.8304102681568759E+88</v>
      </c>
      <c r="SLS29" s="160">
        <f t="shared" ref="SLS29" si="6584">SLQ29*$C$29</f>
        <v>3.9453225762015826E+88</v>
      </c>
      <c r="SLU29" s="160">
        <f t="shared" ref="SLU29" si="6585">SLS29*$C$29</f>
        <v>4.0636822534876302E+88</v>
      </c>
      <c r="SLW29" s="160">
        <f t="shared" ref="SLW29" si="6586">SLU29*$C$29</f>
        <v>4.1855927210922594E+88</v>
      </c>
      <c r="SLY29" s="160">
        <f t="shared" ref="SLY29" si="6587">SLW29*$C$29</f>
        <v>4.311160502725027E+88</v>
      </c>
      <c r="SMA29" s="160">
        <f t="shared" ref="SMA29" si="6588">SLY29*$C$29</f>
        <v>4.4404953178067776E+88</v>
      </c>
      <c r="SMC29" s="160">
        <f t="shared" ref="SMC29" si="6589">SMA29*$C$29</f>
        <v>4.5737101773409809E+88</v>
      </c>
      <c r="SME29" s="160">
        <f t="shared" ref="SME29" si="6590">SMC29*$C$29</f>
        <v>4.7109214826612102E+88</v>
      </c>
      <c r="SMG29" s="160">
        <f t="shared" ref="SMG29" si="6591">SME29*$C$29</f>
        <v>4.852249127141047E+88</v>
      </c>
      <c r="SMI29" s="160">
        <f t="shared" ref="SMI29" si="6592">SMG29*$C$29</f>
        <v>4.9978166009552783E+88</v>
      </c>
      <c r="SMK29" s="160">
        <f t="shared" ref="SMK29" si="6593">SMI29*$C$29</f>
        <v>5.1477510989839366E+88</v>
      </c>
      <c r="SMM29" s="160">
        <f t="shared" ref="SMM29" si="6594">SMK29*$C$29</f>
        <v>5.3021836319534551E+88</v>
      </c>
      <c r="SMO29" s="160">
        <f t="shared" ref="SMO29" si="6595">SMM29*$C$29</f>
        <v>5.4612491409120591E+88</v>
      </c>
      <c r="SMQ29" s="160">
        <f t="shared" ref="SMQ29" si="6596">SMO29*$C$29</f>
        <v>5.6250866151394209E+88</v>
      </c>
      <c r="SMS29" s="160">
        <f t="shared" ref="SMS29" si="6597">SMQ29*$C$29</f>
        <v>5.7938392135936036E+88</v>
      </c>
      <c r="SMU29" s="160">
        <f t="shared" ref="SMU29" si="6598">SMS29*$C$29</f>
        <v>5.967654390001412E+88</v>
      </c>
      <c r="SMW29" s="160">
        <f t="shared" ref="SMW29" si="6599">SMU29*$C$29</f>
        <v>6.1466840217014547E+88</v>
      </c>
      <c r="SMY29" s="160">
        <f t="shared" ref="SMY29" si="6600">SMW29*$C$29</f>
        <v>6.3310845423524984E+88</v>
      </c>
      <c r="SNA29" s="160">
        <f t="shared" ref="SNA29" si="6601">SMY29*$C$29</f>
        <v>6.5210170786230738E+88</v>
      </c>
      <c r="SNC29" s="160">
        <f t="shared" ref="SNC29" si="6602">SNA29*$C$29</f>
        <v>6.7166475909817666E+88</v>
      </c>
      <c r="SNE29" s="160">
        <f t="shared" ref="SNE29" si="6603">SNC29*$C$29</f>
        <v>6.9181470187112191E+88</v>
      </c>
      <c r="SNG29" s="160">
        <f t="shared" ref="SNG29" si="6604">SNE29*$C$29</f>
        <v>7.1256914292725558E+88</v>
      </c>
      <c r="SNI29" s="160">
        <f t="shared" ref="SNI29" si="6605">SNG29*$C$29</f>
        <v>7.3394621721507325E+88</v>
      </c>
      <c r="SNK29" s="160">
        <f t="shared" ref="SNK29" si="6606">SNI29*$C$29</f>
        <v>7.5596460373152542E+88</v>
      </c>
      <c r="SNM29" s="160">
        <f t="shared" ref="SNM29" si="6607">SNK29*$C$29</f>
        <v>7.7864354184347114E+88</v>
      </c>
      <c r="SNO29" s="160">
        <f t="shared" ref="SNO29" si="6608">SNM29*$C$29</f>
        <v>8.0200284809877532E+88</v>
      </c>
      <c r="SNQ29" s="160">
        <f t="shared" ref="SNQ29" si="6609">SNO29*$C$29</f>
        <v>8.2606293354173863E+88</v>
      </c>
      <c r="SNS29" s="160">
        <f t="shared" ref="SNS29" si="6610">SNQ29*$C$29</f>
        <v>8.5084482154799084E+88</v>
      </c>
      <c r="SNU29" s="160">
        <f t="shared" ref="SNU29" si="6611">SNS29*$C$29</f>
        <v>8.7637016619443061E+88</v>
      </c>
      <c r="SNW29" s="160">
        <f t="shared" ref="SNW29" si="6612">SNU29*$C$29</f>
        <v>9.026612711802636E+88</v>
      </c>
      <c r="SNY29" s="160">
        <f t="shared" ref="SNY29" si="6613">SNW29*$C$29</f>
        <v>9.2974110931567148E+88</v>
      </c>
      <c r="SOA29" s="160">
        <f t="shared" ref="SOA29" si="6614">SNY29*$C$29</f>
        <v>9.5763334259514165E+88</v>
      </c>
      <c r="SOC29" s="160">
        <f t="shared" ref="SOC29" si="6615">SOA29*$C$29</f>
        <v>9.8636234287299597E+88</v>
      </c>
      <c r="SOE29" s="160">
        <f t="shared" ref="SOE29" si="6616">SOC29*$C$29</f>
        <v>1.0159532131591859E+89</v>
      </c>
      <c r="SOG29" s="160">
        <f t="shared" ref="SOG29" si="6617">SOE29*$C$29</f>
        <v>1.0464318095539615E+89</v>
      </c>
      <c r="SOI29" s="160">
        <f t="shared" ref="SOI29" si="6618">SOG29*$C$29</f>
        <v>1.0778247638405803E+89</v>
      </c>
      <c r="SOK29" s="160">
        <f t="shared" ref="SOK29" si="6619">SOI29*$C$29</f>
        <v>1.1101595067557977E+89</v>
      </c>
      <c r="SOM29" s="160">
        <f t="shared" ref="SOM29" si="6620">SOK29*$C$29</f>
        <v>1.1434642919584717E+89</v>
      </c>
      <c r="SOO29" s="160">
        <f t="shared" ref="SOO29" si="6621">SOM29*$C$29</f>
        <v>1.1777682207172258E+89</v>
      </c>
      <c r="SOQ29" s="160">
        <f t="shared" ref="SOQ29" si="6622">SOO29*$C$29</f>
        <v>1.2131012673387426E+89</v>
      </c>
      <c r="SOS29" s="160">
        <f t="shared" ref="SOS29" si="6623">SOQ29*$C$29</f>
        <v>1.2494943053589049E+89</v>
      </c>
      <c r="SOU29" s="160">
        <f t="shared" ref="SOU29" si="6624">SOS29*$C$29</f>
        <v>1.2869791345196721E+89</v>
      </c>
      <c r="SOW29" s="160">
        <f t="shared" ref="SOW29" si="6625">SOU29*$C$29</f>
        <v>1.3255885085552623E+89</v>
      </c>
      <c r="SOY29" s="160">
        <f t="shared" ref="SOY29" si="6626">SOW29*$C$29</f>
        <v>1.3653561638119202E+89</v>
      </c>
      <c r="SPA29" s="160">
        <f t="shared" ref="SPA29" si="6627">SOY29*$C$29</f>
        <v>1.4063168487262779E+89</v>
      </c>
      <c r="SPC29" s="160">
        <f t="shared" ref="SPC29" si="6628">SPA29*$C$29</f>
        <v>1.4485063541880663E+89</v>
      </c>
      <c r="SPE29" s="160">
        <f t="shared" ref="SPE29" si="6629">SPC29*$C$29</f>
        <v>1.4919615448137083E+89</v>
      </c>
      <c r="SPG29" s="160">
        <f t="shared" ref="SPG29" si="6630">SPE29*$C$29</f>
        <v>1.5367203911581196E+89</v>
      </c>
      <c r="SPI29" s="160">
        <f t="shared" ref="SPI29" si="6631">SPG29*$C$29</f>
        <v>1.5828220028928632E+89</v>
      </c>
      <c r="SPK29" s="160">
        <f t="shared" ref="SPK29" si="6632">SPI29*$C$29</f>
        <v>1.6303066629796493E+89</v>
      </c>
      <c r="SPM29" s="160">
        <f t="shared" ref="SPM29" si="6633">SPK29*$C$29</f>
        <v>1.6792158628690389E+89</v>
      </c>
      <c r="SPO29" s="160">
        <f t="shared" ref="SPO29" si="6634">SPM29*$C$29</f>
        <v>1.7295923387551101E+89</v>
      </c>
      <c r="SPQ29" s="160">
        <f t="shared" ref="SPQ29" si="6635">SPO29*$C$29</f>
        <v>1.7814801089177636E+89</v>
      </c>
      <c r="SPS29" s="160">
        <f t="shared" ref="SPS29" si="6636">SPQ29*$C$29</f>
        <v>1.8349245121852967E+89</v>
      </c>
      <c r="SPU29" s="160">
        <f t="shared" ref="SPU29" si="6637">SPS29*$C$29</f>
        <v>1.8899722475508556E+89</v>
      </c>
      <c r="SPW29" s="160">
        <f t="shared" ref="SPW29" si="6638">SPU29*$C$29</f>
        <v>1.9466714149773814E+89</v>
      </c>
      <c r="SPY29" s="160">
        <f t="shared" ref="SPY29" si="6639">SPW29*$C$29</f>
        <v>2.0050715574267029E+89</v>
      </c>
      <c r="SQA29" s="160">
        <f t="shared" ref="SQA29" si="6640">SPY29*$C$29</f>
        <v>2.065223704149504E+89</v>
      </c>
      <c r="SQC29" s="160">
        <f t="shared" ref="SQC29" si="6641">SQA29*$C$29</f>
        <v>2.1271804152739892E+89</v>
      </c>
      <c r="SQE29" s="160">
        <f t="shared" ref="SQE29" si="6642">SQC29*$C$29</f>
        <v>2.190995827732209E+89</v>
      </c>
      <c r="SQG29" s="160">
        <f t="shared" ref="SQG29" si="6643">SQE29*$C$29</f>
        <v>2.2567257025641753E+89</v>
      </c>
      <c r="SQI29" s="160">
        <f t="shared" ref="SQI29" si="6644">SQG29*$C$29</f>
        <v>2.3244274736411007E+89</v>
      </c>
      <c r="SQK29" s="160">
        <f t="shared" ref="SQK29" si="6645">SQI29*$C$29</f>
        <v>2.3941602978503339E+89</v>
      </c>
      <c r="SQM29" s="160">
        <f t="shared" ref="SQM29" si="6646">SQK29*$C$29</f>
        <v>2.465985106785844E+89</v>
      </c>
      <c r="SQO29" s="160">
        <f t="shared" ref="SQO29" si="6647">SQM29*$C$29</f>
        <v>2.5399646599894195E+89</v>
      </c>
      <c r="SQQ29" s="160">
        <f t="shared" ref="SQQ29" si="6648">SQO29*$C$29</f>
        <v>2.6161635997891024E+89</v>
      </c>
      <c r="SQS29" s="160">
        <f t="shared" ref="SQS29" si="6649">SQQ29*$C$29</f>
        <v>2.6946485077827753E+89</v>
      </c>
      <c r="SQU29" s="160">
        <f t="shared" ref="SQU29" si="6650">SQS29*$C$29</f>
        <v>2.7754879630162586E+89</v>
      </c>
      <c r="SQW29" s="160">
        <f t="shared" ref="SQW29" si="6651">SQU29*$C$29</f>
        <v>2.8587526019067464E+89</v>
      </c>
      <c r="SQY29" s="160">
        <f t="shared" ref="SQY29" si="6652">SQW29*$C$29</f>
        <v>2.9445151799639489E+89</v>
      </c>
      <c r="SRA29" s="160">
        <f t="shared" ref="SRA29" si="6653">SQY29*$C$29</f>
        <v>3.0328506353628675E+89</v>
      </c>
      <c r="SRC29" s="160">
        <f t="shared" ref="SRC29" si="6654">SRA29*$C$29</f>
        <v>3.1238361544237539E+89</v>
      </c>
      <c r="SRE29" s="160">
        <f t="shared" ref="SRE29" si="6655">SRC29*$C$29</f>
        <v>3.2175512390564665E+89</v>
      </c>
      <c r="SRG29" s="160">
        <f t="shared" ref="SRG29" si="6656">SRE29*$C$29</f>
        <v>3.3140777762281607E+89</v>
      </c>
      <c r="SRI29" s="160">
        <f t="shared" ref="SRI29" si="6657">SRG29*$C$29</f>
        <v>3.4135001095150058E+89</v>
      </c>
      <c r="SRK29" s="160">
        <f t="shared" ref="SRK29" si="6658">SRI29*$C$29</f>
        <v>3.5159051128004562E+89</v>
      </c>
      <c r="SRM29" s="160">
        <f t="shared" ref="SRM29" si="6659">SRK29*$C$29</f>
        <v>3.62138226618447E+89</v>
      </c>
      <c r="SRO29" s="160">
        <f t="shared" ref="SRO29" si="6660">SRM29*$C$29</f>
        <v>3.7300237341700043E+89</v>
      </c>
      <c r="SRQ29" s="160">
        <f t="shared" ref="SRQ29" si="6661">SRO29*$C$29</f>
        <v>3.8419244461951044E+89</v>
      </c>
      <c r="SRS29" s="160">
        <f t="shared" ref="SRS29" si="6662">SRQ29*$C$29</f>
        <v>3.9571821795809575E+89</v>
      </c>
      <c r="SRU29" s="160">
        <f t="shared" ref="SRU29" si="6663">SRS29*$C$29</f>
        <v>4.0758976449683862E+89</v>
      </c>
      <c r="SRW29" s="160">
        <f t="shared" ref="SRW29" si="6664">SRU29*$C$29</f>
        <v>4.1981745743174377E+89</v>
      </c>
      <c r="SRY29" s="160">
        <f t="shared" ref="SRY29" si="6665">SRW29*$C$29</f>
        <v>4.3241198115469608E+89</v>
      </c>
      <c r="SSA29" s="160">
        <f t="shared" ref="SSA29" si="6666">SRY29*$C$29</f>
        <v>4.4538434058933699E+89</v>
      </c>
      <c r="SSC29" s="160">
        <f t="shared" ref="SSC29" si="6667">SSA29*$C$29</f>
        <v>4.5874587080701714E+89</v>
      </c>
      <c r="SSE29" s="160">
        <f t="shared" ref="SSE29" si="6668">SSC29*$C$29</f>
        <v>4.7250824693122767E+89</v>
      </c>
      <c r="SSG29" s="160">
        <f t="shared" ref="SSG29" si="6669">SSE29*$C$29</f>
        <v>4.8668349433916454E+89</v>
      </c>
      <c r="SSI29" s="160">
        <f t="shared" ref="SSI29" si="6670">SSG29*$C$29</f>
        <v>5.0128399916933947E+89</v>
      </c>
      <c r="SSK29" s="160">
        <f t="shared" ref="SSK29" si="6671">SSI29*$C$29</f>
        <v>5.1632251914441967E+89</v>
      </c>
      <c r="SSM29" s="160">
        <f t="shared" ref="SSM29" si="6672">SSK29*$C$29</f>
        <v>5.3181219471875231E+89</v>
      </c>
      <c r="SSO29" s="160">
        <f t="shared" ref="SSO29" si="6673">SSM29*$C$29</f>
        <v>5.4776656056031492E+89</v>
      </c>
      <c r="SSQ29" s="160">
        <f t="shared" ref="SSQ29" si="6674">SSO29*$C$29</f>
        <v>5.6419955737712437E+89</v>
      </c>
      <c r="SSS29" s="160">
        <f t="shared" ref="SSS29" si="6675">SSQ29*$C$29</f>
        <v>5.8112554409843809E+89</v>
      </c>
      <c r="SSU29" s="160">
        <f t="shared" ref="SSU29" si="6676">SSS29*$C$29</f>
        <v>5.9855931042139122E+89</v>
      </c>
      <c r="SSW29" s="160">
        <f t="shared" ref="SSW29" si="6677">SSU29*$C$29</f>
        <v>6.1651608973403301E+89</v>
      </c>
      <c r="SSY29" s="160">
        <f t="shared" ref="SSY29" si="6678">SSW29*$C$29</f>
        <v>6.3501157242605397E+89</v>
      </c>
      <c r="STA29" s="160">
        <f t="shared" ref="STA29" si="6679">SSY29*$C$29</f>
        <v>6.5406191959883559E+89</v>
      </c>
      <c r="STC29" s="160">
        <f t="shared" ref="STC29" si="6680">STA29*$C$29</f>
        <v>6.736837771868007E+89</v>
      </c>
      <c r="STE29" s="160">
        <f t="shared" ref="STE29" si="6681">STC29*$C$29</f>
        <v>6.9389429050240473E+89</v>
      </c>
      <c r="STG29" s="160">
        <f t="shared" ref="STG29" si="6682">STE29*$C$29</f>
        <v>7.1471111921747693E+89</v>
      </c>
      <c r="STI29" s="160">
        <f t="shared" ref="STI29" si="6683">STG29*$C$29</f>
        <v>7.3615245279400125E+89</v>
      </c>
      <c r="STK29" s="160">
        <f t="shared" ref="STK29" si="6684">STI29*$C$29</f>
        <v>7.5823702637782127E+89</v>
      </c>
      <c r="STM29" s="160">
        <f t="shared" ref="STM29" si="6685">STK29*$C$29</f>
        <v>7.8098413716915595E+89</v>
      </c>
      <c r="STO29" s="160">
        <f t="shared" ref="STO29" si="6686">STM29*$C$29</f>
        <v>8.044136612842307E+89</v>
      </c>
      <c r="STQ29" s="160">
        <f t="shared" ref="STQ29" si="6687">STO29*$C$29</f>
        <v>8.2854607112275758E+89</v>
      </c>
      <c r="STS29" s="160">
        <f t="shared" ref="STS29" si="6688">STQ29*$C$29</f>
        <v>8.5340245325644033E+89</v>
      </c>
      <c r="STU29" s="160">
        <f t="shared" ref="STU29" si="6689">STS29*$C$29</f>
        <v>8.7900452685413359E+89</v>
      </c>
      <c r="STW29" s="160">
        <f t="shared" ref="STW29" si="6690">STU29*$C$29</f>
        <v>9.0537466265975765E+89</v>
      </c>
      <c r="STY29" s="160">
        <f t="shared" ref="STY29" si="6691">STW29*$C$29</f>
        <v>9.3253590253955038E+89</v>
      </c>
      <c r="SUA29" s="160">
        <f t="shared" ref="SUA29" si="6692">STY29*$C$29</f>
        <v>9.6051197961573692E+89</v>
      </c>
      <c r="SUC29" s="160">
        <f t="shared" ref="SUC29" si="6693">SUA29*$C$29</f>
        <v>9.8932733900420908E+89</v>
      </c>
      <c r="SUE29" s="160">
        <f t="shared" ref="SUE29" si="6694">SUC29*$C$29</f>
        <v>1.0190071591743355E+90</v>
      </c>
      <c r="SUG29" s="160">
        <f t="shared" ref="SUG29" si="6695">SUE29*$C$29</f>
        <v>1.0495773739495656E+90</v>
      </c>
      <c r="SUI29" s="160">
        <f t="shared" ref="SUI29" si="6696">SUG29*$C$29</f>
        <v>1.0810646951680527E+90</v>
      </c>
      <c r="SUK29" s="160">
        <f t="shared" ref="SUK29" si="6697">SUI29*$C$29</f>
        <v>1.1134966360230944E+90</v>
      </c>
      <c r="SUM29" s="160">
        <f t="shared" ref="SUM29" si="6698">SUK29*$C$29</f>
        <v>1.1469015351037873E+90</v>
      </c>
      <c r="SUO29" s="160">
        <f t="shared" ref="SUO29" si="6699">SUM29*$C$29</f>
        <v>1.1813085811569009E+90</v>
      </c>
      <c r="SUQ29" s="160">
        <f t="shared" ref="SUQ29" si="6700">SUO29*$C$29</f>
        <v>1.2167478385916079E+90</v>
      </c>
      <c r="SUS29" s="160">
        <f t="shared" ref="SUS29" si="6701">SUQ29*$C$29</f>
        <v>1.253250273749356E+90</v>
      </c>
      <c r="SUU29" s="160">
        <f t="shared" ref="SUU29" si="6702">SUS29*$C$29</f>
        <v>1.2908477819618368E+90</v>
      </c>
      <c r="SUW29" s="160">
        <f t="shared" ref="SUW29" si="6703">SUU29*$C$29</f>
        <v>1.329573215420692E+90</v>
      </c>
      <c r="SUY29" s="160">
        <f t="shared" ref="SUY29" si="6704">SUW29*$C$29</f>
        <v>1.3694604118833127E+90</v>
      </c>
      <c r="SVA29" s="160">
        <f t="shared" ref="SVA29" si="6705">SUY29*$C$29</f>
        <v>1.4105442242398122E+90</v>
      </c>
      <c r="SVC29" s="160">
        <f t="shared" ref="SVC29" si="6706">SVA29*$C$29</f>
        <v>1.4528605509670065E+90</v>
      </c>
      <c r="SVE29" s="160">
        <f t="shared" ref="SVE29" si="6707">SVC29*$C$29</f>
        <v>1.4964463674960166E+90</v>
      </c>
      <c r="SVG29" s="160">
        <f t="shared" ref="SVG29" si="6708">SVE29*$C$29</f>
        <v>1.5413397585208972E+90</v>
      </c>
      <c r="SVI29" s="160">
        <f t="shared" ref="SVI29" si="6709">SVG29*$C$29</f>
        <v>1.5875799512765243E+90</v>
      </c>
      <c r="SVK29" s="160">
        <f t="shared" ref="SVK29" si="6710">SVI29*$C$29</f>
        <v>1.63520734981482E+90</v>
      </c>
      <c r="SVM29" s="160">
        <f t="shared" ref="SVM29" si="6711">SVK29*$C$29</f>
        <v>1.6842635703092647E+90</v>
      </c>
      <c r="SVO29" s="160">
        <f t="shared" ref="SVO29" si="6712">SVM29*$C$29</f>
        <v>1.7347914774185426E+90</v>
      </c>
      <c r="SVQ29" s="160">
        <f t="shared" ref="SVQ29" si="6713">SVO29*$C$29</f>
        <v>1.7868352217410989E+90</v>
      </c>
      <c r="SVS29" s="160">
        <f t="shared" ref="SVS29" si="6714">SVQ29*$C$29</f>
        <v>1.8404402783933318E+90</v>
      </c>
      <c r="SVU29" s="160">
        <f t="shared" ref="SVU29" si="6715">SVS29*$C$29</f>
        <v>1.8956534867451318E+90</v>
      </c>
      <c r="SVW29" s="160">
        <f t="shared" ref="SVW29" si="6716">SVU29*$C$29</f>
        <v>1.9525230913474858E+90</v>
      </c>
      <c r="SVY29" s="160">
        <f t="shared" ref="SVY29" si="6717">SVW29*$C$29</f>
        <v>2.0110987840879104E+90</v>
      </c>
      <c r="SWA29" s="160">
        <f t="shared" ref="SWA29" si="6718">SVY29*$C$29</f>
        <v>2.0714317476105476E+90</v>
      </c>
      <c r="SWC29" s="160">
        <f t="shared" ref="SWC29" si="6719">SWA29*$C$29</f>
        <v>2.133574700038864E+90</v>
      </c>
      <c r="SWE29" s="160">
        <f t="shared" ref="SWE29" si="6720">SWC29*$C$29</f>
        <v>2.1975819410400299E+90</v>
      </c>
      <c r="SWG29" s="160">
        <f t="shared" ref="SWG29" si="6721">SWE29*$C$29</f>
        <v>2.2635093992712311E+90</v>
      </c>
      <c r="SWI29" s="160">
        <f t="shared" ref="SWI29" si="6722">SWG29*$C$29</f>
        <v>2.3314146812493678E+90</v>
      </c>
      <c r="SWK29" s="160">
        <f t="shared" ref="SWK29" si="6723">SWI29*$C$29</f>
        <v>2.4013571216868491E+90</v>
      </c>
      <c r="SWM29" s="160">
        <f t="shared" ref="SWM29" si="6724">SWK29*$C$29</f>
        <v>2.4733978353374546E+90</v>
      </c>
      <c r="SWO29" s="160">
        <f t="shared" ref="SWO29" si="6725">SWM29*$C$29</f>
        <v>2.5475997703975781E+90</v>
      </c>
      <c r="SWQ29" s="160">
        <f t="shared" ref="SWQ29" si="6726">SWO29*$C$29</f>
        <v>2.6240277635095056E+90</v>
      </c>
      <c r="SWS29" s="160">
        <f t="shared" ref="SWS29" si="6727">SWQ29*$C$29</f>
        <v>2.7027485964147908E+90</v>
      </c>
      <c r="SWU29" s="160">
        <f t="shared" ref="SWU29" si="6728">SWS29*$C$29</f>
        <v>2.7838310543072346E+90</v>
      </c>
      <c r="SWW29" s="160">
        <f t="shared" ref="SWW29" si="6729">SWU29*$C$29</f>
        <v>2.8673459859364515E+90</v>
      </c>
      <c r="SWY29" s="160">
        <f t="shared" ref="SWY29" si="6730">SWW29*$C$29</f>
        <v>2.9533663655145452E+90</v>
      </c>
      <c r="SXA29" s="160">
        <f t="shared" ref="SXA29" si="6731">SWY29*$C$29</f>
        <v>3.0419673564799818E+90</v>
      </c>
      <c r="SXC29" s="160">
        <f t="shared" ref="SXC29" si="6732">SXA29*$C$29</f>
        <v>3.1332263771743814E+90</v>
      </c>
      <c r="SXE29" s="160">
        <f t="shared" ref="SXE29" si="6733">SXC29*$C$29</f>
        <v>3.2272231684896131E+90</v>
      </c>
      <c r="SXG29" s="160">
        <f t="shared" ref="SXG29" si="6734">SXE29*$C$29</f>
        <v>3.3240398635443017E+90</v>
      </c>
      <c r="SXI29" s="160">
        <f t="shared" ref="SXI29" si="6735">SXG29*$C$29</f>
        <v>3.4237610594506308E+90</v>
      </c>
      <c r="SXK29" s="160">
        <f t="shared" ref="SXK29" si="6736">SXI29*$C$29</f>
        <v>3.5264738912341497E+90</v>
      </c>
      <c r="SXM29" s="160">
        <f t="shared" ref="SXM29" si="6737">SXK29*$C$29</f>
        <v>3.6322681079711741E+90</v>
      </c>
      <c r="SXO29" s="160">
        <f t="shared" ref="SXO29" si="6738">SXM29*$C$29</f>
        <v>3.7412361512103094E+90</v>
      </c>
      <c r="SXQ29" s="160">
        <f t="shared" ref="SXQ29" si="6739">SXO29*$C$29</f>
        <v>3.8534732357466189E+90</v>
      </c>
      <c r="SXS29" s="160">
        <f t="shared" ref="SXS29" si="6740">SXQ29*$C$29</f>
        <v>3.9690774328190175E+90</v>
      </c>
      <c r="SXU29" s="160">
        <f t="shared" ref="SXU29" si="6741">SXS29*$C$29</f>
        <v>4.0881497558035877E+90</v>
      </c>
      <c r="SXW29" s="160">
        <f t="shared" ref="SXW29" si="6742">SXU29*$C$29</f>
        <v>4.2107942484776955E+90</v>
      </c>
      <c r="SXY29" s="160">
        <f t="shared" ref="SXY29" si="6743">SXW29*$C$29</f>
        <v>4.337118075932026E+90</v>
      </c>
      <c r="SYA29" s="160">
        <f t="shared" ref="SYA29" si="6744">SXY29*$C$29</f>
        <v>4.4672316182099866E+90</v>
      </c>
      <c r="SYC29" s="160">
        <f t="shared" ref="SYC29" si="6745">SYA29*$C$29</f>
        <v>4.6012485667562865E+90</v>
      </c>
      <c r="SYE29" s="160">
        <f t="shared" ref="SYE29" si="6746">SYC29*$C$29</f>
        <v>4.7392860237589751E+90</v>
      </c>
      <c r="SYG29" s="160">
        <f t="shared" ref="SYG29" si="6747">SYE29*$C$29</f>
        <v>4.8814646044717447E+90</v>
      </c>
      <c r="SYI29" s="160">
        <f t="shared" ref="SYI29" si="6748">SYG29*$C$29</f>
        <v>5.0279085426058975E+90</v>
      </c>
      <c r="SYK29" s="160">
        <f t="shared" ref="SYK29" si="6749">SYI29*$C$29</f>
        <v>5.1787457988840743E+90</v>
      </c>
      <c r="SYM29" s="160">
        <f t="shared" ref="SYM29" si="6750">SYK29*$C$29</f>
        <v>5.3341081728505971E+90</v>
      </c>
      <c r="SYO29" s="160">
        <f t="shared" ref="SYO29" si="6751">SYM29*$C$29</f>
        <v>5.4941314180361148E+90</v>
      </c>
      <c r="SYQ29" s="160">
        <f t="shared" ref="SYQ29" si="6752">SYO29*$C$29</f>
        <v>5.6589553605771984E+90</v>
      </c>
      <c r="SYS29" s="160">
        <f t="shared" ref="SYS29" si="6753">SYQ29*$C$29</f>
        <v>5.8287240213945145E+90</v>
      </c>
      <c r="SYU29" s="160">
        <f t="shared" ref="SYU29" si="6754">SYS29*$C$29</f>
        <v>6.0035857420363498E+90</v>
      </c>
      <c r="SYW29" s="160">
        <f t="shared" ref="SYW29" si="6755">SYU29*$C$29</f>
        <v>6.1836933142974406E+90</v>
      </c>
      <c r="SYY29" s="160">
        <f t="shared" ref="SYY29" si="6756">SYW29*$C$29</f>
        <v>6.3692041137263639E+90</v>
      </c>
      <c r="SZA29" s="160">
        <f t="shared" ref="SZA29" si="6757">SYY29*$C$29</f>
        <v>6.5602802371381552E+90</v>
      </c>
      <c r="SZC29" s="160">
        <f t="shared" ref="SZC29" si="6758">SZA29*$C$29</f>
        <v>6.7570886442523004E+90</v>
      </c>
      <c r="SZE29" s="160">
        <f t="shared" ref="SZE29" si="6759">SZC29*$C$29</f>
        <v>6.9598013035798699E+90</v>
      </c>
      <c r="SZG29" s="160">
        <f t="shared" ref="SZG29" si="6760">SZE29*$C$29</f>
        <v>7.1685953426872659E+90</v>
      </c>
      <c r="SZI29" s="160">
        <f t="shared" ref="SZI29" si="6761">SZG29*$C$29</f>
        <v>7.3836532029678838E+90</v>
      </c>
      <c r="SZK29" s="160">
        <f t="shared" ref="SZK29" si="6762">SZI29*$C$29</f>
        <v>7.6051627990569208E+90</v>
      </c>
      <c r="SZM29" s="160">
        <f t="shared" ref="SZM29" si="6763">SZK29*$C$29</f>
        <v>7.8333176830286289E+90</v>
      </c>
      <c r="SZO29" s="160">
        <f t="shared" ref="SZO29" si="6764">SZM29*$C$29</f>
        <v>8.0683172135194882E+90</v>
      </c>
      <c r="SZQ29" s="160">
        <f t="shared" ref="SZQ29" si="6765">SZO29*$C$29</f>
        <v>8.3103667299250737E+90</v>
      </c>
      <c r="SZS29" s="160">
        <f t="shared" ref="SZS29" si="6766">SZQ29*$C$29</f>
        <v>8.5596777318228271E+90</v>
      </c>
      <c r="SZU29" s="160">
        <f t="shared" ref="SZU29" si="6767">SZS29*$C$29</f>
        <v>8.8164680637775118E+90</v>
      </c>
      <c r="SZW29" s="160">
        <f t="shared" ref="SZW29" si="6768">SZU29*$C$29</f>
        <v>9.0809621056908366E+90</v>
      </c>
      <c r="SZY29" s="160">
        <f t="shared" ref="SZY29" si="6769">SZW29*$C$29</f>
        <v>9.3533909688615614E+90</v>
      </c>
      <c r="TAA29" s="160">
        <f t="shared" ref="TAA29" si="6770">SZY29*$C$29</f>
        <v>9.6339926979274078E+90</v>
      </c>
      <c r="TAC29" s="160">
        <f t="shared" ref="TAC29" si="6771">TAA29*$C$29</f>
        <v>9.9230124788652295E+90</v>
      </c>
      <c r="TAE29" s="160">
        <f t="shared" ref="TAE29" si="6772">TAC29*$C$29</f>
        <v>1.0220702853231187E+91</v>
      </c>
      <c r="TAG29" s="160">
        <f t="shared" ref="TAG29" si="6773">TAE29*$C$29</f>
        <v>1.0527323938828124E+91</v>
      </c>
      <c r="TAI29" s="160">
        <f t="shared" ref="TAI29" si="6774">TAG29*$C$29</f>
        <v>1.0843143656992968E+91</v>
      </c>
      <c r="TAK29" s="160">
        <f t="shared" ref="TAK29" si="6775">TAI29*$C$29</f>
        <v>1.1168437966702758E+91</v>
      </c>
      <c r="TAM29" s="160">
        <f t="shared" ref="TAM29" si="6776">TAK29*$C$29</f>
        <v>1.1503491105703842E+91</v>
      </c>
      <c r="TAO29" s="160">
        <f t="shared" ref="TAO29" si="6777">TAM29*$C$29</f>
        <v>1.1848595838874956E+91</v>
      </c>
      <c r="TAQ29" s="160">
        <f t="shared" ref="TAQ29" si="6778">TAO29*$C$29</f>
        <v>1.2204053714041206E+91</v>
      </c>
      <c r="TAS29" s="160">
        <f t="shared" ref="TAS29" si="6779">TAQ29*$C$29</f>
        <v>1.2570175325462443E+91</v>
      </c>
      <c r="TAU29" s="160">
        <f t="shared" ref="TAU29" si="6780">TAS29*$C$29</f>
        <v>1.2947280585226316E+91</v>
      </c>
      <c r="TAW29" s="160">
        <f t="shared" ref="TAW29" si="6781">TAU29*$C$29</f>
        <v>1.3335699002783107E+91</v>
      </c>
      <c r="TAY29" s="160">
        <f t="shared" ref="TAY29" si="6782">TAW29*$C$29</f>
        <v>1.3735769972866601E+91</v>
      </c>
      <c r="TBA29" s="160">
        <f t="shared" ref="TBA29" si="6783">TAY29*$C$29</f>
        <v>1.41478430720526E+91</v>
      </c>
      <c r="TBC29" s="160">
        <f t="shared" ref="TBC29" si="6784">TBA29*$C$29</f>
        <v>1.4572278364214178E+91</v>
      </c>
      <c r="TBE29" s="160">
        <f t="shared" ref="TBE29" si="6785">TBC29*$C$29</f>
        <v>1.5009446715140604E+91</v>
      </c>
      <c r="TBG29" s="160">
        <f t="shared" ref="TBG29" si="6786">TBE29*$C$29</f>
        <v>1.5459730116594823E+91</v>
      </c>
      <c r="TBI29" s="160">
        <f t="shared" ref="TBI29" si="6787">TBG29*$C$29</f>
        <v>1.5923522020092668E+91</v>
      </c>
      <c r="TBK29" s="160">
        <f t="shared" ref="TBK29" si="6788">TBI29*$C$29</f>
        <v>1.6401227680695449E+91</v>
      </c>
      <c r="TBM29" s="160">
        <f t="shared" ref="TBM29" si="6789">TBK29*$C$29</f>
        <v>1.6893264511116313E+91</v>
      </c>
      <c r="TBO29" s="160">
        <f t="shared" ref="TBO29" si="6790">TBM29*$C$29</f>
        <v>1.7400062446449803E+91</v>
      </c>
      <c r="TBQ29" s="160">
        <f t="shared" ref="TBQ29" si="6791">TBO29*$C$29</f>
        <v>1.7922064319843296E+91</v>
      </c>
      <c r="TBS29" s="160">
        <f t="shared" ref="TBS29" si="6792">TBQ29*$C$29</f>
        <v>1.8459726249438594E+91</v>
      </c>
      <c r="TBU29" s="160">
        <f t="shared" ref="TBU29" si="6793">TBS29*$C$29</f>
        <v>1.9013518036921752E+91</v>
      </c>
      <c r="TBW29" s="160">
        <f t="shared" ref="TBW29" si="6794">TBU29*$C$29</f>
        <v>1.9583923578029403E+91</v>
      </c>
      <c r="TBY29" s="160">
        <f t="shared" ref="TBY29" si="6795">TBW29*$C$29</f>
        <v>2.0171441285370285E+91</v>
      </c>
      <c r="TCA29" s="160">
        <f t="shared" ref="TCA29" si="6796">TBY29*$C$29</f>
        <v>2.0776584523931394E+91</v>
      </c>
      <c r="TCC29" s="160">
        <f t="shared" ref="TCC29" si="6797">TCA29*$C$29</f>
        <v>2.1399882059649337E+91</v>
      </c>
      <c r="TCE29" s="160">
        <f t="shared" ref="TCE29" si="6798">TCC29*$C$29</f>
        <v>2.2041878521438819E+91</v>
      </c>
      <c r="TCG29" s="160">
        <f t="shared" ref="TCG29" si="6799">TCE29*$C$29</f>
        <v>2.2703134877081984E+91</v>
      </c>
      <c r="TCI29" s="160">
        <f t="shared" ref="TCI29" si="6800">TCG29*$C$29</f>
        <v>2.3384228923394445E+91</v>
      </c>
      <c r="TCK29" s="160">
        <f t="shared" ref="TCK29" si="6801">TCI29*$C$29</f>
        <v>2.4085755791096278E+91</v>
      </c>
      <c r="TCM29" s="160">
        <f t="shared" ref="TCM29" si="6802">TCK29*$C$29</f>
        <v>2.4808328464829168E+91</v>
      </c>
      <c r="TCO29" s="160">
        <f t="shared" ref="TCO29" si="6803">TCM29*$C$29</f>
        <v>2.5552578318774044E+91</v>
      </c>
      <c r="TCQ29" s="160">
        <f t="shared" ref="TCQ29" si="6804">TCO29*$C$29</f>
        <v>2.6319155668337265E+91</v>
      </c>
      <c r="TCS29" s="160">
        <f t="shared" ref="TCS29" si="6805">TCQ29*$C$29</f>
        <v>2.7108730338387384E+91</v>
      </c>
      <c r="TCU29" s="160">
        <f t="shared" ref="TCU29" si="6806">TCS29*$C$29</f>
        <v>2.7921992248539004E+91</v>
      </c>
      <c r="TCW29" s="160">
        <f t="shared" ref="TCW29" si="6807">TCU29*$C$29</f>
        <v>2.8759652015995176E+91</v>
      </c>
      <c r="TCY29" s="160">
        <f t="shared" ref="TCY29" si="6808">TCW29*$C$29</f>
        <v>2.9622441576475031E+91</v>
      </c>
      <c r="TDA29" s="160">
        <f t="shared" ref="TDA29" si="6809">TCY29*$C$29</f>
        <v>3.0511114823769282E+91</v>
      </c>
      <c r="TDC29" s="160">
        <f t="shared" ref="TDC29" si="6810">TDA29*$C$29</f>
        <v>3.1426448268482361E+91</v>
      </c>
      <c r="TDE29" s="160">
        <f t="shared" ref="TDE29" si="6811">TDC29*$C$29</f>
        <v>3.2369241716536833E+91</v>
      </c>
      <c r="TDG29" s="160">
        <f t="shared" ref="TDG29" si="6812">TDE29*$C$29</f>
        <v>3.334031896803294E+91</v>
      </c>
      <c r="TDI29" s="160">
        <f t="shared" ref="TDI29" si="6813">TDG29*$C$29</f>
        <v>3.4340528537073931E+91</v>
      </c>
      <c r="TDK29" s="160">
        <f t="shared" ref="TDK29" si="6814">TDI29*$C$29</f>
        <v>3.5370744393186152E+91</v>
      </c>
      <c r="TDM29" s="160">
        <f t="shared" ref="TDM29" si="6815">TDK29*$C$29</f>
        <v>3.6431866724981734E+91</v>
      </c>
      <c r="TDO29" s="160">
        <f t="shared" ref="TDO29" si="6816">TDM29*$C$29</f>
        <v>3.7524822726731187E+91</v>
      </c>
      <c r="TDQ29" s="160">
        <f t="shared" ref="TDQ29" si="6817">TDO29*$C$29</f>
        <v>3.8650567408533123E+91</v>
      </c>
      <c r="TDS29" s="160">
        <f t="shared" ref="TDS29" si="6818">TDQ29*$C$29</f>
        <v>3.9810084430789115E+91</v>
      </c>
      <c r="TDU29" s="160">
        <f t="shared" ref="TDU29" si="6819">TDS29*$C$29</f>
        <v>4.1004386963712787E+91</v>
      </c>
      <c r="TDW29" s="160">
        <f t="shared" ref="TDW29" si="6820">TDU29*$C$29</f>
        <v>4.2234518572624173E+91</v>
      </c>
      <c r="TDY29" s="160">
        <f t="shared" ref="TDY29" si="6821">TDW29*$C$29</f>
        <v>4.3501554129802901E+91</v>
      </c>
      <c r="TEA29" s="160">
        <f t="shared" ref="TEA29" si="6822">TDY29*$C$29</f>
        <v>4.4806600753696991E+91</v>
      </c>
      <c r="TEC29" s="160">
        <f t="shared" ref="TEC29" si="6823">TEA29*$C$29</f>
        <v>4.6150798776307905E+91</v>
      </c>
      <c r="TEE29" s="160">
        <f t="shared" ref="TEE29" si="6824">TEC29*$C$29</f>
        <v>4.7535322739597142E+91</v>
      </c>
      <c r="TEG29" s="160">
        <f t="shared" ref="TEG29" si="6825">TEE29*$C$29</f>
        <v>4.8961382421785058E+91</v>
      </c>
      <c r="TEI29" s="160">
        <f t="shared" ref="TEI29" si="6826">TEG29*$C$29</f>
        <v>5.0430223894438613E+91</v>
      </c>
      <c r="TEK29" s="160">
        <f t="shared" ref="TEK29" si="6827">TEI29*$C$29</f>
        <v>5.194313061127177E+91</v>
      </c>
      <c r="TEM29" s="160">
        <f t="shared" ref="TEM29" si="6828">TEK29*$C$29</f>
        <v>5.3501424529609924E+91</v>
      </c>
      <c r="TEO29" s="160">
        <f t="shared" ref="TEO29" si="6829">TEM29*$C$29</f>
        <v>5.5106467265498226E+91</v>
      </c>
      <c r="TEQ29" s="160">
        <f t="shared" ref="TEQ29" si="6830">TEO29*$C$29</f>
        <v>5.6759661283463174E+91</v>
      </c>
      <c r="TES29" s="160">
        <f t="shared" ref="TES29" si="6831">TEQ29*$C$29</f>
        <v>5.8462451121967069E+91</v>
      </c>
      <c r="TEU29" s="160">
        <f t="shared" ref="TEU29" si="6832">TES29*$C$29</f>
        <v>6.0216324655626086E+91</v>
      </c>
      <c r="TEW29" s="160">
        <f t="shared" ref="TEW29" si="6833">TEU29*$C$29</f>
        <v>6.2022814395294871E+91</v>
      </c>
      <c r="TEY29" s="160">
        <f t="shared" ref="TEY29" si="6834">TEW29*$C$29</f>
        <v>6.3883498827153715E+91</v>
      </c>
      <c r="TFA29" s="160">
        <f t="shared" ref="TFA29" si="6835">TEY29*$C$29</f>
        <v>6.5800003791968332E+91</v>
      </c>
      <c r="TFC29" s="160">
        <f t="shared" ref="TFC29" si="6836">TFA29*$C$29</f>
        <v>6.777400390572738E+91</v>
      </c>
      <c r="TFE29" s="160">
        <f t="shared" ref="TFE29" si="6837">TFC29*$C$29</f>
        <v>6.9807224022899204E+91</v>
      </c>
      <c r="TFG29" s="160">
        <f t="shared" ref="TFG29" si="6838">TFE29*$C$29</f>
        <v>7.1901440743586181E+91</v>
      </c>
      <c r="TFI29" s="160">
        <f t="shared" ref="TFI29" si="6839">TFG29*$C$29</f>
        <v>7.4058483965893768E+91</v>
      </c>
      <c r="TFK29" s="160">
        <f t="shared" ref="TFK29" si="6840">TFI29*$C$29</f>
        <v>7.6280238484870577E+91</v>
      </c>
      <c r="TFM29" s="160">
        <f t="shared" ref="TFM29" si="6841">TFK29*$C$29</f>
        <v>7.8568645639416699E+91</v>
      </c>
      <c r="TFO29" s="160">
        <f t="shared" ref="TFO29" si="6842">TFM29*$C$29</f>
        <v>8.0925705008599196E+91</v>
      </c>
      <c r="TFQ29" s="160">
        <f t="shared" ref="TFQ29" si="6843">TFO29*$C$29</f>
        <v>8.3353476158857168E+91</v>
      </c>
      <c r="TFS29" s="160">
        <f t="shared" ref="TFS29" si="6844">TFQ29*$C$29</f>
        <v>8.5854080443622886E+91</v>
      </c>
      <c r="TFU29" s="160">
        <f t="shared" ref="TFU29" si="6845">TFS29*$C$29</f>
        <v>8.8429702856931579E+91</v>
      </c>
      <c r="TFW29" s="160">
        <f t="shared" ref="TFW29" si="6846">TFU29*$C$29</f>
        <v>9.1082593942639531E+91</v>
      </c>
      <c r="TFY29" s="160">
        <f t="shared" ref="TFY29" si="6847">TFW29*$C$29</f>
        <v>9.3815071760918713E+91</v>
      </c>
      <c r="TGA29" s="160">
        <f t="shared" ref="TGA29" si="6848">TFY29*$C$29</f>
        <v>9.6629523913746275E+91</v>
      </c>
      <c r="TGC29" s="160">
        <f t="shared" ref="TGC29" si="6849">TGA29*$C$29</f>
        <v>9.9528409631158661E+91</v>
      </c>
      <c r="TGE29" s="160">
        <f t="shared" ref="TGE29" si="6850">TGC29*$C$29</f>
        <v>1.0251426192009342E+92</v>
      </c>
      <c r="TGG29" s="160">
        <f t="shared" ref="TGG29" si="6851">TGE29*$C$29</f>
        <v>1.0558968977769623E+92</v>
      </c>
      <c r="TGI29" s="160">
        <f t="shared" ref="TGI29" si="6852">TGG29*$C$29</f>
        <v>1.0875738047102711E+92</v>
      </c>
      <c r="TGK29" s="160">
        <f t="shared" ref="TGK29" si="6853">TGI29*$C$29</f>
        <v>1.1202010188515793E+92</v>
      </c>
      <c r="TGM29" s="160">
        <f t="shared" ref="TGM29" si="6854">TGK29*$C$29</f>
        <v>1.1538070494171268E+92</v>
      </c>
      <c r="TGO29" s="160">
        <f t="shared" ref="TGO29" si="6855">TGM29*$C$29</f>
        <v>1.1884212608996406E+92</v>
      </c>
      <c r="TGQ29" s="160">
        <f t="shared" ref="TGQ29" si="6856">TGO29*$C$29</f>
        <v>1.2240738987266299E+92</v>
      </c>
      <c r="TGS29" s="160">
        <f t="shared" ref="TGS29" si="6857">TGQ29*$C$29</f>
        <v>1.2607961156884288E+92</v>
      </c>
      <c r="TGU29" s="160">
        <f t="shared" ref="TGU29" si="6858">TGS29*$C$29</f>
        <v>1.2986199991590816E+92</v>
      </c>
      <c r="TGW29" s="160">
        <f t="shared" ref="TGW29" si="6859">TGU29*$C$29</f>
        <v>1.337578599133854E+92</v>
      </c>
      <c r="TGY29" s="160">
        <f t="shared" ref="TGY29" si="6860">TGW29*$C$29</f>
        <v>1.3777059571078697E+92</v>
      </c>
      <c r="THA29" s="160">
        <f t="shared" ref="THA29" si="6861">TGY29*$C$29</f>
        <v>1.4190371358211057E+92</v>
      </c>
      <c r="THC29" s="160">
        <f t="shared" ref="THC29" si="6862">THA29*$C$29</f>
        <v>1.4616082498957388E+92</v>
      </c>
      <c r="THE29" s="160">
        <f t="shared" ref="THE29" si="6863">THC29*$C$29</f>
        <v>1.5054564973926111E+92</v>
      </c>
      <c r="THG29" s="160">
        <f t="shared" ref="THG29" si="6864">THE29*$C$29</f>
        <v>1.5506201923143894E+92</v>
      </c>
      <c r="THI29" s="160">
        <f t="shared" ref="THI29" si="6865">THG29*$C$29</f>
        <v>1.5971387980838212E+92</v>
      </c>
      <c r="THK29" s="160">
        <f t="shared" ref="THK29" si="6866">THI29*$C$29</f>
        <v>1.6450529620263359E+92</v>
      </c>
      <c r="THM29" s="160">
        <f t="shared" ref="THM29" si="6867">THK29*$C$29</f>
        <v>1.694404550887126E+92</v>
      </c>
      <c r="THO29" s="160">
        <f t="shared" ref="THO29" si="6868">THM29*$C$29</f>
        <v>1.7452366874137398E+92</v>
      </c>
      <c r="THQ29" s="160">
        <f t="shared" ref="THQ29" si="6869">THO29*$C$29</f>
        <v>1.7975937880361521E+92</v>
      </c>
      <c r="THS29" s="160">
        <f t="shared" ref="THS29" si="6870">THQ29*$C$29</f>
        <v>1.8515216016772366E+92</v>
      </c>
      <c r="THU29" s="160">
        <f t="shared" ref="THU29" si="6871">THS29*$C$29</f>
        <v>1.9070672497275538E+92</v>
      </c>
      <c r="THW29" s="160">
        <f t="shared" ref="THW29" si="6872">THU29*$C$29</f>
        <v>1.9642792672193806E+92</v>
      </c>
      <c r="THY29" s="160">
        <f t="shared" ref="THY29" si="6873">THW29*$C$29</f>
        <v>2.0232076452359621E+92</v>
      </c>
      <c r="TIA29" s="160">
        <f t="shared" ref="TIA29" si="6874">THY29*$C$29</f>
        <v>2.083903874593041E+92</v>
      </c>
      <c r="TIC29" s="160">
        <f t="shared" ref="TIC29" si="6875">TIA29*$C$29</f>
        <v>2.1464209908308323E+92</v>
      </c>
      <c r="TIE29" s="160">
        <f t="shared" ref="TIE29" si="6876">TIC29*$C$29</f>
        <v>2.2108136205557573E+92</v>
      </c>
      <c r="TIG29" s="160">
        <f t="shared" ref="TIG29" si="6877">TIE29*$C$29</f>
        <v>2.2771380291724302E+92</v>
      </c>
      <c r="TII29" s="160">
        <f t="shared" ref="TII29" si="6878">TIG29*$C$29</f>
        <v>2.345452170047603E+92</v>
      </c>
      <c r="TIK29" s="160">
        <f t="shared" ref="TIK29" si="6879">TII29*$C$29</f>
        <v>2.4158157351490312E+92</v>
      </c>
      <c r="TIM29" s="160">
        <f t="shared" ref="TIM29" si="6880">TIK29*$C$29</f>
        <v>2.4882902072035021E+92</v>
      </c>
      <c r="TIO29" s="160">
        <f t="shared" ref="TIO29" si="6881">TIM29*$C$29</f>
        <v>2.5629389134196072E+92</v>
      </c>
      <c r="TIQ29" s="160">
        <f t="shared" ref="TIQ29" si="6882">TIO29*$C$29</f>
        <v>2.6398270808221954E+92</v>
      </c>
      <c r="TIS29" s="160">
        <f t="shared" ref="TIS29" si="6883">TIQ29*$C$29</f>
        <v>2.7190218932468616E+92</v>
      </c>
      <c r="TIU29" s="160">
        <f t="shared" ref="TIU29" si="6884">TIS29*$C$29</f>
        <v>2.8005925500442678E+92</v>
      </c>
      <c r="TIW29" s="160">
        <f t="shared" ref="TIW29" si="6885">TIU29*$C$29</f>
        <v>2.8846103265455961E+92</v>
      </c>
      <c r="TIY29" s="160">
        <f t="shared" ref="TIY29" si="6886">TIW29*$C$29</f>
        <v>2.9711486363419641E+92</v>
      </c>
      <c r="TJA29" s="160">
        <f t="shared" ref="TJA29" si="6887">TIY29*$C$29</f>
        <v>3.0602830954322229E+92</v>
      </c>
      <c r="TJC29" s="160">
        <f t="shared" ref="TJC29" si="6888">TJA29*$C$29</f>
        <v>3.1520915882951895E+92</v>
      </c>
      <c r="TJE29" s="160">
        <f t="shared" ref="TJE29" si="6889">TJC29*$C$29</f>
        <v>3.2466543359440454E+92</v>
      </c>
      <c r="TJG29" s="160">
        <f t="shared" ref="TJG29" si="6890">TJE29*$C$29</f>
        <v>3.3440539660223667E+92</v>
      </c>
      <c r="TJI29" s="160">
        <f t="shared" ref="TJI29" si="6891">TJG29*$C$29</f>
        <v>3.4443755850030381E+92</v>
      </c>
      <c r="TJK29" s="160">
        <f t="shared" ref="TJK29" si="6892">TJI29*$C$29</f>
        <v>3.5477068525531295E+92</v>
      </c>
      <c r="TJM29" s="160">
        <f t="shared" ref="TJM29" si="6893">TJK29*$C$29</f>
        <v>3.6541380581297236E+92</v>
      </c>
      <c r="TJO29" s="160">
        <f t="shared" ref="TJO29" si="6894">TJM29*$C$29</f>
        <v>3.7637621998736155E+92</v>
      </c>
      <c r="TJQ29" s="160">
        <f t="shared" ref="TJQ29" si="6895">TJO29*$C$29</f>
        <v>3.8766750658698241E+92</v>
      </c>
      <c r="TJS29" s="160">
        <f t="shared" ref="TJS29" si="6896">TJQ29*$C$29</f>
        <v>3.9929753178459189E+92</v>
      </c>
      <c r="TJU29" s="160">
        <f t="shared" ref="TJU29" si="6897">TJS29*$C$29</f>
        <v>4.1127645773812964E+92</v>
      </c>
      <c r="TJW29" s="160">
        <f t="shared" ref="TJW29" si="6898">TJU29*$C$29</f>
        <v>4.2361475147027354E+92</v>
      </c>
      <c r="TJY29" s="160">
        <f t="shared" ref="TJY29" si="6899">TJW29*$C$29</f>
        <v>4.3632319401438178E+92</v>
      </c>
      <c r="TKA29" s="160">
        <f t="shared" ref="TKA29" si="6900">TJY29*$C$29</f>
        <v>4.4941288983481325E+92</v>
      </c>
      <c r="TKC29" s="160">
        <f t="shared" ref="TKC29" si="6901">TKA29*$C$29</f>
        <v>4.6289527652985764E+92</v>
      </c>
      <c r="TKE29" s="160">
        <f t="shared" ref="TKE29" si="6902">TKC29*$C$29</f>
        <v>4.7678213482575335E+92</v>
      </c>
      <c r="TKG29" s="160">
        <f t="shared" ref="TKG29" si="6903">TKE29*$C$29</f>
        <v>4.9108559887052594E+92</v>
      </c>
      <c r="TKI29" s="160">
        <f t="shared" ref="TKI29" si="6904">TKG29*$C$29</f>
        <v>5.0581816683664174E+92</v>
      </c>
      <c r="TKK29" s="160">
        <f t="shared" ref="TKK29" si="6905">TKI29*$C$29</f>
        <v>5.2099271184174097E+92</v>
      </c>
      <c r="TKM29" s="160">
        <f t="shared" ref="TKM29" si="6906">TKK29*$C$29</f>
        <v>5.3662249319699318E+92</v>
      </c>
      <c r="TKO29" s="160">
        <f t="shared" ref="TKO29" si="6907">TKM29*$C$29</f>
        <v>5.5272116799290301E+92</v>
      </c>
      <c r="TKQ29" s="160">
        <f t="shared" ref="TKQ29" si="6908">TKO29*$C$29</f>
        <v>5.6930280303269016E+92</v>
      </c>
      <c r="TKS29" s="160">
        <f t="shared" ref="TKS29" si="6909">TKQ29*$C$29</f>
        <v>5.8638188712367083E+92</v>
      </c>
      <c r="TKU29" s="160">
        <f t="shared" ref="TKU29" si="6910">TKS29*$C$29</f>
        <v>6.03973343737381E+92</v>
      </c>
      <c r="TKW29" s="160">
        <f t="shared" ref="TKW29" si="6911">TKU29*$C$29</f>
        <v>6.2209254404950248E+92</v>
      </c>
      <c r="TKY29" s="160">
        <f t="shared" ref="TKY29" si="6912">TKW29*$C$29</f>
        <v>6.4075532037098761E+92</v>
      </c>
      <c r="TLA29" s="160">
        <f t="shared" ref="TLA29" si="6913">TKY29*$C$29</f>
        <v>6.5997797998211727E+92</v>
      </c>
      <c r="TLC29" s="160">
        <f t="shared" ref="TLC29" si="6914">TLA29*$C$29</f>
        <v>6.7977731938158086E+92</v>
      </c>
      <c r="TLE29" s="160">
        <f t="shared" ref="TLE29" si="6915">TLC29*$C$29</f>
        <v>7.0017063896302828E+92</v>
      </c>
      <c r="TLG29" s="160">
        <f t="shared" ref="TLG29" si="6916">TLE29*$C$29</f>
        <v>7.2117575813191916E+92</v>
      </c>
      <c r="TLI29" s="160">
        <f t="shared" ref="TLI29" si="6917">TLG29*$C$29</f>
        <v>7.428110308758767E+92</v>
      </c>
      <c r="TLK29" s="160">
        <f t="shared" ref="TLK29" si="6918">TLI29*$C$29</f>
        <v>7.65095361802153E+92</v>
      </c>
      <c r="TLM29" s="160">
        <f t="shared" ref="TLM29" si="6919">TLK29*$C$29</f>
        <v>7.8804822265621761E+92</v>
      </c>
      <c r="TLO29" s="160">
        <f t="shared" ref="TLO29" si="6920">TLM29*$C$29</f>
        <v>8.1168966933590416E+92</v>
      </c>
      <c r="TLQ29" s="160">
        <f t="shared" ref="TLQ29" si="6921">TLO29*$C$29</f>
        <v>8.3604035941598126E+92</v>
      </c>
      <c r="TLS29" s="160">
        <f t="shared" ref="TLS29" si="6922">TLQ29*$C$29</f>
        <v>8.6112157019846073E+92</v>
      </c>
      <c r="TLU29" s="160">
        <f t="shared" ref="TLU29" si="6923">TLS29*$C$29</f>
        <v>8.8695521730441456E+92</v>
      </c>
      <c r="TLW29" s="160">
        <f t="shared" ref="TLW29" si="6924">TLU29*$C$29</f>
        <v>9.1356387382354707E+92</v>
      </c>
      <c r="TLY29" s="160">
        <f t="shared" ref="TLY29" si="6925">TLW29*$C$29</f>
        <v>9.4097079003825353E+92</v>
      </c>
      <c r="TMA29" s="160">
        <f t="shared" ref="TMA29" si="6926">TLY29*$C$29</f>
        <v>9.691999137394011E+92</v>
      </c>
      <c r="TMC29" s="160">
        <f t="shared" ref="TMC29" si="6927">TMA29*$C$29</f>
        <v>9.9827591115158315E+92</v>
      </c>
      <c r="TME29" s="160">
        <f t="shared" ref="TME29" si="6928">TMC29*$C$29</f>
        <v>1.0282241884861307E+93</v>
      </c>
      <c r="TMG29" s="160">
        <f t="shared" ref="TMG29" si="6929">TME29*$C$29</f>
        <v>1.0590709141407146E+93</v>
      </c>
      <c r="TMI29" s="160">
        <f t="shared" ref="TMI29" si="6930">TMG29*$C$29</f>
        <v>1.0908430415649362E+93</v>
      </c>
      <c r="TMK29" s="160">
        <f t="shared" ref="TMK29" si="6931">TMI29*$C$29</f>
        <v>1.1235683328118842E+93</v>
      </c>
      <c r="TMM29" s="160">
        <f t="shared" ref="TMM29" si="6932">TMK29*$C$29</f>
        <v>1.1572753827962407E+93</v>
      </c>
      <c r="TMO29" s="160">
        <f t="shared" ref="TMO29" si="6933">TMM29*$C$29</f>
        <v>1.1919936442801279E+93</v>
      </c>
      <c r="TMQ29" s="160">
        <f t="shared" ref="TMQ29" si="6934">TMO29*$C$29</f>
        <v>1.2277534536085318E+93</v>
      </c>
      <c r="TMS29" s="160">
        <f t="shared" ref="TMS29" si="6935">TMQ29*$C$29</f>
        <v>1.2645860572167877E+93</v>
      </c>
      <c r="TMU29" s="160">
        <f t="shared" ref="TMU29" si="6936">TMS29*$C$29</f>
        <v>1.3025236389332913E+93</v>
      </c>
      <c r="TMW29" s="160">
        <f t="shared" ref="TMW29" si="6937">TMU29*$C$29</f>
        <v>1.3415993481012899E+93</v>
      </c>
      <c r="TMY29" s="160">
        <f t="shared" ref="TMY29" si="6938">TMW29*$C$29</f>
        <v>1.3818473285443288E+93</v>
      </c>
      <c r="TNA29" s="160">
        <f t="shared" ref="TNA29" si="6939">TMY29*$C$29</f>
        <v>1.4233027484006586E+93</v>
      </c>
      <c r="TNC29" s="160">
        <f t="shared" ref="TNC29" si="6940">TNA29*$C$29</f>
        <v>1.4660018308526784E+93</v>
      </c>
      <c r="TNE29" s="160">
        <f t="shared" ref="TNE29" si="6941">TNC29*$C$29</f>
        <v>1.5099818857782588E+93</v>
      </c>
      <c r="TNG29" s="160">
        <f t="shared" ref="TNG29" si="6942">TNE29*$C$29</f>
        <v>1.5552813423516065E+93</v>
      </c>
      <c r="TNI29" s="160">
        <f t="shared" ref="TNI29" si="6943">TNG29*$C$29</f>
        <v>1.6019397826221549E+93</v>
      </c>
      <c r="TNK29" s="160">
        <f t="shared" ref="TNK29" si="6944">TNI29*$C$29</f>
        <v>1.6499979761008195E+93</v>
      </c>
      <c r="TNM29" s="160">
        <f t="shared" ref="TNM29" si="6945">TNK29*$C$29</f>
        <v>1.6994979153838441E+93</v>
      </c>
      <c r="TNO29" s="160">
        <f t="shared" ref="TNO29" si="6946">TNM29*$C$29</f>
        <v>1.7504828528453595E+93</v>
      </c>
      <c r="TNQ29" s="160">
        <f t="shared" ref="TNQ29" si="6947">TNO29*$C$29</f>
        <v>1.8029973384307204E+93</v>
      </c>
      <c r="TNS29" s="160">
        <f t="shared" ref="TNS29" si="6948">TNQ29*$C$29</f>
        <v>1.8570872585836421E+93</v>
      </c>
      <c r="TNU29" s="160">
        <f t="shared" ref="TNU29" si="6949">TNS29*$C$29</f>
        <v>1.9127998763411514E+93</v>
      </c>
      <c r="TNW29" s="160">
        <f t="shared" ref="TNW29" si="6950">TNU29*$C$29</f>
        <v>1.970183872631386E+93</v>
      </c>
      <c r="TNY29" s="160">
        <f t="shared" ref="TNY29" si="6951">TNW29*$C$29</f>
        <v>2.0292893888103277E+93</v>
      </c>
      <c r="TOA29" s="160">
        <f t="shared" ref="TOA29" si="6952">TNY29*$C$29</f>
        <v>2.0901680704746373E+93</v>
      </c>
      <c r="TOC29" s="160">
        <f t="shared" ref="TOC29" si="6953">TOA29*$C$29</f>
        <v>2.1528731125888764E+93</v>
      </c>
      <c r="TOE29" s="160">
        <f t="shared" ref="TOE29" si="6954">TOC29*$C$29</f>
        <v>2.2174593059665428E+93</v>
      </c>
      <c r="TOG29" s="160">
        <f t="shared" ref="TOG29" si="6955">TOE29*$C$29</f>
        <v>2.2839830851455393E+93</v>
      </c>
      <c r="TOI29" s="160">
        <f t="shared" ref="TOI29" si="6956">TOG29*$C$29</f>
        <v>2.3525025776999053E+93</v>
      </c>
      <c r="TOK29" s="160">
        <f t="shared" ref="TOK29" si="6957">TOI29*$C$29</f>
        <v>2.4230776550309025E+93</v>
      </c>
      <c r="TOM29" s="160">
        <f t="shared" ref="TOM29" si="6958">TOK29*$C$29</f>
        <v>2.4957699846818295E+93</v>
      </c>
      <c r="TOO29" s="160">
        <f t="shared" ref="TOO29" si="6959">TOM29*$C$29</f>
        <v>2.5706430842222843E+93</v>
      </c>
      <c r="TOQ29" s="160">
        <f t="shared" ref="TOQ29" si="6960">TOO29*$C$29</f>
        <v>2.6477623767489528E+93</v>
      </c>
      <c r="TOS29" s="160">
        <f t="shared" ref="TOS29" si="6961">TOQ29*$C$29</f>
        <v>2.7271952480514215E+93</v>
      </c>
      <c r="TOU29" s="160">
        <f t="shared" ref="TOU29" si="6962">TOS29*$C$29</f>
        <v>2.8090111054929641E+93</v>
      </c>
      <c r="TOW29" s="160">
        <f t="shared" ref="TOW29" si="6963">TOU29*$C$29</f>
        <v>2.8932814386577531E+93</v>
      </c>
      <c r="TOY29" s="160">
        <f t="shared" ref="TOY29" si="6964">TOW29*$C$29</f>
        <v>2.9800798818174858E+93</v>
      </c>
      <c r="TPA29" s="160">
        <f t="shared" ref="TPA29" si="6965">TOY29*$C$29</f>
        <v>3.0694822782720104E+93</v>
      </c>
      <c r="TPC29" s="160">
        <f t="shared" ref="TPC29" si="6966">TPA29*$C$29</f>
        <v>3.1615667466201707E+93</v>
      </c>
      <c r="TPE29" s="160">
        <f t="shared" ref="TPE29" si="6967">TPC29*$C$29</f>
        <v>3.2564137490187757E+93</v>
      </c>
      <c r="TPG29" s="160">
        <f t="shared" ref="TPG29" si="6968">TPE29*$C$29</f>
        <v>3.3541061614893391E+93</v>
      </c>
      <c r="TPI29" s="160">
        <f t="shared" ref="TPI29" si="6969">TPG29*$C$29</f>
        <v>3.4547293463340195E+93</v>
      </c>
      <c r="TPK29" s="160">
        <f t="shared" ref="TPK29" si="6970">TPI29*$C$29</f>
        <v>3.5583712267240401E+93</v>
      </c>
      <c r="TPM29" s="160">
        <f t="shared" ref="TPM29" si="6971">TPK29*$C$29</f>
        <v>3.6651223635257616E+93</v>
      </c>
      <c r="TPO29" s="160">
        <f t="shared" ref="TPO29" si="6972">TPM29*$C$29</f>
        <v>3.7750760344315346E+93</v>
      </c>
      <c r="TPQ29" s="160">
        <f t="shared" ref="TPQ29" si="6973">TPO29*$C$29</f>
        <v>3.8883283154644807E+93</v>
      </c>
      <c r="TPS29" s="160">
        <f t="shared" ref="TPS29" si="6974">TPQ29*$C$29</f>
        <v>4.0049781649284152E+93</v>
      </c>
      <c r="TPU29" s="160">
        <f t="shared" ref="TPU29" si="6975">TPS29*$C$29</f>
        <v>4.1251275098762678E+93</v>
      </c>
      <c r="TPW29" s="160">
        <f t="shared" ref="TPW29" si="6976">TPU29*$C$29</f>
        <v>4.248881335172556E+93</v>
      </c>
      <c r="TPY29" s="160">
        <f t="shared" ref="TPY29" si="6977">TPW29*$C$29</f>
        <v>4.3763477752277332E+93</v>
      </c>
      <c r="TQA29" s="160">
        <f t="shared" ref="TQA29" si="6978">TPY29*$C$29</f>
        <v>4.5076382084845649E+93</v>
      </c>
      <c r="TQC29" s="160">
        <f t="shared" ref="TQC29" si="6979">TQA29*$C$29</f>
        <v>4.6428673547391024E+93</v>
      </c>
      <c r="TQE29" s="160">
        <f t="shared" ref="TQE29" si="6980">TQC29*$C$29</f>
        <v>4.7821533753812751E+93</v>
      </c>
      <c r="TQG29" s="160">
        <f t="shared" ref="TQG29" si="6981">TQE29*$C$29</f>
        <v>4.9256179766427139E+93</v>
      </c>
      <c r="TQI29" s="160">
        <f t="shared" ref="TQI29" si="6982">TQG29*$C$29</f>
        <v>5.0733865159419958E+93</v>
      </c>
      <c r="TQK29" s="160">
        <f t="shared" ref="TQK29" si="6983">TQI29*$C$29</f>
        <v>5.2255881114202555E+93</v>
      </c>
      <c r="TQM29" s="160">
        <f t="shared" ref="TQM29" si="6984">TQK29*$C$29</f>
        <v>5.3823557547628631E+93</v>
      </c>
      <c r="TQO29" s="160">
        <f t="shared" ref="TQO29" si="6985">TQM29*$C$29</f>
        <v>5.543826427405749E+93</v>
      </c>
      <c r="TQQ29" s="160">
        <f t="shared" ref="TQQ29" si="6986">TQO29*$C$29</f>
        <v>5.7101412202279218E+93</v>
      </c>
      <c r="TQS29" s="160">
        <f t="shared" ref="TQS29" si="6987">TQQ29*$C$29</f>
        <v>5.8814454568347596E+93</v>
      </c>
      <c r="TQU29" s="160">
        <f t="shared" ref="TQU29" si="6988">TQS29*$C$29</f>
        <v>6.0578888205398026E+93</v>
      </c>
      <c r="TQW29" s="160">
        <f t="shared" ref="TQW29" si="6989">TQU29*$C$29</f>
        <v>6.2396254851559966E+93</v>
      </c>
      <c r="TQY29" s="160">
        <f t="shared" ref="TQY29" si="6990">TQW29*$C$29</f>
        <v>6.4268142497106765E+93</v>
      </c>
      <c r="TRA29" s="160">
        <f t="shared" ref="TRA29" si="6991">TQY29*$C$29</f>
        <v>6.6196186772019969E+93</v>
      </c>
      <c r="TRC29" s="160">
        <f t="shared" ref="TRC29" si="6992">TRA29*$C$29</f>
        <v>6.8182072375180566E+93</v>
      </c>
      <c r="TRE29" s="160">
        <f t="shared" ref="TRE29" si="6993">TRC29*$C$29</f>
        <v>7.0227534546435988E+93</v>
      </c>
      <c r="TRG29" s="160">
        <f t="shared" ref="TRG29" si="6994">TRE29*$C$29</f>
        <v>7.2334360582829066E+93</v>
      </c>
      <c r="TRI29" s="160">
        <f t="shared" ref="TRI29" si="6995">TRG29*$C$29</f>
        <v>7.4504391400313935E+93</v>
      </c>
      <c r="TRK29" s="160">
        <f t="shared" ref="TRK29" si="6996">TRI29*$C$29</f>
        <v>7.6739523142323352E+93</v>
      </c>
      <c r="TRM29" s="160">
        <f t="shared" ref="TRM29" si="6997">TRK29*$C$29</f>
        <v>7.904170883659305E+93</v>
      </c>
      <c r="TRO29" s="160">
        <f t="shared" ref="TRO29" si="6998">TRM29*$C$29</f>
        <v>8.1412960101690848E+93</v>
      </c>
      <c r="TRQ29" s="160">
        <f t="shared" ref="TRQ29" si="6999">TRO29*$C$29</f>
        <v>8.3855348904741574E+93</v>
      </c>
      <c r="TRS29" s="160">
        <f t="shared" ref="TRS29" si="7000">TRQ29*$C$29</f>
        <v>8.6371009371883831E+93</v>
      </c>
      <c r="TRU29" s="160">
        <f t="shared" ref="TRU29" si="7001">TRS29*$C$29</f>
        <v>8.896213965304035E+93</v>
      </c>
      <c r="TRW29" s="160">
        <f t="shared" ref="TRW29" si="7002">TRU29*$C$29</f>
        <v>9.1631003842631567E+93</v>
      </c>
      <c r="TRY29" s="160">
        <f t="shared" ref="TRY29" si="7003">TRW29*$C$29</f>
        <v>9.437993395791051E+93</v>
      </c>
      <c r="TSA29" s="160">
        <f t="shared" ref="TSA29" si="7004">TRY29*$C$29</f>
        <v>9.7211331976647836E+93</v>
      </c>
      <c r="TSC29" s="160">
        <f t="shared" ref="TSC29" si="7005">TSA29*$C$29</f>
        <v>1.0012767193594727E+94</v>
      </c>
      <c r="TSE29" s="160">
        <f t="shared" ref="TSE29" si="7006">TSC29*$C$29</f>
        <v>1.031315020940257E+94</v>
      </c>
      <c r="TSG29" s="160">
        <f t="shared" ref="TSG29" si="7007">TSE29*$C$29</f>
        <v>1.0622544715684646E+94</v>
      </c>
      <c r="TSI29" s="160">
        <f t="shared" ref="TSI29" si="7008">TSG29*$C$29</f>
        <v>1.0941221057155186E+94</v>
      </c>
      <c r="TSK29" s="160">
        <f t="shared" ref="TSK29" si="7009">TSI29*$C$29</f>
        <v>1.1269457688869842E+94</v>
      </c>
      <c r="TSM29" s="160">
        <f t="shared" ref="TSM29" si="7010">TSK29*$C$29</f>
        <v>1.1607541419535937E+94</v>
      </c>
      <c r="TSO29" s="160">
        <f t="shared" ref="TSO29" si="7011">TSM29*$C$29</f>
        <v>1.1955767662122015E+94</v>
      </c>
      <c r="TSQ29" s="160">
        <f t="shared" ref="TSQ29" si="7012">TSO29*$C$29</f>
        <v>1.2314440691985675E+94</v>
      </c>
      <c r="TSS29" s="160">
        <f t="shared" ref="TSS29" si="7013">TSQ29*$C$29</f>
        <v>1.2683873912745246E+94</v>
      </c>
      <c r="TSU29" s="160">
        <f t="shared" ref="TSU29" si="7014">TSS29*$C$29</f>
        <v>1.3064390130127603E+94</v>
      </c>
      <c r="TSW29" s="160">
        <f t="shared" ref="TSW29" si="7015">TSU29*$C$29</f>
        <v>1.3456321834031432E+94</v>
      </c>
      <c r="TSY29" s="160">
        <f t="shared" ref="TSY29" si="7016">TSW29*$C$29</f>
        <v>1.3860011489052376E+94</v>
      </c>
      <c r="TTA29" s="160">
        <f t="shared" ref="TTA29" si="7017">TSY29*$C$29</f>
        <v>1.4275811833723948E+94</v>
      </c>
      <c r="TTC29" s="160">
        <f t="shared" ref="TTC29" si="7018">TTA29*$C$29</f>
        <v>1.4704086188735667E+94</v>
      </c>
      <c r="TTE29" s="160">
        <f t="shared" ref="TTE29" si="7019">TTC29*$C$29</f>
        <v>1.5145208774397739E+94</v>
      </c>
      <c r="TTG29" s="160">
        <f t="shared" ref="TTG29" si="7020">TTE29*$C$29</f>
        <v>1.5599565037629671E+94</v>
      </c>
      <c r="TTI29" s="160">
        <f t="shared" ref="TTI29" si="7021">TTG29*$C$29</f>
        <v>1.6067551988758561E+94</v>
      </c>
      <c r="TTK29" s="160">
        <f t="shared" ref="TTK29" si="7022">TTI29*$C$29</f>
        <v>1.6549578548421317E+94</v>
      </c>
      <c r="TTM29" s="160">
        <f t="shared" ref="TTM29" si="7023">TTK29*$C$29</f>
        <v>1.7046065904873957E+94</v>
      </c>
      <c r="TTO29" s="160">
        <f t="shared" ref="TTO29" si="7024">TTM29*$C$29</f>
        <v>1.7557447882020175E+94</v>
      </c>
      <c r="TTQ29" s="160">
        <f t="shared" ref="TTQ29" si="7025">TTO29*$C$29</f>
        <v>1.8084171318480782E+94</v>
      </c>
      <c r="TTS29" s="160">
        <f t="shared" ref="TTS29" si="7026">TTQ29*$C$29</f>
        <v>1.8626696458035205E+94</v>
      </c>
      <c r="TTU29" s="160">
        <f t="shared" ref="TTU29" si="7027">TTS29*$C$29</f>
        <v>1.9185497351776261E+94</v>
      </c>
      <c r="TTW29" s="160">
        <f t="shared" ref="TTW29" si="7028">TTU29*$C$29</f>
        <v>1.9761062272329548E+94</v>
      </c>
      <c r="TTY29" s="160">
        <f t="shared" ref="TTY29" si="7029">TTW29*$C$29</f>
        <v>2.0353894140499437E+94</v>
      </c>
      <c r="TUA29" s="160">
        <f t="shared" ref="TUA29" si="7030">TTY29*$C$29</f>
        <v>2.0964510964714422E+94</v>
      </c>
      <c r="TUC29" s="160">
        <f t="shared" ref="TUC29" si="7031">TUA29*$C$29</f>
        <v>2.1593446293655857E+94</v>
      </c>
      <c r="TUE29" s="160">
        <f t="shared" ref="TUE29" si="7032">TUC29*$C$29</f>
        <v>2.2241249682465535E+94</v>
      </c>
      <c r="TUG29" s="160">
        <f t="shared" ref="TUG29" si="7033">TUE29*$C$29</f>
        <v>2.29084871729395E+94</v>
      </c>
      <c r="TUI29" s="160">
        <f t="shared" ref="TUI29" si="7034">TUG29*$C$29</f>
        <v>2.3595741788127686E+94</v>
      </c>
      <c r="TUK29" s="160">
        <f t="shared" ref="TUK29" si="7035">TUI29*$C$29</f>
        <v>2.4303614041771517E+94</v>
      </c>
      <c r="TUM29" s="160">
        <f t="shared" ref="TUM29" si="7036">TUK29*$C$29</f>
        <v>2.5032722463024661E+94</v>
      </c>
      <c r="TUO29" s="160">
        <f t="shared" ref="TUO29" si="7037">TUM29*$C$29</f>
        <v>2.57837041369154E+94</v>
      </c>
      <c r="TUQ29" s="160">
        <f t="shared" ref="TUQ29" si="7038">TUO29*$C$29</f>
        <v>2.6557215261022865E+94</v>
      </c>
      <c r="TUS29" s="160">
        <f t="shared" ref="TUS29" si="7039">TUQ29*$C$29</f>
        <v>2.7353931718853553E+94</v>
      </c>
      <c r="TUU29" s="160">
        <f t="shared" ref="TUU29" si="7040">TUS29*$C$29</f>
        <v>2.8174549670419162E+94</v>
      </c>
      <c r="TUW29" s="160">
        <f t="shared" ref="TUW29" si="7041">TUU29*$C$29</f>
        <v>2.9019786160531736E+94</v>
      </c>
      <c r="TUY29" s="160">
        <f t="shared" ref="TUY29" si="7042">TUW29*$C$29</f>
        <v>2.989037974534769E+94</v>
      </c>
      <c r="TVA29" s="160">
        <f t="shared" ref="TVA29" si="7043">TUY29*$C$29</f>
        <v>3.0787091137708121E+94</v>
      </c>
      <c r="TVC29" s="160">
        <f t="shared" ref="TVC29" si="7044">TVA29*$C$29</f>
        <v>3.1710703871839366E+94</v>
      </c>
      <c r="TVE29" s="160">
        <f t="shared" ref="TVE29" si="7045">TVC29*$C$29</f>
        <v>3.2662024987994548E+94</v>
      </c>
      <c r="TVG29" s="160">
        <f t="shared" ref="TVG29" si="7046">TVE29*$C$29</f>
        <v>3.3641885737634383E+94</v>
      </c>
      <c r="TVI29" s="160">
        <f t="shared" ref="TVI29" si="7047">TVG29*$C$29</f>
        <v>3.4651142309763413E+94</v>
      </c>
      <c r="TVK29" s="160">
        <f t="shared" ref="TVK29" si="7048">TVI29*$C$29</f>
        <v>3.5690676579056314E+94</v>
      </c>
      <c r="TVM29" s="160">
        <f t="shared" ref="TVM29" si="7049">TVK29*$C$29</f>
        <v>3.6761396876428007E+94</v>
      </c>
      <c r="TVO29" s="160">
        <f t="shared" ref="TVO29" si="7050">TVM29*$C$29</f>
        <v>3.7864238782720849E+94</v>
      </c>
      <c r="TVQ29" s="160">
        <f t="shared" ref="TVQ29" si="7051">TVO29*$C$29</f>
        <v>3.9000165946202477E+94</v>
      </c>
      <c r="TVS29" s="160">
        <f t="shared" ref="TVS29" si="7052">TVQ29*$C$29</f>
        <v>4.0170170924588554E+94</v>
      </c>
      <c r="TVU29" s="160">
        <f t="shared" ref="TVU29" si="7053">TVS29*$C$29</f>
        <v>4.1375276052326212E+94</v>
      </c>
      <c r="TVW29" s="160">
        <f t="shared" ref="TVW29" si="7054">TVU29*$C$29</f>
        <v>4.2616534333896002E+94</v>
      </c>
      <c r="TVY29" s="160">
        <f t="shared" ref="TVY29" si="7055">TVW29*$C$29</f>
        <v>4.3895030363912882E+94</v>
      </c>
      <c r="TWA29" s="160">
        <f t="shared" ref="TWA29" si="7056">TVY29*$C$29</f>
        <v>4.521188127483027E+94</v>
      </c>
      <c r="TWC29" s="160">
        <f t="shared" ref="TWC29" si="7057">TWA29*$C$29</f>
        <v>4.656823771307518E+94</v>
      </c>
      <c r="TWE29" s="160">
        <f t="shared" ref="TWE29" si="7058">TWC29*$C$29</f>
        <v>4.7965284844467435E+94</v>
      </c>
      <c r="TWG29" s="160">
        <f t="shared" ref="TWG29" si="7059">TWE29*$C$29</f>
        <v>4.9404243389801463E+94</v>
      </c>
      <c r="TWI29" s="160">
        <f t="shared" ref="TWI29" si="7060">TWG29*$C$29</f>
        <v>5.0886370691495508E+94</v>
      </c>
      <c r="TWK29" s="160">
        <f t="shared" ref="TWK29" si="7061">TWI29*$C$29</f>
        <v>5.2412961812240378E+94</v>
      </c>
      <c r="TWM29" s="160">
        <f t="shared" ref="TWM29" si="7062">TWK29*$C$29</f>
        <v>5.3985350666607587E+94</v>
      </c>
      <c r="TWO29" s="160">
        <f t="shared" ref="TWO29" si="7063">TWM29*$C$29</f>
        <v>5.5604911186605813E+94</v>
      </c>
      <c r="TWQ29" s="160">
        <f t="shared" ref="TWQ29" si="7064">TWO29*$C$29</f>
        <v>5.7273058522203992E+94</v>
      </c>
      <c r="TWS29" s="160">
        <f t="shared" ref="TWS29" si="7065">TWQ29*$C$29</f>
        <v>5.8991250277870117E+94</v>
      </c>
      <c r="TWU29" s="160">
        <f t="shared" ref="TWU29" si="7066">TWS29*$C$29</f>
        <v>6.0760987786206225E+94</v>
      </c>
      <c r="TWW29" s="160">
        <f t="shared" ref="TWW29" si="7067">TWU29*$C$29</f>
        <v>6.2583817419792412E+94</v>
      </c>
      <c r="TWY29" s="160">
        <f t="shared" ref="TWY29" si="7068">TWW29*$C$29</f>
        <v>6.4461331942386185E+94</v>
      </c>
      <c r="TXA29" s="160">
        <f t="shared" ref="TXA29" si="7069">TWY29*$C$29</f>
        <v>6.6395171900657773E+94</v>
      </c>
      <c r="TXC29" s="160">
        <f t="shared" ref="TXC29" si="7070">TXA29*$C$29</f>
        <v>6.8387027057677508E+94</v>
      </c>
      <c r="TXE29" s="160">
        <f t="shared" ref="TXE29" si="7071">TXC29*$C$29</f>
        <v>7.0438637869407836E+94</v>
      </c>
      <c r="TXG29" s="160">
        <f t="shared" ref="TXG29" si="7072">TXE29*$C$29</f>
        <v>7.2551797005490078E+94</v>
      </c>
      <c r="TXI29" s="160">
        <f t="shared" ref="TXI29" si="7073">TXG29*$C$29</f>
        <v>7.4728350915654787E+94</v>
      </c>
      <c r="TXK29" s="160">
        <f t="shared" ref="TXK29" si="7074">TXI29*$C$29</f>
        <v>7.6970201443124435E+94</v>
      </c>
      <c r="TXM29" s="160">
        <f t="shared" ref="TXM29" si="7075">TXK29*$C$29</f>
        <v>7.9279307486418166E+94</v>
      </c>
      <c r="TXO29" s="160">
        <f t="shared" ref="TXO29" si="7076">TXM29*$C$29</f>
        <v>8.165768671101071E+94</v>
      </c>
      <c r="TXQ29" s="160">
        <f t="shared" ref="TXQ29" si="7077">TXO29*$C$29</f>
        <v>8.4107417312341036E+94</v>
      </c>
      <c r="TXS29" s="160">
        <f t="shared" ref="TXS29" si="7078">TXQ29*$C$29</f>
        <v>8.6630639831711269E+94</v>
      </c>
      <c r="TXU29" s="160">
        <f t="shared" ref="TXU29" si="7079">TXS29*$C$29</f>
        <v>8.9229559026662603E+94</v>
      </c>
      <c r="TXW29" s="160">
        <f t="shared" ref="TXW29" si="7080">TXU29*$C$29</f>
        <v>9.1906445797462484E+94</v>
      </c>
      <c r="TXY29" s="160">
        <f t="shared" ref="TXY29" si="7081">TXW29*$C$29</f>
        <v>9.4663639171386355E+94</v>
      </c>
      <c r="TYA29" s="160">
        <f t="shared" ref="TYA29" si="7082">TXY29*$C$29</f>
        <v>9.7503548346527951E+94</v>
      </c>
      <c r="TYC29" s="160">
        <f t="shared" ref="TYC29" si="7083">TYA29*$C$29</f>
        <v>1.004286547969238E+95</v>
      </c>
      <c r="TYE29" s="160">
        <f t="shared" ref="TYE29" si="7084">TYC29*$C$29</f>
        <v>1.0344151444083152E+95</v>
      </c>
      <c r="TYG29" s="160">
        <f t="shared" ref="TYG29" si="7085">TYE29*$C$29</f>
        <v>1.0654475987405647E+95</v>
      </c>
      <c r="TYI29" s="160">
        <f t="shared" ref="TYI29" si="7086">TYG29*$C$29</f>
        <v>1.0974110267027817E+95</v>
      </c>
      <c r="TYK29" s="160">
        <f t="shared" ref="TYK29" si="7087">TYI29*$C$29</f>
        <v>1.1303333575038653E+95</v>
      </c>
      <c r="TYM29" s="160">
        <f t="shared" ref="TYM29" si="7088">TYK29*$C$29</f>
        <v>1.1642433582289813E+95</v>
      </c>
      <c r="TYO29" s="160">
        <f t="shared" ref="TYO29" si="7089">TYM29*$C$29</f>
        <v>1.1991706589758507E+95</v>
      </c>
      <c r="TYQ29" s="160">
        <f t="shared" ref="TYQ29" si="7090">TYO29*$C$29</f>
        <v>1.2351457787451262E+95</v>
      </c>
      <c r="TYS29" s="160">
        <f t="shared" ref="TYS29" si="7091">TYQ29*$C$29</f>
        <v>1.27220015210748E+95</v>
      </c>
      <c r="TYU29" s="160">
        <f t="shared" ref="TYU29" si="7092">TYS29*$C$29</f>
        <v>1.3103661566707044E+95</v>
      </c>
      <c r="TYW29" s="160">
        <f t="shared" ref="TYW29" si="7093">TYU29*$C$29</f>
        <v>1.3496771413708255E+95</v>
      </c>
      <c r="TYY29" s="160">
        <f t="shared" ref="TYY29" si="7094">TYW29*$C$29</f>
        <v>1.3901674556119503E+95</v>
      </c>
      <c r="TZA29" s="160">
        <f t="shared" ref="TZA29" si="7095">TYY29*$C$29</f>
        <v>1.4318724792803089E+95</v>
      </c>
      <c r="TZC29" s="160">
        <f t="shared" ref="TZC29" si="7096">TZA29*$C$29</f>
        <v>1.4748286536587183E+95</v>
      </c>
      <c r="TZE29" s="160">
        <f t="shared" ref="TZE29" si="7097">TZC29*$C$29</f>
        <v>1.51907351326848E+95</v>
      </c>
      <c r="TZG29" s="160">
        <f t="shared" ref="TZG29" si="7098">TZE29*$C$29</f>
        <v>1.5646457186665345E+95</v>
      </c>
      <c r="TZI29" s="160">
        <f t="shared" ref="TZI29" si="7099">TZG29*$C$29</f>
        <v>1.6115850902265307E+95</v>
      </c>
      <c r="TZK29" s="160">
        <f t="shared" ref="TZK29" si="7100">TZI29*$C$29</f>
        <v>1.6599326429333266E+95</v>
      </c>
      <c r="TZM29" s="160">
        <f t="shared" ref="TZM29" si="7101">TZK29*$C$29</f>
        <v>1.7097306222213264E+95</v>
      </c>
      <c r="TZO29" s="160">
        <f t="shared" ref="TZO29" si="7102">TZM29*$C$29</f>
        <v>1.7610225408879661E+95</v>
      </c>
      <c r="TZQ29" s="160">
        <f t="shared" ref="TZQ29" si="7103">TZO29*$C$29</f>
        <v>1.8138532171146053E+95</v>
      </c>
      <c r="TZS29" s="160">
        <f t="shared" ref="TZS29" si="7104">TZQ29*$C$29</f>
        <v>1.8682688136280436E+95</v>
      </c>
      <c r="TZU29" s="160">
        <f t="shared" ref="TZU29" si="7105">TZS29*$C$29</f>
        <v>1.9243168780368851E+95</v>
      </c>
      <c r="TZW29" s="160">
        <f t="shared" ref="TZW29" si="7106">TZU29*$C$29</f>
        <v>1.9820463843779917E+95</v>
      </c>
      <c r="TZY29" s="160">
        <f t="shared" ref="TZY29" si="7107">TZW29*$C$29</f>
        <v>2.0415077759093316E+95</v>
      </c>
      <c r="UAA29" s="160">
        <f t="shared" ref="UAA29" si="7108">TZY29*$C$29</f>
        <v>2.1027530091866116E+95</v>
      </c>
      <c r="UAC29" s="160">
        <f t="shared" ref="UAC29" si="7109">UAA29*$C$29</f>
        <v>2.1658355994622102E+95</v>
      </c>
      <c r="UAE29" s="160">
        <f t="shared" ref="UAE29" si="7110">UAC29*$C$29</f>
        <v>2.2308106674460764E+95</v>
      </c>
      <c r="UAG29" s="160">
        <f t="shared" ref="UAG29" si="7111">UAE29*$C$29</f>
        <v>2.2977349874694588E+95</v>
      </c>
      <c r="UAI29" s="160">
        <f t="shared" ref="UAI29" si="7112">UAG29*$C$29</f>
        <v>2.3666670370935427E+95</v>
      </c>
      <c r="UAK29" s="160">
        <f t="shared" ref="UAK29" si="7113">UAI29*$C$29</f>
        <v>2.4376670482063491E+95</v>
      </c>
      <c r="UAM29" s="160">
        <f t="shared" ref="UAM29" si="7114">UAK29*$C$29</f>
        <v>2.5107970596525395E+95</v>
      </c>
      <c r="UAO29" s="160">
        <f t="shared" ref="UAO29" si="7115">UAM29*$C$29</f>
        <v>2.5861209714421156E+95</v>
      </c>
      <c r="UAQ29" s="160">
        <f t="shared" ref="UAQ29" si="7116">UAO29*$C$29</f>
        <v>2.6637046005853791E+95</v>
      </c>
      <c r="UAS29" s="160">
        <f t="shared" ref="UAS29" si="7117">UAQ29*$C$29</f>
        <v>2.7436157386029405E+95</v>
      </c>
      <c r="UAU29" s="160">
        <f t="shared" ref="UAU29" si="7118">UAS29*$C$29</f>
        <v>2.8259242107610287E+95</v>
      </c>
      <c r="UAW29" s="160">
        <f t="shared" ref="UAW29" si="7119">UAU29*$C$29</f>
        <v>2.9107019370838594E+95</v>
      </c>
      <c r="UAY29" s="160">
        <f t="shared" ref="UAY29" si="7120">UAW29*$C$29</f>
        <v>2.998022995196375E+95</v>
      </c>
      <c r="UBA29" s="160">
        <f t="shared" ref="UBA29" si="7121">UAY29*$C$29</f>
        <v>3.0879636850522664E+95</v>
      </c>
      <c r="UBC29" s="160">
        <f t="shared" ref="UBC29" si="7122">UBA29*$C$29</f>
        <v>3.1806025956038344E+95</v>
      </c>
      <c r="UBE29" s="160">
        <f t="shared" ref="UBE29" si="7123">UBC29*$C$29</f>
        <v>3.2760206734719492E+95</v>
      </c>
      <c r="UBG29" s="160">
        <f t="shared" ref="UBG29" si="7124">UBE29*$C$29</f>
        <v>3.3743012936761077E+95</v>
      </c>
      <c r="UBI29" s="160">
        <f t="shared" ref="UBI29" si="7125">UBG29*$C$29</f>
        <v>3.4755303324863907E+95</v>
      </c>
      <c r="UBK29" s="160">
        <f t="shared" ref="UBK29" si="7126">UBI29*$C$29</f>
        <v>3.5797962424609825E+95</v>
      </c>
      <c r="UBM29" s="160">
        <f t="shared" ref="UBM29" si="7127">UBK29*$C$29</f>
        <v>3.6871901297348118E+95</v>
      </c>
      <c r="UBO29" s="160">
        <f t="shared" ref="UBO29" si="7128">UBM29*$C$29</f>
        <v>3.7978058336268561E+95</v>
      </c>
      <c r="UBQ29" s="160">
        <f t="shared" ref="UBQ29" si="7129">UBO29*$C$29</f>
        <v>3.911740008635662E+95</v>
      </c>
      <c r="UBS29" s="160">
        <f t="shared" ref="UBS29" si="7130">UBQ29*$C$29</f>
        <v>4.0290922088947319E+95</v>
      </c>
      <c r="UBU29" s="160">
        <f t="shared" ref="UBU29" si="7131">UBS29*$C$29</f>
        <v>4.1499649751615741E+95</v>
      </c>
      <c r="UBW29" s="160">
        <f t="shared" ref="UBW29" si="7132">UBU29*$C$29</f>
        <v>4.2744639244164214E+95</v>
      </c>
      <c r="UBY29" s="160">
        <f t="shared" ref="UBY29" si="7133">UBW29*$C$29</f>
        <v>4.402697842148914E+95</v>
      </c>
      <c r="UCA29" s="160">
        <f t="shared" ref="UCA29" si="7134">UBY29*$C$29</f>
        <v>4.5347787774133813E+95</v>
      </c>
      <c r="UCC29" s="160">
        <f t="shared" ref="UCC29" si="7135">UCA29*$C$29</f>
        <v>4.6708221407357831E+95</v>
      </c>
      <c r="UCE29" s="160">
        <f t="shared" ref="UCE29" si="7136">UCC29*$C$29</f>
        <v>4.8109468049578568E+95</v>
      </c>
      <c r="UCG29" s="160">
        <f t="shared" ref="UCG29" si="7137">UCE29*$C$29</f>
        <v>4.9552752091065923E+95</v>
      </c>
      <c r="UCI29" s="160">
        <f t="shared" ref="UCI29" si="7138">UCG29*$C$29</f>
        <v>5.1039334653797903E+95</v>
      </c>
      <c r="UCK29" s="160">
        <f t="shared" ref="UCK29" si="7139">UCI29*$C$29</f>
        <v>5.2570514693411841E+95</v>
      </c>
      <c r="UCM29" s="160">
        <f t="shared" ref="UCM29" si="7140">UCK29*$C$29</f>
        <v>5.4147630134214196E+95</v>
      </c>
      <c r="UCO29" s="160">
        <f t="shared" ref="UCO29" si="7141">UCM29*$C$29</f>
        <v>5.5772059038240625E+95</v>
      </c>
      <c r="UCQ29" s="160">
        <f t="shared" ref="UCQ29" si="7142">UCO29*$C$29</f>
        <v>5.7445220809387841E+95</v>
      </c>
      <c r="UCS29" s="160">
        <f t="shared" ref="UCS29" si="7143">UCQ29*$C$29</f>
        <v>5.9168577433669483E+95</v>
      </c>
      <c r="UCU29" s="160">
        <f t="shared" ref="UCU29" si="7144">UCS29*$C$29</f>
        <v>6.0943634756679573E+95</v>
      </c>
      <c r="UCW29" s="160">
        <f t="shared" ref="UCW29" si="7145">UCU29*$C$29</f>
        <v>6.2771943799379957E+95</v>
      </c>
      <c r="UCY29" s="160">
        <f t="shared" ref="UCY29" si="7146">UCW29*$C$29</f>
        <v>6.4655102113361352E+95</v>
      </c>
      <c r="UDA29" s="160">
        <f t="shared" ref="UDA29" si="7147">UCY29*$C$29</f>
        <v>6.6594755176762193E+95</v>
      </c>
      <c r="UDC29" s="160">
        <f t="shared" ref="UDC29" si="7148">UDA29*$C$29</f>
        <v>6.8592597832065063E+95</v>
      </c>
      <c r="UDE29" s="160">
        <f t="shared" ref="UDE29" si="7149">UDC29*$C$29</f>
        <v>7.0650375767027011E+95</v>
      </c>
      <c r="UDG29" s="160">
        <f t="shared" ref="UDG29" si="7150">UDE29*$C$29</f>
        <v>7.2769887040037823E+95</v>
      </c>
      <c r="UDI29" s="160">
        <f t="shared" ref="UDI29" si="7151">UDG29*$C$29</f>
        <v>7.4952983651238958E+95</v>
      </c>
      <c r="UDK29" s="160">
        <f t="shared" ref="UDK29" si="7152">UDI29*$C$29</f>
        <v>7.7201573160776129E+95</v>
      </c>
      <c r="UDM29" s="160">
        <f t="shared" ref="UDM29" si="7153">UDK29*$C$29</f>
        <v>7.9517620355599416E+95</v>
      </c>
      <c r="UDO29" s="160">
        <f t="shared" ref="UDO29" si="7154">UDM29*$C$29</f>
        <v>8.1903148966267403E+95</v>
      </c>
      <c r="UDQ29" s="160">
        <f t="shared" ref="UDQ29" si="7155">UDO29*$C$29</f>
        <v>8.4360243435255426E+95</v>
      </c>
      <c r="UDS29" s="160">
        <f t="shared" ref="UDS29" si="7156">UDQ29*$C$29</f>
        <v>8.6891050738313086E+95</v>
      </c>
      <c r="UDU29" s="160">
        <f t="shared" ref="UDU29" si="7157">UDS29*$C$29</f>
        <v>8.9497782260462479E+95</v>
      </c>
      <c r="UDW29" s="160">
        <f t="shared" ref="UDW29" si="7158">UDU29*$C$29</f>
        <v>9.2182715728276356E+95</v>
      </c>
      <c r="UDY29" s="160">
        <f t="shared" ref="UDY29" si="7159">UDW29*$C$29</f>
        <v>9.4948197200124654E+95</v>
      </c>
      <c r="UEA29" s="160">
        <f t="shared" ref="UEA29" si="7160">UDY29*$C$29</f>
        <v>9.7796643116128393E+95</v>
      </c>
      <c r="UEC29" s="160">
        <f t="shared" ref="UEC29" si="7161">UEA29*$C$29</f>
        <v>1.0073054240961225E+96</v>
      </c>
      <c r="UEE29" s="160">
        <f t="shared" ref="UEE29" si="7162">UEC29*$C$29</f>
        <v>1.0375245868190061E+96</v>
      </c>
      <c r="UEG29" s="160">
        <f t="shared" ref="UEG29" si="7163">UEE29*$C$29</f>
        <v>1.0686503244235763E+96</v>
      </c>
      <c r="UEI29" s="160">
        <f t="shared" ref="UEI29" si="7164">UEG29*$C$29</f>
        <v>1.1007098341562835E+96</v>
      </c>
      <c r="UEK29" s="160">
        <f t="shared" ref="UEK29" si="7165">UEI29*$C$29</f>
        <v>1.1337311291809721E+96</v>
      </c>
      <c r="UEM29" s="160">
        <f t="shared" ref="UEM29" si="7166">UEK29*$C$29</f>
        <v>1.1677430630564013E+96</v>
      </c>
      <c r="UEO29" s="160">
        <f t="shared" ref="UEO29" si="7167">UEM29*$C$29</f>
        <v>1.2027753549480934E+96</v>
      </c>
      <c r="UEQ29" s="160">
        <f t="shared" ref="UEQ29" si="7168">UEO29*$C$29</f>
        <v>1.2388586155965362E+96</v>
      </c>
      <c r="UES29" s="160">
        <f t="shared" ref="UES29" si="7169">UEQ29*$C$29</f>
        <v>1.2760243740644324E+96</v>
      </c>
      <c r="UEU29" s="160">
        <f t="shared" ref="UEU29" si="7170">UES29*$C$29</f>
        <v>1.3143051052863654E+96</v>
      </c>
      <c r="UEW29" s="160">
        <f t="shared" ref="UEW29" si="7171">UEU29*$C$29</f>
        <v>1.3537342584449565E+96</v>
      </c>
      <c r="UEY29" s="160">
        <f t="shared" ref="UEY29" si="7172">UEW29*$C$29</f>
        <v>1.3943462861983053E+96</v>
      </c>
      <c r="UFA29" s="160">
        <f t="shared" ref="UFA29" si="7173">UEY29*$C$29</f>
        <v>1.4361766747842545E+96</v>
      </c>
      <c r="UFC29" s="160">
        <f t="shared" ref="UFC29" si="7174">UFA29*$C$29</f>
        <v>1.4792619750277822E+96</v>
      </c>
      <c r="UFE29" s="160">
        <f t="shared" ref="UFE29" si="7175">UFC29*$C$29</f>
        <v>1.5236398342786157E+96</v>
      </c>
      <c r="UFG29" s="160">
        <f t="shared" ref="UFG29" si="7176">UFE29*$C$29</f>
        <v>1.5693490293069743E+96</v>
      </c>
      <c r="UFI29" s="160">
        <f t="shared" ref="UFI29" si="7177">UFG29*$C$29</f>
        <v>1.6164295001861836E+96</v>
      </c>
      <c r="UFK29" s="160">
        <f t="shared" ref="UFK29" si="7178">UFI29*$C$29</f>
        <v>1.6649223851917691E+96</v>
      </c>
      <c r="UFM29" s="160">
        <f t="shared" ref="UFM29" si="7179">UFK29*$C$29</f>
        <v>1.7148700567475223E+96</v>
      </c>
      <c r="UFO29" s="160">
        <f t="shared" ref="UFO29" si="7180">UFM29*$C$29</f>
        <v>1.7663161584499479E+96</v>
      </c>
      <c r="UFQ29" s="160">
        <f t="shared" ref="UFQ29" si="7181">UFO29*$C$29</f>
        <v>1.8193056432034465E+96</v>
      </c>
      <c r="UFS29" s="160">
        <f t="shared" ref="UFS29" si="7182">UFQ29*$C$29</f>
        <v>1.8738848124995499E+96</v>
      </c>
      <c r="UFU29" s="160">
        <f t="shared" ref="UFU29" si="7183">UFS29*$C$29</f>
        <v>1.9301013568745364E+96</v>
      </c>
      <c r="UFW29" s="160">
        <f t="shared" ref="UFW29" si="7184">UFU29*$C$29</f>
        <v>1.9880043975807725E+96</v>
      </c>
      <c r="UFY29" s="160">
        <f t="shared" ref="UFY29" si="7185">UFW29*$C$29</f>
        <v>2.0476445295081956E+96</v>
      </c>
      <c r="UGA29" s="160">
        <f t="shared" ref="UGA29" si="7186">UFY29*$C$29</f>
        <v>2.1090738653934417E+96</v>
      </c>
      <c r="UGC29" s="160">
        <f t="shared" ref="UGC29" si="7187">UGA29*$C$29</f>
        <v>2.1723460813552449E+96</v>
      </c>
      <c r="UGE29" s="160">
        <f t="shared" ref="UGE29" si="7188">UGC29*$C$29</f>
        <v>2.2375164637959023E+96</v>
      </c>
      <c r="UGG29" s="160">
        <f t="shared" ref="UGG29" si="7189">UGE29*$C$29</f>
        <v>2.3046419577097796E+96</v>
      </c>
      <c r="UGI29" s="160">
        <f t="shared" ref="UGI29" si="7190">UGG29*$C$29</f>
        <v>2.3737812164410731E+96</v>
      </c>
      <c r="UGK29" s="160">
        <f t="shared" ref="UGK29" si="7191">UGI29*$C$29</f>
        <v>2.4449946529343053E+96</v>
      </c>
      <c r="UGM29" s="160">
        <f t="shared" ref="UGM29" si="7192">UGK29*$C$29</f>
        <v>2.5183444925223344E+96</v>
      </c>
      <c r="UGO29" s="160">
        <f t="shared" ref="UGO29" si="7193">UGM29*$C$29</f>
        <v>2.5938948272980044E+96</v>
      </c>
      <c r="UGQ29" s="160">
        <f t="shared" ref="UGQ29" si="7194">UGO29*$C$29</f>
        <v>2.6717116721169446E+96</v>
      </c>
      <c r="UGS29" s="160">
        <f t="shared" ref="UGS29" si="7195">UGQ29*$C$29</f>
        <v>2.7518630222804532E+96</v>
      </c>
      <c r="UGU29" s="160">
        <f t="shared" ref="UGU29" si="7196">UGS29*$C$29</f>
        <v>2.8344189129488669E+96</v>
      </c>
      <c r="UGW29" s="160">
        <f t="shared" ref="UGW29" si="7197">UGU29*$C$29</f>
        <v>2.9194514803373332E+96</v>
      </c>
      <c r="UGY29" s="160">
        <f t="shared" ref="UGY29" si="7198">UGW29*$C$29</f>
        <v>3.007035024747453E+96</v>
      </c>
      <c r="UHA29" s="160">
        <f t="shared" ref="UHA29" si="7199">UGY29*$C$29</f>
        <v>3.0972460754898769E+96</v>
      </c>
      <c r="UHC29" s="160">
        <f t="shared" ref="UHC29" si="7200">UHA29*$C$29</f>
        <v>3.1901634577545731E+96</v>
      </c>
      <c r="UHE29" s="160">
        <f t="shared" ref="UHE29" si="7201">UHC29*$C$29</f>
        <v>3.2858683614872105E+96</v>
      </c>
      <c r="UHG29" s="160">
        <f t="shared" ref="UHG29" si="7202">UHE29*$C$29</f>
        <v>3.3844444123318271E+96</v>
      </c>
      <c r="UHI29" s="160">
        <f t="shared" ref="UHI29" si="7203">UHG29*$C$29</f>
        <v>3.4859777447017821E+96</v>
      </c>
      <c r="UHK29" s="160">
        <f t="shared" ref="UHK29" si="7204">UHI29*$C$29</f>
        <v>3.5905570770428355E+96</v>
      </c>
      <c r="UHM29" s="160">
        <f t="shared" ref="UHM29" si="7205">UHK29*$C$29</f>
        <v>3.6982737893541207E+96</v>
      </c>
      <c r="UHO29" s="160">
        <f t="shared" ref="UHO29" si="7206">UHM29*$C$29</f>
        <v>3.8092220030347443E+96</v>
      </c>
      <c r="UHQ29" s="160">
        <f t="shared" ref="UHQ29" si="7207">UHO29*$C$29</f>
        <v>3.9234986631257866E+96</v>
      </c>
      <c r="UHS29" s="160">
        <f t="shared" ref="UHS29" si="7208">UHQ29*$C$29</f>
        <v>4.0412036230195601E+96</v>
      </c>
      <c r="UHU29" s="160">
        <f t="shared" ref="UHU29" si="7209">UHS29*$C$29</f>
        <v>4.1624397317101468E+96</v>
      </c>
      <c r="UHW29" s="160">
        <f t="shared" ref="UHW29" si="7210">UHU29*$C$29</f>
        <v>4.287312923661451E+96</v>
      </c>
      <c r="UHY29" s="160">
        <f t="shared" ref="UHY29" si="7211">UHW29*$C$29</f>
        <v>4.4159323113712944E+96</v>
      </c>
      <c r="UIA29" s="160">
        <f t="shared" ref="UIA29" si="7212">UHY29*$C$29</f>
        <v>4.5484102807124332E+96</v>
      </c>
      <c r="UIC29" s="160">
        <f t="shared" ref="UIC29" si="7213">UIA29*$C$29</f>
        <v>4.6848625891338066E+96</v>
      </c>
      <c r="UIE29" s="160">
        <f t="shared" ref="UIE29" si="7214">UIC29*$C$29</f>
        <v>4.8254084668078207E+96</v>
      </c>
      <c r="UIG29" s="160">
        <f t="shared" ref="UIG29" si="7215">UIE29*$C$29</f>
        <v>4.9701707208120556E+96</v>
      </c>
      <c r="UII29" s="160">
        <f t="shared" ref="UII29" si="7216">UIG29*$C$29</f>
        <v>5.1192758424364171E+96</v>
      </c>
      <c r="UIK29" s="160">
        <f t="shared" ref="UIK29" si="7217">UII29*$C$29</f>
        <v>5.2728541177095099E+96</v>
      </c>
      <c r="UIM29" s="160">
        <f t="shared" ref="UIM29" si="7218">UIK29*$C$29</f>
        <v>5.4310397412407957E+96</v>
      </c>
      <c r="UIO29" s="160">
        <f t="shared" ref="UIO29" si="7219">UIM29*$C$29</f>
        <v>5.5939709334780198E+96</v>
      </c>
      <c r="UIQ29" s="160">
        <f t="shared" ref="UIQ29" si="7220">UIO29*$C$29</f>
        <v>5.7617900614823604E+96</v>
      </c>
      <c r="UIS29" s="160">
        <f t="shared" ref="UIS29" si="7221">UIQ29*$C$29</f>
        <v>5.934643763326831E+96</v>
      </c>
      <c r="UIU29" s="160">
        <f t="shared" ref="UIU29" si="7222">UIS29*$C$29</f>
        <v>6.112683076226636E+96</v>
      </c>
      <c r="UIW29" s="160">
        <f t="shared" ref="UIW29" si="7223">UIU29*$C$29</f>
        <v>6.2960635685134357E+96</v>
      </c>
      <c r="UIY29" s="160">
        <f t="shared" ref="UIY29" si="7224">UIW29*$C$29</f>
        <v>6.4849454755688388E+96</v>
      </c>
      <c r="UJA29" s="160">
        <f t="shared" ref="UJA29" si="7225">UIY29*$C$29</f>
        <v>6.6794938398359043E+96</v>
      </c>
      <c r="UJC29" s="160">
        <f t="shared" ref="UJC29" si="7226">UJA29*$C$29</f>
        <v>6.8798786550309814E+96</v>
      </c>
      <c r="UJE29" s="160">
        <f t="shared" ref="UJE29" si="7227">UJC29*$C$29</f>
        <v>7.0862750146819112E+96</v>
      </c>
      <c r="UJG29" s="160">
        <f t="shared" ref="UJG29" si="7228">UJE29*$C$29</f>
        <v>7.298863265122369E+96</v>
      </c>
      <c r="UJI29" s="160">
        <f t="shared" ref="UJI29" si="7229">UJG29*$C$29</f>
        <v>7.5178291630760405E+96</v>
      </c>
      <c r="UJK29" s="160">
        <f t="shared" ref="UJK29" si="7230">UJI29*$C$29</f>
        <v>7.7433640379683217E+96</v>
      </c>
      <c r="UJM29" s="160">
        <f t="shared" ref="UJM29" si="7231">UJK29*$C$29</f>
        <v>7.9756649591073718E+96</v>
      </c>
      <c r="UJO29" s="160">
        <f t="shared" ref="UJO29" si="7232">UJM29*$C$29</f>
        <v>8.2149349078805934E+96</v>
      </c>
      <c r="UJQ29" s="160">
        <f t="shared" ref="UJQ29" si="7233">UJO29*$C$29</f>
        <v>8.461382955117011E+96</v>
      </c>
      <c r="UJS29" s="160">
        <f t="shared" ref="UJS29" si="7234">UJQ29*$C$29</f>
        <v>8.7152244437705222E+96</v>
      </c>
      <c r="UJU29" s="160">
        <f t="shared" ref="UJU29" si="7235">UJS29*$C$29</f>
        <v>8.9766811770836379E+96</v>
      </c>
      <c r="UJW29" s="160">
        <f t="shared" ref="UJW29" si="7236">UJU29*$C$29</f>
        <v>9.2459816123961472E+96</v>
      </c>
      <c r="UJY29" s="160">
        <f t="shared" ref="UJY29" si="7237">UJW29*$C$29</f>
        <v>9.5233610607680319E+96</v>
      </c>
      <c r="UKA29" s="160">
        <f t="shared" ref="UKA29" si="7238">UJY29*$C$29</f>
        <v>9.8090618925910736E+96</v>
      </c>
      <c r="UKC29" s="160">
        <f t="shared" ref="UKC29" si="7239">UKA29*$C$29</f>
        <v>1.0103333749368806E+97</v>
      </c>
      <c r="UKE29" s="160">
        <f t="shared" ref="UKE29" si="7240">UKC29*$C$29</f>
        <v>1.040643376184987E+97</v>
      </c>
      <c r="UKG29" s="160">
        <f t="shared" ref="UKG29" si="7241">UKE29*$C$29</f>
        <v>1.0718626774705367E+97</v>
      </c>
      <c r="UKI29" s="160">
        <f t="shared" ref="UKI29" si="7242">UKG29*$C$29</f>
        <v>1.1040185577946529E+97</v>
      </c>
      <c r="UKK29" s="160">
        <f t="shared" ref="UKK29" si="7243">UKI29*$C$29</f>
        <v>1.1371391145284925E+97</v>
      </c>
      <c r="UKM29" s="160">
        <f t="shared" ref="UKM29" si="7244">UKK29*$C$29</f>
        <v>1.1712532879643473E+97</v>
      </c>
      <c r="UKO29" s="160">
        <f t="shared" ref="UKO29" si="7245">UKM29*$C$29</f>
        <v>1.2063908866032777E+97</v>
      </c>
      <c r="UKQ29" s="160">
        <f t="shared" ref="UKQ29" si="7246">UKO29*$C$29</f>
        <v>1.2425826132013761E+97</v>
      </c>
      <c r="UKS29" s="160">
        <f t="shared" ref="UKS29" si="7247">UKQ29*$C$29</f>
        <v>1.2798600915974175E+97</v>
      </c>
      <c r="UKU29" s="160">
        <f t="shared" ref="UKU29" si="7248">UKS29*$C$29</f>
        <v>1.3182558943453401E+97</v>
      </c>
      <c r="UKW29" s="160">
        <f t="shared" ref="UKW29" si="7249">UKU29*$C$29</f>
        <v>1.3578035711757004E+97</v>
      </c>
      <c r="UKY29" s="160">
        <f t="shared" ref="UKY29" si="7250">UKW29*$C$29</f>
        <v>1.3985376783109714E+97</v>
      </c>
      <c r="ULA29" s="160">
        <f t="shared" ref="ULA29" si="7251">UKY29*$C$29</f>
        <v>1.4404938086603006E+97</v>
      </c>
      <c r="ULC29" s="160">
        <f t="shared" ref="ULC29" si="7252">ULA29*$C$29</f>
        <v>1.4837086229201097E+97</v>
      </c>
      <c r="ULE29" s="160">
        <f t="shared" ref="ULE29" si="7253">ULC29*$C$29</f>
        <v>1.528219881607713E+97</v>
      </c>
      <c r="ULG29" s="160">
        <f t="shared" ref="ULG29" si="7254">ULE29*$C$29</f>
        <v>1.5740664780559445E+97</v>
      </c>
      <c r="ULI29" s="160">
        <f t="shared" ref="ULI29" si="7255">ULG29*$C$29</f>
        <v>1.621288472397623E+97</v>
      </c>
      <c r="ULK29" s="160">
        <f t="shared" ref="ULK29" si="7256">ULI29*$C$29</f>
        <v>1.6699271265695517E+97</v>
      </c>
      <c r="ULM29" s="160">
        <f t="shared" ref="ULM29" si="7257">ULK29*$C$29</f>
        <v>1.7200249403666385E+97</v>
      </c>
      <c r="ULO29" s="160">
        <f t="shared" ref="ULO29" si="7258">ULM29*$C$29</f>
        <v>1.7716256885776377E+97</v>
      </c>
      <c r="ULQ29" s="160">
        <f t="shared" ref="ULQ29" si="7259">ULO29*$C$29</f>
        <v>1.8247744592349671E+97</v>
      </c>
      <c r="ULS29" s="160">
        <f t="shared" ref="ULS29" si="7260">ULQ29*$C$29</f>
        <v>1.8795176930120163E+97</v>
      </c>
      <c r="ULU29" s="160">
        <f t="shared" ref="ULU29" si="7261">ULS29*$C$29</f>
        <v>1.9359032238023768E+97</v>
      </c>
      <c r="ULW29" s="160">
        <f t="shared" ref="ULW29" si="7262">ULU29*$C$29</f>
        <v>1.9939803205164482E+97</v>
      </c>
      <c r="ULY29" s="160">
        <f t="shared" ref="ULY29" si="7263">ULW29*$C$29</f>
        <v>2.0537997301319418E+97</v>
      </c>
      <c r="UMA29" s="160">
        <f t="shared" ref="UMA29" si="7264">ULY29*$C$29</f>
        <v>2.1154137220359001E+97</v>
      </c>
      <c r="UMC29" s="160">
        <f t="shared" ref="UMC29" si="7265">UMA29*$C$29</f>
        <v>2.1788761336969772E+97</v>
      </c>
      <c r="UME29" s="160">
        <f t="shared" ref="UME29" si="7266">UMC29*$C$29</f>
        <v>2.2442424177078867E+97</v>
      </c>
      <c r="UMG29" s="160">
        <f t="shared" ref="UMG29" si="7267">UME29*$C$29</f>
        <v>2.3115696902391234E+97</v>
      </c>
      <c r="UMI29" s="160">
        <f t="shared" ref="UMI29" si="7268">UMG29*$C$29</f>
        <v>2.3809167809462971E+97</v>
      </c>
      <c r="UMK29" s="160">
        <f t="shared" ref="UMK29" si="7269">UMI29*$C$29</f>
        <v>2.452344284374686E+97</v>
      </c>
      <c r="UMM29" s="160">
        <f t="shared" ref="UMM29" si="7270">UMK29*$C$29</f>
        <v>2.5259146129059267E+97</v>
      </c>
      <c r="UMO29" s="160">
        <f t="shared" ref="UMO29" si="7271">UMM29*$C$29</f>
        <v>2.6016920512931046E+97</v>
      </c>
      <c r="UMQ29" s="160">
        <f t="shared" ref="UMQ29" si="7272">UMO29*$C$29</f>
        <v>2.6797428128318976E+97</v>
      </c>
      <c r="UMS29" s="160">
        <f t="shared" ref="UMS29" si="7273">UMQ29*$C$29</f>
        <v>2.7601350972168545E+97</v>
      </c>
      <c r="UMU29" s="160">
        <f t="shared" ref="UMU29" si="7274">UMS29*$C$29</f>
        <v>2.8429391501333601E+97</v>
      </c>
      <c r="UMW29" s="160">
        <f t="shared" ref="UMW29" si="7275">UMU29*$C$29</f>
        <v>2.9282273246373609E+97</v>
      </c>
      <c r="UMY29" s="160">
        <f t="shared" ref="UMY29" si="7276">UMW29*$C$29</f>
        <v>3.0160741443764819E+97</v>
      </c>
      <c r="UNA29" s="160">
        <f t="shared" ref="UNA29" si="7277">UMY29*$C$29</f>
        <v>3.1065563687077765E+97</v>
      </c>
      <c r="UNC29" s="160">
        <f t="shared" ref="UNC29" si="7278">UNA29*$C$29</f>
        <v>3.1997530597690097E+97</v>
      </c>
      <c r="UNE29" s="160">
        <f t="shared" ref="UNE29" si="7279">UNC29*$C$29</f>
        <v>3.29574565156208E+97</v>
      </c>
      <c r="UNG29" s="160">
        <f t="shared" ref="UNG29" si="7280">UNE29*$C$29</f>
        <v>3.3946180211089423E+97</v>
      </c>
      <c r="UNI29" s="160">
        <f t="shared" ref="UNI29" si="7281">UNG29*$C$29</f>
        <v>3.4964565617422106E+97</v>
      </c>
      <c r="UNK29" s="160">
        <f t="shared" ref="UNK29" si="7282">UNI29*$C$29</f>
        <v>3.601350258594477E+97</v>
      </c>
      <c r="UNM29" s="160">
        <f t="shared" ref="UNM29" si="7283">UNK29*$C$29</f>
        <v>3.7093907663523114E+97</v>
      </c>
      <c r="UNO29" s="160">
        <f t="shared" ref="UNO29" si="7284">UNM29*$C$29</f>
        <v>3.8206724893428807E+97</v>
      </c>
      <c r="UNQ29" s="160">
        <f t="shared" ref="UNQ29" si="7285">UNO29*$C$29</f>
        <v>3.9352926640231672E+97</v>
      </c>
      <c r="UNS29" s="160">
        <f t="shared" ref="UNS29" si="7286">UNQ29*$C$29</f>
        <v>4.0533514439438622E+97</v>
      </c>
      <c r="UNU29" s="160">
        <f t="shared" ref="UNU29" si="7287">UNS29*$C$29</f>
        <v>4.1749519872621781E+97</v>
      </c>
      <c r="UNW29" s="160">
        <f t="shared" ref="UNW29" si="7288">UNU29*$C$29</f>
        <v>4.3002005468800437E+97</v>
      </c>
      <c r="UNY29" s="160">
        <f t="shared" ref="UNY29" si="7289">UNW29*$C$29</f>
        <v>4.4292065632864451E+97</v>
      </c>
      <c r="UOA29" s="160">
        <f t="shared" ref="UOA29" si="7290">UNY29*$C$29</f>
        <v>4.5620827601850388E+97</v>
      </c>
      <c r="UOC29" s="160">
        <f t="shared" ref="UOC29" si="7291">UOA29*$C$29</f>
        <v>4.6989452429905899E+97</v>
      </c>
      <c r="UOE29" s="160">
        <f t="shared" ref="UOE29" si="7292">UOC29*$C$29</f>
        <v>4.8399136002803076E+97</v>
      </c>
      <c r="UOG29" s="160">
        <f t="shared" ref="UOG29" si="7293">UOE29*$C$29</f>
        <v>4.985111008288717E+97</v>
      </c>
      <c r="UOI29" s="160">
        <f t="shared" ref="UOI29" si="7294">UOG29*$C$29</f>
        <v>5.1346643385373783E+97</v>
      </c>
      <c r="UOK29" s="160">
        <f t="shared" ref="UOK29" si="7295">UOI29*$C$29</f>
        <v>5.2887042686935E+97</v>
      </c>
      <c r="UOM29" s="160">
        <f t="shared" ref="UOM29" si="7296">UOK29*$C$29</f>
        <v>5.4473653967543053E+97</v>
      </c>
      <c r="UOO29" s="160">
        <f t="shared" ref="UOO29" si="7297">UOM29*$C$29</f>
        <v>5.6107863586569349E+97</v>
      </c>
      <c r="UOQ29" s="160">
        <f t="shared" ref="UOQ29" si="7298">UOO29*$C$29</f>
        <v>5.7791099494166435E+97</v>
      </c>
      <c r="UOS29" s="160">
        <f t="shared" ref="UOS29" si="7299">UOQ29*$C$29</f>
        <v>5.9524832478991428E+97</v>
      </c>
      <c r="UOU29" s="160">
        <f t="shared" ref="UOU29" si="7300">UOS29*$C$29</f>
        <v>6.1310577453361172E+97</v>
      </c>
      <c r="UOW29" s="160">
        <f t="shared" ref="UOW29" si="7301">UOU29*$C$29</f>
        <v>6.3149894776962012E+97</v>
      </c>
      <c r="UOY29" s="160">
        <f t="shared" ref="UOY29" si="7302">UOW29*$C$29</f>
        <v>6.5044391620270877E+97</v>
      </c>
      <c r="UPA29" s="160">
        <f t="shared" ref="UPA29" si="7303">UOY29*$C$29</f>
        <v>6.6995723368879006E+97</v>
      </c>
      <c r="UPC29" s="160">
        <f t="shared" ref="UPC29" si="7304">UPA29*$C$29</f>
        <v>6.9005595069945376E+97</v>
      </c>
      <c r="UPE29" s="160">
        <f t="shared" ref="UPE29" si="7305">UPC29*$C$29</f>
        <v>7.1075762922043736E+97</v>
      </c>
      <c r="UPG29" s="160">
        <f t="shared" ref="UPG29" si="7306">UPE29*$C$29</f>
        <v>7.3208035809705047E+97</v>
      </c>
      <c r="UPI29" s="160">
        <f t="shared" ref="UPI29" si="7307">UPG29*$C$29</f>
        <v>7.5404276883996198E+97</v>
      </c>
      <c r="UPK29" s="160">
        <f t="shared" ref="UPK29" si="7308">UPI29*$C$29</f>
        <v>7.7666405190516079E+97</v>
      </c>
      <c r="UPM29" s="160">
        <f t="shared" ref="UPM29" si="7309">UPK29*$C$29</f>
        <v>7.9996397346231564E+97</v>
      </c>
      <c r="UPO29" s="160">
        <f t="shared" ref="UPO29" si="7310">UPM29*$C$29</f>
        <v>8.2396289266618516E+97</v>
      </c>
      <c r="UPQ29" s="160">
        <f t="shared" ref="UPQ29" si="7311">UPO29*$C$29</f>
        <v>8.4868177944617073E+97</v>
      </c>
      <c r="UPS29" s="160">
        <f t="shared" ref="UPS29" si="7312">UPQ29*$C$29</f>
        <v>8.7414223282955592E+97</v>
      </c>
      <c r="UPU29" s="160">
        <f t="shared" ref="UPU29" si="7313">UPS29*$C$29</f>
        <v>9.0036649981444256E+97</v>
      </c>
      <c r="UPW29" s="160">
        <f t="shared" ref="UPW29" si="7314">UPU29*$C$29</f>
        <v>9.2737749480887587E+97</v>
      </c>
      <c r="UPY29" s="160">
        <f t="shared" ref="UPY29" si="7315">UPW29*$C$29</f>
        <v>9.551988196531422E+97</v>
      </c>
      <c r="UQA29" s="160">
        <f t="shared" ref="UQA29" si="7316">UPY29*$C$29</f>
        <v>9.8385478424273645E+97</v>
      </c>
      <c r="UQC29" s="160">
        <f t="shared" ref="UQC29" si="7317">UQA29*$C$29</f>
        <v>1.0133704277700185E+98</v>
      </c>
      <c r="UQE29" s="160">
        <f t="shared" ref="UQE29" si="7318">UQC29*$C$29</f>
        <v>1.0437715406031191E+98</v>
      </c>
      <c r="UQG29" s="160">
        <f t="shared" ref="UQG29" si="7319">UQE29*$C$29</f>
        <v>1.0750846868212127E+98</v>
      </c>
      <c r="UQI29" s="160">
        <f t="shared" ref="UQI29" si="7320">UQG29*$C$29</f>
        <v>1.1073372274258491E+98</v>
      </c>
      <c r="UQK29" s="160">
        <f t="shared" ref="UQK29" si="7321">UQI29*$C$29</f>
        <v>1.1405573442486245E+98</v>
      </c>
      <c r="UQM29" s="160">
        <f t="shared" ref="UQM29" si="7322">UQK29*$C$29</f>
        <v>1.1747740645760833E+98</v>
      </c>
      <c r="UQO29" s="160">
        <f t="shared" ref="UQO29" si="7323">UQM29*$C$29</f>
        <v>1.2100172865133658E+98</v>
      </c>
      <c r="UQQ29" s="160">
        <f t="shared" ref="UQQ29" si="7324">UQO29*$C$29</f>
        <v>1.2463178051087669E+98</v>
      </c>
      <c r="UQS29" s="160">
        <f t="shared" ref="UQS29" si="7325">UQQ29*$C$29</f>
        <v>1.2837073392620299E+98</v>
      </c>
      <c r="UQU29" s="160">
        <f t="shared" ref="UQU29" si="7326">UQS29*$C$29</f>
        <v>1.3222185594398909E+98</v>
      </c>
      <c r="UQW29" s="160">
        <f t="shared" ref="UQW29" si="7327">UQU29*$C$29</f>
        <v>1.3618851162230877E+98</v>
      </c>
      <c r="UQY29" s="160">
        <f t="shared" ref="UQY29" si="7328">UQW29*$C$29</f>
        <v>1.4027416697097805E+98</v>
      </c>
      <c r="URA29" s="160">
        <f t="shared" ref="URA29" si="7329">UQY29*$C$29</f>
        <v>1.4448239198010741E+98</v>
      </c>
      <c r="URC29" s="160">
        <f t="shared" ref="URC29" si="7330">URA29*$C$29</f>
        <v>1.4881686373951064E+98</v>
      </c>
      <c r="URE29" s="160">
        <f t="shared" ref="URE29" si="7331">URC29*$C$29</f>
        <v>1.5328136965169595E+98</v>
      </c>
      <c r="URG29" s="160">
        <f t="shared" ref="URG29" si="7332">URE29*$C$29</f>
        <v>1.5787981074124682E+98</v>
      </c>
      <c r="URI29" s="160">
        <f t="shared" ref="URI29" si="7333">URG29*$C$29</f>
        <v>1.6261620506348422E+98</v>
      </c>
      <c r="URK29" s="160">
        <f t="shared" ref="URK29" si="7334">URI29*$C$29</f>
        <v>1.6749469121538874E+98</v>
      </c>
      <c r="URM29" s="160">
        <f t="shared" ref="URM29" si="7335">URK29*$C$29</f>
        <v>1.7251953195185041E+98</v>
      </c>
      <c r="URO29" s="160">
        <f t="shared" ref="URO29" si="7336">URM29*$C$29</f>
        <v>1.7769511791040592E+98</v>
      </c>
      <c r="URQ29" s="160">
        <f t="shared" ref="URQ29" si="7337">URO29*$C$29</f>
        <v>1.8302597144771809E+98</v>
      </c>
      <c r="URS29" s="160">
        <f t="shared" ref="URS29" si="7338">URQ29*$C$29</f>
        <v>1.8851675059114962E+98</v>
      </c>
      <c r="URU29" s="160">
        <f t="shared" ref="URU29" si="7339">URS29*$C$29</f>
        <v>1.941722531088841E+98</v>
      </c>
      <c r="URW29" s="160">
        <f t="shared" ref="URW29" si="7340">URU29*$C$29</f>
        <v>1.9999742070215063E+98</v>
      </c>
      <c r="URY29" s="160">
        <f t="shared" ref="URY29" si="7341">URW29*$C$29</f>
        <v>2.0599734332321515E+98</v>
      </c>
      <c r="USA29" s="160">
        <f t="shared" ref="USA29" si="7342">URY29*$C$29</f>
        <v>2.121772636229116E+98</v>
      </c>
      <c r="USC29" s="160">
        <f t="shared" ref="USC29" si="7343">USA29*$C$29</f>
        <v>2.1854258153159895E+98</v>
      </c>
      <c r="USE29" s="160">
        <f t="shared" ref="USE29" si="7344">USC29*$C$29</f>
        <v>2.2509885897754691E+98</v>
      </c>
      <c r="USG29" s="160">
        <f t="shared" ref="USG29" si="7345">USE29*$C$29</f>
        <v>2.3185182474687334E+98</v>
      </c>
      <c r="USI29" s="160">
        <f t="shared" ref="USI29" si="7346">USG29*$C$29</f>
        <v>2.3880737948927955E+98</v>
      </c>
      <c r="USK29" s="160">
        <f t="shared" ref="USK29" si="7347">USI29*$C$29</f>
        <v>2.4597160087395795E+98</v>
      </c>
      <c r="USM29" s="160">
        <f t="shared" ref="USM29" si="7348">USK29*$C$29</f>
        <v>2.533507489001767E+98</v>
      </c>
      <c r="USO29" s="160">
        <f t="shared" ref="USO29" si="7349">USM29*$C$29</f>
        <v>2.6095127136718201E+98</v>
      </c>
      <c r="USQ29" s="160">
        <f t="shared" ref="USQ29" si="7350">USO29*$C$29</f>
        <v>2.6877980950819747E+98</v>
      </c>
      <c r="USS29" s="160">
        <f t="shared" ref="USS29" si="7351">USQ29*$C$29</f>
        <v>2.7684320379344339E+98</v>
      </c>
      <c r="USU29" s="160">
        <f t="shared" ref="USU29" si="7352">USS29*$C$29</f>
        <v>2.8514849990724669E+98</v>
      </c>
      <c r="USW29" s="160">
        <f t="shared" ref="USW29" si="7353">USU29*$C$29</f>
        <v>2.9370295490446408E+98</v>
      </c>
      <c r="USY29" s="160">
        <f t="shared" ref="USY29" si="7354">USW29*$C$29</f>
        <v>3.0251404355159804E+98</v>
      </c>
      <c r="UTA29" s="160">
        <f t="shared" ref="UTA29" si="7355">USY29*$C$29</f>
        <v>3.1158946485814596E+98</v>
      </c>
      <c r="UTC29" s="160">
        <f t="shared" ref="UTC29" si="7356">UTA29*$C$29</f>
        <v>3.2093714880389036E+98</v>
      </c>
      <c r="UTE29" s="160">
        <f t="shared" ref="UTE29" si="7357">UTC29*$C$29</f>
        <v>3.3056526326800708E+98</v>
      </c>
      <c r="UTG29" s="160">
        <f t="shared" ref="UTG29" si="7358">UTE29*$C$29</f>
        <v>3.404822211660473E+98</v>
      </c>
      <c r="UTI29" s="160">
        <f t="shared" ref="UTI29" si="7359">UTG29*$C$29</f>
        <v>3.5069668780102872E+98</v>
      </c>
      <c r="UTK29" s="160">
        <f t="shared" ref="UTK29" si="7360">UTI29*$C$29</f>
        <v>3.6121758843505961E+98</v>
      </c>
      <c r="UTM29" s="160">
        <f t="shared" ref="UTM29" si="7361">UTK29*$C$29</f>
        <v>3.7205411608811139E+98</v>
      </c>
      <c r="UTO29" s="160">
        <f t="shared" ref="UTO29" si="7362">UTM29*$C$29</f>
        <v>3.8321573957075474E+98</v>
      </c>
      <c r="UTQ29" s="160">
        <f t="shared" ref="UTQ29" si="7363">UTO29*$C$29</f>
        <v>3.9471221175787737E+98</v>
      </c>
      <c r="UTS29" s="160">
        <f t="shared" ref="UTS29" si="7364">UTQ29*$C$29</f>
        <v>4.0655357811061373E+98</v>
      </c>
      <c r="UTU29" s="160">
        <f t="shared" ref="UTU29" si="7365">UTS29*$C$29</f>
        <v>4.1875018545393217E+98</v>
      </c>
      <c r="UTW29" s="160">
        <f t="shared" ref="UTW29" si="7366">UTU29*$C$29</f>
        <v>4.3131269101755012E+98</v>
      </c>
      <c r="UTY29" s="160">
        <f t="shared" ref="UTY29" si="7367">UTW29*$C$29</f>
        <v>4.4425207174807663E+98</v>
      </c>
      <c r="UUA29" s="160">
        <f t="shared" ref="UUA29" si="7368">UTY29*$C$29</f>
        <v>4.5757963390051894E+98</v>
      </c>
      <c r="UUC29" s="160">
        <f t="shared" ref="UUC29" si="7369">UUA29*$C$29</f>
        <v>4.7130702291753455E+98</v>
      </c>
      <c r="UUE29" s="160">
        <f t="shared" ref="UUE29" si="7370">UUC29*$C$29</f>
        <v>4.854462336050606E+98</v>
      </c>
      <c r="UUG29" s="160">
        <f t="shared" ref="UUG29" si="7371">UUE29*$C$29</f>
        <v>5.0000962061321245E+98</v>
      </c>
      <c r="UUI29" s="160">
        <f t="shared" ref="UUI29" si="7372">UUG29*$C$29</f>
        <v>5.1500990923160884E+98</v>
      </c>
      <c r="UUK29" s="160">
        <f t="shared" ref="UUK29" si="7373">UUI29*$C$29</f>
        <v>5.3046020650855709E+98</v>
      </c>
      <c r="UUM29" s="160">
        <f t="shared" ref="UUM29" si="7374">UUK29*$C$29</f>
        <v>5.4637401270381383E+98</v>
      </c>
      <c r="UUO29" s="160">
        <f t="shared" ref="UUO29" si="7375">UUM29*$C$29</f>
        <v>5.6276523308492828E+98</v>
      </c>
      <c r="UUQ29" s="160">
        <f t="shared" ref="UUQ29" si="7376">UUO29*$C$29</f>
        <v>5.7964819007747611E+98</v>
      </c>
      <c r="UUS29" s="160">
        <f t="shared" ref="UUS29" si="7377">UUQ29*$C$29</f>
        <v>5.9703763577980045E+98</v>
      </c>
      <c r="UUU29" s="160">
        <f t="shared" ref="UUU29" si="7378">UUS29*$C$29</f>
        <v>6.1494876485319443E+98</v>
      </c>
      <c r="UUW29" s="160">
        <f t="shared" ref="UUW29" si="7379">UUU29*$C$29</f>
        <v>6.3339722779879033E+98</v>
      </c>
      <c r="UUY29" s="160">
        <f t="shared" ref="UUY29" si="7380">UUW29*$C$29</f>
        <v>6.52399144632754E+98</v>
      </c>
      <c r="UVA29" s="160">
        <f t="shared" ref="UVA29" si="7381">UUY29*$C$29</f>
        <v>6.7197111897173667E+98</v>
      </c>
      <c r="UVC29" s="160">
        <f t="shared" ref="UVC29" si="7382">UVA29*$C$29</f>
        <v>6.921302525408888E+98</v>
      </c>
      <c r="UVE29" s="160">
        <f t="shared" ref="UVE29" si="7383">UVC29*$C$29</f>
        <v>7.1289416011711543E+98</v>
      </c>
      <c r="UVG29" s="160">
        <f t="shared" ref="UVG29" si="7384">UVE29*$C$29</f>
        <v>7.3428098492062888E+98</v>
      </c>
      <c r="UVI29" s="160">
        <f t="shared" ref="UVI29" si="7385">UVG29*$C$29</f>
        <v>7.5630941446824779E+98</v>
      </c>
      <c r="UVK29" s="160">
        <f t="shared" ref="UVK29" si="7386">UVI29*$C$29</f>
        <v>7.789986969022952E+98</v>
      </c>
      <c r="UVM29" s="160">
        <f t="shared" ref="UVM29" si="7387">UVK29*$C$29</f>
        <v>8.0236865780936412E+98</v>
      </c>
      <c r="UVO29" s="160">
        <f t="shared" ref="UVO29" si="7388">UVM29*$C$29</f>
        <v>8.2643971754364508E+98</v>
      </c>
      <c r="UVQ29" s="160">
        <f t="shared" ref="UVQ29" si="7389">UVO29*$C$29</f>
        <v>8.5123290906995443E+98</v>
      </c>
      <c r="UVS29" s="160">
        <f t="shared" ref="UVS29" si="7390">UVQ29*$C$29</f>
        <v>8.7676989634205311E+98</v>
      </c>
      <c r="UVU29" s="160">
        <f t="shared" ref="UVU29" si="7391">UVS29*$C$29</f>
        <v>9.0307299323231478E+98</v>
      </c>
      <c r="UVW29" s="160">
        <f t="shared" ref="UVW29" si="7392">UVU29*$C$29</f>
        <v>9.301651830292843E+98</v>
      </c>
      <c r="UVY29" s="160">
        <f t="shared" ref="UVY29" si="7393">UVW29*$C$29</f>
        <v>9.5807013852016284E+98</v>
      </c>
      <c r="UWA29" s="160">
        <f t="shared" ref="UWA29" si="7394">UVY29*$C$29</f>
        <v>9.868122426757677E+98</v>
      </c>
      <c r="UWC29" s="160">
        <f t="shared" ref="UWC29" si="7395">UWA29*$C$29</f>
        <v>1.0164166099560408E+99</v>
      </c>
      <c r="UWE29" s="160">
        <f t="shared" ref="UWE29" si="7396">UWC29*$C$29</f>
        <v>1.046909108254722E+99</v>
      </c>
      <c r="UWG29" s="160">
        <f t="shared" ref="UWG29" si="7397">UWE29*$C$29</f>
        <v>1.0783163815023638E+99</v>
      </c>
      <c r="UWI29" s="160">
        <f t="shared" ref="UWI29" si="7398">UWG29*$C$29</f>
        <v>1.1106658729474347E+99</v>
      </c>
      <c r="UWK29" s="160">
        <f t="shared" ref="UWK29" si="7399">UWI29*$C$29</f>
        <v>1.1439858491358578E+99</v>
      </c>
      <c r="UWM29" s="160">
        <f t="shared" ref="UWM29" si="7400">UWK29*$C$29</f>
        <v>1.1783054246099337E+99</v>
      </c>
      <c r="UWO29" s="160">
        <f t="shared" ref="UWO29" si="7401">UWM29*$C$29</f>
        <v>1.2136545873482317E+99</v>
      </c>
      <c r="UWQ29" s="160">
        <f t="shared" ref="UWQ29" si="7402">UWO29*$C$29</f>
        <v>1.2500642249686786E+99</v>
      </c>
      <c r="UWS29" s="160">
        <f t="shared" ref="UWS29" si="7403">UWQ29*$C$29</f>
        <v>1.2875661517177391E+99</v>
      </c>
      <c r="UWU29" s="160">
        <f t="shared" ref="UWU29" si="7404">UWS29*$C$29</f>
        <v>1.3261931362692712E+99</v>
      </c>
      <c r="UWW29" s="160">
        <f t="shared" ref="UWW29" si="7405">UWU29*$C$29</f>
        <v>1.3659789303573493E+99</v>
      </c>
      <c r="UWY29" s="160">
        <f t="shared" ref="UWY29" si="7406">UWW29*$C$29</f>
        <v>1.40695829826807E+99</v>
      </c>
      <c r="UXA29" s="160">
        <f t="shared" ref="UXA29" si="7407">UWY29*$C$29</f>
        <v>1.4491670472161121E+99</v>
      </c>
      <c r="UXC29" s="160">
        <f t="shared" ref="UXC29" si="7408">UXA29*$C$29</f>
        <v>1.4926420586325956E+99</v>
      </c>
      <c r="UXE29" s="160">
        <f t="shared" ref="UXE29" si="7409">UXC29*$C$29</f>
        <v>1.5374213203915735E+99</v>
      </c>
      <c r="UXG29" s="160">
        <f t="shared" ref="UXG29" si="7410">UXE29*$C$29</f>
        <v>1.5835439600033209E+99</v>
      </c>
      <c r="UXI29" s="160">
        <f t="shared" ref="UXI29" si="7411">UXG29*$C$29</f>
        <v>1.6310502788034206E+99</v>
      </c>
      <c r="UXK29" s="160">
        <f t="shared" ref="UXK29" si="7412">UXI29*$C$29</f>
        <v>1.6799817871675233E+99</v>
      </c>
      <c r="UXM29" s="160">
        <f t="shared" ref="UXM29" si="7413">UXK29*$C$29</f>
        <v>1.730381240782549E+99</v>
      </c>
      <c r="UXO29" s="160">
        <f t="shared" ref="UXO29" si="7414">UXM29*$C$29</f>
        <v>1.7822926780060256E+99</v>
      </c>
      <c r="UXQ29" s="160">
        <f t="shared" ref="UXQ29" si="7415">UXO29*$C$29</f>
        <v>1.8357614583462063E+99</v>
      </c>
      <c r="UXS29" s="160">
        <f t="shared" ref="UXS29" si="7416">UXQ29*$C$29</f>
        <v>1.8908343020965926E+99</v>
      </c>
      <c r="UXU29" s="160">
        <f t="shared" ref="UXU29" si="7417">UXS29*$C$29</f>
        <v>1.9475593311594903E+99</v>
      </c>
      <c r="UXW29" s="160">
        <f t="shared" ref="UXW29" si="7418">UXU29*$C$29</f>
        <v>2.0059861110942751E+99</v>
      </c>
      <c r="UXY29" s="160">
        <f t="shared" ref="UXY29" si="7419">UXW29*$C$29</f>
        <v>2.0661656944271034E+99</v>
      </c>
      <c r="UYA29" s="160">
        <f t="shared" ref="UYA29" si="7420">UXY29*$C$29</f>
        <v>2.1281506652599164E+99</v>
      </c>
      <c r="UYC29" s="160">
        <f t="shared" ref="UYC29" si="7421">UYA29*$C$29</f>
        <v>2.1919951852177142E+99</v>
      </c>
      <c r="UYE29" s="160">
        <f t="shared" ref="UYE29" si="7422">UYC29*$C$29</f>
        <v>2.2577550407742457E+99</v>
      </c>
      <c r="UYG29" s="160">
        <f t="shared" ref="UYG29" si="7423">UYE29*$C$29</f>
        <v>2.3254876919974731E+99</v>
      </c>
      <c r="UYI29" s="160">
        <f t="shared" ref="UYI29" si="7424">UYG29*$C$29</f>
        <v>2.3952523227573973E+99</v>
      </c>
      <c r="UYK29" s="160">
        <f t="shared" ref="UYK29" si="7425">UYI29*$C$29</f>
        <v>2.4671098924401191E+99</v>
      </c>
      <c r="UYM29" s="160">
        <f t="shared" ref="UYM29" si="7426">UYK29*$C$29</f>
        <v>2.5411231892133229E+99</v>
      </c>
      <c r="UYO29" s="160">
        <f t="shared" ref="UYO29" si="7427">UYM29*$C$29</f>
        <v>2.6173568848897227E+99</v>
      </c>
      <c r="UYQ29" s="160">
        <f t="shared" ref="UYQ29" si="7428">UYO29*$C$29</f>
        <v>2.6958775914364144E+99</v>
      </c>
      <c r="UYS29" s="160">
        <f t="shared" ref="UYS29" si="7429">UYQ29*$C$29</f>
        <v>2.776753919179507E+99</v>
      </c>
      <c r="UYU29" s="160">
        <f t="shared" ref="UYU29" si="7430">UYS29*$C$29</f>
        <v>2.8600565367548923E+99</v>
      </c>
      <c r="UYW29" s="160">
        <f t="shared" ref="UYW29" si="7431">UYU29*$C$29</f>
        <v>2.9458582328575393E+99</v>
      </c>
      <c r="UYY29" s="160">
        <f t="shared" ref="UYY29" si="7432">UYW29*$C$29</f>
        <v>3.0342339798432658E+99</v>
      </c>
      <c r="UZA29" s="160">
        <f t="shared" ref="UZA29" si="7433">UYY29*$C$29</f>
        <v>3.1252609992385638E+99</v>
      </c>
      <c r="UZC29" s="160">
        <f t="shared" ref="UZC29" si="7434">UZA29*$C$29</f>
        <v>3.2190188292157208E+99</v>
      </c>
      <c r="UZE29" s="160">
        <f t="shared" ref="UZE29" si="7435">UZC29*$C$29</f>
        <v>3.3155893940921927E+99</v>
      </c>
      <c r="UZG29" s="160">
        <f t="shared" ref="UZG29" si="7436">UZE29*$C$29</f>
        <v>3.4150570759149587E+99</v>
      </c>
      <c r="UZI29" s="160">
        <f t="shared" ref="UZI29" si="7437">UZG29*$C$29</f>
        <v>3.5175087881924077E+99</v>
      </c>
      <c r="UZK29" s="160">
        <f t="shared" ref="UZK29" si="7438">UZI29*$C$29</f>
        <v>3.62303405183818E+99</v>
      </c>
      <c r="UZM29" s="160">
        <f t="shared" ref="UZM29" si="7439">UZK29*$C$29</f>
        <v>3.7317250733933255E+99</v>
      </c>
      <c r="UZO29" s="160">
        <f t="shared" ref="UZO29" si="7440">UZM29*$C$29</f>
        <v>3.8436768255951256E+99</v>
      </c>
      <c r="UZQ29" s="160">
        <f t="shared" ref="UZQ29" si="7441">UZO29*$C$29</f>
        <v>3.9589871303629794E+99</v>
      </c>
      <c r="UZS29" s="160">
        <f t="shared" ref="UZS29" si="7442">UZQ29*$C$29</f>
        <v>4.077756744273869E+99</v>
      </c>
      <c r="UZU29" s="160">
        <f t="shared" ref="UZU29" si="7443">UZS29*$C$29</f>
        <v>4.2000894466020852E+99</v>
      </c>
      <c r="UZW29" s="160">
        <f t="shared" ref="UZW29" si="7444">UZU29*$C$29</f>
        <v>4.326092130000148E+99</v>
      </c>
      <c r="UZY29" s="160">
        <f t="shared" ref="UZY29" si="7445">UZW29*$C$29</f>
        <v>4.4558748939001529E+99</v>
      </c>
      <c r="VAA29" s="160">
        <f t="shared" ref="VAA29" si="7446">UZY29*$C$29</f>
        <v>4.5895511407171578E+99</v>
      </c>
      <c r="VAC29" s="160">
        <f t="shared" ref="VAC29" si="7447">VAA29*$C$29</f>
        <v>4.727237674938673E+99</v>
      </c>
      <c r="VAE29" s="160">
        <f t="shared" ref="VAE29" si="7448">VAC29*$C$29</f>
        <v>4.8690548051868335E+99</v>
      </c>
      <c r="VAG29" s="160">
        <f t="shared" ref="VAG29" si="7449">VAE29*$C$29</f>
        <v>5.015126449342439E+99</v>
      </c>
      <c r="VAI29" s="160">
        <f t="shared" ref="VAI29" si="7450">VAG29*$C$29</f>
        <v>5.165580242822712E+99</v>
      </c>
      <c r="VAK29" s="160">
        <f t="shared" ref="VAK29" si="7451">VAI29*$C$29</f>
        <v>5.3205476501073935E+99</v>
      </c>
      <c r="VAM29" s="160">
        <f t="shared" ref="VAM29" si="7452">VAK29*$C$29</f>
        <v>5.4801640796106156E+99</v>
      </c>
      <c r="VAO29" s="160">
        <f t="shared" ref="VAO29" si="7453">VAM29*$C$29</f>
        <v>5.6445690019989339E+99</v>
      </c>
      <c r="VAQ29" s="160">
        <f t="shared" ref="VAQ29" si="7454">VAO29*$C$29</f>
        <v>5.8139060720589024E+99</v>
      </c>
      <c r="VAS29" s="160">
        <f t="shared" ref="VAS29" si="7455">VAQ29*$C$29</f>
        <v>5.9883232542206701E+99</v>
      </c>
      <c r="VAU29" s="160">
        <f t="shared" ref="VAU29" si="7456">VAS29*$C$29</f>
        <v>6.1679729518472902E+99</v>
      </c>
      <c r="VAW29" s="160">
        <f t="shared" ref="VAW29" si="7457">VAU29*$C$29</f>
        <v>6.3530121404027087E+99</v>
      </c>
      <c r="VAY29" s="160">
        <f t="shared" ref="VAY29" si="7458">VAW29*$C$29</f>
        <v>6.54360250461479E+99</v>
      </c>
      <c r="VBA29" s="160">
        <f t="shared" ref="VBA29" si="7459">VAY29*$C$29</f>
        <v>6.7399105797532335E+99</v>
      </c>
      <c r="VBC29" s="160">
        <f t="shared" ref="VBC29" si="7460">VBA29*$C$29</f>
        <v>6.9421078971458308E+99</v>
      </c>
      <c r="VBE29" s="160">
        <f t="shared" ref="VBE29" si="7461">VBC29*$C$29</f>
        <v>7.150371134060206E+99</v>
      </c>
      <c r="VBG29" s="160">
        <f t="shared" ref="VBG29" si="7462">VBE29*$C$29</f>
        <v>7.3648822680820127E+99</v>
      </c>
      <c r="VBI29" s="160">
        <f t="shared" ref="VBI29" si="7463">VBG29*$C$29</f>
        <v>7.5858287361244736E+99</v>
      </c>
      <c r="VBK29" s="160">
        <f t="shared" ref="VBK29" si="7464">VBI29*$C$29</f>
        <v>7.8134035982082077E+99</v>
      </c>
      <c r="VBM29" s="160">
        <f t="shared" ref="VBM29" si="7465">VBK29*$C$29</f>
        <v>8.0478057061544541E+99</v>
      </c>
      <c r="VBO29" s="160">
        <f t="shared" ref="VBO29" si="7466">VBM29*$C$29</f>
        <v>8.2892398773390879E+99</v>
      </c>
      <c r="VBQ29" s="160">
        <f t="shared" ref="VBQ29" si="7467">VBO29*$C$29</f>
        <v>8.5379170736592604E+99</v>
      </c>
      <c r="VBS29" s="160">
        <f t="shared" ref="VBS29" si="7468">VBQ29*$C$29</f>
        <v>8.7940545858690379E+99</v>
      </c>
      <c r="VBU29" s="160">
        <f t="shared" ref="VBU29" si="7469">VBS29*$C$29</f>
        <v>9.0578762234451093E+99</v>
      </c>
      <c r="VBW29" s="160">
        <f t="shared" ref="VBW29" si="7470">VBU29*$C$29</f>
        <v>9.3296125101484633E+99</v>
      </c>
      <c r="VBY29" s="160">
        <f t="shared" ref="VBY29" si="7471">VBW29*$C$29</f>
        <v>9.6095008854529176E+99</v>
      </c>
      <c r="VCA29" s="160">
        <f t="shared" ref="VCA29" si="7472">VBY29*$C$29</f>
        <v>9.8977859120165057E+99</v>
      </c>
      <c r="VCC29" s="160">
        <f t="shared" ref="VCC29" si="7473">VCA29*$C$29</f>
        <v>1.0194719489377001E+100</v>
      </c>
      <c r="VCE29" s="160">
        <f t="shared" ref="VCE29" si="7474">VCC29*$C$29</f>
        <v>1.0500561074058312E+100</v>
      </c>
      <c r="VCG29" s="160">
        <f t="shared" ref="VCG29" si="7475">VCE29*$C$29</f>
        <v>1.0815577906280061E+100</v>
      </c>
      <c r="VCI29" s="160">
        <f t="shared" ref="VCI29" si="7476">VCG29*$C$29</f>
        <v>1.1140045243468462E+100</v>
      </c>
      <c r="VCK29" s="160">
        <f t="shared" ref="VCK29" si="7477">VCI29*$C$29</f>
        <v>1.1474246600772517E+100</v>
      </c>
      <c r="VCM29" s="160">
        <f t="shared" ref="VCM29" si="7478">VCK29*$C$29</f>
        <v>1.1818473998795692E+100</v>
      </c>
      <c r="VCO29" s="160">
        <f t="shared" ref="VCO29" si="7479">VCM29*$C$29</f>
        <v>1.2173028218759563E+100</v>
      </c>
      <c r="VCQ29" s="160">
        <f t="shared" ref="VCQ29" si="7480">VCO29*$C$29</f>
        <v>1.253821906532235E+100</v>
      </c>
      <c r="VCS29" s="160">
        <f t="shared" ref="VCS29" si="7481">VCQ29*$C$29</f>
        <v>1.2914365637282022E+100</v>
      </c>
      <c r="VCU29" s="160">
        <f t="shared" ref="VCU29" si="7482">VCS29*$C$29</f>
        <v>1.3301796606400483E+100</v>
      </c>
      <c r="VCW29" s="160">
        <f t="shared" ref="VCW29" si="7483">VCU29*$C$29</f>
        <v>1.3700850504592499E+100</v>
      </c>
      <c r="VCY29" s="160">
        <f t="shared" ref="VCY29" si="7484">VCW29*$C$29</f>
        <v>1.4111876019730274E+100</v>
      </c>
      <c r="VDA29" s="160">
        <f t="shared" ref="VDA29" si="7485">VCY29*$C$29</f>
        <v>1.4535232300322183E+100</v>
      </c>
      <c r="VDC29" s="160">
        <f t="shared" ref="VDC29" si="7486">VDA29*$C$29</f>
        <v>1.4971289269331849E+100</v>
      </c>
      <c r="VDE29" s="160">
        <f t="shared" ref="VDE29" si="7487">VDC29*$C$29</f>
        <v>1.5420427947411804E+100</v>
      </c>
      <c r="VDG29" s="160">
        <f t="shared" ref="VDG29" si="7488">VDE29*$C$29</f>
        <v>1.5883040785834159E+100</v>
      </c>
      <c r="VDI29" s="160">
        <f t="shared" ref="VDI29" si="7489">VDG29*$C$29</f>
        <v>1.6359532009409184E+100</v>
      </c>
      <c r="VDK29" s="160">
        <f t="shared" ref="VDK29" si="7490">VDI29*$C$29</f>
        <v>1.6850317969691459E+100</v>
      </c>
      <c r="VDM29" s="160">
        <f t="shared" ref="VDM29" si="7491">VDK29*$C$29</f>
        <v>1.7355827508782204E+100</v>
      </c>
      <c r="VDO29" s="160">
        <f t="shared" ref="VDO29" si="7492">VDM29*$C$29</f>
        <v>1.787650233404567E+100</v>
      </c>
      <c r="VDQ29" s="160">
        <f t="shared" ref="VDQ29" si="7493">VDO29*$C$29</f>
        <v>1.8412797404067041E+100</v>
      </c>
      <c r="VDS29" s="160">
        <f t="shared" ref="VDS29" si="7494">VDQ29*$C$29</f>
        <v>1.8965181326189053E+100</v>
      </c>
      <c r="VDU29" s="160">
        <f t="shared" ref="VDU29" si="7495">VDS29*$C$29</f>
        <v>1.9534136765974726E+100</v>
      </c>
      <c r="VDW29" s="160">
        <f t="shared" ref="VDW29" si="7496">VDU29*$C$29</f>
        <v>2.012016086895397E+100</v>
      </c>
      <c r="VDY29" s="160">
        <f t="shared" ref="VDY29" si="7497">VDW29*$C$29</f>
        <v>2.0723765695022591E+100</v>
      </c>
      <c r="VEA29" s="160">
        <f t="shared" ref="VEA29" si="7498">VDY29*$C$29</f>
        <v>2.1345478665873269E+100</v>
      </c>
      <c r="VEC29" s="160">
        <f t="shared" ref="VEC29" si="7499">VEA29*$C$29</f>
        <v>2.1985843025849468E+100</v>
      </c>
      <c r="VEE29" s="160">
        <f t="shared" ref="VEE29" si="7500">VEC29*$C$29</f>
        <v>2.2645418316624951E+100</v>
      </c>
      <c r="VEG29" s="160">
        <f t="shared" ref="VEG29" si="7501">VEE29*$C$29</f>
        <v>2.3324780866123701E+100</v>
      </c>
      <c r="VEI29" s="160">
        <f t="shared" ref="VEI29" si="7502">VEG29*$C$29</f>
        <v>2.4024524292107413E+100</v>
      </c>
      <c r="VEK29" s="160">
        <f t="shared" ref="VEK29" si="7503">VEI29*$C$29</f>
        <v>2.4745260020870636E+100</v>
      </c>
      <c r="VEM29" s="160">
        <f t="shared" ref="VEM29" si="7504">VEK29*$C$29</f>
        <v>2.5487617821496757E+100</v>
      </c>
      <c r="VEO29" s="160">
        <f t="shared" ref="VEO29" si="7505">VEM29*$C$29</f>
        <v>2.6252246356141662E+100</v>
      </c>
      <c r="VEQ29" s="160">
        <f t="shared" ref="VEQ29" si="7506">VEO29*$C$29</f>
        <v>2.7039813746825911E+100</v>
      </c>
      <c r="VES29" s="160">
        <f t="shared" ref="VES29" si="7507">VEQ29*$C$29</f>
        <v>2.7851008159230691E+100</v>
      </c>
      <c r="VEU29" s="160">
        <f t="shared" ref="VEU29" si="7508">VES29*$C$29</f>
        <v>2.8686538404007612E+100</v>
      </c>
      <c r="VEW29" s="160">
        <f t="shared" ref="VEW29" si="7509">VEU29*$C$29</f>
        <v>2.9547134556127839E+100</v>
      </c>
      <c r="VEY29" s="160">
        <f t="shared" ref="VEY29" si="7510">VEW29*$C$29</f>
        <v>3.0433548592811677E+100</v>
      </c>
      <c r="VFA29" s="160">
        <f t="shared" ref="VFA29" si="7511">VEY29*$C$29</f>
        <v>3.1346555050596029E+100</v>
      </c>
      <c r="VFC29" s="160">
        <f t="shared" ref="VFC29" si="7512">VFA29*$C$29</f>
        <v>3.2286951702113912E+100</v>
      </c>
      <c r="VFE29" s="160">
        <f t="shared" ref="VFE29" si="7513">VFC29*$C$29</f>
        <v>3.3255560253177328E+100</v>
      </c>
      <c r="VFG29" s="160">
        <f t="shared" ref="VFG29" si="7514">VFE29*$C$29</f>
        <v>3.425322706077265E+100</v>
      </c>
      <c r="VFI29" s="160">
        <f t="shared" ref="VFI29" si="7515">VFG29*$C$29</f>
        <v>3.528082387259583E+100</v>
      </c>
      <c r="VFK29" s="160">
        <f t="shared" ref="VFK29" si="7516">VFI29*$C$29</f>
        <v>3.6339248588773704E+100</v>
      </c>
      <c r="VFM29" s="160">
        <f t="shared" ref="VFM29" si="7517">VFK29*$C$29</f>
        <v>3.7429426046436918E+100</v>
      </c>
      <c r="VFO29" s="160">
        <f t="shared" ref="VFO29" si="7518">VFM29*$C$29</f>
        <v>3.855230882783003E+100</v>
      </c>
      <c r="VFQ29" s="160">
        <f t="shared" ref="VFQ29" si="7519">VFO29*$C$29</f>
        <v>3.9708878092664932E+100</v>
      </c>
      <c r="VFS29" s="160">
        <f t="shared" ref="VFS29" si="7520">VFQ29*$C$29</f>
        <v>4.0900144435444883E+100</v>
      </c>
      <c r="VFU29" s="160">
        <f t="shared" ref="VFU29" si="7521">VFS29*$C$29</f>
        <v>4.2127148768508232E+100</v>
      </c>
      <c r="VFW29" s="160">
        <f t="shared" ref="VFW29" si="7522">VFU29*$C$29</f>
        <v>4.3390963231563484E+100</v>
      </c>
      <c r="VFY29" s="160">
        <f t="shared" ref="VFY29" si="7523">VFW29*$C$29</f>
        <v>4.4692692128510387E+100</v>
      </c>
      <c r="VGA29" s="160">
        <f t="shared" ref="VGA29" si="7524">VFY29*$C$29</f>
        <v>4.6033472892365701E+100</v>
      </c>
      <c r="VGC29" s="160">
        <f t="shared" ref="VGC29" si="7525">VGA29*$C$29</f>
        <v>4.7414477079136673E+100</v>
      </c>
      <c r="VGE29" s="160">
        <f t="shared" ref="VGE29" si="7526">VGC29*$C$29</f>
        <v>4.8836911391510774E+100</v>
      </c>
      <c r="VGG29" s="160">
        <f t="shared" ref="VGG29" si="7527">VGE29*$C$29</f>
        <v>5.0302018733256099E+100</v>
      </c>
      <c r="VGI29" s="160">
        <f t="shared" ref="VGI29" si="7528">VGG29*$C$29</f>
        <v>5.1811079295253786E+100</v>
      </c>
      <c r="VGK29" s="160">
        <f t="shared" ref="VGK29" si="7529">VGI29*$C$29</f>
        <v>5.3365411674111398E+100</v>
      </c>
      <c r="VGM29" s="160">
        <f t="shared" ref="VGM29" si="7530">VGK29*$C$29</f>
        <v>5.4966374024334745E+100</v>
      </c>
      <c r="VGO29" s="160">
        <f t="shared" ref="VGO29" si="7531">VGM29*$C$29</f>
        <v>5.6615365245064788E+100</v>
      </c>
      <c r="VGQ29" s="160">
        <f t="shared" ref="VGQ29" si="7532">VGO29*$C$29</f>
        <v>5.8313826202416729E+100</v>
      </c>
      <c r="VGS29" s="160">
        <f t="shared" ref="VGS29" si="7533">VGQ29*$C$29</f>
        <v>6.0063240988489236E+100</v>
      </c>
      <c r="VGU29" s="160">
        <f t="shared" ref="VGU29" si="7534">VGS29*$C$29</f>
        <v>6.1865138218143915E+100</v>
      </c>
      <c r="VGW29" s="160">
        <f t="shared" ref="VGW29" si="7535">VGU29*$C$29</f>
        <v>6.3721092364688236E+100</v>
      </c>
      <c r="VGY29" s="160">
        <f t="shared" ref="VGY29" si="7536">VGW29*$C$29</f>
        <v>6.5632725135628882E+100</v>
      </c>
      <c r="VHA29" s="160">
        <f t="shared" ref="VHA29" si="7537">VGY29*$C$29</f>
        <v>6.7601706889697751E+100</v>
      </c>
      <c r="VHC29" s="160">
        <f t="shared" ref="VHC29" si="7538">VHA29*$C$29</f>
        <v>6.9629758096388687E+100</v>
      </c>
      <c r="VHE29" s="160">
        <f t="shared" ref="VHE29" si="7539">VHC29*$C$29</f>
        <v>7.1718650839280352E+100</v>
      </c>
      <c r="VHG29" s="160">
        <f t="shared" ref="VHG29" si="7540">VHE29*$C$29</f>
        <v>7.3870210364458772E+100</v>
      </c>
      <c r="VHI29" s="160">
        <f t="shared" ref="VHI29" si="7541">VHG29*$C$29</f>
        <v>7.6086316675392541E+100</v>
      </c>
      <c r="VHK29" s="160">
        <f t="shared" ref="VHK29" si="7542">VHI29*$C$29</f>
        <v>7.8368906175654321E+100</v>
      </c>
      <c r="VHM29" s="160">
        <f t="shared" ref="VHM29" si="7543">VHK29*$C$29</f>
        <v>8.0719973360923951E+100</v>
      </c>
      <c r="VHO29" s="160">
        <f t="shared" ref="VHO29" si="7544">VHM29*$C$29</f>
        <v>8.3141572561751678E+100</v>
      </c>
      <c r="VHQ29" s="160">
        <f t="shared" ref="VHQ29" si="7545">VHO29*$C$29</f>
        <v>8.563581973860423E+100</v>
      </c>
      <c r="VHS29" s="160">
        <f t="shared" ref="VHS29" si="7546">VHQ29*$C$29</f>
        <v>8.8204894330762355E+100</v>
      </c>
      <c r="VHU29" s="160">
        <f t="shared" ref="VHU29" si="7547">VHS29*$C$29</f>
        <v>9.0851041160685226E+100</v>
      </c>
      <c r="VHW29" s="160">
        <f t="shared" ref="VHW29" si="7548">VHU29*$C$29</f>
        <v>9.3576572395505782E+100</v>
      </c>
      <c r="VHY29" s="160">
        <f t="shared" ref="VHY29" si="7549">VHW29*$C$29</f>
        <v>9.6383869567370958E+100</v>
      </c>
      <c r="VIA29" s="160">
        <f t="shared" ref="VIA29" si="7550">VHY29*$C$29</f>
        <v>9.9275385654392097E+100</v>
      </c>
      <c r="VIC29" s="160">
        <f t="shared" ref="VIC29" si="7551">VIA29*$C$29</f>
        <v>1.0225364722402386E+101</v>
      </c>
      <c r="VIE29" s="160">
        <f t="shared" ref="VIE29" si="7552">VIC29*$C$29</f>
        <v>1.0532125664074458E+101</v>
      </c>
      <c r="VIG29" s="160">
        <f t="shared" ref="VIG29" si="7553">VIE29*$C$29</f>
        <v>1.0848089433996692E+101</v>
      </c>
      <c r="VII29" s="160">
        <f t="shared" ref="VII29" si="7554">VIG29*$C$29</f>
        <v>1.1173532117016593E+101</v>
      </c>
      <c r="VIK29" s="160">
        <f t="shared" ref="VIK29" si="7555">VII29*$C$29</f>
        <v>1.1508738080527091E+101</v>
      </c>
      <c r="VIM29" s="160">
        <f t="shared" ref="VIM29" si="7556">VIK29*$C$29</f>
        <v>1.1854000222942905E+101</v>
      </c>
      <c r="VIO29" s="160">
        <f t="shared" ref="VIO29" si="7557">VIM29*$C$29</f>
        <v>1.2209620229631193E+101</v>
      </c>
      <c r="VIQ29" s="160">
        <f t="shared" ref="VIQ29" si="7558">VIO29*$C$29</f>
        <v>1.2575908836520129E+101</v>
      </c>
      <c r="VIS29" s="160">
        <f t="shared" ref="VIS29" si="7559">VIQ29*$C$29</f>
        <v>1.2953186101615733E+101</v>
      </c>
      <c r="VIU29" s="160">
        <f t="shared" ref="VIU29" si="7560">VIS29*$C$29</f>
        <v>1.3341781684664206E+101</v>
      </c>
      <c r="VIW29" s="160">
        <f t="shared" ref="VIW29" si="7561">VIU29*$C$29</f>
        <v>1.3742035135204133E+101</v>
      </c>
      <c r="VIY29" s="160">
        <f t="shared" ref="VIY29" si="7562">VIW29*$C$29</f>
        <v>1.4154296189260258E+101</v>
      </c>
      <c r="VJA29" s="160">
        <f t="shared" ref="VJA29" si="7563">VIY29*$C$29</f>
        <v>1.4578925074938067E+101</v>
      </c>
      <c r="VJC29" s="160">
        <f t="shared" ref="VJC29" si="7564">VJA29*$C$29</f>
        <v>1.5016292827186211E+101</v>
      </c>
      <c r="VJE29" s="160">
        <f t="shared" ref="VJE29" si="7565">VJC29*$C$29</f>
        <v>1.5466781612001796E+101</v>
      </c>
      <c r="VJG29" s="160">
        <f t="shared" ref="VJG29" si="7566">VJE29*$C$29</f>
        <v>1.5930785060361851E+101</v>
      </c>
      <c r="VJI29" s="160">
        <f t="shared" ref="VJI29" si="7567">VJG29*$C$29</f>
        <v>1.6408708612172707E+101</v>
      </c>
      <c r="VJK29" s="160">
        <f t="shared" ref="VJK29" si="7568">VJI29*$C$29</f>
        <v>1.6900969870537887E+101</v>
      </c>
      <c r="VJM29" s="160">
        <f t="shared" ref="VJM29" si="7569">VJK29*$C$29</f>
        <v>1.7407998966654026E+101</v>
      </c>
      <c r="VJO29" s="160">
        <f t="shared" ref="VJO29" si="7570">VJM29*$C$29</f>
        <v>1.7930238935653648E+101</v>
      </c>
      <c r="VJQ29" s="160">
        <f t="shared" ref="VJQ29" si="7571">VJO29*$C$29</f>
        <v>1.8468146103723256E+101</v>
      </c>
      <c r="VJS29" s="160">
        <f t="shared" ref="VJS29" si="7572">VJQ29*$C$29</f>
        <v>1.9022190486834954E+101</v>
      </c>
      <c r="VJU29" s="160">
        <f t="shared" ref="VJU29" si="7573">VJS29*$C$29</f>
        <v>1.9592856201440003E+101</v>
      </c>
      <c r="VJW29" s="160">
        <f t="shared" ref="VJW29" si="7574">VJU29*$C$29</f>
        <v>2.0180641887483204E+101</v>
      </c>
      <c r="VJY29" s="160">
        <f t="shared" ref="VJY29" si="7575">VJW29*$C$29</f>
        <v>2.0786061144107701E+101</v>
      </c>
      <c r="VKA29" s="160">
        <f t="shared" ref="VKA29" si="7576">VJY29*$C$29</f>
        <v>2.1409642978430932E+101</v>
      </c>
      <c r="VKC29" s="160">
        <f t="shared" ref="VKC29" si="7577">VKA29*$C$29</f>
        <v>2.2051932267783859E+101</v>
      </c>
      <c r="VKE29" s="160">
        <f t="shared" ref="VKE29" si="7578">VKC29*$C$29</f>
        <v>2.2713490235817375E+101</v>
      </c>
      <c r="VKG29" s="160">
        <f t="shared" ref="VKG29" si="7579">VKE29*$C$29</f>
        <v>2.3394894942891895E+101</v>
      </c>
      <c r="VKI29" s="160">
        <f t="shared" ref="VKI29" si="7580">VKG29*$C$29</f>
        <v>2.4096741791178654E+101</v>
      </c>
      <c r="VKK29" s="160">
        <f t="shared" ref="VKK29" si="7581">VKI29*$C$29</f>
        <v>2.4819644044914013E+101</v>
      </c>
      <c r="VKM29" s="160">
        <f t="shared" ref="VKM29" si="7582">VKK29*$C$29</f>
        <v>2.5564233366261434E+101</v>
      </c>
      <c r="VKO29" s="160">
        <f t="shared" ref="VKO29" si="7583">VKM29*$C$29</f>
        <v>2.6331160367249278E+101</v>
      </c>
      <c r="VKQ29" s="160">
        <f t="shared" ref="VKQ29" si="7584">VKO29*$C$29</f>
        <v>2.7121095178266757E+101</v>
      </c>
      <c r="VKS29" s="160">
        <f t="shared" ref="VKS29" si="7585">VKQ29*$C$29</f>
        <v>2.7934728033614759E+101</v>
      </c>
      <c r="VKU29" s="160">
        <f t="shared" ref="VKU29" si="7586">VKS29*$C$29</f>
        <v>2.8772769874623202E+101</v>
      </c>
      <c r="VKW29" s="160">
        <f t="shared" ref="VKW29" si="7587">VKU29*$C$29</f>
        <v>2.9635952970861895E+101</v>
      </c>
      <c r="VKY29" s="160">
        <f t="shared" ref="VKY29" si="7588">VKW29*$C$29</f>
        <v>3.052503155998775E+101</v>
      </c>
      <c r="VLA29" s="160">
        <f t="shared" ref="VLA29" si="7589">VKY29*$C$29</f>
        <v>3.1440782506787384E+101</v>
      </c>
      <c r="VLC29" s="160">
        <f t="shared" ref="VLC29" si="7590">VLA29*$C$29</f>
        <v>3.2384005981991004E+101</v>
      </c>
      <c r="VLE29" s="160">
        <f t="shared" ref="VLE29" si="7591">VLC29*$C$29</f>
        <v>3.3355526161450732E+101</v>
      </c>
      <c r="VLG29" s="160">
        <f t="shared" ref="VLG29" si="7592">VLE29*$C$29</f>
        <v>3.4356191946294254E+101</v>
      </c>
      <c r="VLI29" s="160">
        <f t="shared" ref="VLI29" si="7593">VLG29*$C$29</f>
        <v>3.5386877704683086E+101</v>
      </c>
      <c r="VLK29" s="160">
        <f t="shared" ref="VLK29" si="7594">VLI29*$C$29</f>
        <v>3.6448484035823581E+101</v>
      </c>
      <c r="VLM29" s="160">
        <f t="shared" ref="VLM29" si="7595">VLK29*$C$29</f>
        <v>3.7541938556898292E+101</v>
      </c>
      <c r="VLO29" s="160">
        <f t="shared" ref="VLO29" si="7596">VLM29*$C$29</f>
        <v>3.8668196713605239E+101</v>
      </c>
      <c r="VLQ29" s="160">
        <f t="shared" ref="VLQ29" si="7597">VLO29*$C$29</f>
        <v>3.9828242615013395E+101</v>
      </c>
      <c r="VLS29" s="160">
        <f t="shared" ref="VLS29" si="7598">VLQ29*$C$29</f>
        <v>4.1023089893463798E+101</v>
      </c>
      <c r="VLU29" s="160">
        <f t="shared" ref="VLU29" si="7599">VLS29*$C$29</f>
        <v>4.2253782590267714E+101</v>
      </c>
      <c r="VLW29" s="160">
        <f t="shared" ref="VLW29" si="7600">VLU29*$C$29</f>
        <v>4.3521396067975745E+101</v>
      </c>
      <c r="VLY29" s="160">
        <f t="shared" ref="VLY29" si="7601">VLW29*$C$29</f>
        <v>4.482703795001502E+101</v>
      </c>
      <c r="VMA29" s="160">
        <f t="shared" ref="VMA29" si="7602">VLY29*$C$29</f>
        <v>4.6171849088515474E+101</v>
      </c>
      <c r="VMC29" s="160">
        <f t="shared" ref="VMC29" si="7603">VMA29*$C$29</f>
        <v>4.7557004561170936E+101</v>
      </c>
      <c r="VME29" s="160">
        <f t="shared" ref="VME29" si="7604">VMC29*$C$29</f>
        <v>4.8983714698006065E+101</v>
      </c>
      <c r="VMG29" s="160">
        <f t="shared" ref="VMG29" si="7605">VME29*$C$29</f>
        <v>5.0453226138946246E+101</v>
      </c>
      <c r="VMI29" s="160">
        <f t="shared" ref="VMI29" si="7606">VMG29*$C$29</f>
        <v>5.1966822923114634E+101</v>
      </c>
      <c r="VMK29" s="160">
        <f t="shared" ref="VMK29" si="7607">VMI29*$C$29</f>
        <v>5.3525827610808075E+101</v>
      </c>
      <c r="VMM29" s="160">
        <f t="shared" ref="VMM29" si="7608">VMK29*$C$29</f>
        <v>5.5131602439132319E+101</v>
      </c>
      <c r="VMO29" s="160">
        <f t="shared" ref="VMO29" si="7609">VMM29*$C$29</f>
        <v>5.6785550512306285E+101</v>
      </c>
      <c r="VMQ29" s="160">
        <f t="shared" ref="VMQ29" si="7610">VMO29*$C$29</f>
        <v>5.8489117027675471E+101</v>
      </c>
      <c r="VMS29" s="160">
        <f t="shared" ref="VMS29" si="7611">VMQ29*$C$29</f>
        <v>6.0243790538505734E+101</v>
      </c>
      <c r="VMU29" s="160">
        <f t="shared" ref="VMU29" si="7612">VMS29*$C$29</f>
        <v>6.2051104254660913E+101</v>
      </c>
      <c r="VMW29" s="160">
        <f t="shared" ref="VMW29" si="7613">VMU29*$C$29</f>
        <v>6.3912637382300739E+101</v>
      </c>
      <c r="VMY29" s="160">
        <f t="shared" ref="VMY29" si="7614">VMW29*$C$29</f>
        <v>6.5830016503769767E+101</v>
      </c>
      <c r="VNA29" s="160">
        <f t="shared" ref="VNA29" si="7615">VMY29*$C$29</f>
        <v>6.7804916998882857E+101</v>
      </c>
      <c r="VNC29" s="160">
        <f t="shared" ref="VNC29" si="7616">VNA29*$C$29</f>
        <v>6.9839064508849342E+101</v>
      </c>
      <c r="VNE29" s="160">
        <f t="shared" ref="VNE29" si="7617">VNC29*$C$29</f>
        <v>7.1934236444114825E+101</v>
      </c>
      <c r="VNG29" s="160">
        <f t="shared" ref="VNG29" si="7618">VNE29*$C$29</f>
        <v>7.4092263537438274E+101</v>
      </c>
      <c r="VNI29" s="160">
        <f t="shared" ref="VNI29" si="7619">VNG29*$C$29</f>
        <v>7.631503144356143E+101</v>
      </c>
      <c r="VNK29" s="160">
        <f t="shared" ref="VNK29" si="7620">VNI29*$C$29</f>
        <v>7.8604482386868275E+101</v>
      </c>
      <c r="VNM29" s="160">
        <f t="shared" ref="VNM29" si="7621">VNK29*$C$29</f>
        <v>8.0962616858474322E+101</v>
      </c>
      <c r="VNO29" s="160">
        <f t="shared" ref="VNO29" si="7622">VNM29*$C$29</f>
        <v>8.3391495364228556E+101</v>
      </c>
      <c r="VNQ29" s="160">
        <f t="shared" ref="VNQ29" si="7623">VNO29*$C$29</f>
        <v>8.5893240225155418E+101</v>
      </c>
      <c r="VNS29" s="160">
        <f t="shared" ref="VNS29" si="7624">VNQ29*$C$29</f>
        <v>8.8470037431910087E+101</v>
      </c>
      <c r="VNU29" s="160">
        <f t="shared" ref="VNU29" si="7625">VNS29*$C$29</f>
        <v>9.1124138554867386E+101</v>
      </c>
      <c r="VNW29" s="160">
        <f t="shared" ref="VNW29" si="7626">VNU29*$C$29</f>
        <v>9.3857862711513404E+101</v>
      </c>
      <c r="VNY29" s="160">
        <f t="shared" ref="VNY29" si="7627">VNW29*$C$29</f>
        <v>9.667359859285881E+101</v>
      </c>
      <c r="VOA29" s="160">
        <f t="shared" ref="VOA29" si="7628">VNY29*$C$29</f>
        <v>9.9573806550644573E+101</v>
      </c>
      <c r="VOC29" s="160">
        <f t="shared" ref="VOC29" si="7629">VOA29*$C$29</f>
        <v>1.0256102074716391E+102</v>
      </c>
      <c r="VOE29" s="160">
        <f t="shared" ref="VOE29" si="7630">VOC29*$C$29</f>
        <v>1.0563785136957883E+102</v>
      </c>
      <c r="VOG29" s="160">
        <f t="shared" ref="VOG29" si="7631">VOE29*$C$29</f>
        <v>1.088069869106662E+102</v>
      </c>
      <c r="VOI29" s="160">
        <f t="shared" ref="VOI29" si="7632">VOG29*$C$29</f>
        <v>1.1207119651798619E+102</v>
      </c>
      <c r="VOK29" s="160">
        <f t="shared" ref="VOK29" si="7633">VOI29*$C$29</f>
        <v>1.1543333241352578E+102</v>
      </c>
      <c r="VOM29" s="160">
        <f t="shared" ref="VOM29" si="7634">VOK29*$C$29</f>
        <v>1.1889633238593156E+102</v>
      </c>
      <c r="VOO29" s="160">
        <f t="shared" ref="VOO29" si="7635">VOM29*$C$29</f>
        <v>1.2246322235750951E+102</v>
      </c>
      <c r="VOQ29" s="160">
        <f t="shared" ref="VOQ29" si="7636">VOO29*$C$29</f>
        <v>1.2613711902823481E+102</v>
      </c>
      <c r="VOS29" s="160">
        <f t="shared" ref="VOS29" si="7637">VOQ29*$C$29</f>
        <v>1.2992123259908186E+102</v>
      </c>
      <c r="VOU29" s="160">
        <f t="shared" ref="VOU29" si="7638">VOS29*$C$29</f>
        <v>1.3381886957705432E+102</v>
      </c>
      <c r="VOW29" s="160">
        <f t="shared" ref="VOW29" si="7639">VOU29*$C$29</f>
        <v>1.3783343566436595E+102</v>
      </c>
      <c r="VOY29" s="160">
        <f t="shared" ref="VOY29" si="7640">VOW29*$C$29</f>
        <v>1.4196843873429694E+102</v>
      </c>
      <c r="VPA29" s="160">
        <f t="shared" ref="VPA29" si="7641">VOY29*$C$29</f>
        <v>1.4622749189632585E+102</v>
      </c>
      <c r="VPC29" s="160">
        <f t="shared" ref="VPC29" si="7642">VPA29*$C$29</f>
        <v>1.5061431665321562E+102</v>
      </c>
      <c r="VPE29" s="160">
        <f t="shared" ref="VPE29" si="7643">VPC29*$C$29</f>
        <v>1.5513274615281211E+102</v>
      </c>
      <c r="VPG29" s="160">
        <f t="shared" ref="VPG29" si="7644">VPE29*$C$29</f>
        <v>1.5978672853739646E+102</v>
      </c>
      <c r="VPI29" s="160">
        <f t="shared" ref="VPI29" si="7645">VPG29*$C$29</f>
        <v>1.6458033039351836E+102</v>
      </c>
      <c r="VPK29" s="160">
        <f t="shared" ref="VPK29" si="7646">VPI29*$C$29</f>
        <v>1.6951774030532392E+102</v>
      </c>
      <c r="VPM29" s="160">
        <f t="shared" ref="VPM29" si="7647">VPK29*$C$29</f>
        <v>1.7460327251448365E+102</v>
      </c>
      <c r="VPO29" s="160">
        <f t="shared" ref="VPO29" si="7648">VPM29*$C$29</f>
        <v>1.7984137068991816E+102</v>
      </c>
      <c r="VPQ29" s="160">
        <f t="shared" ref="VPQ29" si="7649">VPO29*$C$29</f>
        <v>1.8523661181061571E+102</v>
      </c>
      <c r="VPS29" s="160">
        <f t="shared" ref="VPS29" si="7650">VPQ29*$C$29</f>
        <v>1.9079371016493418E+102</v>
      </c>
      <c r="VPU29" s="160">
        <f t="shared" ref="VPU29" si="7651">VPS29*$C$29</f>
        <v>1.9651752146988221E+102</v>
      </c>
      <c r="VPW29" s="160">
        <f t="shared" ref="VPW29" si="7652">VPU29*$C$29</f>
        <v>2.0241304711397869E+102</v>
      </c>
      <c r="VPY29" s="160">
        <f t="shared" ref="VPY29" si="7653">VPW29*$C$29</f>
        <v>2.0848543852739806E+102</v>
      </c>
      <c r="VQA29" s="160">
        <f t="shared" ref="VQA29" si="7654">VPY29*$C$29</f>
        <v>2.1474000168322001E+102</v>
      </c>
      <c r="VQC29" s="160">
        <f t="shared" ref="VQC29" si="7655">VQA29*$C$29</f>
        <v>2.2118220173371662E+102</v>
      </c>
      <c r="VQE29" s="160">
        <f t="shared" ref="VQE29" si="7656">VQC29*$C$29</f>
        <v>2.2781766778572814E+102</v>
      </c>
      <c r="VQG29" s="160">
        <f t="shared" ref="VQG29" si="7657">VQE29*$C$29</f>
        <v>2.3465219781930001E+102</v>
      </c>
      <c r="VQI29" s="160">
        <f t="shared" ref="VQI29" si="7658">VQG29*$C$29</f>
        <v>2.4169176375387903E+102</v>
      </c>
      <c r="VQK29" s="160">
        <f t="shared" ref="VQK29" si="7659">VQI29*$C$29</f>
        <v>2.489425166664954E+102</v>
      </c>
      <c r="VQM29" s="160">
        <f t="shared" ref="VQM29" si="7660">VQK29*$C$29</f>
        <v>2.5641079216649026E+102</v>
      </c>
      <c r="VQO29" s="160">
        <f t="shared" ref="VQO29" si="7661">VQM29*$C$29</f>
        <v>2.6410311593148497E+102</v>
      </c>
      <c r="VQQ29" s="160">
        <f t="shared" ref="VQQ29" si="7662">VQO29*$C$29</f>
        <v>2.7202620940942954E+102</v>
      </c>
      <c r="VQS29" s="160">
        <f t="shared" ref="VQS29" si="7663">VQQ29*$C$29</f>
        <v>2.8018699569171246E+102</v>
      </c>
      <c r="VQU29" s="160">
        <f t="shared" ref="VQU29" si="7664">VQS29*$C$29</f>
        <v>2.8859260556246384E+102</v>
      </c>
      <c r="VQW29" s="160">
        <f t="shared" ref="VQW29" si="7665">VQU29*$C$29</f>
        <v>2.9725038372933775E+102</v>
      </c>
      <c r="VQY29" s="160">
        <f t="shared" ref="VQY29" si="7666">VQW29*$C$29</f>
        <v>3.0616789524121788E+102</v>
      </c>
      <c r="VRA29" s="160">
        <f t="shared" ref="VRA29" si="7667">VQY29*$C$29</f>
        <v>3.1535293209845441E+102</v>
      </c>
      <c r="VRC29" s="160">
        <f t="shared" ref="VRC29" si="7668">VRA29*$C$29</f>
        <v>3.2481352006140806E+102</v>
      </c>
      <c r="VRE29" s="160">
        <f t="shared" ref="VRE29" si="7669">VRC29*$C$29</f>
        <v>3.3455792566325031E+102</v>
      </c>
      <c r="VRG29" s="160">
        <f t="shared" ref="VRG29" si="7670">VRE29*$C$29</f>
        <v>3.4459466343314784E+102</v>
      </c>
      <c r="VRI29" s="160">
        <f t="shared" ref="VRI29" si="7671">VRG29*$C$29</f>
        <v>3.5493250333614231E+102</v>
      </c>
      <c r="VRK29" s="160">
        <f t="shared" ref="VRK29" si="7672">VRI29*$C$29</f>
        <v>3.6558047843622657E+102</v>
      </c>
      <c r="VRM29" s="160">
        <f t="shared" ref="VRM29" si="7673">VRK29*$C$29</f>
        <v>3.7654789278931337E+102</v>
      </c>
      <c r="VRO29" s="160">
        <f t="shared" ref="VRO29" si="7674">VRM29*$C$29</f>
        <v>3.8784432957299278E+102</v>
      </c>
      <c r="VRQ29" s="160">
        <f t="shared" ref="VRQ29" si="7675">VRO29*$C$29</f>
        <v>3.9947965946018259E+102</v>
      </c>
      <c r="VRS29" s="160">
        <f t="shared" ref="VRS29" si="7676">VRQ29*$C$29</f>
        <v>4.1146404924398806E+102</v>
      </c>
      <c r="VRU29" s="160">
        <f t="shared" ref="VRU29" si="7677">VRS29*$C$29</f>
        <v>4.2380797072130773E+102</v>
      </c>
      <c r="VRW29" s="160">
        <f t="shared" ref="VRW29" si="7678">VRU29*$C$29</f>
        <v>4.3652220984294699E+102</v>
      </c>
      <c r="VRY29" s="160">
        <f t="shared" ref="VRY29" si="7679">VRW29*$C$29</f>
        <v>4.4961787613823538E+102</v>
      </c>
      <c r="VSA29" s="160">
        <f t="shared" ref="VSA29" si="7680">VRY29*$C$29</f>
        <v>4.6310641242238241E+102</v>
      </c>
      <c r="VSC29" s="160">
        <f t="shared" ref="VSC29" si="7681">VSA29*$C$29</f>
        <v>4.7699960479505387E+102</v>
      </c>
      <c r="VSE29" s="160">
        <f t="shared" ref="VSE29" si="7682">VSC29*$C$29</f>
        <v>4.9130959293890555E+102</v>
      </c>
      <c r="VSG29" s="160">
        <f t="shared" ref="VSG29" si="7683">VSE29*$C$29</f>
        <v>5.0604888072707275E+102</v>
      </c>
      <c r="VSI29" s="160">
        <f t="shared" ref="VSI29" si="7684">VSG29*$C$29</f>
        <v>5.2123034714888494E+102</v>
      </c>
      <c r="VSK29" s="160">
        <f t="shared" ref="VSK29" si="7685">VSI29*$C$29</f>
        <v>5.3686725756335155E+102</v>
      </c>
      <c r="VSM29" s="160">
        <f t="shared" ref="VSM29" si="7686">VSK29*$C$29</f>
        <v>5.5297327529025207E+102</v>
      </c>
      <c r="VSO29" s="160">
        <f t="shared" ref="VSO29" si="7687">VSM29*$C$29</f>
        <v>5.6956247354895961E+102</v>
      </c>
      <c r="VSQ29" s="160">
        <f t="shared" ref="VSQ29" si="7688">VSO29*$C$29</f>
        <v>5.8664934775542842E+102</v>
      </c>
      <c r="VSS29" s="160">
        <f t="shared" ref="VSS29" si="7689">VSQ29*$C$29</f>
        <v>6.0424882818809131E+102</v>
      </c>
      <c r="VSU29" s="160">
        <f t="shared" ref="VSU29" si="7690">VSS29*$C$29</f>
        <v>6.2237629303373408E+102</v>
      </c>
      <c r="VSW29" s="160">
        <f t="shared" ref="VSW29" si="7691">VSU29*$C$29</f>
        <v>6.4104758182474615E+102</v>
      </c>
      <c r="VSY29" s="160">
        <f t="shared" ref="VSY29" si="7692">VSW29*$C$29</f>
        <v>6.6027900927948858E+102</v>
      </c>
      <c r="VTA29" s="160">
        <f t="shared" ref="VTA29" si="7693">VSY29*$C$29</f>
        <v>6.8008737955787325E+102</v>
      </c>
      <c r="VTC29" s="160">
        <f t="shared" ref="VTC29" si="7694">VTA29*$C$29</f>
        <v>7.0049000094460945E+102</v>
      </c>
      <c r="VTE29" s="160">
        <f t="shared" ref="VTE29" si="7695">VTC29*$C$29</f>
        <v>7.2150470097294778E+102</v>
      </c>
      <c r="VTG29" s="160">
        <f t="shared" ref="VTG29" si="7696">VTE29*$C$29</f>
        <v>7.4314984200213627E+102</v>
      </c>
      <c r="VTI29" s="160">
        <f t="shared" ref="VTI29" si="7697">VTG29*$C$29</f>
        <v>7.654443372622004E+102</v>
      </c>
      <c r="VTK29" s="160">
        <f t="shared" ref="VTK29" si="7698">VTI29*$C$29</f>
        <v>7.8840766738006648E+102</v>
      </c>
      <c r="VTM29" s="160">
        <f t="shared" ref="VTM29" si="7699">VTK29*$C$29</f>
        <v>8.1205989740146846E+102</v>
      </c>
      <c r="VTO29" s="160">
        <f t="shared" ref="VTO29" si="7700">VTM29*$C$29</f>
        <v>8.3642169432351257E+102</v>
      </c>
      <c r="VTQ29" s="160">
        <f t="shared" ref="VTQ29" si="7701">VTO29*$C$29</f>
        <v>8.61514345153218E+102</v>
      </c>
      <c r="VTS29" s="160">
        <f t="shared" ref="VTS29" si="7702">VTQ29*$C$29</f>
        <v>8.8735977550781459E+102</v>
      </c>
      <c r="VTU29" s="160">
        <f t="shared" ref="VTU29" si="7703">VTS29*$C$29</f>
        <v>9.1398056877304896E+102</v>
      </c>
      <c r="VTW29" s="160">
        <f t="shared" ref="VTW29" si="7704">VTU29*$C$29</f>
        <v>9.4139998583624049E+102</v>
      </c>
      <c r="VTY29" s="160">
        <f t="shared" ref="VTY29" si="7705">VTW29*$C$29</f>
        <v>9.6964198541132774E+102</v>
      </c>
      <c r="VUA29" s="160">
        <f t="shared" ref="VUA29" si="7706">VTY29*$C$29</f>
        <v>9.987312449736676E+102</v>
      </c>
      <c r="VUC29" s="160">
        <f t="shared" ref="VUC29" si="7707">VUA29*$C$29</f>
        <v>1.0286931823228777E+103</v>
      </c>
      <c r="VUE29" s="160">
        <f t="shared" ref="VUE29" si="7708">VUC29*$C$29</f>
        <v>1.059553977792564E+103</v>
      </c>
      <c r="VUG29" s="160">
        <f t="shared" ref="VUG29" si="7709">VUE29*$C$29</f>
        <v>1.0913405971263409E+103</v>
      </c>
      <c r="VUI29" s="160">
        <f t="shared" ref="VUI29" si="7710">VUG29*$C$29</f>
        <v>1.1240808150401313E+103</v>
      </c>
      <c r="VUK29" s="160">
        <f t="shared" ref="VUK29" si="7711">VUI29*$C$29</f>
        <v>1.1578032394913352E+103</v>
      </c>
      <c r="VUM29" s="160">
        <f t="shared" ref="VUM29" si="7712">VUK29*$C$29</f>
        <v>1.1925373366760753E+103</v>
      </c>
      <c r="VUO29" s="160">
        <f t="shared" ref="VUO29" si="7713">VUM29*$C$29</f>
        <v>1.2283134567763575E+103</v>
      </c>
      <c r="VUQ29" s="160">
        <f t="shared" ref="VUQ29" si="7714">VUO29*$C$29</f>
        <v>1.2651628604796482E+103</v>
      </c>
      <c r="VUS29" s="160">
        <f t="shared" ref="VUS29" si="7715">VUQ29*$C$29</f>
        <v>1.3031177462940378E+103</v>
      </c>
      <c r="VUU29" s="160">
        <f t="shared" ref="VUU29" si="7716">VUS29*$C$29</f>
        <v>1.342211278682859E+103</v>
      </c>
      <c r="VUW29" s="160">
        <f t="shared" ref="VUW29" si="7717">VUU29*$C$29</f>
        <v>1.3824776170433447E+103</v>
      </c>
      <c r="VUY29" s="160">
        <f t="shared" ref="VUY29" si="7718">VUW29*$C$29</f>
        <v>1.423951945554645E+103</v>
      </c>
      <c r="VVA29" s="160">
        <f t="shared" ref="VVA29" si="7719">VUY29*$C$29</f>
        <v>1.4666705039212845E+103</v>
      </c>
      <c r="VVC29" s="160">
        <f t="shared" ref="VVC29" si="7720">VVA29*$C$29</f>
        <v>1.5106706190389232E+103</v>
      </c>
      <c r="VVE29" s="160">
        <f t="shared" ref="VVE29" si="7721">VVC29*$C$29</f>
        <v>1.5559907376100908E+103</v>
      </c>
      <c r="VVG29" s="160">
        <f t="shared" ref="VVG29" si="7722">VVE29*$C$29</f>
        <v>1.6026704597383936E+103</v>
      </c>
      <c r="VVI29" s="160">
        <f t="shared" ref="VVI29" si="7723">VVG29*$C$29</f>
        <v>1.6507505735305455E+103</v>
      </c>
      <c r="VVK29" s="160">
        <f t="shared" ref="VVK29" si="7724">VVI29*$C$29</f>
        <v>1.7002730907364619E+103</v>
      </c>
      <c r="VVM29" s="160">
        <f t="shared" ref="VVM29" si="7725">VVK29*$C$29</f>
        <v>1.7512812834585559E+103</v>
      </c>
      <c r="VVO29" s="160">
        <f t="shared" ref="VVO29" si="7726">VVM29*$C$29</f>
        <v>1.8038197219623128E+103</v>
      </c>
      <c r="VVQ29" s="160">
        <f t="shared" ref="VVQ29" si="7727">VVO29*$C$29</f>
        <v>1.8579343136211821E+103</v>
      </c>
      <c r="VVS29" s="160">
        <f t="shared" ref="VVS29" si="7728">VVQ29*$C$29</f>
        <v>1.9136723430298178E+103</v>
      </c>
      <c r="VVU29" s="160">
        <f t="shared" ref="VVU29" si="7729">VVS29*$C$29</f>
        <v>1.9710825133207124E+103</v>
      </c>
      <c r="VVW29" s="160">
        <f t="shared" ref="VVW29" si="7730">VVU29*$C$29</f>
        <v>2.0302149887203338E+103</v>
      </c>
      <c r="VVY29" s="160">
        <f t="shared" ref="VVY29" si="7731">VVW29*$C$29</f>
        <v>2.0911214383819439E+103</v>
      </c>
      <c r="VWA29" s="160">
        <f t="shared" ref="VWA29" si="7732">VVY29*$C$29</f>
        <v>2.1538550815334024E+103</v>
      </c>
      <c r="VWC29" s="160">
        <f t="shared" ref="VWC29" si="7733">VWA29*$C$29</f>
        <v>2.2184707339794043E+103</v>
      </c>
      <c r="VWE29" s="160">
        <f t="shared" ref="VWE29" si="7734">VWC29*$C$29</f>
        <v>2.2850248559987865E+103</v>
      </c>
      <c r="VWG29" s="160">
        <f t="shared" ref="VWG29" si="7735">VWE29*$C$29</f>
        <v>2.3535756016787504E+103</v>
      </c>
      <c r="VWI29" s="160">
        <f t="shared" ref="VWI29" si="7736">VWG29*$C$29</f>
        <v>2.4241828697291131E+103</v>
      </c>
      <c r="VWK29" s="160">
        <f t="shared" ref="VWK29" si="7737">VWI29*$C$29</f>
        <v>2.4969083558209866E+103</v>
      </c>
      <c r="VWM29" s="160">
        <f t="shared" ref="VWM29" si="7738">VWK29*$C$29</f>
        <v>2.5718156064956164E+103</v>
      </c>
      <c r="VWO29" s="160">
        <f t="shared" ref="VWO29" si="7739">VWM29*$C$29</f>
        <v>2.6489700746904851E+103</v>
      </c>
      <c r="VWQ29" s="160">
        <f t="shared" ref="VWQ29" si="7740">VWO29*$C$29</f>
        <v>2.7284391769311997E+103</v>
      </c>
      <c r="VWS29" s="160">
        <f t="shared" ref="VWS29" si="7741">VWQ29*$C$29</f>
        <v>2.8102923522391358E+103</v>
      </c>
      <c r="VWU29" s="160">
        <f t="shared" ref="VWU29" si="7742">VWS29*$C$29</f>
        <v>2.8946011228063099E+103</v>
      </c>
      <c r="VWW29" s="160">
        <f t="shared" ref="VWW29" si="7743">VWU29*$C$29</f>
        <v>2.9814391564904992E+103</v>
      </c>
      <c r="VWY29" s="160">
        <f t="shared" ref="VWY29" si="7744">VWW29*$C$29</f>
        <v>3.0708823311852142E+103</v>
      </c>
      <c r="VXA29" s="160">
        <f t="shared" ref="VXA29" si="7745">VWY29*$C$29</f>
        <v>3.1630088011207707E+103</v>
      </c>
      <c r="VXC29" s="160">
        <f t="shared" ref="VXC29" si="7746">VXA29*$C$29</f>
        <v>3.257899065154394E+103</v>
      </c>
      <c r="VXE29" s="160">
        <f t="shared" ref="VXE29" si="7747">VXC29*$C$29</f>
        <v>3.3556360371090259E+103</v>
      </c>
      <c r="VXG29" s="160">
        <f t="shared" ref="VXG29" si="7748">VXE29*$C$29</f>
        <v>3.4563051182222969E+103</v>
      </c>
      <c r="VXI29" s="160">
        <f t="shared" ref="VXI29" si="7749">VXG29*$C$29</f>
        <v>3.5599942717689659E+103</v>
      </c>
      <c r="VXK29" s="160">
        <f t="shared" ref="VXK29" si="7750">VXI29*$C$29</f>
        <v>3.6667940999220347E+103</v>
      </c>
      <c r="VXM29" s="160">
        <f t="shared" ref="VXM29" si="7751">VXK29*$C$29</f>
        <v>3.7767979229196958E+103</v>
      </c>
      <c r="VXO29" s="160">
        <f t="shared" ref="VXO29" si="7752">VXM29*$C$29</f>
        <v>3.8901018606072865E+103</v>
      </c>
      <c r="VXQ29" s="160">
        <f t="shared" ref="VXQ29" si="7753">VXO29*$C$29</f>
        <v>4.006804916425505E+103</v>
      </c>
      <c r="VXS29" s="160">
        <f t="shared" ref="VXS29" si="7754">VXQ29*$C$29</f>
        <v>4.1270090639182703E+103</v>
      </c>
      <c r="VXU29" s="160">
        <f t="shared" ref="VXU29" si="7755">VXS29*$C$29</f>
        <v>4.2508193358358187E+103</v>
      </c>
      <c r="VXW29" s="160">
        <f t="shared" ref="VXW29" si="7756">VXU29*$C$29</f>
        <v>4.3783439159108936E+103</v>
      </c>
      <c r="VXY29" s="160">
        <f t="shared" ref="VXY29" si="7757">VXW29*$C$29</f>
        <v>4.5096942333882204E+103</v>
      </c>
      <c r="VYA29" s="160">
        <f t="shared" ref="VYA29" si="7758">VXY29*$C$29</f>
        <v>4.6449850603898668E+103</v>
      </c>
      <c r="VYC29" s="160">
        <f t="shared" ref="VYC29" si="7759">VYA29*$C$29</f>
        <v>4.784334612201563E+103</v>
      </c>
      <c r="VYE29" s="160">
        <f t="shared" ref="VYE29" si="7760">VYC29*$C$29</f>
        <v>4.9278646505676104E+103</v>
      </c>
      <c r="VYG29" s="160">
        <f t="shared" ref="VYG29" si="7761">VYE29*$C$29</f>
        <v>5.0757005900846391E+103</v>
      </c>
      <c r="VYI29" s="160">
        <f t="shared" ref="VYI29" si="7762">VYG29*$C$29</f>
        <v>5.2279716077871783E+103</v>
      </c>
      <c r="VYK29" s="160">
        <f t="shared" ref="VYK29" si="7763">VYI29*$C$29</f>
        <v>5.3848107560207939E+103</v>
      </c>
      <c r="VYM29" s="160">
        <f t="shared" ref="VYM29" si="7764">VYK29*$C$29</f>
        <v>5.5463550787014179E+103</v>
      </c>
      <c r="VYO29" s="160">
        <f t="shared" ref="VYO29" si="7765">VYM29*$C$29</f>
        <v>5.7127457310624602E+103</v>
      </c>
      <c r="VYQ29" s="160">
        <f t="shared" ref="VYQ29" si="7766">VYO29*$C$29</f>
        <v>5.8841281029943344E+103</v>
      </c>
      <c r="VYS29" s="160">
        <f t="shared" ref="VYS29" si="7767">VYQ29*$C$29</f>
        <v>6.0606519460841648E+103</v>
      </c>
      <c r="VYU29" s="160">
        <f t="shared" ref="VYU29" si="7768">VYS29*$C$29</f>
        <v>6.2424715044666899E+103</v>
      </c>
      <c r="VYW29" s="160">
        <f t="shared" ref="VYW29" si="7769">VYU29*$C$29</f>
        <v>6.429745649600691E+103</v>
      </c>
      <c r="VYY29" s="160">
        <f t="shared" ref="VYY29" si="7770">VYW29*$C$29</f>
        <v>6.6226380190887118E+103</v>
      </c>
      <c r="VZA29" s="160">
        <f t="shared" ref="VZA29" si="7771">VYY29*$C$29</f>
        <v>6.8213171596613737E+103</v>
      </c>
      <c r="VZC29" s="160">
        <f t="shared" ref="VZC29" si="7772">VZA29*$C$29</f>
        <v>7.0259566744512151E+103</v>
      </c>
      <c r="VZE29" s="160">
        <f t="shared" ref="VZE29" si="7773">VZC29*$C$29</f>
        <v>7.2367353746847524E+103</v>
      </c>
      <c r="VZG29" s="160">
        <f t="shared" ref="VZG29" si="7774">VZE29*$C$29</f>
        <v>7.4538374359252955E+103</v>
      </c>
      <c r="VZI29" s="160">
        <f t="shared" ref="VZI29" si="7775">VZG29*$C$29</f>
        <v>7.6774525590030545E+103</v>
      </c>
      <c r="VZK29" s="160">
        <f t="shared" ref="VZK29" si="7776">VZI29*$C$29</f>
        <v>7.9077761357731458E+103</v>
      </c>
      <c r="VZM29" s="160">
        <f t="shared" ref="VZM29" si="7777">VZK29*$C$29</f>
        <v>8.1450094198463398E+103</v>
      </c>
      <c r="VZO29" s="160">
        <f t="shared" ref="VZO29" si="7778">VZM29*$C$29</f>
        <v>8.389359702441731E+103</v>
      </c>
      <c r="VZQ29" s="160">
        <f t="shared" ref="VZQ29" si="7779">VZO29*$C$29</f>
        <v>8.641040493514983E+103</v>
      </c>
      <c r="VZS29" s="160">
        <f t="shared" ref="VZS29" si="7780">VZQ29*$C$29</f>
        <v>8.9002717083204329E+103</v>
      </c>
      <c r="VZU29" s="160">
        <f t="shared" ref="VZU29" si="7781">VZS29*$C$29</f>
        <v>9.1672798595700461E+103</v>
      </c>
      <c r="VZW29" s="160">
        <f t="shared" ref="VZW29" si="7782">VZU29*$C$29</f>
        <v>9.4422982553571478E+103</v>
      </c>
      <c r="VZY29" s="160">
        <f t="shared" ref="VZY29" si="7783">VZW29*$C$29</f>
        <v>9.7255672030178622E+103</v>
      </c>
      <c r="WAA29" s="160">
        <f t="shared" ref="WAA29" si="7784">VZY29*$C$29</f>
        <v>1.0017334219108399E+104</v>
      </c>
      <c r="WAC29" s="160">
        <f t="shared" ref="WAC29" si="7785">WAA29*$C$29</f>
        <v>1.0317854245681651E+104</v>
      </c>
      <c r="WAE29" s="160">
        <f t="shared" ref="WAE29" si="7786">WAC29*$C$29</f>
        <v>1.0627389873052101E+104</v>
      </c>
      <c r="WAG29" s="160">
        <f t="shared" ref="WAG29" si="7787">WAE29*$C$29</f>
        <v>1.0946211569243664E+104</v>
      </c>
      <c r="WAI29" s="160">
        <f t="shared" ref="WAI29" si="7788">WAG29*$C$29</f>
        <v>1.1274597916320974E+104</v>
      </c>
      <c r="WAK29" s="160">
        <f t="shared" ref="WAK29" si="7789">WAI29*$C$29</f>
        <v>1.1612835853810604E+104</v>
      </c>
      <c r="WAM29" s="160">
        <f t="shared" ref="WAM29" si="7790">WAK29*$C$29</f>
        <v>1.1961220929424923E+104</v>
      </c>
      <c r="WAO29" s="160">
        <f t="shared" ref="WAO29" si="7791">WAM29*$C$29</f>
        <v>1.2320057557307671E+104</v>
      </c>
      <c r="WAQ29" s="160">
        <f t="shared" ref="WAQ29" si="7792">WAO29*$C$29</f>
        <v>1.2689659284026902E+104</v>
      </c>
      <c r="WAS29" s="160">
        <f t="shared" ref="WAS29" si="7793">WAQ29*$C$29</f>
        <v>1.3070349062547709E+104</v>
      </c>
      <c r="WAU29" s="160">
        <f t="shared" ref="WAU29" si="7794">WAS29*$C$29</f>
        <v>1.3462459534424141E+104</v>
      </c>
      <c r="WAW29" s="160">
        <f t="shared" ref="WAW29" si="7795">WAU29*$C$29</f>
        <v>1.3866333320456865E+104</v>
      </c>
      <c r="WAY29" s="160">
        <f t="shared" ref="WAY29" si="7796">WAW29*$C$29</f>
        <v>1.4282323320070572E+104</v>
      </c>
      <c r="WBA29" s="160">
        <f t="shared" ref="WBA29" si="7797">WAY29*$C$29</f>
        <v>1.4710793019672689E+104</v>
      </c>
      <c r="WBC29" s="160">
        <f t="shared" ref="WBC29" si="7798">WBA29*$C$29</f>
        <v>1.5152116810262872E+104</v>
      </c>
      <c r="WBE29" s="160">
        <f t="shared" ref="WBE29" si="7799">WBC29*$C$29</f>
        <v>1.560668031457076E+104</v>
      </c>
      <c r="WBG29" s="160">
        <f t="shared" ref="WBG29" si="7800">WBE29*$C$29</f>
        <v>1.6074880724007883E+104</v>
      </c>
      <c r="WBI29" s="160">
        <f t="shared" ref="WBI29" si="7801">WBG29*$C$29</f>
        <v>1.6557127145728121E+104</v>
      </c>
      <c r="WBK29" s="160">
        <f t="shared" ref="WBK29" si="7802">WBI29*$C$29</f>
        <v>1.7053840960099963E+104</v>
      </c>
      <c r="WBM29" s="160">
        <f t="shared" ref="WBM29" si="7803">WBK29*$C$29</f>
        <v>1.7565456188902964E+104</v>
      </c>
      <c r="WBO29" s="160">
        <f t="shared" ref="WBO29" si="7804">WBM29*$C$29</f>
        <v>1.8092419874570053E+104</v>
      </c>
      <c r="WBQ29" s="160">
        <f t="shared" ref="WBQ29" si="7805">WBO29*$C$29</f>
        <v>1.8635192470807154E+104</v>
      </c>
      <c r="WBS29" s="160">
        <f t="shared" ref="WBS29" si="7806">WBQ29*$C$29</f>
        <v>1.9194248244931368E+104</v>
      </c>
      <c r="WBU29" s="160">
        <f t="shared" ref="WBU29" si="7807">WBS29*$C$29</f>
        <v>1.9770075692279309E+104</v>
      </c>
      <c r="WBW29" s="160">
        <f t="shared" ref="WBW29" si="7808">WBU29*$C$29</f>
        <v>2.0363177963047689E+104</v>
      </c>
      <c r="WBY29" s="160">
        <f t="shared" ref="WBY29" si="7809">WBW29*$C$29</f>
        <v>2.097407330193912E+104</v>
      </c>
      <c r="WCA29" s="160">
        <f t="shared" ref="WCA29" si="7810">WBY29*$C$29</f>
        <v>2.1603295500997294E+104</v>
      </c>
      <c r="WCC29" s="160">
        <f t="shared" ref="WCC29" si="7811">WCA29*$C$29</f>
        <v>2.2251394366027214E+104</v>
      </c>
      <c r="WCE29" s="160">
        <f t="shared" ref="WCE29" si="7812">WCC29*$C$29</f>
        <v>2.2918936197008032E+104</v>
      </c>
      <c r="WCG29" s="160">
        <f t="shared" ref="WCG29" si="7813">WCE29*$C$29</f>
        <v>2.3606504282918273E+104</v>
      </c>
      <c r="WCI29" s="160">
        <f t="shared" ref="WCI29" si="7814">WCG29*$C$29</f>
        <v>2.4314699411405822E+104</v>
      </c>
      <c r="WCK29" s="160">
        <f t="shared" ref="WCK29" si="7815">WCI29*$C$29</f>
        <v>2.5044140393747997E+104</v>
      </c>
      <c r="WCM29" s="160">
        <f t="shared" ref="WCM29" si="7816">WCK29*$C$29</f>
        <v>2.5795464605560439E+104</v>
      </c>
      <c r="WCO29" s="160">
        <f t="shared" ref="WCO29" si="7817">WCM29*$C$29</f>
        <v>2.6569328543727252E+104</v>
      </c>
      <c r="WCQ29" s="160">
        <f t="shared" ref="WCQ29" si="7818">WCO29*$C$29</f>
        <v>2.736640840003907E+104</v>
      </c>
      <c r="WCS29" s="160">
        <f t="shared" ref="WCS29" si="7819">WCQ29*$C$29</f>
        <v>2.8187400652040241E+104</v>
      </c>
      <c r="WCU29" s="160">
        <f t="shared" ref="WCU29" si="7820">WCS29*$C$29</f>
        <v>2.9033022671601447E+104</v>
      </c>
      <c r="WCW29" s="160">
        <f t="shared" ref="WCW29" si="7821">WCU29*$C$29</f>
        <v>2.9904013351749494E+104</v>
      </c>
      <c r="WCY29" s="160">
        <f t="shared" ref="WCY29" si="7822">WCW29*$C$29</f>
        <v>3.0801133752301982E+104</v>
      </c>
      <c r="WDA29" s="160">
        <f t="shared" ref="WDA29" si="7823">WCY29*$C$29</f>
        <v>3.1725167764871046E+104</v>
      </c>
      <c r="WDC29" s="160">
        <f t="shared" ref="WDC29" si="7824">WDA29*$C$29</f>
        <v>3.2676922797817181E+104</v>
      </c>
      <c r="WDE29" s="160">
        <f t="shared" ref="WDE29" si="7825">WDC29*$C$29</f>
        <v>3.3657230481751699E+104</v>
      </c>
      <c r="WDG29" s="160">
        <f t="shared" ref="WDG29" si="7826">WDE29*$C$29</f>
        <v>3.4666947396204248E+104</v>
      </c>
      <c r="WDI29" s="160">
        <f t="shared" ref="WDI29" si="7827">WDG29*$C$29</f>
        <v>3.5706955818090374E+104</v>
      </c>
      <c r="WDK29" s="160">
        <f t="shared" ref="WDK29" si="7828">WDI29*$C$29</f>
        <v>3.6778164492633088E+104</v>
      </c>
      <c r="WDM29" s="160">
        <f t="shared" ref="WDM29" si="7829">WDK29*$C$29</f>
        <v>3.7881509427412082E+104</v>
      </c>
      <c r="WDO29" s="160">
        <f t="shared" ref="WDO29" si="7830">WDM29*$C$29</f>
        <v>3.9017954710234445E+104</v>
      </c>
      <c r="WDQ29" s="160">
        <f t="shared" ref="WDQ29" si="7831">WDO29*$C$29</f>
        <v>4.0188493351541479E+104</v>
      </c>
      <c r="WDS29" s="160">
        <f t="shared" ref="WDS29" si="7832">WDQ29*$C$29</f>
        <v>4.1394148152087725E+104</v>
      </c>
      <c r="WDU29" s="160">
        <f t="shared" ref="WDU29" si="7833">WDS29*$C$29</f>
        <v>4.2635972596650359E+104</v>
      </c>
      <c r="WDW29" s="160">
        <f t="shared" ref="WDW29" si="7834">WDU29*$C$29</f>
        <v>4.3915051774549869E+104</v>
      </c>
      <c r="WDY29" s="160">
        <f t="shared" ref="WDY29" si="7835">WDW29*$C$29</f>
        <v>4.5232503327786366E+104</v>
      </c>
      <c r="WEA29" s="160">
        <f t="shared" ref="WEA29" si="7836">WDY29*$C$29</f>
        <v>4.6589478427619957E+104</v>
      </c>
      <c r="WEC29" s="160">
        <f t="shared" ref="WEC29" si="7837">WEA29*$C$29</f>
        <v>4.7987162780448555E+104</v>
      </c>
      <c r="WEE29" s="160">
        <f t="shared" ref="WEE29" si="7838">WEC29*$C$29</f>
        <v>4.942677766386201E+104</v>
      </c>
      <c r="WEG29" s="160">
        <f t="shared" ref="WEG29" si="7839">WEE29*$C$29</f>
        <v>5.090958099377787E+104</v>
      </c>
      <c r="WEI29" s="160">
        <f t="shared" ref="WEI29" si="7840">WEG29*$C$29</f>
        <v>5.2436868423591204E+104</v>
      </c>
      <c r="WEK29" s="160">
        <f t="shared" ref="WEK29" si="7841">WEI29*$C$29</f>
        <v>5.400997447629894E+104</v>
      </c>
      <c r="WEM29" s="160">
        <f t="shared" ref="WEM29" si="7842">WEK29*$C$29</f>
        <v>5.5630273710587912E+104</v>
      </c>
      <c r="WEO29" s="160">
        <f t="shared" ref="WEO29" si="7843">WEM29*$C$29</f>
        <v>5.7299181921905548E+104</v>
      </c>
      <c r="WEQ29" s="160">
        <f t="shared" ref="WEQ29" si="7844">WEO29*$C$29</f>
        <v>5.9018157379562716E+104</v>
      </c>
      <c r="WES29" s="160">
        <f t="shared" ref="WES29" si="7845">WEQ29*$C$29</f>
        <v>6.0788702100949603E+104</v>
      </c>
      <c r="WEU29" s="160">
        <f t="shared" ref="WEU29" si="7846">WES29*$C$29</f>
        <v>6.2612363163978092E+104</v>
      </c>
      <c r="WEW29" s="160">
        <f t="shared" ref="WEW29" si="7847">WEU29*$C$29</f>
        <v>6.4490734058897437E+104</v>
      </c>
      <c r="WEY29" s="160">
        <f t="shared" ref="WEY29" si="7848">WEW29*$C$29</f>
        <v>6.6425456080664364E+104</v>
      </c>
      <c r="WFA29" s="160">
        <f t="shared" ref="WFA29" si="7849">WEY29*$C$29</f>
        <v>6.8418219763084294E+104</v>
      </c>
      <c r="WFC29" s="160">
        <f t="shared" ref="WFC29" si="7850">WFA29*$C$29</f>
        <v>7.047076635597682E+104</v>
      </c>
      <c r="WFE29" s="160">
        <f t="shared" ref="WFE29" si="7851">WFC29*$C$29</f>
        <v>7.2584889346656132E+104</v>
      </c>
      <c r="WFG29" s="160">
        <f t="shared" ref="WFG29" si="7852">WFE29*$C$29</f>
        <v>7.4762436027055822E+104</v>
      </c>
      <c r="WFI29" s="160">
        <f t="shared" ref="WFI29" si="7853">WFG29*$C$29</f>
        <v>7.7005309107867505E+104</v>
      </c>
      <c r="WFK29" s="160">
        <f t="shared" ref="WFK29" si="7854">WFI29*$C$29</f>
        <v>7.9315468381103535E+104</v>
      </c>
      <c r="WFM29" s="160">
        <f t="shared" ref="WFM29" si="7855">WFK29*$C$29</f>
        <v>8.1694932432536643E+104</v>
      </c>
      <c r="WFO29" s="160">
        <f t="shared" ref="WFO29" si="7856">WFM29*$C$29</f>
        <v>8.414578040551275E+104</v>
      </c>
      <c r="WFQ29" s="160">
        <f t="shared" ref="WFQ29" si="7857">WFO29*$C$29</f>
        <v>8.667015381767814E+104</v>
      </c>
      <c r="WFS29" s="160">
        <f t="shared" ref="WFS29" si="7858">WFQ29*$C$29</f>
        <v>8.9270258432208483E+104</v>
      </c>
      <c r="WFU29" s="160">
        <f t="shared" ref="WFU29" si="7859">WFS29*$C$29</f>
        <v>9.1948366185174737E+104</v>
      </c>
      <c r="WFW29" s="160">
        <f t="shared" ref="WFW29" si="7860">WFU29*$C$29</f>
        <v>9.4706817170729979E+104</v>
      </c>
      <c r="WFY29" s="160">
        <f t="shared" ref="WFY29" si="7861">WFW29*$C$29</f>
        <v>9.7548021685851878E+104</v>
      </c>
      <c r="WGA29" s="160">
        <f t="shared" ref="WGA29" si="7862">WFY29*$C$29</f>
        <v>1.0047446233642744E+105</v>
      </c>
      <c r="WGC29" s="160">
        <f t="shared" ref="WGC29" si="7863">WGA29*$C$29</f>
        <v>1.0348869620652026E+105</v>
      </c>
      <c r="WGE29" s="160">
        <f t="shared" ref="WGE29" si="7864">WGC29*$C$29</f>
        <v>1.0659335709271587E+105</v>
      </c>
      <c r="WGG29" s="160">
        <f t="shared" ref="WGG29" si="7865">WGE29*$C$29</f>
        <v>1.0979115780549736E+105</v>
      </c>
      <c r="WGI29" s="160">
        <f t="shared" ref="WGI29" si="7866">WGG29*$C$29</f>
        <v>1.1308489253966228E+105</v>
      </c>
      <c r="WGK29" s="160">
        <f t="shared" ref="WGK29" si="7867">WGI29*$C$29</f>
        <v>1.1647743931585217E+105</v>
      </c>
      <c r="WGM29" s="160">
        <f t="shared" ref="WGM29" si="7868">WGK29*$C$29</f>
        <v>1.1997176249532773E+105</v>
      </c>
      <c r="WGO29" s="160">
        <f t="shared" ref="WGO29" si="7869">WGM29*$C$29</f>
        <v>1.2357091537018758E+105</v>
      </c>
      <c r="WGQ29" s="160">
        <f t="shared" ref="WGQ29" si="7870">WGO29*$C$29</f>
        <v>1.2727804283129321E+105</v>
      </c>
      <c r="WGS29" s="160">
        <f t="shared" ref="WGS29" si="7871">WGQ29*$C$29</f>
        <v>1.3109638411623201E+105</v>
      </c>
      <c r="WGU29" s="160">
        <f t="shared" ref="WGU29" si="7872">WGS29*$C$29</f>
        <v>1.3502927563971897E+105</v>
      </c>
      <c r="WGW29" s="160">
        <f t="shared" ref="WGW29" si="7873">WGU29*$C$29</f>
        <v>1.3908015390891053E+105</v>
      </c>
      <c r="WGY29" s="160">
        <f t="shared" ref="WGY29" si="7874">WGW29*$C$29</f>
        <v>1.4325255852617784E+105</v>
      </c>
      <c r="WHA29" s="160">
        <f t="shared" ref="WHA29" si="7875">WGY29*$C$29</f>
        <v>1.4755013528196319E+105</v>
      </c>
      <c r="WHC29" s="160">
        <f t="shared" ref="WHC29" si="7876">WHA29*$C$29</f>
        <v>1.519766393404221E+105</v>
      </c>
      <c r="WHE29" s="160">
        <f t="shared" ref="WHE29" si="7877">WHC29*$C$29</f>
        <v>1.5653593852063476E+105</v>
      </c>
      <c r="WHG29" s="160">
        <f t="shared" ref="WHG29" si="7878">WHE29*$C$29</f>
        <v>1.612320166762538E+105</v>
      </c>
      <c r="WHI29" s="160">
        <f t="shared" ref="WHI29" si="7879">WHG29*$C$29</f>
        <v>1.6606897717654141E+105</v>
      </c>
      <c r="WHK29" s="160">
        <f t="shared" ref="WHK29" si="7880">WHI29*$C$29</f>
        <v>1.7105104649183766E+105</v>
      </c>
      <c r="WHM29" s="160">
        <f t="shared" ref="WHM29" si="7881">WHK29*$C$29</f>
        <v>1.7618257788659278E+105</v>
      </c>
      <c r="WHO29" s="160">
        <f t="shared" ref="WHO29" si="7882">WHM29*$C$29</f>
        <v>1.8146805522319056E+105</v>
      </c>
      <c r="WHQ29" s="160">
        <f t="shared" ref="WHQ29" si="7883">WHO29*$C$29</f>
        <v>1.8691209687988629E+105</v>
      </c>
      <c r="WHS29" s="160">
        <f t="shared" ref="WHS29" si="7884">WHQ29*$C$29</f>
        <v>1.9251945978628288E+105</v>
      </c>
      <c r="WHU29" s="160">
        <f t="shared" ref="WHU29" si="7885">WHS29*$C$29</f>
        <v>1.9829504357987138E+105</v>
      </c>
      <c r="WHW29" s="160">
        <f t="shared" ref="WHW29" si="7886">WHU29*$C$29</f>
        <v>2.0424389488726753E+105</v>
      </c>
      <c r="WHY29" s="160">
        <f t="shared" ref="WHY29" si="7887">WHW29*$C$29</f>
        <v>2.1037121173388556E+105</v>
      </c>
      <c r="WIA29" s="160">
        <f t="shared" ref="WIA29" si="7888">WHY29*$C$29</f>
        <v>2.1668234808590213E+105</v>
      </c>
      <c r="WIC29" s="160">
        <f t="shared" ref="WIC29" si="7889">WIA29*$C$29</f>
        <v>2.231828185284792E+105</v>
      </c>
      <c r="WIE29" s="160">
        <f t="shared" ref="WIE29" si="7890">WIC29*$C$29</f>
        <v>2.2987830308433359E+105</v>
      </c>
      <c r="WIG29" s="160">
        <f t="shared" ref="WIG29" si="7891">WIE29*$C$29</f>
        <v>2.3677465217686361E+105</v>
      </c>
      <c r="WII29" s="160">
        <f t="shared" ref="WII29" si="7892">WIG29*$C$29</f>
        <v>2.4387789174216951E+105</v>
      </c>
      <c r="WIK29" s="160">
        <f t="shared" ref="WIK29" si="7893">WII29*$C$29</f>
        <v>2.5119422849443463E+105</v>
      </c>
      <c r="WIM29" s="160">
        <f t="shared" ref="WIM29" si="7894">WIK29*$C$29</f>
        <v>2.5873005534926767E+105</v>
      </c>
      <c r="WIO29" s="160">
        <f t="shared" ref="WIO29" si="7895">WIM29*$C$29</f>
        <v>2.6649195700974569E+105</v>
      </c>
      <c r="WIQ29" s="160">
        <f t="shared" ref="WIQ29" si="7896">WIO29*$C$29</f>
        <v>2.7448671572003809E+105</v>
      </c>
      <c r="WIS29" s="160">
        <f t="shared" ref="WIS29" si="7897">WIQ29*$C$29</f>
        <v>2.8272131719163924E+105</v>
      </c>
      <c r="WIU29" s="160">
        <f t="shared" ref="WIU29" si="7898">WIS29*$C$29</f>
        <v>2.9120295670738842E+105</v>
      </c>
      <c r="WIW29" s="160">
        <f t="shared" ref="WIW29" si="7899">WIU29*$C$29</f>
        <v>2.9993904540861007E+105</v>
      </c>
      <c r="WIY29" s="160">
        <f t="shared" ref="WIY29" si="7900">WIW29*$C$29</f>
        <v>3.0893721677086839E+105</v>
      </c>
      <c r="WJA29" s="160">
        <f t="shared" ref="WJA29" si="7901">WIY29*$C$29</f>
        <v>3.1820533327399447E+105</v>
      </c>
      <c r="WJC29" s="160">
        <f t="shared" ref="WJC29" si="7902">WJA29*$C$29</f>
        <v>3.277514932722143E+105</v>
      </c>
      <c r="WJE29" s="160">
        <f t="shared" ref="WJE29" si="7903">WJC29*$C$29</f>
        <v>3.3758403807038073E+105</v>
      </c>
      <c r="WJG29" s="160">
        <f t="shared" ref="WJG29" si="7904">WJE29*$C$29</f>
        <v>3.4771155921249216E+105</v>
      </c>
      <c r="WJI29" s="160">
        <f t="shared" ref="WJI29" si="7905">WJG29*$C$29</f>
        <v>3.5814290598886695E+105</v>
      </c>
      <c r="WJK29" s="160">
        <f t="shared" ref="WJK29" si="7906">WJI29*$C$29</f>
        <v>3.6888719316853295E+105</v>
      </c>
      <c r="WJM29" s="160">
        <f t="shared" ref="WJM29" si="7907">WJK29*$C$29</f>
        <v>3.7995380896358894E+105</v>
      </c>
      <c r="WJO29" s="160">
        <f t="shared" ref="WJO29" si="7908">WJM29*$C$29</f>
        <v>3.913524232324966E+105</v>
      </c>
      <c r="WJQ29" s="160">
        <f t="shared" ref="WJQ29" si="7909">WJO29*$C$29</f>
        <v>4.0309299592947152E+105</v>
      </c>
      <c r="WJS29" s="160">
        <f t="shared" ref="WJS29" si="7910">WJQ29*$C$29</f>
        <v>4.1518578580735566E+105</v>
      </c>
      <c r="WJU29" s="160">
        <f t="shared" ref="WJU29" si="7911">WJS29*$C$29</f>
        <v>4.2764135938157633E+105</v>
      </c>
      <c r="WJW29" s="160">
        <f t="shared" ref="WJW29" si="7912">WJU29*$C$29</f>
        <v>4.4047060016302362E+105</v>
      </c>
      <c r="WJY29" s="160">
        <f t="shared" ref="WJY29" si="7913">WJW29*$C$29</f>
        <v>4.5368471816791433E+105</v>
      </c>
      <c r="WKA29" s="160">
        <f t="shared" ref="WKA29" si="7914">WJY29*$C$29</f>
        <v>4.6729525971295177E+105</v>
      </c>
      <c r="WKC29" s="160">
        <f t="shared" ref="WKC29" si="7915">WKA29*$C$29</f>
        <v>4.8131411750434029E+105</v>
      </c>
      <c r="WKE29" s="160">
        <f t="shared" ref="WKE29" si="7916">WKC29*$C$29</f>
        <v>4.957535410294705E+105</v>
      </c>
      <c r="WKG29" s="160">
        <f t="shared" ref="WKG29" si="7917">WKE29*$C$29</f>
        <v>5.1062614726035462E+105</v>
      </c>
      <c r="WKI29" s="160">
        <f t="shared" ref="WKI29" si="7918">WKG29*$C$29</f>
        <v>5.2594493167816529E+105</v>
      </c>
      <c r="WKK29" s="160">
        <f t="shared" ref="WKK29" si="7919">WKI29*$C$29</f>
        <v>5.4172327962851031E+105</v>
      </c>
      <c r="WKM29" s="160">
        <f t="shared" ref="WKM29" si="7920">WKK29*$C$29</f>
        <v>5.5797497801736568E+105</v>
      </c>
      <c r="WKO29" s="160">
        <f t="shared" ref="WKO29" si="7921">WKM29*$C$29</f>
        <v>5.747142273578867E+105</v>
      </c>
      <c r="WKQ29" s="160">
        <f t="shared" ref="WKQ29" si="7922">WKO29*$C$29</f>
        <v>5.919556541786233E+105</v>
      </c>
      <c r="WKS29" s="160">
        <f t="shared" ref="WKS29" si="7923">WKQ29*$C$29</f>
        <v>6.0971432380398198E+105</v>
      </c>
      <c r="WKU29" s="160">
        <f t="shared" ref="WKU29" si="7924">WKS29*$C$29</f>
        <v>6.2800575351810143E+105</v>
      </c>
      <c r="WKW29" s="160">
        <f t="shared" ref="WKW29" si="7925">WKU29*$C$29</f>
        <v>6.4684592612364446E+105</v>
      </c>
      <c r="WKY29" s="160">
        <f t="shared" ref="WKY29" si="7926">WKW29*$C$29</f>
        <v>6.6625130390735386E+105</v>
      </c>
      <c r="WLA29" s="160">
        <f t="shared" ref="WLA29" si="7927">WKY29*$C$29</f>
        <v>6.8623884302457449E+105</v>
      </c>
      <c r="WLC29" s="160">
        <f t="shared" ref="WLC29" si="7928">WLA29*$C$29</f>
        <v>7.0682600831531176E+105</v>
      </c>
      <c r="WLE29" s="160">
        <f t="shared" ref="WLE29" si="7929">WLC29*$C$29</f>
        <v>7.2803078856477117E+105</v>
      </c>
      <c r="WLG29" s="160">
        <f t="shared" ref="WLG29" si="7930">WLE29*$C$29</f>
        <v>7.498717122217143E+105</v>
      </c>
      <c r="WLI29" s="160">
        <f t="shared" ref="WLI29" si="7931">WLG29*$C$29</f>
        <v>7.7236786358836571E+105</v>
      </c>
      <c r="WLK29" s="160">
        <f t="shared" ref="WLK29" si="7932">WLI29*$C$29</f>
        <v>7.9553889949601671E+105</v>
      </c>
      <c r="WLM29" s="160">
        <f t="shared" ref="WLM29" si="7933">WLK29*$C$29</f>
        <v>8.1940506648089727E+105</v>
      </c>
      <c r="WLO29" s="160">
        <f t="shared" ref="WLO29" si="7934">WLM29*$C$29</f>
        <v>8.4398721847532426E+105</v>
      </c>
      <c r="WLQ29" s="160">
        <f t="shared" ref="WLQ29" si="7935">WLO29*$C$29</f>
        <v>8.6930683502958397E+105</v>
      </c>
      <c r="WLS29" s="160">
        <f t="shared" ref="WLS29" si="7936">WLQ29*$C$29</f>
        <v>8.9538604008047152E+105</v>
      </c>
      <c r="WLU29" s="160">
        <f t="shared" ref="WLU29" si="7937">WLS29*$C$29</f>
        <v>9.2224762128288576E+105</v>
      </c>
      <c r="WLW29" s="160">
        <f t="shared" ref="WLW29" si="7938">WLU29*$C$29</f>
        <v>9.4991504992137241E+105</v>
      </c>
      <c r="WLY29" s="160">
        <f t="shared" ref="WLY29" si="7939">WLW29*$C$29</f>
        <v>9.7841250141901354E+105</v>
      </c>
      <c r="WMA29" s="160">
        <f t="shared" ref="WMA29" si="7940">WLY29*$C$29</f>
        <v>1.0077648764615841E+106</v>
      </c>
      <c r="WMC29" s="160">
        <f t="shared" ref="WMC29" si="7941">WMA29*$C$29</f>
        <v>1.0379978227554316E+106</v>
      </c>
      <c r="WME29" s="160">
        <f t="shared" ref="WME29" si="7942">WMC29*$C$29</f>
        <v>1.0691377574380946E+106</v>
      </c>
      <c r="WMG29" s="160">
        <f t="shared" ref="WMG29" si="7943">WME29*$C$29</f>
        <v>1.1012118901612375E+106</v>
      </c>
      <c r="WMI29" s="160">
        <f t="shared" ref="WMI29" si="7944">WMG29*$C$29</f>
        <v>1.1342482468660747E+106</v>
      </c>
      <c r="WMK29" s="160">
        <f t="shared" ref="WMK29" si="7945">WMI29*$C$29</f>
        <v>1.1682756942720571E+106</v>
      </c>
      <c r="WMM29" s="160">
        <f t="shared" ref="WMM29" si="7946">WMK29*$C$29</f>
        <v>1.2033239651002189E+106</v>
      </c>
      <c r="WMO29" s="160">
        <f t="shared" ref="WMO29" si="7947">WMM29*$C$29</f>
        <v>1.2394236840532254E+106</v>
      </c>
      <c r="WMQ29" s="160">
        <f t="shared" ref="WMQ29" si="7948">WMO29*$C$29</f>
        <v>1.2766063945748223E+106</v>
      </c>
      <c r="WMS29" s="160">
        <f t="shared" ref="WMS29" si="7949">WMQ29*$C$29</f>
        <v>1.314904586412067E+106</v>
      </c>
      <c r="WMU29" s="160">
        <f t="shared" ref="WMU29" si="7950">WMS29*$C$29</f>
        <v>1.3543517240044291E+106</v>
      </c>
      <c r="WMW29" s="160">
        <f t="shared" ref="WMW29" si="7951">WMU29*$C$29</f>
        <v>1.3949822757245621E+106</v>
      </c>
      <c r="WMY29" s="160">
        <f t="shared" ref="WMY29" si="7952">WMW29*$C$29</f>
        <v>1.4368317439962989E+106</v>
      </c>
      <c r="WNA29" s="160">
        <f t="shared" ref="WNA29" si="7953">WMY29*$C$29</f>
        <v>1.4799366963161879E+106</v>
      </c>
      <c r="WNC29" s="160">
        <f t="shared" ref="WNC29" si="7954">WNA29*$C$29</f>
        <v>1.5243347972056735E+106</v>
      </c>
      <c r="WNE29" s="160">
        <f t="shared" ref="WNE29" si="7955">WNC29*$C$29</f>
        <v>1.5700648411218437E+106</v>
      </c>
      <c r="WNG29" s="160">
        <f t="shared" ref="WNG29" si="7956">WNE29*$C$29</f>
        <v>1.617166786355499E+106</v>
      </c>
      <c r="WNI29" s="160">
        <f t="shared" ref="WNI29" si="7957">WNG29*$C$29</f>
        <v>1.665681789946164E+106</v>
      </c>
      <c r="WNK29" s="160">
        <f t="shared" ref="WNK29" si="7958">WNI29*$C$29</f>
        <v>1.7156522436445489E+106</v>
      </c>
      <c r="WNM29" s="160">
        <f t="shared" ref="WNM29" si="7959">WNK29*$C$29</f>
        <v>1.7671218109538853E+106</v>
      </c>
      <c r="WNO29" s="160">
        <f t="shared" ref="WNO29" si="7960">WNM29*$C$29</f>
        <v>1.8201354652825019E+106</v>
      </c>
      <c r="WNQ29" s="160">
        <f t="shared" ref="WNQ29" si="7961">WNO29*$C$29</f>
        <v>1.8747395292409769E+106</v>
      </c>
      <c r="WNS29" s="160">
        <f t="shared" ref="WNS29" si="7962">WNQ29*$C$29</f>
        <v>1.9309817151182061E+106</v>
      </c>
      <c r="WNU29" s="160">
        <f t="shared" ref="WNU29" si="7963">WNS29*$C$29</f>
        <v>1.9889111665717524E+106</v>
      </c>
      <c r="WNW29" s="160">
        <f t="shared" ref="WNW29" si="7964">WNU29*$C$29</f>
        <v>2.048578501568905E+106</v>
      </c>
      <c r="WNY29" s="160">
        <f t="shared" ref="WNY29" si="7965">WNW29*$C$29</f>
        <v>2.1100358566159722E+106</v>
      </c>
      <c r="WOA29" s="160">
        <f t="shared" ref="WOA29" si="7966">WNY29*$C$29</f>
        <v>2.1733369323144516E+106</v>
      </c>
      <c r="WOC29" s="160">
        <f t="shared" ref="WOC29" si="7967">WOA29*$C$29</f>
        <v>2.2385370402838851E+106</v>
      </c>
      <c r="WOE29" s="160">
        <f t="shared" ref="WOE29" si="7968">WOC29*$C$29</f>
        <v>2.3056931514924016E+106</v>
      </c>
      <c r="WOG29" s="160">
        <f t="shared" ref="WOG29" si="7969">WOE29*$C$29</f>
        <v>2.3748639460371737E+106</v>
      </c>
      <c r="WOI29" s="160">
        <f t="shared" ref="WOI29" si="7970">WOG29*$C$29</f>
        <v>2.4461098644182889E+106</v>
      </c>
      <c r="WOK29" s="160">
        <f t="shared" ref="WOK29" si="7971">WOI29*$C$29</f>
        <v>2.5194931603508376E+106</v>
      </c>
      <c r="WOM29" s="160">
        <f t="shared" ref="WOM29" si="7972">WOK29*$C$29</f>
        <v>2.5950779551613626E+106</v>
      </c>
      <c r="WOO29" s="160">
        <f t="shared" ref="WOO29" si="7973">WOM29*$C$29</f>
        <v>2.6729302938162037E+106</v>
      </c>
      <c r="WOQ29" s="160">
        <f t="shared" ref="WOQ29" si="7974">WOO29*$C$29</f>
        <v>2.7531182026306899E+106</v>
      </c>
      <c r="WOS29" s="160">
        <f t="shared" ref="WOS29" si="7975">WOQ29*$C$29</f>
        <v>2.8357117487096105E+106</v>
      </c>
      <c r="WOU29" s="160">
        <f t="shared" ref="WOU29" si="7976">WOS29*$C$29</f>
        <v>2.9207831011708988E+106</v>
      </c>
      <c r="WOW29" s="160">
        <f t="shared" ref="WOW29" si="7977">WOU29*$C$29</f>
        <v>3.0084065942060261E+106</v>
      </c>
      <c r="WOY29" s="160">
        <f t="shared" ref="WOY29" si="7978">WOW29*$C$29</f>
        <v>3.0986587920322069E+106</v>
      </c>
      <c r="WPA29" s="160">
        <f t="shared" ref="WPA29" si="7979">WOY29*$C$29</f>
        <v>3.1916185557931732E+106</v>
      </c>
      <c r="WPC29" s="160">
        <f t="shared" ref="WPC29" si="7980">WPA29*$C$29</f>
        <v>3.2873671124669686E+106</v>
      </c>
      <c r="WPE29" s="160">
        <f t="shared" ref="WPE29" si="7981">WPC29*$C$29</f>
        <v>3.3859881258409777E+106</v>
      </c>
      <c r="WPG29" s="160">
        <f t="shared" ref="WPG29" si="7982">WPE29*$C$29</f>
        <v>3.4875677696162072E+106</v>
      </c>
      <c r="WPI29" s="160">
        <f t="shared" ref="WPI29" si="7983">WPG29*$C$29</f>
        <v>3.5921948027046937E+106</v>
      </c>
      <c r="WPK29" s="160">
        <f t="shared" ref="WPK29" si="7984">WPI29*$C$29</f>
        <v>3.6999606467858349E+106</v>
      </c>
      <c r="WPM29" s="160">
        <f t="shared" ref="WPM29" si="7985">WPK29*$C$29</f>
        <v>3.8109594661894098E+106</v>
      </c>
      <c r="WPO29" s="160">
        <f t="shared" ref="WPO29" si="7986">WPM29*$C$29</f>
        <v>3.925288250175092E+106</v>
      </c>
      <c r="WPQ29" s="160">
        <f t="shared" ref="WPQ29" si="7987">WPO29*$C$29</f>
        <v>4.0430468976803451E+106</v>
      </c>
      <c r="WPS29" s="160">
        <f t="shared" ref="WPS29" si="7988">WPQ29*$C$29</f>
        <v>4.1643383046107552E+106</v>
      </c>
      <c r="WPU29" s="160">
        <f t="shared" ref="WPU29" si="7989">WPS29*$C$29</f>
        <v>4.2892684537490783E+106</v>
      </c>
      <c r="WPW29" s="160">
        <f t="shared" ref="WPW29" si="7990">WPU29*$C$29</f>
        <v>4.4179465073615509E+106</v>
      </c>
      <c r="WPY29" s="160">
        <f t="shared" ref="WPY29" si="7991">WPW29*$C$29</f>
        <v>4.5504849025823972E+106</v>
      </c>
      <c r="WQA29" s="160">
        <f t="shared" ref="WQA29" si="7992">WPY29*$C$29</f>
        <v>4.6869994496598691E+106</v>
      </c>
      <c r="WQC29" s="160">
        <f t="shared" ref="WQC29" si="7993">WQA29*$C$29</f>
        <v>4.8276094331496653E+106</v>
      </c>
      <c r="WQE29" s="160">
        <f t="shared" ref="WQE29" si="7994">WQC29*$C$29</f>
        <v>4.9724377161441552E+106</v>
      </c>
      <c r="WQG29" s="160">
        <f t="shared" ref="WQG29" si="7995">WQE29*$C$29</f>
        <v>5.1216108476284797E+106</v>
      </c>
      <c r="WQI29" s="160">
        <f t="shared" ref="WQI29" si="7996">WQG29*$C$29</f>
        <v>5.2752591730573342E+106</v>
      </c>
      <c r="WQK29" s="160">
        <f t="shared" ref="WQK29" si="7997">WQI29*$C$29</f>
        <v>5.4335169482490547E+106</v>
      </c>
      <c r="WQM29" s="160">
        <f t="shared" ref="WQM29" si="7998">WQK29*$C$29</f>
        <v>5.5965224566965263E+106</v>
      </c>
      <c r="WQO29" s="160">
        <f t="shared" ref="WQO29" si="7999">WQM29*$C$29</f>
        <v>5.7644181303974223E+106</v>
      </c>
      <c r="WQQ29" s="160">
        <f t="shared" ref="WQQ29" si="8000">WQO29*$C$29</f>
        <v>5.937350674309345E+106</v>
      </c>
      <c r="WQS29" s="160">
        <f t="shared" ref="WQS29" si="8001">WQQ29*$C$29</f>
        <v>6.1154711945386254E+106</v>
      </c>
      <c r="WQU29" s="160">
        <f t="shared" ref="WQU29" si="8002">WQS29*$C$29</f>
        <v>6.2989353303747847E+106</v>
      </c>
      <c r="WQW29" s="160">
        <f t="shared" ref="WQW29" si="8003">WQU29*$C$29</f>
        <v>6.4879033902860285E+106</v>
      </c>
      <c r="WQY29" s="160">
        <f t="shared" ref="WQY29" si="8004">WQW29*$C$29</f>
        <v>6.6825404919946095E+106</v>
      </c>
      <c r="WRA29" s="160">
        <f t="shared" ref="WRA29" si="8005">WQY29*$C$29</f>
        <v>6.8830167067544482E+106</v>
      </c>
      <c r="WRC29" s="160">
        <f t="shared" ref="WRC29" si="8006">WRA29*$C$29</f>
        <v>7.0895072079570816E+106</v>
      </c>
      <c r="WRE29" s="160">
        <f t="shared" ref="WRE29" si="8007">WRC29*$C$29</f>
        <v>7.3021924241957947E+106</v>
      </c>
      <c r="WRG29" s="160">
        <f t="shared" ref="WRG29" si="8008">WRE29*$C$29</f>
        <v>7.5212581969216693E+106</v>
      </c>
      <c r="WRI29" s="160">
        <f t="shared" ref="WRI29" si="8009">WRG29*$C$29</f>
        <v>7.746895942829319E+106</v>
      </c>
      <c r="WRK29" s="160">
        <f t="shared" ref="WRK29" si="8010">WRI29*$C$29</f>
        <v>7.9793028211141981E+106</v>
      </c>
      <c r="WRM29" s="160">
        <f t="shared" ref="WRM29" si="8011">WRK29*$C$29</f>
        <v>8.2186819057476243E+106</v>
      </c>
      <c r="WRO29" s="160">
        <f t="shared" ref="WRO29" si="8012">WRM29*$C$29</f>
        <v>8.4652423629200534E+106</v>
      </c>
      <c r="WRQ29" s="160">
        <f t="shared" ref="WRQ29" si="8013">WRO29*$C$29</f>
        <v>8.7191996338076547E+106</v>
      </c>
      <c r="WRS29" s="160">
        <f t="shared" ref="WRS29" si="8014">WRQ29*$C$29</f>
        <v>8.9807756228218842E+106</v>
      </c>
      <c r="WRU29" s="160">
        <f t="shared" ref="WRU29" si="8015">WRS29*$C$29</f>
        <v>9.2501988915065405E+106</v>
      </c>
      <c r="WRW29" s="160">
        <f t="shared" ref="WRW29" si="8016">WRU29*$C$29</f>
        <v>9.5277048582517378E+106</v>
      </c>
      <c r="WRY29" s="160">
        <f t="shared" ref="WRY29" si="8017">WRW29*$C$29</f>
        <v>9.8135360039992903E+106</v>
      </c>
      <c r="WSA29" s="160">
        <f t="shared" ref="WSA29" si="8018">WRY29*$C$29</f>
        <v>1.0107942084119268E+107</v>
      </c>
      <c r="WSC29" s="160">
        <f t="shared" ref="WSC29" si="8019">WSA29*$C$29</f>
        <v>1.0411180346642847E+107</v>
      </c>
      <c r="WSE29" s="160">
        <f t="shared" ref="WSE29" si="8020">WSC29*$C$29</f>
        <v>1.0723515757042133E+107</v>
      </c>
      <c r="WSG29" s="160">
        <f t="shared" ref="WSG29" si="8021">WSE29*$C$29</f>
        <v>1.1045221229753397E+107</v>
      </c>
      <c r="WSI29" s="160">
        <f t="shared" ref="WSI29" si="8022">WSG29*$C$29</f>
        <v>1.1376577866645999E+107</v>
      </c>
      <c r="WSK29" s="160">
        <f t="shared" ref="WSK29" si="8023">WSI29*$C$29</f>
        <v>1.1717875202645379E+107</v>
      </c>
      <c r="WSM29" s="160">
        <f t="shared" ref="WSM29" si="8024">WSK29*$C$29</f>
        <v>1.2069411458724741E+107</v>
      </c>
      <c r="WSO29" s="160">
        <f t="shared" ref="WSO29" si="8025">WSM29*$C$29</f>
        <v>1.2431493802486484E+107</v>
      </c>
      <c r="WSQ29" s="160">
        <f t="shared" ref="WSQ29" si="8026">WSO29*$C$29</f>
        <v>1.2804438616561079E+107</v>
      </c>
      <c r="WSS29" s="160">
        <f t="shared" ref="WSS29" si="8027">WSQ29*$C$29</f>
        <v>1.3188571775057912E+107</v>
      </c>
      <c r="WSU29" s="160">
        <f t="shared" ref="WSU29" si="8028">WSS29*$C$29</f>
        <v>1.358422892830965E+107</v>
      </c>
      <c r="WSW29" s="160">
        <f t="shared" ref="WSW29" si="8029">WSU29*$C$29</f>
        <v>1.399175579615894E+107</v>
      </c>
      <c r="WSY29" s="160">
        <f t="shared" ref="WSY29" si="8030">WSW29*$C$29</f>
        <v>1.4411508470043709E+107</v>
      </c>
      <c r="WTA29" s="160">
        <f t="shared" ref="WTA29" si="8031">WSY29*$C$29</f>
        <v>1.4843853724145022E+107</v>
      </c>
      <c r="WTC29" s="160">
        <f t="shared" ref="WTC29" si="8032">WTA29*$C$29</f>
        <v>1.5289169335869373E+107</v>
      </c>
      <c r="WTE29" s="160">
        <f t="shared" ref="WTE29" si="8033">WTC29*$C$29</f>
        <v>1.5747844415945454E+107</v>
      </c>
      <c r="WTG29" s="160">
        <f t="shared" ref="WTG29" si="8034">WTE29*$C$29</f>
        <v>1.6220279748423818E+107</v>
      </c>
      <c r="WTI29" s="160">
        <f t="shared" ref="WTI29" si="8035">WTG29*$C$29</f>
        <v>1.6706888140876533E+107</v>
      </c>
      <c r="WTK29" s="160">
        <f t="shared" ref="WTK29" si="8036">WTI29*$C$29</f>
        <v>1.7208094785102831E+107</v>
      </c>
      <c r="WTM29" s="160">
        <f t="shared" ref="WTM29" si="8037">WTK29*$C$29</f>
        <v>1.7724337628655916E+107</v>
      </c>
      <c r="WTO29" s="160">
        <f t="shared" ref="WTO29" si="8038">WTM29*$C$29</f>
        <v>1.8256067757515593E+107</v>
      </c>
      <c r="WTQ29" s="160">
        <f t="shared" ref="WTQ29" si="8039">WTO29*$C$29</f>
        <v>1.8803749790241061E+107</v>
      </c>
      <c r="WTS29" s="160">
        <f t="shared" ref="WTS29" si="8040">WTQ29*$C$29</f>
        <v>1.9367862283948293E+107</v>
      </c>
      <c r="WTU29" s="160">
        <f t="shared" ref="WTU29" si="8041">WTS29*$C$29</f>
        <v>1.9948898152466741E+107</v>
      </c>
      <c r="WTW29" s="160">
        <f t="shared" ref="WTW29" si="8042">WTU29*$C$29</f>
        <v>2.0547365097040742E+107</v>
      </c>
      <c r="WTY29" s="160">
        <f t="shared" ref="WTY29" si="8043">WTW29*$C$29</f>
        <v>2.1163786049951967E+107</v>
      </c>
      <c r="WUA29" s="160">
        <f t="shared" ref="WUA29" si="8044">WTY29*$C$29</f>
        <v>2.1798699631450527E+107</v>
      </c>
      <c r="WUC29" s="160">
        <f t="shared" ref="WUC29" si="8045">WUA29*$C$29</f>
        <v>2.2452660620394044E+107</v>
      </c>
      <c r="WUE29" s="160">
        <f t="shared" ref="WUE29" si="8046">WUC29*$C$29</f>
        <v>2.3126240439005867E+107</v>
      </c>
      <c r="WUG29" s="160">
        <f t="shared" ref="WUG29" si="8047">WUE29*$C$29</f>
        <v>2.3820027652176043E+107</v>
      </c>
      <c r="WUI29" s="160">
        <f t="shared" ref="WUI29" si="8048">WUG29*$C$29</f>
        <v>2.4534628481741326E+107</v>
      </c>
      <c r="WUK29" s="160">
        <f t="shared" ref="WUK29" si="8049">WUI29*$C$29</f>
        <v>2.5270667336193567E+107</v>
      </c>
      <c r="WUM29" s="160">
        <f t="shared" ref="WUM29" si="8050">WUK29*$C$29</f>
        <v>2.6028787356279375E+107</v>
      </c>
      <c r="WUO29" s="160">
        <f t="shared" ref="WUO29" si="8051">WUM29*$C$29</f>
        <v>2.6809650976967758E+107</v>
      </c>
      <c r="WUQ29" s="160">
        <f t="shared" ref="WUQ29" si="8052">WUO29*$C$29</f>
        <v>2.7613940506276793E+107</v>
      </c>
      <c r="WUS29" s="160">
        <f t="shared" ref="WUS29" si="8053">WUQ29*$C$29</f>
        <v>2.8442358721465098E+107</v>
      </c>
      <c r="WUU29" s="160">
        <f t="shared" ref="WUU29" si="8054">WUS29*$C$29</f>
        <v>2.9295629483109052E+107</v>
      </c>
      <c r="WUW29" s="160">
        <f t="shared" ref="WUW29" si="8055">WUU29*$C$29</f>
        <v>3.0174498367602328E+107</v>
      </c>
      <c r="WUY29" s="160">
        <f t="shared" ref="WUY29" si="8056">WUW29*$C$29</f>
        <v>3.1079733318630398E+107</v>
      </c>
      <c r="WVA29" s="160">
        <f t="shared" ref="WVA29" si="8057">WUY29*$C$29</f>
        <v>3.2012125318189309E+107</v>
      </c>
      <c r="WVC29" s="160">
        <f t="shared" ref="WVC29" si="8058">WVA29*$C$29</f>
        <v>3.297248907773499E+107</v>
      </c>
      <c r="WVE29" s="160">
        <f t="shared" ref="WVE29" si="8059">WVC29*$C$29</f>
        <v>3.3961663750067042E+107</v>
      </c>
      <c r="WVG29" s="160">
        <f t="shared" ref="WVG29" si="8060">WVE29*$C$29</f>
        <v>3.4980513662569054E+107</v>
      </c>
      <c r="WVI29" s="160">
        <f t="shared" ref="WVI29" si="8061">WVG29*$C$29</f>
        <v>3.6029929072446126E+107</v>
      </c>
      <c r="WVK29" s="160">
        <f t="shared" ref="WVK29" si="8062">WVI29*$C$29</f>
        <v>3.711082694461951E+107</v>
      </c>
      <c r="WVM29" s="160">
        <f t="shared" ref="WVM29" si="8063">WVK29*$C$29</f>
        <v>3.8224151752958097E+107</v>
      </c>
      <c r="WVO29" s="160">
        <f t="shared" ref="WVO29" si="8064">WVM29*$C$29</f>
        <v>3.9370876305546839E+107</v>
      </c>
      <c r="WVQ29" s="160">
        <f t="shared" ref="WVQ29" si="8065">WVO29*$C$29</f>
        <v>4.0552002594713243E+107</v>
      </c>
      <c r="WVS29" s="160">
        <f t="shared" ref="WVS29" si="8066">WVQ29*$C$29</f>
        <v>4.1768562672554643E+107</v>
      </c>
      <c r="WVU29" s="160">
        <f t="shared" ref="WVU29" si="8067">WVS29*$C$29</f>
        <v>4.3021619552731284E+107</v>
      </c>
      <c r="WVW29" s="160">
        <f t="shared" ref="WVW29" si="8068">WVU29*$C$29</f>
        <v>4.4312268139313225E+107</v>
      </c>
      <c r="WVY29" s="160">
        <f t="shared" ref="WVY29" si="8069">WVW29*$C$29</f>
        <v>4.5641636183492623E+107</v>
      </c>
      <c r="WWA29" s="160">
        <f t="shared" ref="WWA29" si="8070">WVY29*$C$29</f>
        <v>4.7010885268997406E+107</v>
      </c>
      <c r="WWC29" s="160">
        <f t="shared" ref="WWC29" si="8071">WWA29*$C$29</f>
        <v>4.8421211827067329E+107</v>
      </c>
      <c r="WWE29" s="160">
        <f t="shared" ref="WWE29" si="8072">WWC29*$C$29</f>
        <v>4.987384818187935E+107</v>
      </c>
      <c r="WWG29" s="160">
        <f t="shared" ref="WWG29" si="8073">WWE29*$C$29</f>
        <v>5.1370063627335733E+107</v>
      </c>
      <c r="WWI29" s="160">
        <f t="shared" ref="WWI29" si="8074">WWG29*$C$29</f>
        <v>5.2911165536155804E+107</v>
      </c>
      <c r="WWK29" s="160">
        <f t="shared" ref="WWK29" si="8075">WWI29*$C$29</f>
        <v>5.4498500502240478E+107</v>
      </c>
      <c r="WWM29" s="160">
        <f t="shared" ref="WWM29" si="8076">WWK29*$C$29</f>
        <v>5.6133455517307693E+107</v>
      </c>
      <c r="WWO29" s="160">
        <f t="shared" ref="WWO29" si="8077">WWM29*$C$29</f>
        <v>5.7817459182826926E+107</v>
      </c>
      <c r="WWQ29" s="160">
        <f t="shared" ref="WWQ29" si="8078">WWO29*$C$29</f>
        <v>5.9551982958311738E+107</v>
      </c>
      <c r="WWS29" s="160">
        <f t="shared" ref="WWS29" si="8079">WWQ29*$C$29</f>
        <v>6.133854244706109E+107</v>
      </c>
      <c r="WWU29" s="160">
        <f t="shared" ref="WWU29" si="8080">WWS29*$C$29</f>
        <v>6.3178698720472928E+107</v>
      </c>
      <c r="WWW29" s="160">
        <f t="shared" ref="WWW29" si="8081">WWU29*$C$29</f>
        <v>6.5074059682087119E+107</v>
      </c>
      <c r="WWY29" s="160">
        <f t="shared" ref="WWY29" si="8082">WWW29*$C$29</f>
        <v>6.7026281472549732E+107</v>
      </c>
      <c r="WXA29" s="160">
        <f t="shared" ref="WXA29" si="8083">WWY29*$C$29</f>
        <v>6.9037069916726225E+107</v>
      </c>
      <c r="WXC29" s="160">
        <f t="shared" ref="WXC29" si="8084">WXA29*$C$29</f>
        <v>7.1108182014228012E+107</v>
      </c>
      <c r="WXE29" s="160">
        <f t="shared" ref="WXE29" si="8085">WXC29*$C$29</f>
        <v>7.3241427474654858E+107</v>
      </c>
      <c r="WXG29" s="160">
        <f t="shared" ref="WXG29" si="8086">WXE29*$C$29</f>
        <v>7.5438670298894511E+107</v>
      </c>
      <c r="WXI29" s="160">
        <f t="shared" ref="WXI29" si="8087">WXG29*$C$29</f>
        <v>7.7701830407861347E+107</v>
      </c>
      <c r="WXK29" s="160">
        <f t="shared" ref="WXK29" si="8088">WXI29*$C$29</f>
        <v>8.0032885320097188E+107</v>
      </c>
      <c r="WXM29" s="160">
        <f t="shared" ref="WXM29" si="8089">WXK29*$C$29</f>
        <v>8.2433871879700103E+107</v>
      </c>
      <c r="WXO29" s="160">
        <f t="shared" ref="WXO29" si="8090">WXM29*$C$29</f>
        <v>8.4906888036091114E+107</v>
      </c>
      <c r="WXQ29" s="160">
        <f t="shared" ref="WXQ29" si="8091">WXO29*$C$29</f>
        <v>8.7454094677173846E+107</v>
      </c>
      <c r="WXS29" s="160">
        <f t="shared" ref="WXS29" si="8092">WXQ29*$C$29</f>
        <v>9.0077717517489067E+107</v>
      </c>
      <c r="WXU29" s="160">
        <f t="shared" ref="WXU29" si="8093">WXS29*$C$29</f>
        <v>9.2780049043013734E+107</v>
      </c>
      <c r="WXW29" s="160">
        <f t="shared" ref="WXW29" si="8094">WXU29*$C$29</f>
        <v>9.5563450514304147E+107</v>
      </c>
      <c r="WXY29" s="160">
        <f t="shared" ref="WXY29" si="8095">WXW29*$C$29</f>
        <v>9.8430354029733271E+107</v>
      </c>
      <c r="WYA29" s="160">
        <f t="shared" ref="WYA29" si="8096">WXY29*$C$29</f>
        <v>1.0138326465062527E+108</v>
      </c>
      <c r="WYC29" s="160">
        <f t="shared" ref="WYC29" si="8097">WYA29*$C$29</f>
        <v>1.0442476259014404E+108</v>
      </c>
      <c r="WYE29" s="160">
        <f t="shared" ref="WYE29" si="8098">WYC29*$C$29</f>
        <v>1.0755750546784836E+108</v>
      </c>
      <c r="WYG29" s="160">
        <f t="shared" ref="WYG29" si="8099">WYE29*$C$29</f>
        <v>1.1078423063188382E+108</v>
      </c>
      <c r="WYI29" s="160">
        <f t="shared" ref="WYI29" si="8100">WYG29*$C$29</f>
        <v>1.1410775755084034E+108</v>
      </c>
      <c r="WYK29" s="160">
        <f t="shared" ref="WYK29" si="8101">WYI29*$C$29</f>
        <v>1.1753099027736555E+108</v>
      </c>
      <c r="WYM29" s="160">
        <f t="shared" ref="WYM29" si="8102">WYK29*$C$29</f>
        <v>1.2105691998568652E+108</v>
      </c>
      <c r="WYO29" s="160">
        <f t="shared" ref="WYO29" si="8103">WYM29*$C$29</f>
        <v>1.2468862758525713E+108</v>
      </c>
      <c r="WYQ29" s="160">
        <f t="shared" ref="WYQ29" si="8104">WYO29*$C$29</f>
        <v>1.2842928641281485E+108</v>
      </c>
      <c r="WYS29" s="160">
        <f t="shared" ref="WYS29" si="8105">WYQ29*$C$29</f>
        <v>1.3228216500519931E+108</v>
      </c>
      <c r="WYU29" s="160">
        <f t="shared" ref="WYU29" si="8106">WYS29*$C$29</f>
        <v>1.362506299553553E+108</v>
      </c>
      <c r="WYW29" s="160">
        <f t="shared" ref="WYW29" si="8107">WYU29*$C$29</f>
        <v>1.4033814885401597E+108</v>
      </c>
      <c r="WYY29" s="160">
        <f t="shared" ref="WYY29" si="8108">WYW29*$C$29</f>
        <v>1.4454829331963647E+108</v>
      </c>
      <c r="WZA29" s="160">
        <f t="shared" ref="WZA29" si="8109">WYY29*$C$29</f>
        <v>1.4888474211922556E+108</v>
      </c>
      <c r="WZC29" s="160">
        <f t="shared" ref="WZC29" si="8110">WZA29*$C$29</f>
        <v>1.5335128438280233E+108</v>
      </c>
      <c r="WZE29" s="160">
        <f t="shared" ref="WZE29" si="8111">WZC29*$C$29</f>
        <v>1.579518229142864E+108</v>
      </c>
      <c r="WZG29" s="160">
        <f t="shared" ref="WZG29" si="8112">WZE29*$C$29</f>
        <v>1.6269037760171499E+108</v>
      </c>
      <c r="WZI29" s="160">
        <f t="shared" ref="WZI29" si="8113">WZG29*$C$29</f>
        <v>1.6757108892976643E+108</v>
      </c>
      <c r="WZK29" s="160">
        <f t="shared" ref="WZK29" si="8114">WZI29*$C$29</f>
        <v>1.7259822159765944E+108</v>
      </c>
      <c r="WZM29" s="160">
        <f t="shared" ref="WZM29" si="8115">WZK29*$C$29</f>
        <v>1.7777616824558922E+108</v>
      </c>
      <c r="WZO29" s="160">
        <f t="shared" ref="WZO29" si="8116">WZM29*$C$29</f>
        <v>1.831094532929569E+108</v>
      </c>
      <c r="WZQ29" s="160">
        <f t="shared" ref="WZQ29" si="8117">WZO29*$C$29</f>
        <v>1.8860273689174563E+108</v>
      </c>
      <c r="WZS29" s="160">
        <f t="shared" ref="WZS29" si="8118">WZQ29*$C$29</f>
        <v>1.94260818998498E+108</v>
      </c>
      <c r="WZU29" s="160">
        <f t="shared" ref="WZU29" si="8119">WZS29*$C$29</f>
        <v>2.0008864356845294E+108</v>
      </c>
      <c r="WZW29" s="160">
        <f t="shared" ref="WZW29" si="8120">WZU29*$C$29</f>
        <v>2.0609130287550653E+108</v>
      </c>
      <c r="WZY29" s="160">
        <f t="shared" ref="WZY29" si="8121">WZW29*$C$29</f>
        <v>2.1227404196177173E+108</v>
      </c>
      <c r="XAA29" s="160">
        <f t="shared" ref="XAA29" si="8122">WZY29*$C$29</f>
        <v>2.1864226322062488E+108</v>
      </c>
      <c r="XAC29" s="160">
        <f t="shared" ref="XAC29" si="8123">XAA29*$C$29</f>
        <v>2.2520153111724364E+108</v>
      </c>
      <c r="XAE29" s="160">
        <f t="shared" ref="XAE29" si="8124">XAC29*$C$29</f>
        <v>2.3195757705076094E+108</v>
      </c>
      <c r="XAG29" s="160">
        <f t="shared" ref="XAG29" si="8125">XAE29*$C$29</f>
        <v>2.3891630436228376E+108</v>
      </c>
      <c r="XAI29" s="160">
        <f t="shared" ref="XAI29" si="8126">XAG29*$C$29</f>
        <v>2.4608379349315228E+108</v>
      </c>
      <c r="XAK29" s="160">
        <f t="shared" ref="XAK29" si="8127">XAI29*$C$29</f>
        <v>2.5346630729794685E+108</v>
      </c>
      <c r="XAM29" s="160">
        <f t="shared" ref="XAM29" si="8128">XAK29*$C$29</f>
        <v>2.6107029651688527E+108</v>
      </c>
      <c r="XAO29" s="160">
        <f t="shared" ref="XAO29" si="8129">XAM29*$C$29</f>
        <v>2.6890240541239184E+108</v>
      </c>
      <c r="XAQ29" s="160">
        <f t="shared" ref="XAQ29" si="8130">XAO29*$C$29</f>
        <v>2.7696947757476362E+108</v>
      </c>
      <c r="XAS29" s="160">
        <f t="shared" ref="XAS29" si="8131">XAQ29*$C$29</f>
        <v>2.8527856190200651E+108</v>
      </c>
      <c r="XAU29" s="160">
        <f t="shared" ref="XAU29" si="8132">XAS29*$C$29</f>
        <v>2.9383691875906671E+108</v>
      </c>
      <c r="XAW29" s="160">
        <f t="shared" ref="XAW29" si="8133">XAU29*$C$29</f>
        <v>3.026520263218387E+108</v>
      </c>
      <c r="XAY29" s="160">
        <f t="shared" ref="XAY29" si="8134">XAW29*$C$29</f>
        <v>3.1173158711149385E+108</v>
      </c>
      <c r="XBA29" s="160">
        <f t="shared" ref="XBA29" si="8135">XAY29*$C$29</f>
        <v>3.2108353472483866E+108</v>
      </c>
      <c r="XBC29" s="160">
        <f t="shared" ref="XBC29" si="8136">XBA29*$C$29</f>
        <v>3.3071604076658384E+108</v>
      </c>
      <c r="XBE29" s="160">
        <f t="shared" ref="XBE29" si="8137">XBC29*$C$29</f>
        <v>3.4063752198958138E+108</v>
      </c>
      <c r="XBG29" s="160">
        <f t="shared" ref="XBG29" si="8138">XBE29*$C$29</f>
        <v>3.5085664764926885E+108</v>
      </c>
      <c r="XBI29" s="160">
        <f t="shared" ref="XBI29" si="8139">XBG29*$C$29</f>
        <v>3.6138234707874694E+108</v>
      </c>
      <c r="XBK29" s="160">
        <f t="shared" ref="XBK29" si="8140">XBI29*$C$29</f>
        <v>3.7222381749110933E+108</v>
      </c>
      <c r="XBM29" s="160">
        <f t="shared" ref="XBM29" si="8141">XBK29*$C$29</f>
        <v>3.8339053201584262E+108</v>
      </c>
      <c r="XBO29" s="160">
        <f t="shared" ref="XBO29" si="8142">XBM29*$C$29</f>
        <v>3.9489224797631789E+108</v>
      </c>
      <c r="XBQ29" s="160">
        <f t="shared" ref="XBQ29" si="8143">XBO29*$C$29</f>
        <v>4.0673901541560744E+108</v>
      </c>
      <c r="XBS29" s="160">
        <f t="shared" ref="XBS29" si="8144">XBQ29*$C$29</f>
        <v>4.1894118587807566E+108</v>
      </c>
      <c r="XBU29" s="160">
        <f t="shared" ref="XBU29" si="8145">XBS29*$C$29</f>
        <v>4.3150942145441794E+108</v>
      </c>
      <c r="XBW29" s="160">
        <f t="shared" ref="XBW29" si="8146">XBU29*$C$29</f>
        <v>4.4445470409805046E+108</v>
      </c>
      <c r="XBY29" s="160">
        <f t="shared" ref="XBY29" si="8147">XBW29*$C$29</f>
        <v>4.5778834522099197E+108</v>
      </c>
      <c r="XCA29" s="160">
        <f t="shared" ref="XCA29" si="8148">XBY29*$C$29</f>
        <v>4.7152199557762179E+108</v>
      </c>
      <c r="XCC29" s="160">
        <f t="shared" ref="XCC29" si="8149">XCA29*$C$29</f>
        <v>4.8566765544495048E+108</v>
      </c>
      <c r="XCE29" s="160">
        <f t="shared" ref="XCE29" si="8150">XCC29*$C$29</f>
        <v>5.0023768510829896E+108</v>
      </c>
      <c r="XCG29" s="160">
        <f t="shared" ref="XCG29" si="8151">XCE29*$C$29</f>
        <v>5.1524481566154799E+108</v>
      </c>
      <c r="XCI29" s="160">
        <f t="shared" ref="XCI29" si="8152">XCG29*$C$29</f>
        <v>5.3070216013139447E+108</v>
      </c>
      <c r="XCK29" s="160">
        <f t="shared" ref="XCK29" si="8153">XCI29*$C$29</f>
        <v>5.4662322493533631E+108</v>
      </c>
      <c r="XCM29" s="160">
        <f t="shared" ref="XCM29" si="8154">XCK29*$C$29</f>
        <v>5.6302192168339638E+108</v>
      </c>
      <c r="XCO29" s="160">
        <f t="shared" ref="XCO29" si="8155">XCM29*$C$29</f>
        <v>5.7991257933389829E+108</v>
      </c>
      <c r="XCQ29" s="160">
        <f t="shared" ref="XCQ29" si="8156">XCO29*$C$29</f>
        <v>5.9730995671391521E+108</v>
      </c>
      <c r="XCS29" s="160">
        <f t="shared" ref="XCS29" si="8157">XCQ29*$C$29</f>
        <v>6.1522925541533268E+108</v>
      </c>
      <c r="XCU29" s="160">
        <f t="shared" ref="XCU29" si="8158">XCS29*$C$29</f>
        <v>6.3368613307779269E+108</v>
      </c>
      <c r="XCW29" s="160">
        <f t="shared" ref="XCW29" si="8159">XCU29*$C$29</f>
        <v>6.5269671707012652E+108</v>
      </c>
      <c r="XCY29" s="160">
        <f t="shared" ref="XCY29" si="8160">XCW29*$C$29</f>
        <v>6.7227761858223029E+108</v>
      </c>
      <c r="XDA29" s="160">
        <f t="shared" ref="XDA29" si="8161">XCY29*$C$29</f>
        <v>6.924459471396972E+108</v>
      </c>
      <c r="XDC29" s="160">
        <f t="shared" ref="XDC29" si="8162">XDA29*$C$29</f>
        <v>7.1321932555388814E+108</v>
      </c>
      <c r="XDE29" s="160">
        <f t="shared" ref="XDE29" si="8163">XDC29*$C$29</f>
        <v>7.3461590532050481E+108</v>
      </c>
      <c r="XDG29" s="160">
        <f t="shared" ref="XDG29" si="8164">XDE29*$C$29</f>
        <v>7.5665438248011994E+108</v>
      </c>
      <c r="XDI29" s="160">
        <f t="shared" ref="XDI29" si="8165">XDG29*$C$29</f>
        <v>7.7935401395452359E+108</v>
      </c>
      <c r="XDK29" s="160">
        <f t="shared" ref="XDK29" si="8166">XDI29*$C$29</f>
        <v>8.0273463437315931E+108</v>
      </c>
      <c r="XDM29" s="160">
        <f t="shared" ref="XDM29" si="8167">XDK29*$C$29</f>
        <v>8.2681667340435407E+108</v>
      </c>
      <c r="XDO29" s="160">
        <f t="shared" ref="XDO29" si="8168">XDM29*$C$29</f>
        <v>8.5162117360648473E+108</v>
      </c>
      <c r="XDQ29" s="160">
        <f t="shared" ref="XDQ29" si="8169">XDO29*$C$29</f>
        <v>8.7716980881467924E+108</v>
      </c>
      <c r="XDS29" s="160">
        <f t="shared" ref="XDS29" si="8170">XDQ29*$C$29</f>
        <v>9.034849030791197E+108</v>
      </c>
      <c r="XDU29" s="160">
        <f t="shared" ref="XDU29" si="8171">XDS29*$C$29</f>
        <v>9.3058945017149333E+108</v>
      </c>
      <c r="XDW29" s="160">
        <f t="shared" ref="XDW29" si="8172">XDU29*$C$29</f>
        <v>9.5850713367663815E+108</v>
      </c>
      <c r="XDY29" s="160">
        <f t="shared" ref="XDY29" si="8173">XDW29*$C$29</f>
        <v>9.872623476869374E+108</v>
      </c>
      <c r="XEA29" s="160">
        <f t="shared" ref="XEA29" si="8174">XDY29*$C$29</f>
        <v>1.0168802181175456E+109</v>
      </c>
      <c r="XEC29" s="160">
        <f t="shared" ref="XEC29" si="8175">XEA29*$C$29</f>
        <v>1.047386624661072E+109</v>
      </c>
      <c r="XEE29" s="160">
        <f t="shared" ref="XEE29" si="8176">XEC29*$C$29</f>
        <v>1.0788082234009042E+109</v>
      </c>
      <c r="XEG29" s="160">
        <f t="shared" ref="XEG29" si="8177">XEE29*$C$29</f>
        <v>1.1111724701029314E+109</v>
      </c>
      <c r="XEI29" s="160">
        <f t="shared" ref="XEI29" si="8178">XEG29*$C$29</f>
        <v>1.1445076442060193E+109</v>
      </c>
      <c r="XEK29" s="160">
        <f t="shared" ref="XEK29" si="8179">XEI29*$C$29</f>
        <v>1.1788428735321998E+109</v>
      </c>
      <c r="XEM29" s="160">
        <f t="shared" ref="XEM29" si="8180">XEK29*$C$29</f>
        <v>1.2142081597381659E+109</v>
      </c>
      <c r="XEO29" s="160">
        <f t="shared" ref="XEO29" si="8181">XEM29*$C$29</f>
        <v>1.2506344045303109E+109</v>
      </c>
      <c r="XEQ29" s="160">
        <f t="shared" ref="XEQ29" si="8182">XEO29*$C$29</f>
        <v>1.2881534366662204E+109</v>
      </c>
      <c r="XES29" s="160">
        <f t="shared" ref="XES29" si="8183">XEQ29*$C$29</f>
        <v>1.326798039766207E+109</v>
      </c>
      <c r="XEU29" s="160">
        <f t="shared" ref="XEU29" si="8184">XES29*$C$29</f>
        <v>1.3666019809591932E+109</v>
      </c>
      <c r="XEW29" s="160">
        <f t="shared" ref="XEW29" si="8185">XEU29*$C$29</f>
        <v>1.4076000403879692E+109</v>
      </c>
      <c r="XEY29" s="160">
        <f t="shared" ref="XEY29" si="8186">XEW29*$C$29</f>
        <v>1.4498280415996083E+109</v>
      </c>
      <c r="XFA29" s="160">
        <f t="shared" ref="XFA29" si="8187">XEY29*$C$29</f>
        <v>1.4933228828475966E+109</v>
      </c>
      <c r="XFC29" s="160">
        <f t="shared" ref="XFC29" si="8188">XFA29*$C$29</f>
        <v>1.5381225693330245E+109</v>
      </c>
    </row>
    <row r="30" spans="1:1023 1025:2047 2049:3071 3073:4095 4097:5119 5121:6143 6145:7167 7169:8191 8193:9215 9217:10239 10241:11263 11265:12287 12289:13311 13313:14335 14337:15359 15361:16383" s="148" customFormat="1" ht="14.1">
      <c r="A30" s="148" t="s">
        <v>2764</v>
      </c>
      <c r="C30" s="2601">
        <v>1.02</v>
      </c>
      <c r="E30" s="160">
        <f>Application!AC891</f>
        <v>0</v>
      </c>
      <c r="F30" s="160"/>
      <c r="G30" s="160">
        <f>E30*$C$30</f>
        <v>0</v>
      </c>
      <c r="H30" s="160"/>
      <c r="I30" s="160">
        <f>G30*$C$30</f>
        <v>0</v>
      </c>
      <c r="J30" s="160"/>
      <c r="K30" s="160">
        <f>I30*$C$30</f>
        <v>0</v>
      </c>
      <c r="L30" s="160"/>
      <c r="M30" s="160">
        <f>K30*$C$30</f>
        <v>0</v>
      </c>
      <c r="N30" s="160"/>
      <c r="O30" s="160">
        <f>M30*$C$30</f>
        <v>0</v>
      </c>
      <c r="P30" s="160"/>
      <c r="Q30" s="160">
        <f>O30*$C$30</f>
        <v>0</v>
      </c>
      <c r="R30" s="160"/>
      <c r="S30" s="160">
        <f>Q30*$C$30</f>
        <v>0</v>
      </c>
      <c r="T30" s="160"/>
      <c r="U30" s="160">
        <f>S30*$C$30</f>
        <v>0</v>
      </c>
      <c r="V30" s="160"/>
      <c r="W30" s="160">
        <f>U30*$C$30</f>
        <v>0</v>
      </c>
      <c r="X30" s="160"/>
      <c r="Y30" s="160">
        <f>W30*$C$30</f>
        <v>0</v>
      </c>
      <c r="Z30" s="160"/>
      <c r="AA30" s="160">
        <f>Y30*$C$30</f>
        <v>0</v>
      </c>
      <c r="AB30" s="160"/>
      <c r="AC30" s="160">
        <f>AA30*$C$30</f>
        <v>0</v>
      </c>
      <c r="AD30" s="160"/>
      <c r="AE30" s="160">
        <f>AC30*$C$30</f>
        <v>0</v>
      </c>
      <c r="AF30" s="160"/>
      <c r="AG30" s="160">
        <f>AE30*$C$30</f>
        <v>0</v>
      </c>
    </row>
    <row r="31" spans="1:1023 1025:2047 2049:3071 3073:4095 4097:5119 5121:6143 6145:7167 7169:8191 8193:9215 9217:10239 10241:11263 11265:12287 12289:13311 13313:14335 14337:15359 15361:16383" s="148" customFormat="1" ht="14.1">
      <c r="A31" s="148" t="s">
        <v>2765</v>
      </c>
      <c r="C31" s="2601">
        <v>1.02</v>
      </c>
      <c r="E31" s="160">
        <f>Application!AC892</f>
        <v>0</v>
      </c>
      <c r="F31" s="160"/>
      <c r="G31" s="160">
        <f>E31*$C$31</f>
        <v>0</v>
      </c>
      <c r="H31" s="160"/>
      <c r="I31" s="160">
        <f>G31*$C$31</f>
        <v>0</v>
      </c>
      <c r="J31" s="160"/>
      <c r="K31" s="160">
        <f>I31*$C$31</f>
        <v>0</v>
      </c>
      <c r="L31" s="160"/>
      <c r="M31" s="160">
        <f>K31*$C$31</f>
        <v>0</v>
      </c>
      <c r="N31" s="160"/>
      <c r="O31" s="160">
        <f>M31*$C$31</f>
        <v>0</v>
      </c>
      <c r="P31" s="160"/>
      <c r="Q31" s="160">
        <f>O31*$C$31</f>
        <v>0</v>
      </c>
      <c r="R31" s="160"/>
      <c r="S31" s="160">
        <f>Q31*$C$31</f>
        <v>0</v>
      </c>
      <c r="T31" s="160"/>
      <c r="U31" s="160">
        <f>S31*$C$31</f>
        <v>0</v>
      </c>
      <c r="V31" s="160"/>
      <c r="W31" s="160">
        <f>U31*$C$31</f>
        <v>0</v>
      </c>
      <c r="X31" s="160"/>
      <c r="Y31" s="160">
        <f>W31*$C$31</f>
        <v>0</v>
      </c>
      <c r="Z31" s="160"/>
      <c r="AA31" s="160">
        <f>Y31*$C$31</f>
        <v>0</v>
      </c>
      <c r="AB31" s="160"/>
      <c r="AC31" s="160">
        <f>AA31*$C$31</f>
        <v>0</v>
      </c>
      <c r="AD31" s="160"/>
      <c r="AE31" s="160">
        <f>AC31*$C$31</f>
        <v>0</v>
      </c>
      <c r="AF31" s="160"/>
      <c r="AG31" s="160">
        <f>AE31*$C$31</f>
        <v>0</v>
      </c>
    </row>
    <row r="32" spans="1:1023 1025:2047 2049:3071 3073:4095 4097:5119 5121:6143 6145:7167 7169:8191 8193:9215 9217:10239 10241:11263 11265:12287 12289:13311 13313:14335 14337:15359 15361:16383" s="148" customFormat="1" ht="14.1">
      <c r="A32" s="148" t="str">
        <f>Application!C893</f>
        <v>Other (Issuer and Monitoring fee):</v>
      </c>
      <c r="C32" s="2603">
        <v>1</v>
      </c>
      <c r="E32" s="160">
        <f>Application!AC893</f>
        <v>7500</v>
      </c>
      <c r="F32" s="160"/>
      <c r="G32" s="160">
        <f>E32*$C$32</f>
        <v>7500</v>
      </c>
      <c r="H32" s="160"/>
      <c r="I32" s="160">
        <f>G32*$C$32</f>
        <v>7500</v>
      </c>
      <c r="J32" s="160"/>
      <c r="K32" s="160">
        <f>I32*$C$32</f>
        <v>7500</v>
      </c>
      <c r="L32" s="160"/>
      <c r="M32" s="160">
        <f>K32*$C$32</f>
        <v>7500</v>
      </c>
      <c r="N32" s="160"/>
      <c r="O32" s="160">
        <f>M32*$C$32</f>
        <v>7500</v>
      </c>
      <c r="P32" s="160"/>
      <c r="Q32" s="160">
        <f>O32*$C$32</f>
        <v>7500</v>
      </c>
      <c r="R32" s="160"/>
      <c r="S32" s="160">
        <f>Q32*$C$32</f>
        <v>7500</v>
      </c>
      <c r="T32" s="160"/>
      <c r="U32" s="160">
        <f>S32*$C$32</f>
        <v>7500</v>
      </c>
      <c r="V32" s="160"/>
      <c r="W32" s="160">
        <f>U32*$C$32</f>
        <v>7500</v>
      </c>
      <c r="X32" s="160"/>
      <c r="Y32" s="160">
        <f>W32*$C$32</f>
        <v>7500</v>
      </c>
      <c r="Z32" s="160"/>
      <c r="AA32" s="160">
        <f>Y32*$C$32</f>
        <v>7500</v>
      </c>
      <c r="AB32" s="160"/>
      <c r="AC32" s="160">
        <f>AA32*$C$32</f>
        <v>7500</v>
      </c>
      <c r="AD32" s="160"/>
      <c r="AE32" s="160">
        <f>AC32*$C$32</f>
        <v>7500</v>
      </c>
      <c r="AF32" s="160"/>
      <c r="AG32" s="160">
        <f>AE32*$C$32</f>
        <v>7500</v>
      </c>
    </row>
    <row r="33" spans="1:33" s="148" customFormat="1" ht="14.1">
      <c r="A33" s="148" t="str">
        <f>Application!C894</f>
        <v>Other (Specify):</v>
      </c>
      <c r="C33" s="2603">
        <v>1.0349999999999999</v>
      </c>
      <c r="E33" s="160">
        <f>Application!AC894</f>
        <v>0</v>
      </c>
      <c r="F33" s="160"/>
      <c r="G33" s="160">
        <f>E33*$C$33</f>
        <v>0</v>
      </c>
      <c r="H33" s="160"/>
      <c r="I33" s="160">
        <f>G33*$C$33</f>
        <v>0</v>
      </c>
      <c r="J33" s="160"/>
      <c r="K33" s="160">
        <f>I33*$C$33</f>
        <v>0</v>
      </c>
      <c r="L33" s="160"/>
      <c r="M33" s="160">
        <f>K33*$C$33</f>
        <v>0</v>
      </c>
      <c r="N33" s="160"/>
      <c r="O33" s="160">
        <f>M33*$C$33</f>
        <v>0</v>
      </c>
      <c r="P33" s="160"/>
      <c r="Q33" s="160">
        <f>O33*$C$33</f>
        <v>0</v>
      </c>
      <c r="R33" s="160"/>
      <c r="S33" s="160">
        <f>Q33*$C$33</f>
        <v>0</v>
      </c>
      <c r="T33" s="160"/>
      <c r="U33" s="160">
        <f>S33*$C$33</f>
        <v>0</v>
      </c>
      <c r="V33" s="160"/>
      <c r="W33" s="160">
        <f>U33*$C$33</f>
        <v>0</v>
      </c>
      <c r="X33" s="160"/>
      <c r="Y33" s="160">
        <f>W33*$C$33</f>
        <v>0</v>
      </c>
      <c r="Z33" s="160"/>
      <c r="AA33" s="160">
        <f>Y33*$C$33</f>
        <v>0</v>
      </c>
      <c r="AB33" s="160"/>
      <c r="AC33" s="160">
        <f>AA33*$C$33</f>
        <v>0</v>
      </c>
      <c r="AD33" s="160"/>
      <c r="AE33" s="160">
        <f>AC33*$C$33</f>
        <v>0</v>
      </c>
      <c r="AF33" s="160"/>
      <c r="AG33" s="160">
        <f>AE33*$C$33</f>
        <v>0</v>
      </c>
    </row>
    <row r="34" spans="1:33" s="148" customFormat="1" ht="14.1">
      <c r="C34" s="158"/>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row>
    <row r="35" spans="1:33" s="161" customFormat="1" ht="14.1">
      <c r="A35" s="161" t="s">
        <v>1649</v>
      </c>
      <c r="C35" s="162"/>
      <c r="E35" s="161">
        <f>SUM(E22:E33)</f>
        <v>566433</v>
      </c>
      <c r="G35" s="161">
        <f>SUM(G22:G33)</f>
        <v>585097.85499999998</v>
      </c>
      <c r="I35" s="161">
        <f>SUM(I22:I33)</f>
        <v>604414.24592499994</v>
      </c>
      <c r="K35" s="161">
        <f>SUM(K22:K33)</f>
        <v>624404.92451237491</v>
      </c>
      <c r="M35" s="161">
        <f>SUM(M22:M33)</f>
        <v>645093.43724970787</v>
      </c>
      <c r="O35" s="161">
        <f>SUM(O22:O33)</f>
        <v>666504.15314422955</v>
      </c>
      <c r="Q35" s="161">
        <f>SUM(Q22:Q33)</f>
        <v>688662.29246278305</v>
      </c>
      <c r="S35" s="161">
        <f>SUM(S22:S33)</f>
        <v>711593.95647624112</v>
      </c>
      <c r="U35" s="161">
        <f>SUM(U22:U33)</f>
        <v>735326.15824348782</v>
      </c>
      <c r="W35" s="161">
        <f>SUM(W22:W33)</f>
        <v>759886.85447130573</v>
      </c>
      <c r="Y35" s="161">
        <f>SUM(Y22:Y33)</f>
        <v>785304.97848777601</v>
      </c>
      <c r="AA35" s="161">
        <f>SUM(AA22:AA33)</f>
        <v>811610.47436812206</v>
      </c>
      <c r="AC35" s="161">
        <f>SUM(AC22:AC33)</f>
        <v>838834.33225327835</v>
      </c>
      <c r="AE35" s="161">
        <f>SUM(AE22:AE33)</f>
        <v>867008.62490288343</v>
      </c>
      <c r="AG35" s="161">
        <f>SUM(AG22:AG33)</f>
        <v>896166.54552584665</v>
      </c>
    </row>
    <row r="36" spans="1:33" s="148" customFormat="1" ht="14.1">
      <c r="C36" s="158"/>
      <c r="E36" s="160"/>
      <c r="F36" s="160"/>
      <c r="G36" s="160"/>
      <c r="H36" s="160"/>
      <c r="I36" s="160"/>
      <c r="J36" s="160"/>
      <c r="K36" s="160"/>
      <c r="L36" s="160"/>
      <c r="M36" s="160"/>
      <c r="N36" s="160"/>
      <c r="O36" s="160"/>
      <c r="P36" s="160"/>
      <c r="Q36" s="160"/>
      <c r="R36" s="160"/>
      <c r="S36" s="160"/>
      <c r="T36" s="160"/>
      <c r="U36" s="160"/>
      <c r="V36" s="160"/>
      <c r="W36" s="160"/>
      <c r="X36" s="160"/>
      <c r="Y36" s="160"/>
      <c r="Z36" s="160"/>
      <c r="AA36" s="160"/>
      <c r="AB36" s="160"/>
      <c r="AC36" s="160"/>
      <c r="AD36" s="160"/>
      <c r="AE36" s="160"/>
      <c r="AF36" s="160"/>
      <c r="AG36" s="160"/>
    </row>
    <row r="37" spans="1:33" s="161" customFormat="1" ht="14.1">
      <c r="A37" s="161" t="s">
        <v>2766</v>
      </c>
      <c r="C37" s="162"/>
      <c r="E37" s="161">
        <f>E11-E35</f>
        <v>428741.39999999991</v>
      </c>
      <c r="G37" s="161">
        <f>G11-G35</f>
        <v>434955.90500000003</v>
      </c>
      <c r="I37" s="161">
        <f>I11-I35</f>
        <v>441140.85807499988</v>
      </c>
      <c r="K37" s="161">
        <f>K11-K35</f>
        <v>447289.05708762468</v>
      </c>
      <c r="M37" s="161">
        <f>M11-M35</f>
        <v>453392.89389029157</v>
      </c>
      <c r="O37" s="161">
        <f>O11-O35</f>
        <v>459444.33627426985</v>
      </c>
      <c r="Q37" s="161">
        <f>Q11-Q35</f>
        <v>465434.90919117874</v>
      </c>
      <c r="S37" s="161">
        <f>S11-S35</f>
        <v>471355.67521906993</v>
      </c>
      <c r="U37" s="161">
        <f>U11-U35</f>
        <v>477197.2142442055</v>
      </c>
      <c r="W37" s="161">
        <f>W11-W35</f>
        <v>482949.60232858022</v>
      </c>
      <c r="Y37" s="161">
        <f>Y11-Y35</f>
        <v>488602.38973210671</v>
      </c>
      <c r="AA37" s="161">
        <f>AA11-AA35</f>
        <v>494144.57805725781</v>
      </c>
      <c r="AC37" s="161">
        <f>AC11-AC35</f>
        <v>499564.59648273571</v>
      </c>
      <c r="AE37" s="161">
        <f>AE11-AE35</f>
        <v>504850.27705153113</v>
      </c>
      <c r="AG37" s="161">
        <f>AG11-AG35</f>
        <v>509988.82897742826</v>
      </c>
    </row>
    <row r="38" spans="1:33" s="148" customFormat="1" ht="14.1">
      <c r="C38" s="158"/>
      <c r="E38" s="160"/>
      <c r="F38" s="160"/>
      <c r="G38" s="160"/>
      <c r="H38" s="160"/>
      <c r="I38" s="160"/>
      <c r="J38" s="160"/>
      <c r="K38" s="160"/>
      <c r="L38" s="160"/>
      <c r="M38" s="160"/>
      <c r="N38" s="160"/>
      <c r="O38" s="160"/>
      <c r="P38" s="160"/>
      <c r="Q38" s="160"/>
      <c r="R38" s="160"/>
      <c r="S38" s="160"/>
      <c r="T38" s="160"/>
      <c r="U38" s="160"/>
      <c r="V38" s="160"/>
      <c r="W38" s="160"/>
      <c r="X38" s="160"/>
      <c r="Y38" s="160"/>
      <c r="Z38" s="160"/>
      <c r="AA38" s="160"/>
      <c r="AB38" s="160"/>
      <c r="AC38" s="160"/>
      <c r="AD38" s="160"/>
      <c r="AE38" s="160"/>
      <c r="AF38" s="160"/>
      <c r="AG38" s="160"/>
    </row>
    <row r="39" spans="1:33" s="148" customFormat="1" ht="14.1">
      <c r="A39" s="156" t="s">
        <v>2767</v>
      </c>
      <c r="C39" s="158"/>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row>
    <row r="40" spans="1:33" s="148" customFormat="1" ht="14.1">
      <c r="A40" s="163" t="str">
        <f>Application!C627</f>
        <v xml:space="preserve">Citibank Permanent Loan </v>
      </c>
      <c r="B40" s="164"/>
      <c r="C40" s="158"/>
      <c r="E40" s="160">
        <f>Application!AF627</f>
        <v>371840</v>
      </c>
      <c r="F40" s="160"/>
      <c r="G40" s="160">
        <f>$E$40</f>
        <v>371840</v>
      </c>
      <c r="H40" s="160"/>
      <c r="I40" s="160">
        <f>$E$40</f>
        <v>371840</v>
      </c>
      <c r="J40" s="160"/>
      <c r="K40" s="160">
        <f>$E$40</f>
        <v>371840</v>
      </c>
      <c r="L40" s="160"/>
      <c r="M40" s="160">
        <f>$E$40</f>
        <v>371840</v>
      </c>
      <c r="N40" s="160"/>
      <c r="O40" s="160">
        <f>$E$40</f>
        <v>371840</v>
      </c>
      <c r="P40" s="160"/>
      <c r="Q40" s="160">
        <f>$E$40</f>
        <v>371840</v>
      </c>
      <c r="R40" s="160"/>
      <c r="S40" s="160">
        <f>$E$40</f>
        <v>371840</v>
      </c>
      <c r="T40" s="160"/>
      <c r="U40" s="160">
        <f>$E$40</f>
        <v>371840</v>
      </c>
      <c r="V40" s="160"/>
      <c r="W40" s="160">
        <f>$E$40</f>
        <v>371840</v>
      </c>
      <c r="X40" s="160"/>
      <c r="Y40" s="160">
        <f>$E$40</f>
        <v>371840</v>
      </c>
      <c r="Z40" s="160"/>
      <c r="AA40" s="160">
        <f>$E$40</f>
        <v>371840</v>
      </c>
      <c r="AB40" s="160"/>
      <c r="AC40" s="160">
        <f>$E$40</f>
        <v>371840</v>
      </c>
      <c r="AD40" s="160"/>
      <c r="AE40" s="160">
        <f>$E$40</f>
        <v>371840</v>
      </c>
      <c r="AF40" s="160"/>
      <c r="AG40" s="160">
        <f>$E$40</f>
        <v>371840</v>
      </c>
    </row>
    <row r="41" spans="1:33" s="148" customFormat="1" ht="14.1">
      <c r="A41" s="163"/>
      <c r="B41" s="164"/>
      <c r="C41" s="158"/>
      <c r="E41" s="160"/>
      <c r="F41" s="160"/>
      <c r="G41" s="160">
        <f>$E$41</f>
        <v>0</v>
      </c>
      <c r="H41" s="160"/>
      <c r="I41" s="160">
        <f>$E$41</f>
        <v>0</v>
      </c>
      <c r="J41" s="160"/>
      <c r="K41" s="160">
        <f>$E$41</f>
        <v>0</v>
      </c>
      <c r="L41" s="160"/>
      <c r="M41" s="160">
        <f>$E$41</f>
        <v>0</v>
      </c>
      <c r="N41" s="160"/>
      <c r="O41" s="160">
        <f>$E$41</f>
        <v>0</v>
      </c>
      <c r="P41" s="160"/>
      <c r="Q41" s="160">
        <f>$E$41</f>
        <v>0</v>
      </c>
      <c r="R41" s="160"/>
      <c r="S41" s="160">
        <f>$E$41</f>
        <v>0</v>
      </c>
      <c r="T41" s="160"/>
      <c r="U41" s="160">
        <f>$E$41</f>
        <v>0</v>
      </c>
      <c r="V41" s="160"/>
      <c r="W41" s="160">
        <f>$E$41</f>
        <v>0</v>
      </c>
      <c r="X41" s="160"/>
      <c r="Y41" s="160">
        <f>$E$41</f>
        <v>0</v>
      </c>
      <c r="Z41" s="160"/>
      <c r="AA41" s="160">
        <f>$E$41</f>
        <v>0</v>
      </c>
      <c r="AB41" s="160"/>
      <c r="AC41" s="160">
        <f>$E$41</f>
        <v>0</v>
      </c>
      <c r="AD41" s="160"/>
      <c r="AE41" s="160">
        <f>$E$41</f>
        <v>0</v>
      </c>
      <c r="AF41" s="160"/>
      <c r="AG41" s="160">
        <f>$E$41</f>
        <v>0</v>
      </c>
    </row>
    <row r="42" spans="1:33" s="148" customFormat="1" ht="14.1">
      <c r="A42" s="163"/>
      <c r="B42" s="164"/>
      <c r="C42" s="158"/>
      <c r="E42" s="170"/>
      <c r="F42" s="160"/>
      <c r="G42" s="170">
        <f>$E$42</f>
        <v>0</v>
      </c>
      <c r="H42" s="160"/>
      <c r="I42" s="170">
        <f>$E$42</f>
        <v>0</v>
      </c>
      <c r="J42" s="160"/>
      <c r="K42" s="170">
        <f>$E$42</f>
        <v>0</v>
      </c>
      <c r="L42" s="160"/>
      <c r="M42" s="170">
        <f>$E$42</f>
        <v>0</v>
      </c>
      <c r="N42" s="160"/>
      <c r="O42" s="170">
        <f>$E$42</f>
        <v>0</v>
      </c>
      <c r="P42" s="160"/>
      <c r="Q42" s="170">
        <f>$E$42</f>
        <v>0</v>
      </c>
      <c r="R42" s="160"/>
      <c r="S42" s="170">
        <f>$E$42</f>
        <v>0</v>
      </c>
      <c r="T42" s="160"/>
      <c r="U42" s="170">
        <f>$E$42</f>
        <v>0</v>
      </c>
      <c r="V42" s="160"/>
      <c r="W42" s="170">
        <f>$E$42</f>
        <v>0</v>
      </c>
      <c r="X42" s="160"/>
      <c r="Y42" s="170">
        <f>$E$42</f>
        <v>0</v>
      </c>
      <c r="Z42" s="160"/>
      <c r="AA42" s="170">
        <f>$E$42</f>
        <v>0</v>
      </c>
      <c r="AB42" s="160"/>
      <c r="AC42" s="170">
        <f>$E$42</f>
        <v>0</v>
      </c>
      <c r="AD42" s="160"/>
      <c r="AE42" s="170">
        <f>$E$42</f>
        <v>0</v>
      </c>
      <c r="AF42" s="160"/>
      <c r="AG42" s="170">
        <f>$E$42</f>
        <v>0</v>
      </c>
    </row>
    <row r="43" spans="1:33" s="161" customFormat="1" ht="14.1">
      <c r="A43" s="161" t="s">
        <v>2768</v>
      </c>
      <c r="C43" s="162"/>
      <c r="E43" s="161">
        <f>SUM(E40:E42)</f>
        <v>371840</v>
      </c>
      <c r="G43" s="161">
        <f>SUM(G40:G42)</f>
        <v>371840</v>
      </c>
      <c r="I43" s="161">
        <f>SUM(I40:I42)</f>
        <v>371840</v>
      </c>
      <c r="K43" s="161">
        <f>SUM(K40:K42)</f>
        <v>371840</v>
      </c>
      <c r="M43" s="161">
        <f>SUM(M40:M42)</f>
        <v>371840</v>
      </c>
      <c r="O43" s="161">
        <f>SUM(O40:O42)</f>
        <v>371840</v>
      </c>
      <c r="Q43" s="161">
        <f>SUM(Q40:Q42)</f>
        <v>371840</v>
      </c>
      <c r="S43" s="161">
        <f>SUM(S40:S42)</f>
        <v>371840</v>
      </c>
      <c r="U43" s="161">
        <f>SUM(U40:U42)</f>
        <v>371840</v>
      </c>
      <c r="W43" s="161">
        <f>SUM(W40:W42)</f>
        <v>371840</v>
      </c>
      <c r="Y43" s="161">
        <f>SUM(Y40:Y42)</f>
        <v>371840</v>
      </c>
      <c r="AA43" s="161">
        <f>SUM(AA40:AA42)</f>
        <v>371840</v>
      </c>
      <c r="AC43" s="161">
        <f>SUM(AC40:AC42)</f>
        <v>371840</v>
      </c>
      <c r="AE43" s="161">
        <f>SUM(AE40:AE42)</f>
        <v>371840</v>
      </c>
      <c r="AG43" s="161">
        <f>SUM(AG40:AG42)</f>
        <v>371840</v>
      </c>
    </row>
    <row r="44" spans="1:33" s="148" customFormat="1" ht="14.1">
      <c r="C44" s="158"/>
      <c r="E44" s="160"/>
      <c r="F44" s="160"/>
      <c r="G44" s="160"/>
      <c r="H44" s="160"/>
      <c r="I44" s="160"/>
      <c r="J44" s="160"/>
      <c r="K44" s="160"/>
      <c r="L44" s="160"/>
      <c r="M44" s="160"/>
      <c r="N44" s="160"/>
      <c r="O44" s="160"/>
      <c r="P44" s="160"/>
      <c r="Q44" s="160"/>
      <c r="R44" s="160"/>
      <c r="S44" s="160"/>
      <c r="T44" s="160"/>
      <c r="U44" s="160"/>
      <c r="V44" s="160"/>
      <c r="W44" s="160"/>
      <c r="X44" s="160"/>
      <c r="Y44" s="160"/>
      <c r="Z44" s="160"/>
      <c r="AA44" s="160"/>
      <c r="AB44" s="160"/>
      <c r="AC44" s="160"/>
      <c r="AD44" s="160"/>
      <c r="AE44" s="160"/>
      <c r="AF44" s="160"/>
      <c r="AG44" s="160"/>
    </row>
    <row r="45" spans="1:33" s="161" customFormat="1" ht="14.1">
      <c r="A45" s="161" t="s">
        <v>2769</v>
      </c>
      <c r="C45" s="162"/>
      <c r="E45" s="161">
        <f>E37-E43</f>
        <v>56901.399999999907</v>
      </c>
      <c r="G45" s="161">
        <f>G37-G43</f>
        <v>63115.905000000028</v>
      </c>
      <c r="I45" s="161">
        <f>I37-I43</f>
        <v>69300.85807499988</v>
      </c>
      <c r="K45" s="161">
        <f>K37-K43</f>
        <v>75449.057087624678</v>
      </c>
      <c r="M45" s="161">
        <f>M37-M43</f>
        <v>81552.893890291569</v>
      </c>
      <c r="O45" s="161">
        <f>O37-O43</f>
        <v>87604.336274269852</v>
      </c>
      <c r="Q45" s="161">
        <f>Q37-Q43</f>
        <v>93594.90919117874</v>
      </c>
      <c r="S45" s="161">
        <f>S37-S43</f>
        <v>99515.675219069934</v>
      </c>
      <c r="U45" s="161">
        <f>U37-U43</f>
        <v>105357.2142442055</v>
      </c>
      <c r="W45" s="161">
        <f>W37-W43</f>
        <v>111109.60232858022</v>
      </c>
      <c r="Y45" s="161">
        <f>Y37-Y43</f>
        <v>116762.38973210671</v>
      </c>
      <c r="AA45" s="161">
        <f>AA37-AA43</f>
        <v>122304.57805725781</v>
      </c>
      <c r="AC45" s="161">
        <f>AC37-AC43</f>
        <v>127724.59648273571</v>
      </c>
      <c r="AE45" s="161">
        <f>AE37-AE43</f>
        <v>133010.27705153113</v>
      </c>
      <c r="AG45" s="161">
        <f>AG37-AG43</f>
        <v>138148.82897742826</v>
      </c>
    </row>
    <row r="46" spans="1:33" s="148" customFormat="1" ht="14.1">
      <c r="C46" s="158"/>
      <c r="E46" s="160"/>
      <c r="F46" s="160"/>
      <c r="G46" s="160"/>
      <c r="H46" s="160"/>
      <c r="I46" s="160"/>
      <c r="J46" s="160"/>
      <c r="K46" s="160"/>
      <c r="L46" s="160"/>
      <c r="M46" s="160"/>
      <c r="N46" s="160"/>
      <c r="O46" s="160"/>
      <c r="P46" s="160"/>
      <c r="Q46" s="160"/>
      <c r="R46" s="160"/>
      <c r="S46" s="160"/>
      <c r="T46" s="160"/>
      <c r="U46" s="160"/>
      <c r="V46" s="160"/>
      <c r="W46" s="160"/>
      <c r="X46" s="160"/>
      <c r="Y46" s="160"/>
      <c r="Z46" s="160"/>
      <c r="AA46" s="160"/>
      <c r="AB46" s="160"/>
      <c r="AC46" s="160"/>
      <c r="AD46" s="160"/>
      <c r="AE46" s="160"/>
      <c r="AF46" s="160"/>
      <c r="AG46" s="160"/>
    </row>
    <row r="47" spans="1:33" s="165" customFormat="1" ht="14.1">
      <c r="A47" s="165" t="s">
        <v>2770</v>
      </c>
      <c r="C47" s="158"/>
      <c r="E47" s="165">
        <f>E45/(E4+E6+E8)</f>
        <v>5.4318449108015553E-2</v>
      </c>
      <c r="G47" s="165">
        <f>G45/(G4+G6+G8)</f>
        <v>5.8781323202024213E-2</v>
      </c>
      <c r="I47" s="165">
        <f>I45/(I4+I6+I8)</f>
        <v>6.2967331821518133E-2</v>
      </c>
      <c r="K47" s="165">
        <f>K45/(K4+K6+K8)</f>
        <v>6.6881596298817431E-2</v>
      </c>
      <c r="M47" s="165">
        <f>M45/(M4+M6+M8)</f>
        <v>7.0529097176269692E-2</v>
      </c>
      <c r="O47" s="165">
        <f>O45/(O4+O6+O8)</f>
        <v>7.3914677485413013E-2</v>
      </c>
      <c r="Q47" s="165">
        <f>Q45/(Q4+Q6+Q8)</f>
        <v>7.7043045944651403E-2</v>
      </c>
      <c r="S47" s="165">
        <f>S45/(S4+S6+S8)</f>
        <v>7.9918780077414847E-2</v>
      </c>
      <c r="U47" s="165">
        <f>U45/(U4+U6+U8)</f>
        <v>8.25463292527263E-2</v>
      </c>
      <c r="W47" s="165">
        <f>W45/(W4+W6+W8)</f>
        <v>8.49300176500591E-2</v>
      </c>
      <c r="Y47" s="165">
        <f>Y45/(Y4+Y6+Y8)</f>
        <v>8.7074047150306852E-2</v>
      </c>
      <c r="AA47" s="165">
        <f>AA45/(AA4+AA6+AA8)</f>
        <v>8.898250015466419E-2</v>
      </c>
      <c r="AC47" s="165">
        <f>AC45/(AC4+AC6+AC8)</f>
        <v>9.065934233314954E-2</v>
      </c>
      <c r="AE47" s="165">
        <f>AE45/(AE4+AE6+AE8)</f>
        <v>9.2108425304480324E-2</v>
      </c>
      <c r="AG47" s="165">
        <f>AG45/(AG4+AG6+AG8)</f>
        <v>9.3333489248951546E-2</v>
      </c>
    </row>
    <row r="48" spans="1:33" s="165" customFormat="1" ht="14.1">
      <c r="A48" s="165" t="s">
        <v>2771</v>
      </c>
      <c r="C48" s="158"/>
      <c r="E48" s="165">
        <f>E45/E43</f>
        <v>0.15302657056798599</v>
      </c>
      <c r="G48" s="165">
        <f>G45/G43</f>
        <v>0.16973941749139423</v>
      </c>
      <c r="I48" s="165">
        <f>I45/I43</f>
        <v>0.18637278957347214</v>
      </c>
      <c r="K48" s="165">
        <f>K45/K43</f>
        <v>0.20290731789916275</v>
      </c>
      <c r="M48" s="165">
        <f>M45/M43</f>
        <v>0.21932254165848636</v>
      </c>
      <c r="O48" s="165">
        <f>O45/O43</f>
        <v>0.23559685960162932</v>
      </c>
      <c r="Q48" s="165">
        <f>Q45/Q43</f>
        <v>0.25170747953737826</v>
      </c>
      <c r="S48" s="165">
        <f>S45/S43</f>
        <v>0.26763036579999444</v>
      </c>
      <c r="U48" s="165">
        <f>U45/U43</f>
        <v>0.28334018460683497</v>
      </c>
      <c r="W48" s="165">
        <f>W45/W43</f>
        <v>0.29881024722617316</v>
      </c>
      <c r="Y48" s="165">
        <f>Y45/Y43</f>
        <v>0.31401245087162949</v>
      </c>
      <c r="AA48" s="165">
        <f>AA45/AA43</f>
        <v>0.32891721723660122</v>
      </c>
      <c r="AC48" s="165">
        <f>AC45/AC43</f>
        <v>0.34349342857878579</v>
      </c>
      <c r="AE48" s="165">
        <f>AE45/AE43</f>
        <v>0.35770836126164784</v>
      </c>
      <c r="AG48" s="165">
        <f>AG45/AG43</f>
        <v>0.37152761665616463</v>
      </c>
    </row>
    <row r="49" spans="1:35" s="166" customFormat="1" ht="14.1">
      <c r="A49" s="166" t="s">
        <v>2093</v>
      </c>
      <c r="C49" s="167"/>
      <c r="E49" s="166">
        <f>E37/E43</f>
        <v>1.1530265705679861</v>
      </c>
      <c r="G49" s="166">
        <f>G37/G43</f>
        <v>1.1697394174913942</v>
      </c>
      <c r="I49" s="166">
        <f>I37/I43</f>
        <v>1.1863727895734721</v>
      </c>
      <c r="K49" s="166">
        <f>K37/K43</f>
        <v>1.2029073178991627</v>
      </c>
      <c r="M49" s="166">
        <f>M37/M43</f>
        <v>1.2193225416584863</v>
      </c>
      <c r="O49" s="166">
        <f>O37/O43</f>
        <v>1.2355968596016293</v>
      </c>
      <c r="Q49" s="166">
        <f>Q37/Q43</f>
        <v>1.2517074795373784</v>
      </c>
      <c r="S49" s="166">
        <f>S37/S43</f>
        <v>1.2676303657999946</v>
      </c>
      <c r="U49" s="166">
        <f>U37/U43</f>
        <v>1.2833401846068349</v>
      </c>
      <c r="W49" s="166">
        <f>W37/W43</f>
        <v>1.2988102472261731</v>
      </c>
      <c r="Y49" s="166">
        <f>Y37/Y43</f>
        <v>1.3140124508716295</v>
      </c>
      <c r="AA49" s="166">
        <f>AA37/AA43</f>
        <v>1.3289172172366013</v>
      </c>
      <c r="AC49" s="166">
        <f>AC37/AC43</f>
        <v>1.3434934285787858</v>
      </c>
      <c r="AE49" s="166">
        <f>AE37/AE43</f>
        <v>1.3577083612616478</v>
      </c>
      <c r="AG49" s="166">
        <f>AG37/AG43</f>
        <v>1.3715276166561647</v>
      </c>
    </row>
    <row r="50" spans="1:35" s="148" customFormat="1" ht="14.1">
      <c r="A50" s="168"/>
      <c r="B50" s="168"/>
      <c r="C50" s="169"/>
      <c r="D50" s="168"/>
      <c r="E50" s="170"/>
      <c r="F50" s="170"/>
      <c r="G50" s="170"/>
      <c r="H50" s="170"/>
      <c r="I50" s="170"/>
      <c r="J50" s="170"/>
      <c r="K50" s="170"/>
      <c r="L50" s="170"/>
      <c r="M50" s="170"/>
      <c r="N50" s="170"/>
      <c r="O50" s="170"/>
      <c r="P50" s="170"/>
      <c r="Q50" s="170"/>
      <c r="R50" s="170"/>
      <c r="S50" s="170"/>
      <c r="T50" s="170"/>
      <c r="U50" s="170"/>
      <c r="V50" s="170"/>
      <c r="W50" s="170"/>
      <c r="X50" s="170"/>
      <c r="Y50" s="170"/>
      <c r="Z50" s="170"/>
      <c r="AA50" s="170"/>
      <c r="AB50" s="170"/>
      <c r="AC50" s="170"/>
      <c r="AD50" s="170"/>
      <c r="AE50" s="170"/>
      <c r="AF50" s="170"/>
      <c r="AG50" s="170"/>
    </row>
    <row r="51" spans="1:35" s="3" customFormat="1">
      <c r="A51" s="3" t="s">
        <v>2772</v>
      </c>
      <c r="C51" s="881"/>
      <c r="E51" s="880"/>
      <c r="F51" s="880"/>
      <c r="G51" s="880"/>
      <c r="H51" s="880"/>
      <c r="I51" s="880"/>
      <c r="J51" s="880"/>
      <c r="K51" s="880"/>
      <c r="L51" s="880"/>
      <c r="M51" s="880"/>
      <c r="N51" s="880"/>
      <c r="O51" s="880"/>
      <c r="P51" s="880"/>
      <c r="Q51" s="880"/>
      <c r="R51" s="880"/>
      <c r="S51" s="880"/>
      <c r="T51" s="880"/>
      <c r="U51" s="880"/>
      <c r="V51" s="880"/>
      <c r="W51" s="880"/>
      <c r="X51" s="880"/>
      <c r="Y51" s="880"/>
      <c r="Z51" s="880"/>
      <c r="AA51" s="880"/>
      <c r="AB51" s="880"/>
      <c r="AC51" s="880"/>
      <c r="AD51" s="880"/>
      <c r="AE51" s="880"/>
      <c r="AF51" s="880"/>
      <c r="AG51" s="880"/>
    </row>
    <row r="52" spans="1:35" s="3" customFormat="1">
      <c r="A52" s="2399" t="s">
        <v>1076</v>
      </c>
      <c r="B52" s="2399"/>
      <c r="C52" s="2399"/>
      <c r="D52" s="880"/>
      <c r="E52" s="880"/>
      <c r="F52" s="880"/>
      <c r="G52" s="880"/>
      <c r="H52" s="880"/>
      <c r="I52" s="880"/>
      <c r="J52" s="880"/>
      <c r="K52" s="880"/>
      <c r="L52" s="880"/>
      <c r="M52" s="880"/>
      <c r="N52" s="880"/>
      <c r="O52" s="880"/>
      <c r="P52" s="880"/>
      <c r="Q52" s="880"/>
      <c r="R52" s="880"/>
      <c r="S52" s="880"/>
      <c r="T52" s="880"/>
      <c r="U52" s="880"/>
      <c r="V52" s="880"/>
      <c r="W52" s="880"/>
      <c r="X52" s="880"/>
      <c r="Y52" s="880"/>
      <c r="Z52" s="880"/>
      <c r="AA52" s="880"/>
      <c r="AB52" s="880"/>
      <c r="AC52" s="880"/>
      <c r="AD52" s="880"/>
      <c r="AE52" s="880"/>
      <c r="AF52" s="880"/>
      <c r="AG52" s="880"/>
    </row>
    <row r="53" spans="1:35" s="882" customFormat="1">
      <c r="A53" s="882" t="s">
        <v>2644</v>
      </c>
      <c r="C53" s="883">
        <v>1.0349999999999999</v>
      </c>
      <c r="E53" s="884">
        <v>10800</v>
      </c>
      <c r="G53" s="880">
        <f>E53*$C$53</f>
        <v>11178</v>
      </c>
      <c r="I53" s="880">
        <f>G53*$C$53</f>
        <v>11569.23</v>
      </c>
      <c r="K53" s="880">
        <f>I53*$C$53</f>
        <v>11974.153049999999</v>
      </c>
      <c r="M53" s="880">
        <f>K53*$C$53</f>
        <v>12393.248406749997</v>
      </c>
      <c r="O53" s="880">
        <f>M53*$C$53</f>
        <v>12827.012100986247</v>
      </c>
      <c r="Q53" s="880">
        <f>O53*$C$53</f>
        <v>13275.957524520765</v>
      </c>
      <c r="S53" s="880">
        <f>Q53*$C$53</f>
        <v>13740.616037878992</v>
      </c>
      <c r="U53" s="880">
        <f>S53*$C$53</f>
        <v>14221.537599204756</v>
      </c>
      <c r="W53" s="880">
        <f>U53*$C$53</f>
        <v>14719.291415176922</v>
      </c>
      <c r="Y53" s="880">
        <f>W53*$C$53</f>
        <v>15234.466614708113</v>
      </c>
      <c r="AA53" s="880">
        <f>Y53*$C$53</f>
        <v>15767.672946222896</v>
      </c>
      <c r="AC53" s="880">
        <f>AA53*$C$53</f>
        <v>16319.541499340696</v>
      </c>
      <c r="AE53" s="880">
        <f>AC53*$C$53</f>
        <v>16890.72545181762</v>
      </c>
      <c r="AG53" s="880">
        <f>AE53*$C$53</f>
        <v>17481.900842631236</v>
      </c>
    </row>
    <row r="54" spans="1:35" s="3" customFormat="1">
      <c r="A54" s="3" t="s">
        <v>2773</v>
      </c>
      <c r="C54" s="878"/>
      <c r="E54" s="885">
        <v>5000</v>
      </c>
      <c r="F54" s="880"/>
      <c r="G54" s="880">
        <f t="shared" ref="G54:AG57" si="8189">E54*$C$53</f>
        <v>5175</v>
      </c>
      <c r="H54" s="880"/>
      <c r="I54" s="880">
        <f t="shared" si="8189"/>
        <v>5356.125</v>
      </c>
      <c r="J54" s="880"/>
      <c r="K54" s="880">
        <f t="shared" si="8189"/>
        <v>5543.5893749999996</v>
      </c>
      <c r="L54" s="880"/>
      <c r="M54" s="880">
        <f t="shared" si="8189"/>
        <v>5737.615003124999</v>
      </c>
      <c r="N54" s="880"/>
      <c r="O54" s="880">
        <f t="shared" si="8189"/>
        <v>5938.4315282343732</v>
      </c>
      <c r="P54" s="880"/>
      <c r="Q54" s="880">
        <f t="shared" si="8189"/>
        <v>6146.276631722576</v>
      </c>
      <c r="R54" s="880"/>
      <c r="S54" s="880">
        <f t="shared" si="8189"/>
        <v>6361.3963138328654</v>
      </c>
      <c r="T54" s="880"/>
      <c r="U54" s="880">
        <f t="shared" si="8189"/>
        <v>6584.0451848170151</v>
      </c>
      <c r="V54" s="880"/>
      <c r="W54" s="880">
        <f t="shared" si="8189"/>
        <v>6814.4867662856104</v>
      </c>
      <c r="X54" s="880"/>
      <c r="Y54" s="880">
        <f t="shared" si="8189"/>
        <v>7052.9938031056063</v>
      </c>
      <c r="Z54" s="880"/>
      <c r="AA54" s="880">
        <f t="shared" si="8189"/>
        <v>7299.8485862143016</v>
      </c>
      <c r="AB54" s="880"/>
      <c r="AC54" s="880">
        <f t="shared" si="8189"/>
        <v>7555.3432867318015</v>
      </c>
      <c r="AD54" s="880"/>
      <c r="AE54" s="880">
        <f t="shared" si="8189"/>
        <v>7819.7803017674141</v>
      </c>
      <c r="AF54" s="880"/>
      <c r="AG54" s="880">
        <f t="shared" si="8189"/>
        <v>8093.472612329273</v>
      </c>
      <c r="AH54" s="880"/>
      <c r="AI54" s="880"/>
    </row>
    <row r="55" spans="1:35" s="3" customFormat="1">
      <c r="A55" s="3" t="s">
        <v>2774</v>
      </c>
      <c r="C55" s="878"/>
      <c r="E55" s="885"/>
      <c r="F55" s="880"/>
      <c r="G55" s="880">
        <f t="shared" si="8189"/>
        <v>0</v>
      </c>
      <c r="H55" s="880"/>
      <c r="I55" s="880">
        <f t="shared" si="8189"/>
        <v>0</v>
      </c>
      <c r="J55" s="880"/>
      <c r="K55" s="880">
        <f t="shared" si="8189"/>
        <v>0</v>
      </c>
      <c r="L55" s="880"/>
      <c r="M55" s="880">
        <f t="shared" si="8189"/>
        <v>0</v>
      </c>
      <c r="N55" s="880"/>
      <c r="O55" s="880">
        <f t="shared" si="8189"/>
        <v>0</v>
      </c>
      <c r="P55" s="880"/>
      <c r="Q55" s="880">
        <f t="shared" si="8189"/>
        <v>0</v>
      </c>
      <c r="R55" s="880"/>
      <c r="S55" s="880">
        <f t="shared" si="8189"/>
        <v>0</v>
      </c>
      <c r="T55" s="880"/>
      <c r="U55" s="880">
        <f t="shared" si="8189"/>
        <v>0</v>
      </c>
      <c r="V55" s="880"/>
      <c r="W55" s="880">
        <f t="shared" si="8189"/>
        <v>0</v>
      </c>
      <c r="X55" s="880"/>
      <c r="Y55" s="880">
        <f t="shared" si="8189"/>
        <v>0</v>
      </c>
      <c r="Z55" s="880"/>
      <c r="AA55" s="880">
        <f t="shared" si="8189"/>
        <v>0</v>
      </c>
      <c r="AB55" s="880"/>
      <c r="AC55" s="880">
        <f t="shared" si="8189"/>
        <v>0</v>
      </c>
      <c r="AD55" s="880"/>
      <c r="AE55" s="880">
        <f t="shared" si="8189"/>
        <v>0</v>
      </c>
      <c r="AF55" s="880"/>
      <c r="AG55" s="880">
        <f t="shared" si="8189"/>
        <v>0</v>
      </c>
      <c r="AH55" s="880"/>
      <c r="AI55" s="880"/>
    </row>
    <row r="56" spans="1:35" s="3" customFormat="1">
      <c r="A56" s="886"/>
      <c r="B56" s="886"/>
      <c r="C56" s="878"/>
      <c r="E56" s="885"/>
      <c r="F56" s="880"/>
      <c r="G56" s="880">
        <f t="shared" si="8189"/>
        <v>0</v>
      </c>
      <c r="H56" s="880"/>
      <c r="I56" s="880">
        <f t="shared" si="8189"/>
        <v>0</v>
      </c>
      <c r="J56" s="880"/>
      <c r="K56" s="880">
        <f t="shared" si="8189"/>
        <v>0</v>
      </c>
      <c r="L56" s="880"/>
      <c r="M56" s="880">
        <f t="shared" si="8189"/>
        <v>0</v>
      </c>
      <c r="N56" s="880"/>
      <c r="O56" s="880">
        <f t="shared" si="8189"/>
        <v>0</v>
      </c>
      <c r="P56" s="880"/>
      <c r="Q56" s="880">
        <f t="shared" si="8189"/>
        <v>0</v>
      </c>
      <c r="R56" s="880"/>
      <c r="S56" s="880">
        <f t="shared" si="8189"/>
        <v>0</v>
      </c>
      <c r="T56" s="880"/>
      <c r="U56" s="880">
        <f t="shared" si="8189"/>
        <v>0</v>
      </c>
      <c r="V56" s="880"/>
      <c r="W56" s="880">
        <f t="shared" si="8189"/>
        <v>0</v>
      </c>
      <c r="X56" s="880"/>
      <c r="Y56" s="880">
        <f t="shared" si="8189"/>
        <v>0</v>
      </c>
      <c r="Z56" s="880"/>
      <c r="AA56" s="880">
        <f t="shared" si="8189"/>
        <v>0</v>
      </c>
      <c r="AB56" s="880"/>
      <c r="AC56" s="880">
        <f t="shared" si="8189"/>
        <v>0</v>
      </c>
      <c r="AD56" s="880"/>
      <c r="AE56" s="880">
        <f t="shared" si="8189"/>
        <v>0</v>
      </c>
      <c r="AF56" s="880"/>
      <c r="AG56" s="880">
        <f t="shared" si="8189"/>
        <v>0</v>
      </c>
      <c r="AH56" s="880"/>
      <c r="AI56" s="880"/>
    </row>
    <row r="57" spans="1:35" s="3" customFormat="1">
      <c r="A57" s="886"/>
      <c r="B57" s="886"/>
      <c r="C57" s="878"/>
      <c r="E57" s="887"/>
      <c r="F57" s="880"/>
      <c r="G57" s="888">
        <f t="shared" si="8189"/>
        <v>0</v>
      </c>
      <c r="H57" s="880"/>
      <c r="I57" s="888">
        <f t="shared" si="8189"/>
        <v>0</v>
      </c>
      <c r="J57" s="880"/>
      <c r="K57" s="888">
        <f t="shared" si="8189"/>
        <v>0</v>
      </c>
      <c r="L57" s="880"/>
      <c r="M57" s="888">
        <f t="shared" si="8189"/>
        <v>0</v>
      </c>
      <c r="N57" s="880"/>
      <c r="O57" s="888">
        <f t="shared" si="8189"/>
        <v>0</v>
      </c>
      <c r="P57" s="880"/>
      <c r="Q57" s="888">
        <f t="shared" si="8189"/>
        <v>0</v>
      </c>
      <c r="R57" s="880"/>
      <c r="S57" s="888">
        <f t="shared" si="8189"/>
        <v>0</v>
      </c>
      <c r="T57" s="880"/>
      <c r="U57" s="888">
        <f t="shared" si="8189"/>
        <v>0</v>
      </c>
      <c r="V57" s="880"/>
      <c r="W57" s="888">
        <f t="shared" si="8189"/>
        <v>0</v>
      </c>
      <c r="X57" s="880"/>
      <c r="Y57" s="888">
        <f t="shared" si="8189"/>
        <v>0</v>
      </c>
      <c r="Z57" s="880"/>
      <c r="AA57" s="888">
        <f t="shared" si="8189"/>
        <v>0</v>
      </c>
      <c r="AB57" s="880"/>
      <c r="AC57" s="888">
        <f t="shared" si="8189"/>
        <v>0</v>
      </c>
      <c r="AD57" s="880"/>
      <c r="AE57" s="888">
        <f t="shared" si="8189"/>
        <v>0</v>
      </c>
      <c r="AF57" s="880"/>
      <c r="AG57" s="888">
        <f t="shared" si="8189"/>
        <v>0</v>
      </c>
      <c r="AH57" s="880"/>
      <c r="AI57" s="880"/>
    </row>
    <row r="58" spans="1:35" s="3" customFormat="1">
      <c r="A58" s="882" t="s">
        <v>2775</v>
      </c>
      <c r="C58" s="881"/>
      <c r="E58" s="880">
        <f>SUM(E53:E57)</f>
        <v>15800</v>
      </c>
      <c r="F58" s="880"/>
      <c r="G58" s="880">
        <f>SUM(G53:G57)</f>
        <v>16353</v>
      </c>
      <c r="H58" s="880"/>
      <c r="I58" s="880">
        <f>SUM(I53:I57)</f>
        <v>16925.355</v>
      </c>
      <c r="J58" s="880"/>
      <c r="K58" s="880">
        <f>SUM(K53:K57)</f>
        <v>17517.742424999997</v>
      </c>
      <c r="L58" s="880"/>
      <c r="M58" s="880">
        <f>SUM(M53:M57)</f>
        <v>18130.863409874997</v>
      </c>
      <c r="N58" s="880"/>
      <c r="O58" s="880">
        <f>SUM(O53:O57)</f>
        <v>18765.443629220619</v>
      </c>
      <c r="P58" s="880"/>
      <c r="Q58" s="880">
        <f>SUM(Q53:Q57)</f>
        <v>19422.234156243343</v>
      </c>
      <c r="R58" s="880"/>
      <c r="S58" s="880">
        <f>SUM(S53:S57)</f>
        <v>20102.012351711855</v>
      </c>
      <c r="T58" s="880"/>
      <c r="U58" s="880">
        <f>SUM(U53:U57)</f>
        <v>20805.582784021772</v>
      </c>
      <c r="V58" s="880"/>
      <c r="W58" s="880">
        <f>SUM(W53:W57)</f>
        <v>21533.778181462534</v>
      </c>
      <c r="X58" s="880"/>
      <c r="Y58" s="880">
        <f>SUM(Y53:Y57)</f>
        <v>22287.46041781372</v>
      </c>
      <c r="Z58" s="880"/>
      <c r="AA58" s="880">
        <f>SUM(AA53:AA57)</f>
        <v>23067.521532437197</v>
      </c>
      <c r="AB58" s="880"/>
      <c r="AC58" s="880">
        <f>SUM(AC53:AC57)</f>
        <v>23874.884786072496</v>
      </c>
      <c r="AD58" s="880"/>
      <c r="AE58" s="880">
        <f>SUM(AE53:AE57)</f>
        <v>24710.505753585036</v>
      </c>
      <c r="AF58" s="880"/>
      <c r="AG58" s="880">
        <f>SUM(AG53:AG57)</f>
        <v>25575.373454960507</v>
      </c>
      <c r="AH58" s="880"/>
      <c r="AI58" s="880"/>
    </row>
    <row r="59" spans="1:35" s="3" customFormat="1" ht="12.75" customHeight="1">
      <c r="A59" s="882"/>
      <c r="C59" s="881"/>
      <c r="E59" s="880"/>
      <c r="F59" s="880"/>
      <c r="G59" s="880"/>
      <c r="H59" s="880"/>
      <c r="I59" s="880"/>
      <c r="J59" s="880"/>
      <c r="K59" s="880"/>
      <c r="L59" s="880"/>
      <c r="M59" s="880"/>
      <c r="N59" s="880"/>
      <c r="O59" s="880"/>
      <c r="P59" s="880"/>
      <c r="Q59" s="880"/>
      <c r="R59" s="880"/>
      <c r="S59" s="880"/>
      <c r="T59" s="880"/>
      <c r="U59" s="880"/>
      <c r="V59" s="880"/>
      <c r="W59" s="880"/>
      <c r="X59" s="880"/>
      <c r="Y59" s="880"/>
      <c r="Z59" s="880"/>
      <c r="AA59" s="880"/>
      <c r="AB59" s="880"/>
      <c r="AC59" s="880"/>
      <c r="AD59" s="880"/>
      <c r="AE59" s="880"/>
      <c r="AF59" s="880"/>
      <c r="AG59" s="880"/>
      <c r="AH59" s="880"/>
      <c r="AI59" s="880"/>
    </row>
    <row r="60" spans="1:35" s="882" customFormat="1">
      <c r="A60" s="882" t="s">
        <v>2776</v>
      </c>
      <c r="C60" s="889"/>
      <c r="E60" s="882">
        <f>E45-E58</f>
        <v>41101.399999999907</v>
      </c>
      <c r="G60" s="882">
        <f>G45-G58</f>
        <v>46762.905000000028</v>
      </c>
      <c r="I60" s="882">
        <f>I45-I58</f>
        <v>52375.503074999884</v>
      </c>
      <c r="K60" s="882">
        <f>K45-K58</f>
        <v>57931.314662624682</v>
      </c>
      <c r="M60" s="882">
        <f>M45-M58</f>
        <v>63422.030480416572</v>
      </c>
      <c r="O60" s="882">
        <f>O45-O58</f>
        <v>68838.892645049229</v>
      </c>
      <c r="Q60" s="882">
        <f>Q45-Q58</f>
        <v>74172.675034935397</v>
      </c>
      <c r="S60" s="882">
        <f>S45-S58</f>
        <v>79413.662867358071</v>
      </c>
      <c r="U60" s="882">
        <f>U45-U58</f>
        <v>84551.631460183737</v>
      </c>
      <c r="W60" s="882">
        <f>W45-W58</f>
        <v>89575.824147117688</v>
      </c>
      <c r="Y60" s="882">
        <f>Y45-Y58</f>
        <v>94474.929314292982</v>
      </c>
      <c r="AA60" s="882">
        <f>AA45-AA58</f>
        <v>99237.056524820611</v>
      </c>
      <c r="AC60" s="882">
        <f>AC45-AC58</f>
        <v>103849.71169666322</v>
      </c>
      <c r="AE60" s="882">
        <f>AE45-AE58</f>
        <v>108299.77129794609</v>
      </c>
      <c r="AG60" s="882">
        <f>AG45-AG58</f>
        <v>112573.45552246776</v>
      </c>
    </row>
    <row r="61" spans="1:35" s="3" customFormat="1" ht="8.25" customHeight="1">
      <c r="C61" s="881"/>
      <c r="E61" s="880"/>
      <c r="F61" s="880"/>
      <c r="G61" s="880"/>
      <c r="H61" s="880"/>
      <c r="I61" s="880"/>
      <c r="J61" s="880"/>
      <c r="K61" s="880"/>
      <c r="L61" s="880"/>
      <c r="M61" s="880"/>
      <c r="N61" s="880"/>
      <c r="O61" s="880"/>
      <c r="P61" s="880"/>
      <c r="Q61" s="880"/>
      <c r="R61" s="880"/>
      <c r="S61" s="880"/>
      <c r="T61" s="880"/>
      <c r="U61" s="880"/>
      <c r="V61" s="880"/>
      <c r="W61" s="880"/>
      <c r="X61" s="880"/>
      <c r="Y61" s="880"/>
      <c r="Z61" s="880"/>
      <c r="AA61" s="880"/>
      <c r="AB61" s="880"/>
      <c r="AC61" s="880"/>
      <c r="AD61" s="880"/>
      <c r="AE61" s="880"/>
      <c r="AF61" s="880"/>
      <c r="AG61" s="880"/>
      <c r="AH61" s="880"/>
      <c r="AI61" s="880"/>
    </row>
    <row r="62" spans="1:35" s="882" customFormat="1">
      <c r="A62" s="882" t="s">
        <v>2777</v>
      </c>
      <c r="C62" s="879">
        <v>1</v>
      </c>
      <c r="E62" s="884">
        <f>E60*$C$62</f>
        <v>41101.399999999907</v>
      </c>
      <c r="G62" s="882">
        <f>G60*$C$62</f>
        <v>46762.905000000028</v>
      </c>
      <c r="I62" s="882">
        <f>I60*$C$62</f>
        <v>52375.503074999884</v>
      </c>
      <c r="K62" s="882">
        <f>K60*$C$62</f>
        <v>57931.314662624682</v>
      </c>
      <c r="M62" s="882">
        <f>M60*$C$62</f>
        <v>63422.030480416572</v>
      </c>
      <c r="O62" s="882">
        <f>O60*$C$62</f>
        <v>68838.892645049229</v>
      </c>
      <c r="Q62" s="882">
        <f>Q60*$C$62</f>
        <v>74172.675034935397</v>
      </c>
      <c r="S62" s="882">
        <f>S60*$C$62</f>
        <v>79413.662867358071</v>
      </c>
      <c r="U62" s="882">
        <f>U60*$C$62</f>
        <v>84551.631460183737</v>
      </c>
      <c r="W62" s="882">
        <f>W60*$C$62</f>
        <v>89575.824147117688</v>
      </c>
      <c r="Y62" s="882">
        <f>Y60*$C$62</f>
        <v>94474.929314292982</v>
      </c>
      <c r="AA62" s="882">
        <f>AA60*$C$62</f>
        <v>99237.056524820611</v>
      </c>
      <c r="AC62" s="882">
        <f>AC60*$C$62</f>
        <v>103849.71169666322</v>
      </c>
      <c r="AE62" s="882">
        <f>AE60*$C$62</f>
        <v>108299.77129794609</v>
      </c>
      <c r="AG62" s="882">
        <f>AG60*$C$62</f>
        <v>112573.45552246776</v>
      </c>
    </row>
    <row r="63" spans="1:35" s="882" customFormat="1">
      <c r="A63" s="2399" t="s">
        <v>1076</v>
      </c>
      <c r="B63" s="2399"/>
      <c r="C63" s="2399"/>
    </row>
    <row r="64" spans="1:35" s="3" customFormat="1" ht="8.25" customHeight="1">
      <c r="C64" s="881"/>
      <c r="E64" s="880"/>
      <c r="F64" s="880"/>
      <c r="G64" s="880"/>
      <c r="H64" s="880"/>
      <c r="I64" s="880"/>
      <c r="J64" s="880"/>
      <c r="K64" s="880"/>
      <c r="L64" s="880"/>
      <c r="M64" s="880"/>
      <c r="N64" s="880"/>
      <c r="O64" s="880"/>
      <c r="P64" s="880"/>
      <c r="Q64" s="880"/>
      <c r="R64" s="880"/>
      <c r="S64" s="880"/>
      <c r="T64" s="880"/>
      <c r="U64" s="880"/>
      <c r="V64" s="880"/>
      <c r="W64" s="880"/>
      <c r="X64" s="880"/>
      <c r="Y64" s="880"/>
      <c r="Z64" s="880"/>
      <c r="AA64" s="880"/>
      <c r="AB64" s="880"/>
      <c r="AC64" s="880"/>
      <c r="AD64" s="880"/>
      <c r="AE64" s="880"/>
      <c r="AF64" s="880"/>
      <c r="AG64" s="880"/>
      <c r="AH64" s="880"/>
      <c r="AI64" s="880"/>
    </row>
    <row r="65" spans="1:35" s="3" customFormat="1">
      <c r="A65" s="3" t="s">
        <v>2778</v>
      </c>
      <c r="C65" s="879">
        <v>0</v>
      </c>
      <c r="E65" s="880"/>
      <c r="F65" s="880"/>
      <c r="G65" s="880"/>
      <c r="H65" s="880"/>
      <c r="I65" s="880"/>
      <c r="J65" s="880"/>
      <c r="K65" s="880"/>
      <c r="L65" s="880"/>
      <c r="M65" s="880"/>
      <c r="N65" s="880"/>
      <c r="O65" s="880"/>
      <c r="P65" s="880"/>
      <c r="Q65" s="880"/>
      <c r="R65" s="880"/>
      <c r="S65" s="880"/>
      <c r="T65" s="880"/>
      <c r="U65" s="880"/>
      <c r="V65" s="880"/>
      <c r="W65" s="880"/>
      <c r="X65" s="880"/>
      <c r="Y65" s="880"/>
      <c r="Z65" s="880"/>
      <c r="AA65" s="880"/>
      <c r="AB65" s="880"/>
      <c r="AC65" s="880"/>
      <c r="AD65" s="880"/>
      <c r="AE65" s="880"/>
      <c r="AF65" s="880"/>
      <c r="AG65" s="880"/>
      <c r="AH65" s="880"/>
      <c r="AI65" s="880"/>
    </row>
    <row r="66" spans="1:35" s="882" customFormat="1">
      <c r="A66" s="884"/>
      <c r="B66" s="884"/>
      <c r="C66" s="883"/>
      <c r="E66" s="884">
        <f>$E60*$C$65</f>
        <v>0</v>
      </c>
      <c r="G66" s="880">
        <f>G60*$C$65</f>
        <v>0</v>
      </c>
      <c r="I66" s="880">
        <f>I60*$C$65</f>
        <v>0</v>
      </c>
      <c r="K66" s="880">
        <f>K60*$C$65</f>
        <v>0</v>
      </c>
      <c r="M66" s="880">
        <f>M60*$C$65</f>
        <v>0</v>
      </c>
      <c r="O66" s="880">
        <f>O60*$C$65</f>
        <v>0</v>
      </c>
      <c r="Q66" s="880">
        <f>Q60*$C$65</f>
        <v>0</v>
      </c>
      <c r="S66" s="880">
        <f>S60*$C$65</f>
        <v>0</v>
      </c>
      <c r="U66" s="880">
        <f>U60*$C$65</f>
        <v>0</v>
      </c>
      <c r="W66" s="880">
        <f>W60*$C$65</f>
        <v>0</v>
      </c>
      <c r="Y66" s="880">
        <f>Y60*$C$65</f>
        <v>0</v>
      </c>
      <c r="AA66" s="880">
        <f>AA60*$C$65</f>
        <v>0</v>
      </c>
      <c r="AC66" s="880">
        <f>AC60*$C$65</f>
        <v>0</v>
      </c>
      <c r="AE66" s="880">
        <f>AE60*$C$65</f>
        <v>0</v>
      </c>
      <c r="AG66" s="880">
        <f>AG60*$C$65</f>
        <v>0</v>
      </c>
    </row>
    <row r="67" spans="1:35" s="880" customFormat="1">
      <c r="A67" s="885"/>
      <c r="B67" s="885"/>
      <c r="C67" s="890"/>
      <c r="E67" s="884">
        <f>$E60*$C$65</f>
        <v>0</v>
      </c>
      <c r="G67" s="880">
        <f>G60*$C$65</f>
        <v>0</v>
      </c>
      <c r="I67" s="880">
        <f>I60*$C$65</f>
        <v>0</v>
      </c>
      <c r="K67" s="880">
        <f>K60*$C$65</f>
        <v>0</v>
      </c>
      <c r="M67" s="880">
        <f>M60*$C$65</f>
        <v>0</v>
      </c>
      <c r="O67" s="880">
        <f>O60*$C$65</f>
        <v>0</v>
      </c>
      <c r="Q67" s="880">
        <f>Q60*$C$65</f>
        <v>0</v>
      </c>
      <c r="S67" s="880">
        <f>S60*$C$65</f>
        <v>0</v>
      </c>
      <c r="U67" s="880">
        <f>U60*$C$65</f>
        <v>0</v>
      </c>
      <c r="W67" s="880">
        <f>W60*$C$65</f>
        <v>0</v>
      </c>
      <c r="Y67" s="880">
        <f>Y60*$C$65</f>
        <v>0</v>
      </c>
      <c r="AA67" s="880">
        <f>AA60*$C$65</f>
        <v>0</v>
      </c>
      <c r="AC67" s="880">
        <f>AC60*$C$65</f>
        <v>0</v>
      </c>
      <c r="AE67" s="880">
        <f>AE60*$C$65</f>
        <v>0</v>
      </c>
      <c r="AG67" s="880">
        <f>AG60*$C$65</f>
        <v>0</v>
      </c>
    </row>
    <row r="68" spans="1:35" s="880" customFormat="1">
      <c r="A68" s="885"/>
      <c r="B68" s="885"/>
      <c r="C68" s="890"/>
      <c r="E68" s="885"/>
      <c r="G68" s="880">
        <f t="shared" ref="G68:AG69" si="8190">E68*$C$66</f>
        <v>0</v>
      </c>
      <c r="I68" s="880">
        <f t="shared" si="8190"/>
        <v>0</v>
      </c>
      <c r="K68" s="880">
        <f t="shared" si="8190"/>
        <v>0</v>
      </c>
      <c r="M68" s="880">
        <f t="shared" si="8190"/>
        <v>0</v>
      </c>
      <c r="O68" s="880">
        <f t="shared" si="8190"/>
        <v>0</v>
      </c>
      <c r="Q68" s="880">
        <f t="shared" si="8190"/>
        <v>0</v>
      </c>
      <c r="S68" s="880">
        <f t="shared" si="8190"/>
        <v>0</v>
      </c>
      <c r="U68" s="880">
        <f t="shared" si="8190"/>
        <v>0</v>
      </c>
      <c r="W68" s="880">
        <f t="shared" si="8190"/>
        <v>0</v>
      </c>
      <c r="Y68" s="880">
        <f t="shared" si="8190"/>
        <v>0</v>
      </c>
      <c r="AA68" s="880">
        <f t="shared" si="8190"/>
        <v>0</v>
      </c>
      <c r="AC68" s="880">
        <f t="shared" si="8190"/>
        <v>0</v>
      </c>
      <c r="AE68" s="880">
        <f t="shared" si="8190"/>
        <v>0</v>
      </c>
      <c r="AG68" s="880">
        <f t="shared" si="8190"/>
        <v>0</v>
      </c>
    </row>
    <row r="69" spans="1:35" s="880" customFormat="1">
      <c r="A69" s="885"/>
      <c r="B69" s="885"/>
      <c r="C69" s="890"/>
      <c r="E69" s="887"/>
      <c r="G69" s="888">
        <f t="shared" si="8190"/>
        <v>0</v>
      </c>
      <c r="I69" s="888">
        <f t="shared" si="8190"/>
        <v>0</v>
      </c>
      <c r="K69" s="888">
        <f t="shared" si="8190"/>
        <v>0</v>
      </c>
      <c r="M69" s="888">
        <f t="shared" si="8190"/>
        <v>0</v>
      </c>
      <c r="O69" s="888">
        <f t="shared" si="8190"/>
        <v>0</v>
      </c>
      <c r="Q69" s="888">
        <f t="shared" si="8190"/>
        <v>0</v>
      </c>
      <c r="S69" s="888">
        <f t="shared" si="8190"/>
        <v>0</v>
      </c>
      <c r="U69" s="888">
        <f t="shared" si="8190"/>
        <v>0</v>
      </c>
      <c r="W69" s="888">
        <f t="shared" si="8190"/>
        <v>0</v>
      </c>
      <c r="Y69" s="888">
        <f t="shared" si="8190"/>
        <v>0</v>
      </c>
      <c r="AA69" s="888">
        <f t="shared" si="8190"/>
        <v>0</v>
      </c>
      <c r="AC69" s="888">
        <f t="shared" si="8190"/>
        <v>0</v>
      </c>
      <c r="AE69" s="888">
        <f t="shared" si="8190"/>
        <v>0</v>
      </c>
      <c r="AG69" s="888">
        <f t="shared" si="8190"/>
        <v>0</v>
      </c>
    </row>
    <row r="70" spans="1:35" s="880" customFormat="1">
      <c r="A70" s="882" t="s">
        <v>2775</v>
      </c>
      <c r="C70" s="890"/>
      <c r="E70" s="880">
        <f>SUM(E66:E69)</f>
        <v>0</v>
      </c>
      <c r="G70" s="880">
        <f>SUM(G66:G69)</f>
        <v>0</v>
      </c>
      <c r="I70" s="880">
        <f>SUM(I66:I69)</f>
        <v>0</v>
      </c>
      <c r="K70" s="880">
        <f>SUM(K66:K69)</f>
        <v>0</v>
      </c>
      <c r="M70" s="880">
        <f>SUM(M66:M69)</f>
        <v>0</v>
      </c>
      <c r="O70" s="880">
        <f>SUM(O66:O69)</f>
        <v>0</v>
      </c>
      <c r="Q70" s="880">
        <f>SUM(Q66:Q69)</f>
        <v>0</v>
      </c>
      <c r="S70" s="880">
        <f>SUM(S66:S69)</f>
        <v>0</v>
      </c>
      <c r="U70" s="880">
        <f>SUM(U66:U69)</f>
        <v>0</v>
      </c>
      <c r="W70" s="880">
        <f>SUM(W66:W69)</f>
        <v>0</v>
      </c>
      <c r="Y70" s="880">
        <f>SUM(Y66:Y69)</f>
        <v>0</v>
      </c>
      <c r="AA70" s="880">
        <f>SUM(AA66:AA69)</f>
        <v>0</v>
      </c>
      <c r="AC70" s="880">
        <f>SUM(AC66:AC69)</f>
        <v>0</v>
      </c>
      <c r="AE70" s="880">
        <f>SUM(AE66:AE69)</f>
        <v>0</v>
      </c>
      <c r="AG70" s="880">
        <f>SUM(AG66:AG69)</f>
        <v>0</v>
      </c>
    </row>
    <row r="71" spans="1:35" s="880" customFormat="1">
      <c r="A71" s="882"/>
      <c r="C71" s="890"/>
    </row>
    <row r="72" spans="1:35" s="880" customFormat="1">
      <c r="A72" s="882" t="s">
        <v>2779</v>
      </c>
      <c r="C72" s="890"/>
      <c r="E72" s="882">
        <f>E60-E62-E70</f>
        <v>0</v>
      </c>
      <c r="G72" s="882">
        <f>G60-G62-G70</f>
        <v>0</v>
      </c>
      <c r="I72" s="882">
        <f>I60-I62-I70</f>
        <v>0</v>
      </c>
      <c r="K72" s="882">
        <f>K60-K62-K70</f>
        <v>0</v>
      </c>
      <c r="M72" s="882">
        <f>M60-M62-M70</f>
        <v>0</v>
      </c>
      <c r="O72" s="882">
        <f>O60-O62-O70</f>
        <v>0</v>
      </c>
      <c r="Q72" s="882">
        <f>Q60-Q62-Q70</f>
        <v>0</v>
      </c>
      <c r="S72" s="882">
        <f>S60-S62-S70</f>
        <v>0</v>
      </c>
      <c r="U72" s="882">
        <f>U60-U62-U70</f>
        <v>0</v>
      </c>
      <c r="W72" s="882">
        <f>W60-W62-W70</f>
        <v>0</v>
      </c>
      <c r="Y72" s="882">
        <f>Y60-Y62-Y70</f>
        <v>0</v>
      </c>
      <c r="AA72" s="882">
        <f>AA60-AA62-AA70</f>
        <v>0</v>
      </c>
      <c r="AC72" s="882">
        <f>AC60-AC62-AC70</f>
        <v>0</v>
      </c>
      <c r="AE72" s="882">
        <f>AE60-AE62-AE70</f>
        <v>0</v>
      </c>
      <c r="AG72" s="882">
        <f>AG60-AG62-AG70</f>
        <v>0</v>
      </c>
    </row>
    <row r="73" spans="1:35" s="880" customFormat="1">
      <c r="A73" s="454"/>
      <c r="C73" s="890"/>
    </row>
    <row r="74" spans="1:35" s="155" customFormat="1">
      <c r="A74" s="454"/>
      <c r="B74" s="880"/>
      <c r="C74" s="890"/>
      <c r="D74" s="880"/>
      <c r="E74" s="880"/>
      <c r="F74" s="880"/>
      <c r="G74" s="880"/>
      <c r="H74" s="880"/>
      <c r="I74" s="880"/>
      <c r="J74" s="880"/>
      <c r="K74" s="880"/>
      <c r="L74" s="880"/>
      <c r="M74" s="880"/>
      <c r="N74" s="880"/>
      <c r="O74" s="880"/>
      <c r="P74" s="880"/>
      <c r="Q74" s="880"/>
      <c r="R74" s="880"/>
      <c r="S74" s="880"/>
      <c r="T74" s="880"/>
      <c r="U74" s="880"/>
      <c r="V74" s="880"/>
      <c r="W74" s="880"/>
      <c r="X74" s="880"/>
      <c r="Y74" s="880"/>
      <c r="Z74" s="880"/>
      <c r="AA74" s="880"/>
      <c r="AB74" s="880"/>
      <c r="AC74" s="880"/>
      <c r="AD74" s="880"/>
      <c r="AE74" s="880"/>
      <c r="AF74" s="880"/>
      <c r="AG74" s="880"/>
      <c r="AH74" s="880"/>
      <c r="AI74" s="880"/>
    </row>
    <row r="75" spans="1:35" s="155" customFormat="1">
      <c r="A75" s="880" t="s">
        <v>2780</v>
      </c>
      <c r="B75" s="880"/>
      <c r="C75" s="890"/>
      <c r="D75" s="880"/>
      <c r="E75" s="880"/>
      <c r="F75" s="880"/>
      <c r="G75" s="880"/>
      <c r="H75" s="880"/>
      <c r="I75" s="880"/>
      <c r="J75" s="880"/>
      <c r="K75" s="880"/>
      <c r="L75" s="880"/>
      <c r="M75" s="880"/>
      <c r="N75" s="880"/>
      <c r="O75" s="880"/>
      <c r="P75" s="880"/>
      <c r="Q75" s="880"/>
      <c r="R75" s="880"/>
      <c r="S75" s="880"/>
      <c r="T75" s="880"/>
      <c r="U75" s="880"/>
      <c r="V75" s="880"/>
      <c r="W75" s="880"/>
      <c r="X75" s="880"/>
      <c r="Y75" s="880"/>
      <c r="Z75" s="880"/>
      <c r="AA75" s="880"/>
      <c r="AB75" s="880"/>
      <c r="AC75" s="880"/>
      <c r="AD75" s="880"/>
      <c r="AE75" s="880"/>
      <c r="AF75" s="880"/>
      <c r="AG75" s="880"/>
      <c r="AH75" s="880"/>
      <c r="AI75" s="880"/>
    </row>
    <row r="76" spans="1:35" s="155" customFormat="1">
      <c r="A76" s="880"/>
      <c r="B76" s="880"/>
      <c r="C76" s="890"/>
      <c r="D76" s="880"/>
      <c r="E76" s="880"/>
      <c r="F76" s="880"/>
      <c r="G76" s="880"/>
      <c r="H76" s="880"/>
      <c r="I76" s="880"/>
      <c r="J76" s="880"/>
      <c r="K76" s="880"/>
      <c r="L76" s="880"/>
      <c r="M76" s="880"/>
      <c r="N76" s="880"/>
      <c r="O76" s="880"/>
      <c r="P76" s="880"/>
      <c r="Q76" s="880"/>
      <c r="R76" s="880"/>
      <c r="S76" s="880"/>
      <c r="T76" s="880"/>
      <c r="U76" s="880"/>
      <c r="V76" s="880"/>
      <c r="W76" s="880"/>
      <c r="X76" s="880"/>
      <c r="Y76" s="880"/>
      <c r="Z76" s="880"/>
      <c r="AA76" s="880"/>
      <c r="AB76" s="880"/>
      <c r="AC76" s="880"/>
      <c r="AD76" s="880"/>
      <c r="AE76" s="880"/>
      <c r="AF76" s="880"/>
      <c r="AG76" s="880"/>
      <c r="AH76" s="880"/>
      <c r="AI76" s="880"/>
    </row>
    <row r="77" spans="1:35" s="171" customFormat="1" ht="30" customHeight="1">
      <c r="A77" s="2398" t="s">
        <v>2781</v>
      </c>
      <c r="B77" s="2398"/>
      <c r="C77" s="2398"/>
      <c r="D77" s="2398"/>
      <c r="E77" s="2398"/>
      <c r="F77" s="2398"/>
      <c r="G77" s="2398"/>
      <c r="H77" s="2398"/>
      <c r="I77" s="2398"/>
      <c r="J77" s="2398"/>
      <c r="K77" s="2398"/>
      <c r="L77" s="2398"/>
      <c r="M77" s="2398"/>
      <c r="N77" s="2398"/>
      <c r="O77" s="2398"/>
      <c r="P77" s="2398"/>
      <c r="Q77" s="2398"/>
      <c r="R77" s="2398"/>
      <c r="S77" s="2398"/>
      <c r="T77" s="2398"/>
      <c r="U77" s="2398"/>
      <c r="V77" s="2398"/>
      <c r="W77" s="2398"/>
      <c r="X77" s="2398"/>
      <c r="Y77" s="2398"/>
      <c r="Z77" s="2398"/>
      <c r="AA77" s="2398"/>
      <c r="AB77" s="2398"/>
      <c r="AC77" s="2398"/>
      <c r="AD77" s="2398"/>
      <c r="AE77" s="2398"/>
      <c r="AF77" s="2398"/>
      <c r="AG77" s="2398"/>
      <c r="AH77" s="2604"/>
      <c r="AI77" s="2604"/>
    </row>
    <row r="78" spans="1:35" s="152" customFormat="1" hidden="1">
      <c r="C78" s="154"/>
    </row>
    <row r="79" spans="1:35" s="152" customFormat="1" hidden="1">
      <c r="C79" s="154"/>
    </row>
    <row r="80" spans="1:35" s="152" customFormat="1" hidden="1">
      <c r="C80" s="154"/>
    </row>
    <row r="81" spans="3:3" s="152" customFormat="1" hidden="1">
      <c r="C81" s="154"/>
    </row>
    <row r="82" spans="3:3" s="152" customFormat="1" hidden="1">
      <c r="C82" s="154"/>
    </row>
    <row r="83" spans="3:3" s="152" customFormat="1" hidden="1">
      <c r="C83" s="154"/>
    </row>
    <row r="84" spans="3:3" s="152" customFormat="1" hidden="1">
      <c r="C84" s="154"/>
    </row>
    <row r="85" spans="3:3" s="152" customFormat="1" hidden="1">
      <c r="C85" s="154"/>
    </row>
    <row r="86" spans="3:3" s="152" customFormat="1" hidden="1">
      <c r="C86" s="154"/>
    </row>
    <row r="87" spans="3:3" s="152" customFormat="1" hidden="1">
      <c r="C87" s="154"/>
    </row>
    <row r="88" spans="3:3" s="152" customFormat="1" hidden="1">
      <c r="C88" s="154"/>
    </row>
    <row r="89" spans="3:3" s="152" customFormat="1" hidden="1">
      <c r="C89" s="154"/>
    </row>
    <row r="90" spans="3:3" s="152" customFormat="1" hidden="1">
      <c r="C90" s="154"/>
    </row>
    <row r="91" spans="3:3" s="152" customFormat="1" hidden="1">
      <c r="C91" s="154"/>
    </row>
    <row r="92" spans="3:3" s="152" customFormat="1" hidden="1">
      <c r="C92" s="154"/>
    </row>
    <row r="93" spans="3:3" s="152" customFormat="1" hidden="1">
      <c r="C93" s="154"/>
    </row>
    <row r="94" spans="3:3" s="152" customFormat="1" hidden="1">
      <c r="C94" s="154"/>
    </row>
    <row r="95" spans="3:3" s="152" customFormat="1" hidden="1">
      <c r="C95" s="154"/>
    </row>
    <row r="96" spans="3:3" s="152" customFormat="1" hidden="1">
      <c r="C96" s="154"/>
    </row>
    <row r="97" spans="3:3" s="152" customFormat="1" hidden="1">
      <c r="C97" s="154"/>
    </row>
    <row r="98" spans="3:3" s="152" customFormat="1" hidden="1">
      <c r="C98" s="154"/>
    </row>
    <row r="99" spans="3:3" s="152" customFormat="1" hidden="1">
      <c r="C99" s="154"/>
    </row>
    <row r="100" spans="3:3" s="152" customFormat="1" hidden="1">
      <c r="C100" s="154"/>
    </row>
    <row r="101" spans="3:3" s="152" customFormat="1" hidden="1">
      <c r="C101" s="154"/>
    </row>
    <row r="102" spans="3:3" s="152" customFormat="1" hidden="1">
      <c r="C102" s="154"/>
    </row>
    <row r="103" spans="3:3" s="152" customFormat="1" hidden="1">
      <c r="C103" s="154"/>
    </row>
    <row r="104" spans="3:3" s="152" customFormat="1" hidden="1">
      <c r="C104" s="154"/>
    </row>
    <row r="105" spans="3:3" s="152" customFormat="1" hidden="1">
      <c r="C105" s="154"/>
    </row>
    <row r="106" spans="3:3" s="152" customFormat="1" hidden="1">
      <c r="C106" s="154"/>
    </row>
    <row r="107" spans="3:3" s="152" customFormat="1" hidden="1">
      <c r="C107" s="154"/>
    </row>
    <row r="108" spans="3:3" s="152" customFormat="1" hidden="1">
      <c r="C108" s="154"/>
    </row>
    <row r="109" spans="3:3" s="152" customFormat="1" hidden="1">
      <c r="C109" s="154"/>
    </row>
    <row r="110" spans="3:3" s="152" customFormat="1" hidden="1">
      <c r="C110" s="154"/>
    </row>
    <row r="111" spans="3:3" s="152" customFormat="1" hidden="1">
      <c r="C111" s="154"/>
    </row>
    <row r="112" spans="3:3" s="152" customFormat="1" hidden="1">
      <c r="C112" s="154"/>
    </row>
    <row r="113" spans="3:3" s="152" customFormat="1" hidden="1">
      <c r="C113" s="154"/>
    </row>
    <row r="114" spans="3:3" s="152" customFormat="1" hidden="1">
      <c r="C114" s="154"/>
    </row>
    <row r="115" spans="3:3" s="152" customFormat="1" hidden="1">
      <c r="C115" s="154"/>
    </row>
    <row r="116" spans="3:3" s="152" customFormat="1" hidden="1">
      <c r="C116" s="154"/>
    </row>
    <row r="117" spans="3:3" s="152" customFormat="1" hidden="1">
      <c r="C117" s="154"/>
    </row>
    <row r="118" spans="3:3" s="152" customFormat="1" hidden="1">
      <c r="C118" s="154"/>
    </row>
    <row r="119" spans="3:3" s="152" customFormat="1" hidden="1">
      <c r="C119" s="154"/>
    </row>
    <row r="120" spans="3:3" s="152" customFormat="1" hidden="1">
      <c r="C120" s="154"/>
    </row>
    <row r="121" spans="3:3" s="152" customFormat="1" hidden="1">
      <c r="C121" s="154"/>
    </row>
    <row r="122" spans="3:3" s="152" customFormat="1" hidden="1">
      <c r="C122" s="154"/>
    </row>
    <row r="123" spans="3:3" s="152" customFormat="1" hidden="1">
      <c r="C123" s="154"/>
    </row>
    <row r="124" spans="3:3" s="152" customFormat="1" hidden="1">
      <c r="C124" s="154"/>
    </row>
    <row r="125" spans="3:3" s="152" customFormat="1" hidden="1">
      <c r="C125" s="154"/>
    </row>
    <row r="126" spans="3:3" s="152" customFormat="1" hidden="1">
      <c r="C126" s="154"/>
    </row>
    <row r="127" spans="3:3" s="152" customFormat="1" hidden="1">
      <c r="C127" s="154"/>
    </row>
    <row r="128" spans="3:3" s="152" customFormat="1" hidden="1">
      <c r="C128" s="154"/>
    </row>
    <row r="129" spans="3:3" s="152" customFormat="1" hidden="1">
      <c r="C129" s="154"/>
    </row>
    <row r="130" spans="3:3" s="152" customFormat="1" hidden="1">
      <c r="C130" s="154"/>
    </row>
    <row r="131" spans="3:3" s="152" customFormat="1" hidden="1">
      <c r="C131" s="154"/>
    </row>
    <row r="132" spans="3:3" s="152" customFormat="1" hidden="1">
      <c r="C132" s="154"/>
    </row>
    <row r="133" spans="3:3" s="152" customFormat="1" hidden="1">
      <c r="C133" s="154"/>
    </row>
    <row r="134" spans="3:3" s="152" customFormat="1" hidden="1">
      <c r="C134" s="154"/>
    </row>
    <row r="135" spans="3:3" s="152" customFormat="1" hidden="1">
      <c r="C135" s="154"/>
    </row>
    <row r="136" spans="3:3" s="152" customFormat="1" hidden="1">
      <c r="C136" s="154"/>
    </row>
    <row r="137" spans="3:3" s="152" customFormat="1" hidden="1">
      <c r="C137" s="154"/>
    </row>
    <row r="138" spans="3:3" s="152" customFormat="1" hidden="1">
      <c r="C138" s="154"/>
    </row>
    <row r="139" spans="3:3" s="152" customFormat="1" hidden="1">
      <c r="C139" s="154"/>
    </row>
    <row r="140" spans="3:3" s="152" customFormat="1" hidden="1">
      <c r="C140" s="154"/>
    </row>
    <row r="141" spans="3:3" s="152" customFormat="1" hidden="1">
      <c r="C141" s="154"/>
    </row>
    <row r="142" spans="3:3" s="152" customFormat="1" hidden="1">
      <c r="C142" s="154"/>
    </row>
    <row r="143" spans="3:3" s="152" customFormat="1" hidden="1">
      <c r="C143" s="154"/>
    </row>
    <row r="144" spans="3:3" s="152" customFormat="1" hidden="1">
      <c r="C144" s="154"/>
    </row>
    <row r="145" spans="3:3" s="152" customFormat="1" hidden="1">
      <c r="C145" s="154"/>
    </row>
    <row r="146" spans="3:3" s="152" customFormat="1" hidden="1">
      <c r="C146" s="154"/>
    </row>
    <row r="147" spans="3:3" s="152" customFormat="1" hidden="1">
      <c r="C147" s="154"/>
    </row>
    <row r="148" spans="3:3" s="152" customFormat="1" hidden="1">
      <c r="C148" s="154"/>
    </row>
    <row r="149" spans="3:3" s="152" customFormat="1" hidden="1">
      <c r="C149" s="154"/>
    </row>
    <row r="150" spans="3:3" s="152" customFormat="1" hidden="1">
      <c r="C150" s="154"/>
    </row>
    <row r="151" spans="3:3" s="152" customFormat="1" hidden="1">
      <c r="C151" s="154"/>
    </row>
    <row r="152" spans="3:3" s="152" customFormat="1" hidden="1">
      <c r="C152" s="154"/>
    </row>
    <row r="153" spans="3:3" s="152" customFormat="1" hidden="1">
      <c r="C153" s="154"/>
    </row>
    <row r="154" spans="3:3" s="152" customFormat="1" hidden="1">
      <c r="C154" s="154"/>
    </row>
    <row r="155" spans="3:3" s="152" customFormat="1" hidden="1">
      <c r="C155" s="154"/>
    </row>
    <row r="156" spans="3:3" s="152" customFormat="1" hidden="1">
      <c r="C156" s="154"/>
    </row>
    <row r="157" spans="3:3" s="152" customFormat="1" hidden="1">
      <c r="C157" s="154"/>
    </row>
    <row r="158" spans="3:3" s="152" customFormat="1" hidden="1">
      <c r="C158" s="154"/>
    </row>
    <row r="159" spans="3:3" s="152" customFormat="1" hidden="1">
      <c r="C159" s="154"/>
    </row>
    <row r="160" spans="3:3" s="152" customFormat="1" hidden="1">
      <c r="C160" s="154"/>
    </row>
    <row r="161" spans="3:3" s="152" customFormat="1" hidden="1">
      <c r="C161" s="154"/>
    </row>
    <row r="162" spans="3:3" s="152" customFormat="1" hidden="1">
      <c r="C162" s="154"/>
    </row>
    <row r="163" spans="3:3" s="152" customFormat="1" hidden="1">
      <c r="C163" s="154"/>
    </row>
    <row r="164" spans="3:3" s="152" customFormat="1" hidden="1">
      <c r="C164" s="154"/>
    </row>
    <row r="165" spans="3:3" s="152" customFormat="1" hidden="1">
      <c r="C165" s="154"/>
    </row>
    <row r="166" spans="3:3" s="152" customFormat="1" hidden="1">
      <c r="C166" s="154"/>
    </row>
    <row r="167" spans="3:3" s="152" customFormat="1" hidden="1">
      <c r="C167" s="154"/>
    </row>
    <row r="168" spans="3:3" s="152" customFormat="1" hidden="1">
      <c r="C168" s="154"/>
    </row>
    <row r="169" spans="3:3" s="152" customFormat="1" hidden="1">
      <c r="C169" s="154"/>
    </row>
    <row r="170" spans="3:3" s="152" customFormat="1" hidden="1">
      <c r="C170" s="154"/>
    </row>
    <row r="171" spans="3:3" s="152" customFormat="1" hidden="1">
      <c r="C171" s="154"/>
    </row>
    <row r="172" spans="3:3" s="152" customFormat="1" hidden="1">
      <c r="C172" s="154"/>
    </row>
    <row r="173" spans="3:3" s="152" customFormat="1" hidden="1">
      <c r="C173" s="154"/>
    </row>
    <row r="174" spans="3:3" s="152" customFormat="1" hidden="1">
      <c r="C174" s="154"/>
    </row>
    <row r="175" spans="3:3" s="152" customFormat="1" hidden="1">
      <c r="C175" s="154"/>
    </row>
    <row r="176" spans="3:3" s="152" customFormat="1" hidden="1">
      <c r="C176" s="154"/>
    </row>
    <row r="177" spans="3:3" s="152" customFormat="1" hidden="1">
      <c r="C177" s="154"/>
    </row>
    <row r="178" spans="3:3" s="152" customFormat="1" hidden="1">
      <c r="C178" s="154"/>
    </row>
    <row r="179" spans="3:3" s="152" customFormat="1" hidden="1">
      <c r="C179" s="154"/>
    </row>
    <row r="180" spans="3:3" s="152" customFormat="1" hidden="1">
      <c r="C180" s="154"/>
    </row>
    <row r="181" spans="3:3" s="152" customFormat="1" hidden="1">
      <c r="C181" s="154"/>
    </row>
    <row r="182" spans="3:3" s="152" customFormat="1" hidden="1">
      <c r="C182" s="154"/>
    </row>
    <row r="183" spans="3:3" s="152" customFormat="1" hidden="1">
      <c r="C183" s="154"/>
    </row>
    <row r="184" spans="3:3" s="152" customFormat="1" hidden="1">
      <c r="C184" s="154"/>
    </row>
    <row r="185" spans="3:3" s="152" customFormat="1" hidden="1">
      <c r="C185" s="154"/>
    </row>
    <row r="186" spans="3:3" s="152" customFormat="1" hidden="1">
      <c r="C186" s="154"/>
    </row>
    <row r="187" spans="3:3" s="152" customFormat="1" hidden="1">
      <c r="C187" s="154"/>
    </row>
    <row r="188" spans="3:3" s="152" customFormat="1" hidden="1">
      <c r="C188" s="154"/>
    </row>
    <row r="189" spans="3:3" s="152" customFormat="1" hidden="1">
      <c r="C189" s="154"/>
    </row>
    <row r="190" spans="3:3" s="152" customFormat="1" hidden="1">
      <c r="C190" s="154"/>
    </row>
    <row r="191" spans="3:3" s="152" customFormat="1" hidden="1">
      <c r="C191" s="154"/>
    </row>
    <row r="192" spans="3:3" s="152" customFormat="1" hidden="1">
      <c r="C192" s="154"/>
    </row>
    <row r="193" spans="3:3" s="152" customFormat="1" hidden="1">
      <c r="C193" s="154"/>
    </row>
    <row r="194" spans="3:3" s="152" customFormat="1" hidden="1">
      <c r="C194" s="154"/>
    </row>
    <row r="195" spans="3:3" s="152" customFormat="1" hidden="1">
      <c r="C195" s="154"/>
    </row>
    <row r="196" spans="3:3" s="152" customFormat="1" hidden="1">
      <c r="C196" s="154"/>
    </row>
    <row r="197" spans="3:3" s="152" customFormat="1" hidden="1">
      <c r="C197" s="154"/>
    </row>
    <row r="198" spans="3:3" s="152" customFormat="1" hidden="1">
      <c r="C198" s="154"/>
    </row>
    <row r="199" spans="3:3" s="152" customFormat="1" hidden="1">
      <c r="C199" s="154"/>
    </row>
    <row r="200" spans="3:3" s="152" customFormat="1" hidden="1">
      <c r="C200" s="154"/>
    </row>
    <row r="201" spans="3:3" s="152" customFormat="1" hidden="1">
      <c r="C201" s="154"/>
    </row>
    <row r="202" spans="3:3" s="152" customFormat="1" hidden="1">
      <c r="C202" s="154"/>
    </row>
    <row r="203" spans="3:3" s="152" customFormat="1" hidden="1">
      <c r="C203" s="154"/>
    </row>
    <row r="204" spans="3:3" s="152" customFormat="1" hidden="1">
      <c r="C204" s="154"/>
    </row>
    <row r="205" spans="3:3" s="152" customFormat="1" hidden="1">
      <c r="C205" s="154"/>
    </row>
    <row r="206" spans="3:3" s="152" customFormat="1" hidden="1">
      <c r="C206" s="154"/>
    </row>
    <row r="207" spans="3:3" s="152" customFormat="1" hidden="1">
      <c r="C207" s="154"/>
    </row>
    <row r="208" spans="3:3" s="152" customFormat="1" hidden="1">
      <c r="C208" s="154"/>
    </row>
    <row r="209" spans="3:3" s="152" customFormat="1" hidden="1">
      <c r="C209" s="154"/>
    </row>
    <row r="210" spans="3:3" s="152" customFormat="1" hidden="1">
      <c r="C210" s="154"/>
    </row>
    <row r="211" spans="3:3" s="152" customFormat="1" hidden="1">
      <c r="C211" s="154"/>
    </row>
    <row r="212" spans="3:3" s="152" customFormat="1" hidden="1">
      <c r="C212" s="154"/>
    </row>
    <row r="213" spans="3:3" s="152" customFormat="1" hidden="1">
      <c r="C213" s="154"/>
    </row>
    <row r="214" spans="3:3" s="152" customFormat="1" hidden="1">
      <c r="C214" s="154"/>
    </row>
    <row r="215" spans="3:3" s="152" customFormat="1" hidden="1">
      <c r="C215" s="154"/>
    </row>
    <row r="216" spans="3:3" s="152" customFormat="1" hidden="1">
      <c r="C216" s="154"/>
    </row>
    <row r="217" spans="3:3" s="152" customFormat="1" hidden="1">
      <c r="C217" s="154"/>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95" zeroHeight="1"/>
  <cols>
    <col min="1" max="1" width="161.7109375" customWidth="1"/>
    <col min="2" max="16384" width="8.85546875" hidden="1"/>
  </cols>
  <sheetData>
    <row r="1" spans="1:1" ht="33.950000000000003">
      <c r="A1" s="236" t="s">
        <v>2782</v>
      </c>
    </row>
    <row r="2" spans="1:1" ht="15.95">
      <c r="A2" s="237"/>
    </row>
    <row r="3" spans="1:1" ht="15.95">
      <c r="A3" s="238" t="s">
        <v>2783</v>
      </c>
    </row>
    <row r="4" spans="1:1" ht="15.95">
      <c r="A4" s="238" t="s">
        <v>2784</v>
      </c>
    </row>
    <row r="5" spans="1:1" ht="15.95">
      <c r="A5" s="238" t="s">
        <v>2785</v>
      </c>
    </row>
    <row r="6" spans="1:1" ht="15.95">
      <c r="A6" s="238" t="s">
        <v>2786</v>
      </c>
    </row>
    <row r="7" spans="1:1" ht="15.95">
      <c r="A7" s="238" t="s">
        <v>2787</v>
      </c>
    </row>
    <row r="8" spans="1:1" ht="15.95">
      <c r="A8" s="268" t="s">
        <v>2788</v>
      </c>
    </row>
    <row r="9" spans="1:1" ht="15.95">
      <c r="A9" s="238" t="s">
        <v>2789</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95" zeroHeight="1"/>
  <cols>
    <col min="1" max="1" width="35.7109375" style="143" customWidth="1"/>
    <col min="2" max="4" width="14.7109375" style="143" customWidth="1"/>
    <col min="5" max="5" width="50.7109375" style="143" customWidth="1"/>
    <col min="6" max="253" width="9.140625" style="143" customWidth="1"/>
    <col min="254" max="16384" width="9.140625" style="143"/>
  </cols>
  <sheetData>
    <row r="1" spans="1:7" s="200" customFormat="1" ht="18" customHeight="1">
      <c r="A1" s="438" t="s">
        <v>2790</v>
      </c>
      <c r="D1" s="205"/>
    </row>
    <row r="2" spans="1:7" s="200" customFormat="1">
      <c r="A2" s="183" t="s">
        <v>2791</v>
      </c>
      <c r="B2" s="185"/>
      <c r="C2" s="185"/>
      <c r="D2" s="182"/>
      <c r="E2" s="186"/>
      <c r="F2" s="185"/>
    </row>
    <row r="3" spans="1:7" s="273" customFormat="1" ht="80.25" customHeight="1">
      <c r="A3" s="202"/>
      <c r="B3" s="187" t="s">
        <v>2792</v>
      </c>
      <c r="C3" s="187" t="s">
        <v>2793</v>
      </c>
      <c r="D3" s="187" t="s">
        <v>2794</v>
      </c>
      <c r="E3" s="184" t="s">
        <v>2795</v>
      </c>
      <c r="F3" s="184"/>
      <c r="G3" s="276"/>
    </row>
    <row r="4" spans="1:7" s="274" customFormat="1" ht="14.1">
      <c r="A4" s="188" t="s">
        <v>1807</v>
      </c>
      <c r="B4" s="188"/>
      <c r="C4" s="188"/>
      <c r="D4" s="188"/>
      <c r="E4" s="207"/>
      <c r="F4" s="188"/>
      <c r="G4" s="277"/>
    </row>
    <row r="5" spans="1:7" s="274" customFormat="1">
      <c r="A5" s="289" t="s">
        <v>1808</v>
      </c>
      <c r="B5" s="190">
        <f>'Sources and Uses Budget'!$C4</f>
        <v>2700000</v>
      </c>
      <c r="C5" s="190">
        <f>'Sources and Uses Budget'!$C4</f>
        <v>2700000</v>
      </c>
      <c r="D5" s="194">
        <f>C5-B5</f>
        <v>0</v>
      </c>
      <c r="E5" s="192"/>
      <c r="F5" s="191"/>
      <c r="G5" s="277"/>
    </row>
    <row r="6" spans="1:7" s="274" customFormat="1">
      <c r="A6" s="289" t="s">
        <v>1809</v>
      </c>
      <c r="B6" s="190">
        <f>'Sources and Uses Budget'!$C5</f>
        <v>100000</v>
      </c>
      <c r="C6" s="190">
        <f>'Sources and Uses Budget'!$C5</f>
        <v>100000</v>
      </c>
      <c r="D6" s="194">
        <f t="shared" ref="D6:D77" si="0">C6-B6</f>
        <v>0</v>
      </c>
      <c r="E6" s="192"/>
      <c r="F6" s="191"/>
      <c r="G6" s="277"/>
    </row>
    <row r="7" spans="1:7" s="274" customFormat="1">
      <c r="A7" s="289" t="s">
        <v>1810</v>
      </c>
      <c r="B7" s="190">
        <f>'Sources and Uses Budget'!$C6</f>
        <v>0</v>
      </c>
      <c r="C7" s="190">
        <f>'Sources and Uses Budget'!$C6</f>
        <v>0</v>
      </c>
      <c r="D7" s="194">
        <f t="shared" si="0"/>
        <v>0</v>
      </c>
      <c r="E7" s="192"/>
      <c r="F7" s="191"/>
      <c r="G7" s="277"/>
    </row>
    <row r="8" spans="1:7" s="274" customFormat="1">
      <c r="A8" s="289" t="s">
        <v>1811</v>
      </c>
      <c r="B8" s="190">
        <f>'Sources and Uses Budget'!$C7</f>
        <v>0</v>
      </c>
      <c r="C8" s="190">
        <f>'Sources and Uses Budget'!$C7</f>
        <v>0</v>
      </c>
      <c r="D8" s="194">
        <f t="shared" si="0"/>
        <v>0</v>
      </c>
      <c r="E8" s="192"/>
      <c r="F8" s="191"/>
      <c r="G8" s="277"/>
    </row>
    <row r="9" spans="1:7" s="274" customFormat="1">
      <c r="A9" s="290" t="s">
        <v>1812</v>
      </c>
      <c r="B9" s="194">
        <f>SUM(B5:B8)</f>
        <v>2800000</v>
      </c>
      <c r="C9" s="194">
        <f>SUM(C5:C8)</f>
        <v>2800000</v>
      </c>
      <c r="D9" s="194">
        <f t="shared" si="0"/>
        <v>0</v>
      </c>
      <c r="E9" s="192"/>
      <c r="F9" s="191"/>
      <c r="G9" s="277"/>
    </row>
    <row r="10" spans="1:7" s="274" customFormat="1">
      <c r="A10" s="289" t="s">
        <v>1813</v>
      </c>
      <c r="B10" s="190">
        <f>'Sources and Uses Budget'!$C9</f>
        <v>0</v>
      </c>
      <c r="C10" s="190">
        <f>'Sources and Uses Budget'!$C9</f>
        <v>0</v>
      </c>
      <c r="D10" s="194">
        <f t="shared" si="0"/>
        <v>0</v>
      </c>
      <c r="E10" s="192"/>
      <c r="F10" s="191"/>
      <c r="G10" s="277"/>
    </row>
    <row r="11" spans="1:7" s="274" customFormat="1">
      <c r="A11" s="289" t="s">
        <v>1814</v>
      </c>
      <c r="B11" s="190">
        <f>'Sources and Uses Budget'!$C10</f>
        <v>500000</v>
      </c>
      <c r="C11" s="190">
        <f>'Sources and Uses Budget'!$C10</f>
        <v>500000</v>
      </c>
      <c r="D11" s="194">
        <f t="shared" si="0"/>
        <v>0</v>
      </c>
      <c r="E11" s="192"/>
      <c r="F11" s="191"/>
      <c r="G11" s="277"/>
    </row>
    <row r="12" spans="1:7" s="274" customFormat="1">
      <c r="A12" s="290" t="s">
        <v>1815</v>
      </c>
      <c r="B12" s="194">
        <f>SUM(B10:B11)</f>
        <v>500000</v>
      </c>
      <c r="C12" s="194">
        <f>SUM(C10:C11)</f>
        <v>500000</v>
      </c>
      <c r="D12" s="194">
        <f t="shared" si="0"/>
        <v>0</v>
      </c>
      <c r="E12" s="192"/>
      <c r="F12" s="191"/>
      <c r="G12" s="277"/>
    </row>
    <row r="13" spans="1:7" s="274" customFormat="1">
      <c r="A13" s="290" t="s">
        <v>1816</v>
      </c>
      <c r="B13" s="194">
        <f>SUM(B9+B12)</f>
        <v>3300000</v>
      </c>
      <c r="C13" s="194">
        <f>SUM(C9+C12)</f>
        <v>3300000</v>
      </c>
      <c r="D13" s="194">
        <f t="shared" si="0"/>
        <v>0</v>
      </c>
      <c r="E13" s="192"/>
      <c r="F13" s="191"/>
      <c r="G13" s="277"/>
    </row>
    <row r="14" spans="1:7" s="274" customFormat="1">
      <c r="A14" s="291" t="s">
        <v>1817</v>
      </c>
      <c r="B14" s="190">
        <f>'Sources and Uses Budget'!$C13</f>
        <v>0</v>
      </c>
      <c r="C14" s="190">
        <f>'Sources and Uses Budget'!$C13</f>
        <v>0</v>
      </c>
      <c r="D14" s="194">
        <f t="shared" si="0"/>
        <v>0</v>
      </c>
      <c r="E14" s="192"/>
      <c r="F14" s="191"/>
      <c r="G14" s="277"/>
    </row>
    <row r="15" spans="1:7" s="274" customFormat="1" ht="26.1">
      <c r="A15" s="289" t="s">
        <v>1938</v>
      </c>
      <c r="B15" s="190">
        <f>'Sources and Uses Budget'!$C14</f>
        <v>0</v>
      </c>
      <c r="C15" s="190">
        <f>'Sources and Uses Budget'!$C14</f>
        <v>0</v>
      </c>
      <c r="D15" s="194">
        <f t="shared" si="0"/>
        <v>0</v>
      </c>
      <c r="E15" s="192"/>
      <c r="F15" s="191"/>
      <c r="G15" s="277"/>
    </row>
    <row r="16" spans="1:7" s="274" customFormat="1">
      <c r="A16" s="289" t="s">
        <v>1819</v>
      </c>
      <c r="B16" s="190">
        <f>'Sources and Uses Budget'!$C15</f>
        <v>0</v>
      </c>
      <c r="C16" s="190">
        <f>'Sources and Uses Budget'!$C15</f>
        <v>0</v>
      </c>
      <c r="D16" s="194">
        <f t="shared" si="0"/>
        <v>0</v>
      </c>
      <c r="E16" s="192"/>
      <c r="F16" s="191"/>
      <c r="G16" s="277"/>
    </row>
    <row r="17" spans="1:7" s="274" customFormat="1" ht="14.1">
      <c r="A17" s="188" t="s">
        <v>1820</v>
      </c>
      <c r="B17" s="188"/>
      <c r="C17" s="188"/>
      <c r="D17" s="188"/>
      <c r="E17" s="207"/>
      <c r="F17" s="188"/>
      <c r="G17" s="277"/>
    </row>
    <row r="18" spans="1:7" s="274" customFormat="1">
      <c r="A18" s="208" t="s">
        <v>1821</v>
      </c>
      <c r="B18" s="190">
        <f>'Sources and Uses Budget'!$C17</f>
        <v>0</v>
      </c>
      <c r="C18" s="190">
        <f>'Sources and Uses Budget'!$C17</f>
        <v>0</v>
      </c>
      <c r="D18" s="194">
        <f t="shared" si="0"/>
        <v>0</v>
      </c>
      <c r="E18" s="192"/>
      <c r="F18" s="191"/>
      <c r="G18" s="277"/>
    </row>
    <row r="19" spans="1:7" s="274" customFormat="1">
      <c r="A19" s="208" t="s">
        <v>1822</v>
      </c>
      <c r="B19" s="190">
        <f>'Sources and Uses Budget'!$C18</f>
        <v>0</v>
      </c>
      <c r="C19" s="190">
        <f>'Sources and Uses Budget'!$C18</f>
        <v>0</v>
      </c>
      <c r="D19" s="194">
        <f t="shared" si="0"/>
        <v>0</v>
      </c>
      <c r="E19" s="192"/>
      <c r="F19" s="191"/>
      <c r="G19" s="277"/>
    </row>
    <row r="20" spans="1:7" s="274" customFormat="1">
      <c r="A20" s="208" t="s">
        <v>1823</v>
      </c>
      <c r="B20" s="190">
        <f>'Sources and Uses Budget'!$C19</f>
        <v>0</v>
      </c>
      <c r="C20" s="190">
        <f>'Sources and Uses Budget'!$C19</f>
        <v>0</v>
      </c>
      <c r="D20" s="194">
        <f t="shared" si="0"/>
        <v>0</v>
      </c>
      <c r="E20" s="192"/>
      <c r="F20" s="191"/>
      <c r="G20" s="277"/>
    </row>
    <row r="21" spans="1:7" s="274" customFormat="1">
      <c r="A21" s="208" t="s">
        <v>1824</v>
      </c>
      <c r="B21" s="190">
        <f>'Sources and Uses Budget'!$C20</f>
        <v>0</v>
      </c>
      <c r="C21" s="190">
        <f>'Sources and Uses Budget'!$C20</f>
        <v>0</v>
      </c>
      <c r="D21" s="194">
        <f t="shared" si="0"/>
        <v>0</v>
      </c>
      <c r="E21" s="192"/>
      <c r="F21" s="191"/>
      <c r="G21" s="277"/>
    </row>
    <row r="22" spans="1:7" s="274" customFormat="1">
      <c r="A22" s="208" t="s">
        <v>1825</v>
      </c>
      <c r="B22" s="190">
        <f>'Sources and Uses Budget'!$C21</f>
        <v>0</v>
      </c>
      <c r="C22" s="190">
        <f>'Sources and Uses Budget'!$C21</f>
        <v>0</v>
      </c>
      <c r="D22" s="194">
        <f t="shared" si="0"/>
        <v>0</v>
      </c>
      <c r="E22" s="192"/>
      <c r="F22" s="191"/>
      <c r="G22" s="277"/>
    </row>
    <row r="23" spans="1:7" s="274" customFormat="1">
      <c r="A23" s="208" t="s">
        <v>1826</v>
      </c>
      <c r="B23" s="190">
        <f>'Sources and Uses Budget'!$C22</f>
        <v>0</v>
      </c>
      <c r="C23" s="190">
        <f>'Sources and Uses Budget'!$C22</f>
        <v>0</v>
      </c>
      <c r="D23" s="194">
        <f t="shared" si="0"/>
        <v>0</v>
      </c>
      <c r="E23" s="192"/>
      <c r="F23" s="191"/>
      <c r="G23" s="277"/>
    </row>
    <row r="24" spans="1:7" s="274" customFormat="1">
      <c r="A24" s="208" t="s">
        <v>1827</v>
      </c>
      <c r="B24" s="190">
        <f>'Sources and Uses Budget'!$C23</f>
        <v>0</v>
      </c>
      <c r="C24" s="190">
        <f>'Sources and Uses Budget'!$C23</f>
        <v>0</v>
      </c>
      <c r="D24" s="194">
        <f t="shared" si="0"/>
        <v>0</v>
      </c>
      <c r="E24" s="192"/>
      <c r="F24" s="191"/>
      <c r="G24" s="277"/>
    </row>
    <row r="25" spans="1:7" s="274" customFormat="1">
      <c r="A25" s="434" t="s">
        <v>1828</v>
      </c>
      <c r="B25" s="190">
        <f>'Sources and Uses Budget'!$C24</f>
        <v>0</v>
      </c>
      <c r="C25" s="190">
        <f>'Sources and Uses Budget'!$C24</f>
        <v>0</v>
      </c>
      <c r="D25" s="194">
        <f t="shared" si="0"/>
        <v>0</v>
      </c>
      <c r="E25" s="192"/>
      <c r="F25" s="191"/>
      <c r="G25" s="277"/>
    </row>
    <row r="26" spans="1:7" s="274" customFormat="1">
      <c r="A26" s="434" t="str">
        <f>'Sources and Uses Budget'!A25</f>
        <v>Other: (Specify)</v>
      </c>
      <c r="B26" s="190">
        <f>'Sources and Uses Budget'!$C25</f>
        <v>0</v>
      </c>
      <c r="C26" s="190">
        <f>'Sources and Uses Budget'!$C25</f>
        <v>0</v>
      </c>
      <c r="D26" s="194">
        <f t="shared" si="0"/>
        <v>0</v>
      </c>
      <c r="E26" s="192"/>
      <c r="F26" s="191"/>
      <c r="G26" s="277"/>
    </row>
    <row r="27" spans="1:7" s="274" customFormat="1" ht="14.1">
      <c r="A27" s="936" t="s">
        <v>1830</v>
      </c>
      <c r="B27" s="194">
        <f>SUM(B18:B26)</f>
        <v>0</v>
      </c>
      <c r="C27" s="194">
        <f>SUM(C18:C26)</f>
        <v>0</v>
      </c>
      <c r="D27" s="194">
        <f>SUM(D18:D26)</f>
        <v>0</v>
      </c>
      <c r="E27" s="192"/>
      <c r="F27" s="191"/>
      <c r="G27" s="277"/>
    </row>
    <row r="28" spans="1:7" s="274" customFormat="1" ht="14.1">
      <c r="A28" s="195" t="s">
        <v>1831</v>
      </c>
      <c r="B28" s="190">
        <f>'Sources and Uses Budget'!$C$27</f>
        <v>0</v>
      </c>
      <c r="C28" s="190">
        <f>'Sources and Uses Budget'!$C$27</f>
        <v>0</v>
      </c>
      <c r="D28" s="194">
        <f t="shared" si="0"/>
        <v>0</v>
      </c>
      <c r="E28" s="192"/>
      <c r="F28" s="191"/>
      <c r="G28" s="277"/>
    </row>
    <row r="29" spans="1:7" s="274" customFormat="1" ht="14.1">
      <c r="A29" s="188" t="s">
        <v>1832</v>
      </c>
      <c r="B29" s="188"/>
      <c r="C29" s="188"/>
      <c r="D29" s="188"/>
      <c r="E29" s="207"/>
      <c r="F29" s="188"/>
      <c r="G29" s="277"/>
    </row>
    <row r="30" spans="1:7" s="274" customFormat="1">
      <c r="A30" s="208" t="s">
        <v>1821</v>
      </c>
      <c r="B30" s="190">
        <f>'Sources and Uses Budget'!$C29</f>
        <v>1000000</v>
      </c>
      <c r="C30" s="190">
        <f>'Sources and Uses Budget'!$C29</f>
        <v>1000000</v>
      </c>
      <c r="D30" s="194">
        <f t="shared" si="0"/>
        <v>0</v>
      </c>
      <c r="E30" s="192"/>
      <c r="F30" s="191"/>
      <c r="G30" s="277"/>
    </row>
    <row r="31" spans="1:7" s="274" customFormat="1">
      <c r="A31" s="208" t="s">
        <v>1822</v>
      </c>
      <c r="B31" s="190">
        <f>'Sources and Uses Budget'!$C30</f>
        <v>13134230.300000001</v>
      </c>
      <c r="C31" s="190">
        <f>'Sources and Uses Budget'!$C30</f>
        <v>13134230.300000001</v>
      </c>
      <c r="D31" s="194">
        <f t="shared" si="0"/>
        <v>0</v>
      </c>
      <c r="E31" s="192"/>
      <c r="F31" s="191"/>
      <c r="G31" s="277"/>
    </row>
    <row r="32" spans="1:7" s="274" customFormat="1">
      <c r="A32" s="208" t="s">
        <v>1823</v>
      </c>
      <c r="B32" s="190">
        <f>'Sources and Uses Budget'!$C31</f>
        <v>1053664.6000000001</v>
      </c>
      <c r="C32" s="190">
        <f>'Sources and Uses Budget'!$C31</f>
        <v>1053664.6000000001</v>
      </c>
      <c r="D32" s="194">
        <f t="shared" si="0"/>
        <v>0</v>
      </c>
      <c r="E32" s="192"/>
      <c r="F32" s="191"/>
      <c r="G32" s="277"/>
    </row>
    <row r="33" spans="1:7" s="274" customFormat="1">
      <c r="A33" s="208" t="s">
        <v>1824</v>
      </c>
      <c r="B33" s="190">
        <f>'Sources and Uses Budget'!$C32</f>
        <v>351221.5</v>
      </c>
      <c r="C33" s="190">
        <f>'Sources and Uses Budget'!$C32</f>
        <v>351221.5</v>
      </c>
      <c r="D33" s="194">
        <f t="shared" si="0"/>
        <v>0</v>
      </c>
      <c r="E33" s="192"/>
      <c r="F33" s="191"/>
      <c r="G33" s="277"/>
    </row>
    <row r="34" spans="1:7" s="274" customFormat="1">
      <c r="A34" s="208" t="s">
        <v>1825</v>
      </c>
      <c r="B34" s="190">
        <f>'Sources and Uses Budget'!$C33</f>
        <v>1053664.6000000001</v>
      </c>
      <c r="C34" s="190">
        <f>'Sources and Uses Budget'!$C33</f>
        <v>1053664.6000000001</v>
      </c>
      <c r="D34" s="194">
        <f t="shared" si="0"/>
        <v>0</v>
      </c>
      <c r="E34" s="192"/>
      <c r="F34" s="191"/>
      <c r="G34" s="277"/>
    </row>
    <row r="35" spans="1:7" s="274" customFormat="1">
      <c r="A35" s="208" t="s">
        <v>1826</v>
      </c>
      <c r="B35" s="190">
        <f>'Sources and Uses Budget'!$C34</f>
        <v>2926846.1</v>
      </c>
      <c r="C35" s="190">
        <f>'Sources and Uses Budget'!$C34</f>
        <v>2926846.1</v>
      </c>
      <c r="D35" s="194">
        <f t="shared" si="0"/>
        <v>0</v>
      </c>
      <c r="E35" s="192"/>
      <c r="F35" s="191"/>
      <c r="G35" s="277"/>
    </row>
    <row r="36" spans="1:7" s="274" customFormat="1">
      <c r="A36" s="208" t="s">
        <v>1827</v>
      </c>
      <c r="B36" s="190">
        <f>'Sources and Uses Budget'!$C35</f>
        <v>200196.3</v>
      </c>
      <c r="C36" s="190">
        <f>'Sources and Uses Budget'!$C35</f>
        <v>200196.3</v>
      </c>
      <c r="D36" s="194">
        <f t="shared" si="0"/>
        <v>0</v>
      </c>
      <c r="E36" s="192"/>
      <c r="F36" s="191"/>
      <c r="G36" s="277"/>
    </row>
    <row r="37" spans="1:7" s="274" customFormat="1">
      <c r="A37" s="208" t="s">
        <v>1828</v>
      </c>
      <c r="B37" s="190">
        <f>'Sources and Uses Budget'!$C36</f>
        <v>0</v>
      </c>
      <c r="C37" s="190">
        <f>'Sources and Uses Budget'!$C36</f>
        <v>0</v>
      </c>
      <c r="D37" s="194"/>
      <c r="E37" s="192"/>
      <c r="F37" s="191"/>
      <c r="G37" s="277"/>
    </row>
    <row r="38" spans="1:7" s="274" customFormat="1">
      <c r="A38" s="434" t="str">
        <f>'Sources and Uses Budget'!A37</f>
        <v>Other: Bond Premium</v>
      </c>
      <c r="B38" s="190">
        <f>'Sources and Uses Budget'!$C37</f>
        <v>0</v>
      </c>
      <c r="C38" s="190">
        <f>'Sources and Uses Budget'!$C37</f>
        <v>0</v>
      </c>
      <c r="D38" s="194">
        <f t="shared" si="0"/>
        <v>0</v>
      </c>
      <c r="E38" s="192"/>
      <c r="F38" s="191"/>
      <c r="G38" s="277"/>
    </row>
    <row r="39" spans="1:7" s="274" customFormat="1" ht="14.1">
      <c r="A39" s="195" t="s">
        <v>1834</v>
      </c>
      <c r="B39" s="194">
        <f>SUM(B30:B38)</f>
        <v>19719823.400000002</v>
      </c>
      <c r="C39" s="194">
        <f>SUM(C30:C38)</f>
        <v>19719823.400000002</v>
      </c>
      <c r="D39" s="194">
        <f t="shared" si="0"/>
        <v>0</v>
      </c>
      <c r="E39" s="192"/>
      <c r="F39" s="191"/>
      <c r="G39" s="277"/>
    </row>
    <row r="40" spans="1:7" s="274" customFormat="1" ht="14.1">
      <c r="A40" s="188" t="s">
        <v>1835</v>
      </c>
      <c r="B40" s="188"/>
      <c r="C40" s="188"/>
      <c r="D40" s="188"/>
      <c r="E40" s="207"/>
      <c r="F40" s="188"/>
      <c r="G40" s="277"/>
    </row>
    <row r="41" spans="1:7" s="274" customFormat="1" ht="14.1">
      <c r="A41" s="193" t="s">
        <v>1836</v>
      </c>
      <c r="B41" s="190">
        <f>'Sources and Uses Budget'!$C40</f>
        <v>820000</v>
      </c>
      <c r="C41" s="190">
        <f>'Sources and Uses Budget'!$C40</f>
        <v>820000</v>
      </c>
      <c r="D41" s="194">
        <f t="shared" si="0"/>
        <v>0</v>
      </c>
      <c r="E41" s="192"/>
      <c r="F41" s="191"/>
      <c r="G41" s="277"/>
    </row>
    <row r="42" spans="1:7" s="274" customFormat="1" ht="14.1">
      <c r="A42" s="193" t="s">
        <v>1837</v>
      </c>
      <c r="B42" s="190">
        <f>'Sources and Uses Budget'!$C41</f>
        <v>0</v>
      </c>
      <c r="C42" s="190">
        <f>'Sources and Uses Budget'!$C41</f>
        <v>0</v>
      </c>
      <c r="D42" s="194">
        <f t="shared" si="0"/>
        <v>0</v>
      </c>
      <c r="E42" s="192"/>
      <c r="F42" s="191"/>
      <c r="G42" s="277"/>
    </row>
    <row r="43" spans="1:7" s="274" customFormat="1" ht="14.1">
      <c r="A43" s="195" t="s">
        <v>1838</v>
      </c>
      <c r="B43" s="194">
        <f>SUM(B41:B42)</f>
        <v>820000</v>
      </c>
      <c r="C43" s="194">
        <f>SUM(C41:C42)</f>
        <v>820000</v>
      </c>
      <c r="D43" s="194">
        <f t="shared" si="0"/>
        <v>0</v>
      </c>
      <c r="E43" s="192"/>
      <c r="F43" s="191"/>
      <c r="G43" s="277"/>
    </row>
    <row r="44" spans="1:7" s="274" customFormat="1" ht="14.1">
      <c r="A44" s="195" t="s">
        <v>1839</v>
      </c>
      <c r="B44" s="190">
        <f>'Sources and Uses Budget'!$C43</f>
        <v>650000</v>
      </c>
      <c r="C44" s="190">
        <f>'Sources and Uses Budget'!$C43</f>
        <v>650000</v>
      </c>
      <c r="D44" s="194">
        <f t="shared" si="0"/>
        <v>0</v>
      </c>
      <c r="E44" s="192"/>
      <c r="F44" s="191"/>
      <c r="G44" s="277"/>
    </row>
    <row r="45" spans="1:7" s="274" customFormat="1" ht="12" customHeight="1">
      <c r="A45" s="188" t="s">
        <v>1840</v>
      </c>
      <c r="B45" s="188"/>
      <c r="C45" s="188"/>
      <c r="D45" s="188"/>
      <c r="E45" s="207"/>
      <c r="F45" s="188"/>
      <c r="G45" s="277"/>
    </row>
    <row r="46" spans="1:7" s="274" customFormat="1">
      <c r="A46" s="208" t="s">
        <v>1841</v>
      </c>
      <c r="B46" s="190">
        <f>'Sources and Uses Budget'!$C45</f>
        <v>1596557.5</v>
      </c>
      <c r="C46" s="190">
        <f>'Sources and Uses Budget'!$C45</f>
        <v>1596557.5</v>
      </c>
      <c r="D46" s="194">
        <f t="shared" si="0"/>
        <v>0</v>
      </c>
      <c r="E46" s="192"/>
      <c r="F46" s="191"/>
      <c r="G46" s="277"/>
    </row>
    <row r="47" spans="1:7" s="274" customFormat="1">
      <c r="A47" s="208" t="s">
        <v>1842</v>
      </c>
      <c r="B47" s="190">
        <f>'Sources and Uses Budget'!$C46</f>
        <v>141019</v>
      </c>
      <c r="C47" s="190">
        <f>'Sources and Uses Budget'!$C46</f>
        <v>141019</v>
      </c>
      <c r="D47" s="194">
        <f t="shared" si="0"/>
        <v>0</v>
      </c>
      <c r="E47" s="192"/>
      <c r="F47" s="191"/>
      <c r="G47" s="277"/>
    </row>
    <row r="48" spans="1:7" s="274" customFormat="1" ht="12" customHeight="1">
      <c r="A48" s="2564" t="s">
        <v>1843</v>
      </c>
      <c r="B48" s="190">
        <f>'Sources and Uses Budget'!$C47</f>
        <v>15000</v>
      </c>
      <c r="C48" s="190">
        <f>'Sources and Uses Budget'!$C47</f>
        <v>15000</v>
      </c>
      <c r="D48" s="194">
        <f t="shared" si="0"/>
        <v>0</v>
      </c>
      <c r="E48" s="192"/>
      <c r="F48" s="191"/>
      <c r="G48" s="277"/>
    </row>
    <row r="49" spans="1:7" s="274" customFormat="1">
      <c r="A49" s="208" t="s">
        <v>1844</v>
      </c>
      <c r="B49" s="190">
        <f>'Sources and Uses Budget'!$C48</f>
        <v>180176.7</v>
      </c>
      <c r="C49" s="190">
        <f>'Sources and Uses Budget'!$C48</f>
        <v>180176.7</v>
      </c>
      <c r="D49" s="194">
        <f t="shared" si="0"/>
        <v>0</v>
      </c>
      <c r="E49" s="192"/>
      <c r="F49" s="191"/>
      <c r="G49" s="277"/>
    </row>
    <row r="50" spans="1:7" s="274" customFormat="1">
      <c r="A50" s="208" t="s">
        <v>1845</v>
      </c>
      <c r="B50" s="190">
        <f>'Sources and Uses Budget'!$C49</f>
        <v>35255</v>
      </c>
      <c r="C50" s="190">
        <f>'Sources and Uses Budget'!$C49</f>
        <v>35255</v>
      </c>
      <c r="D50" s="194">
        <f t="shared" si="0"/>
        <v>0</v>
      </c>
      <c r="E50" s="192"/>
      <c r="F50" s="191"/>
      <c r="G50" s="277"/>
    </row>
    <row r="51" spans="1:7" s="274" customFormat="1">
      <c r="A51" s="208" t="s">
        <v>1846</v>
      </c>
      <c r="B51" s="190">
        <f>'Sources and Uses Budget'!$C50</f>
        <v>100000</v>
      </c>
      <c r="C51" s="190">
        <f>'Sources and Uses Budget'!$C50</f>
        <v>100000</v>
      </c>
      <c r="D51" s="194">
        <f t="shared" si="0"/>
        <v>0</v>
      </c>
      <c r="E51" s="192"/>
      <c r="F51" s="191"/>
      <c r="G51" s="277"/>
    </row>
    <row r="52" spans="1:7" s="274" customFormat="1">
      <c r="A52" s="208" t="s">
        <v>1847</v>
      </c>
      <c r="B52" s="190">
        <f>'Sources and Uses Budget'!$C51</f>
        <v>105000</v>
      </c>
      <c r="C52" s="190">
        <f>'Sources and Uses Budget'!$C51</f>
        <v>105000</v>
      </c>
      <c r="D52" s="194">
        <f t="shared" si="0"/>
        <v>0</v>
      </c>
      <c r="E52" s="192"/>
      <c r="F52" s="191"/>
      <c r="G52" s="277"/>
    </row>
    <row r="53" spans="1:7" s="274" customFormat="1">
      <c r="A53" s="208" t="s">
        <v>1848</v>
      </c>
      <c r="B53" s="190">
        <f>'Sources and Uses Budget'!$C52</f>
        <v>306000</v>
      </c>
      <c r="C53" s="190">
        <f>'Sources and Uses Budget'!$C52</f>
        <v>306000</v>
      </c>
      <c r="D53" s="194">
        <f t="shared" si="0"/>
        <v>0</v>
      </c>
      <c r="E53" s="192"/>
      <c r="F53" s="191"/>
      <c r="G53" s="277"/>
    </row>
    <row r="54" spans="1:7" s="274" customFormat="1">
      <c r="A54" s="434" t="str">
        <f>'Sources and Uses Budget'!A53</f>
        <v>Other: Employment Reporting</v>
      </c>
      <c r="B54" s="190">
        <f>'Sources and Uses Budget'!$C53</f>
        <v>25000</v>
      </c>
      <c r="C54" s="190">
        <f>'Sources and Uses Budget'!$C53</f>
        <v>25000</v>
      </c>
      <c r="D54" s="194">
        <f t="shared" si="0"/>
        <v>0</v>
      </c>
      <c r="E54" s="192"/>
      <c r="F54" s="191"/>
      <c r="G54" s="277"/>
    </row>
    <row r="55" spans="1:7" s="275" customFormat="1" ht="14.1">
      <c r="A55" s="195" t="s">
        <v>1850</v>
      </c>
      <c r="B55" s="197">
        <f>SUM(B46:B54)</f>
        <v>2504008.2000000002</v>
      </c>
      <c r="C55" s="197">
        <f>SUM(C46:C54)</f>
        <v>2504008.2000000002</v>
      </c>
      <c r="D55" s="194">
        <f t="shared" si="0"/>
        <v>0</v>
      </c>
      <c r="E55" s="192"/>
      <c r="F55" s="191"/>
      <c r="G55" s="278"/>
    </row>
    <row r="56" spans="1:7" s="274" customFormat="1" ht="14.1">
      <c r="A56" s="188" t="s">
        <v>1414</v>
      </c>
      <c r="B56" s="188"/>
      <c r="C56" s="188"/>
      <c r="D56" s="188"/>
      <c r="E56" s="207"/>
      <c r="F56" s="188"/>
      <c r="G56" s="277"/>
    </row>
    <row r="57" spans="1:7" s="274" customFormat="1" ht="14.1">
      <c r="A57" s="193" t="s">
        <v>1851</v>
      </c>
      <c r="B57" s="190">
        <f>'Sources and Uses Budget'!$C56</f>
        <v>0</v>
      </c>
      <c r="C57" s="190">
        <f>'Sources and Uses Budget'!$C56</f>
        <v>0</v>
      </c>
      <c r="D57" s="194">
        <f t="shared" si="0"/>
        <v>0</v>
      </c>
      <c r="E57" s="192"/>
      <c r="F57" s="191"/>
      <c r="G57" s="277"/>
    </row>
    <row r="58" spans="1:7" s="274" customFormat="1" ht="12" customHeight="1">
      <c r="A58" s="193" t="s">
        <v>1843</v>
      </c>
      <c r="B58" s="190">
        <f>'Sources and Uses Budget'!$C57</f>
        <v>0</v>
      </c>
      <c r="C58" s="190">
        <f>'Sources and Uses Budget'!$C57</f>
        <v>0</v>
      </c>
      <c r="D58" s="194">
        <f t="shared" si="0"/>
        <v>0</v>
      </c>
      <c r="E58" s="192"/>
      <c r="F58" s="191"/>
      <c r="G58" s="277"/>
    </row>
    <row r="59" spans="1:7" s="274" customFormat="1" ht="14.1">
      <c r="A59" s="193" t="s">
        <v>1846</v>
      </c>
      <c r="B59" s="190">
        <f>'Sources and Uses Budget'!$C58</f>
        <v>10000</v>
      </c>
      <c r="C59" s="190">
        <f>'Sources and Uses Budget'!$C58</f>
        <v>10000</v>
      </c>
      <c r="D59" s="194">
        <f t="shared" si="0"/>
        <v>0</v>
      </c>
      <c r="E59" s="192"/>
      <c r="F59" s="191"/>
      <c r="G59" s="277"/>
    </row>
    <row r="60" spans="1:7" s="274" customFormat="1" ht="14.1">
      <c r="A60" s="193" t="s">
        <v>1847</v>
      </c>
      <c r="B60" s="190">
        <f>'Sources and Uses Budget'!$C59</f>
        <v>0</v>
      </c>
      <c r="C60" s="190">
        <f>'Sources and Uses Budget'!$C59</f>
        <v>0</v>
      </c>
      <c r="D60" s="194">
        <f t="shared" si="0"/>
        <v>0</v>
      </c>
      <c r="E60" s="192"/>
      <c r="F60" s="191"/>
      <c r="G60" s="277"/>
    </row>
    <row r="61" spans="1:7" s="274" customFormat="1" ht="14.1">
      <c r="A61" s="193" t="s">
        <v>1848</v>
      </c>
      <c r="B61" s="190">
        <f>'Sources and Uses Budget'!$C60</f>
        <v>0</v>
      </c>
      <c r="C61" s="190">
        <f>'Sources and Uses Budget'!$C60</f>
        <v>0</v>
      </c>
      <c r="D61" s="194">
        <f t="shared" si="0"/>
        <v>0</v>
      </c>
      <c r="E61" s="192"/>
      <c r="F61" s="191"/>
      <c r="G61" s="277"/>
    </row>
    <row r="62" spans="1:7" s="274" customFormat="1" ht="14.1">
      <c r="A62" s="937" t="str">
        <f>'Sources and Uses Budget'!A61</f>
        <v>Other: Legal</v>
      </c>
      <c r="B62" s="190">
        <f>'Sources and Uses Budget'!$C61</f>
        <v>15000</v>
      </c>
      <c r="C62" s="190">
        <f>'Sources and Uses Budget'!$C61</f>
        <v>15000</v>
      </c>
      <c r="D62" s="194">
        <f t="shared" si="0"/>
        <v>0</v>
      </c>
      <c r="E62" s="192"/>
      <c r="F62" s="191"/>
      <c r="G62" s="277"/>
    </row>
    <row r="63" spans="1:7" s="274" customFormat="1" ht="13.7" customHeight="1">
      <c r="A63" s="195" t="s">
        <v>1853</v>
      </c>
      <c r="B63" s="194">
        <f>SUM(B57:B62)</f>
        <v>25000</v>
      </c>
      <c r="C63" s="194">
        <f>SUM(C57:C62)</f>
        <v>25000</v>
      </c>
      <c r="D63" s="194">
        <f t="shared" si="0"/>
        <v>0</v>
      </c>
      <c r="E63" s="192"/>
      <c r="F63" s="191"/>
      <c r="G63" s="277"/>
    </row>
    <row r="64" spans="1:7" s="274" customFormat="1" ht="14.1">
      <c r="A64" s="198" t="s">
        <v>1854</v>
      </c>
      <c r="B64" s="194">
        <f>SUM(B9+B12+B14+B15+B17+B26+B28+B39+B43+B44+B55+B63)</f>
        <v>27018831.600000001</v>
      </c>
      <c r="C64" s="194">
        <f>SUM(C9+C12+C14+C15+C17+C26+C28+C39+C43+C44+C55+C63)</f>
        <v>27018831.600000001</v>
      </c>
      <c r="D64" s="194">
        <f t="shared" si="0"/>
        <v>0</v>
      </c>
      <c r="E64" s="192"/>
      <c r="F64" s="191"/>
      <c r="G64" s="277"/>
    </row>
    <row r="65" spans="1:7" s="274" customFormat="1" ht="26.1">
      <c r="A65" s="105" t="s">
        <v>1855</v>
      </c>
      <c r="B65" s="188"/>
      <c r="C65" s="188"/>
      <c r="D65" s="188"/>
      <c r="E65" s="207"/>
      <c r="F65" s="188"/>
      <c r="G65" s="277"/>
    </row>
    <row r="66" spans="1:7" s="274" customFormat="1">
      <c r="A66" s="208" t="s">
        <v>1856</v>
      </c>
      <c r="B66" s="190">
        <f>'Sources and Uses Budget'!$C65</f>
        <v>100000</v>
      </c>
      <c r="C66" s="190">
        <f>'Sources and Uses Budget'!$C65</f>
        <v>100000</v>
      </c>
      <c r="D66" s="194">
        <f t="shared" si="0"/>
        <v>0</v>
      </c>
      <c r="E66" s="192"/>
      <c r="F66" s="191"/>
      <c r="G66" s="277"/>
    </row>
    <row r="67" spans="1:7" s="274" customFormat="1" ht="26.1">
      <c r="A67" s="208" t="s">
        <v>1857</v>
      </c>
      <c r="B67" s="190">
        <f>'Sources and Uses Budget'!$C66</f>
        <v>0</v>
      </c>
      <c r="C67" s="190">
        <f>'Sources and Uses Budget'!$C66</f>
        <v>0</v>
      </c>
      <c r="D67" s="194"/>
      <c r="E67" s="192"/>
      <c r="F67" s="191"/>
      <c r="G67" s="277"/>
    </row>
    <row r="68" spans="1:7" s="274" customFormat="1">
      <c r="A68" s="208" t="s">
        <v>1858</v>
      </c>
      <c r="B68" s="190">
        <f>'Sources and Uses Budget'!$C67</f>
        <v>0</v>
      </c>
      <c r="C68" s="190">
        <f>'Sources and Uses Budget'!$C67</f>
        <v>0</v>
      </c>
      <c r="D68" s="194"/>
      <c r="E68" s="192"/>
      <c r="F68" s="191"/>
      <c r="G68" s="277"/>
    </row>
    <row r="69" spans="1:7" s="274" customFormat="1">
      <c r="A69" s="208" t="s">
        <v>1859</v>
      </c>
      <c r="B69" s="190">
        <f>'Sources and Uses Budget'!$C68</f>
        <v>0</v>
      </c>
      <c r="C69" s="190">
        <f>'Sources and Uses Budget'!$C68</f>
        <v>0</v>
      </c>
      <c r="D69" s="194"/>
      <c r="E69" s="192"/>
      <c r="F69" s="191"/>
      <c r="G69" s="277"/>
    </row>
    <row r="70" spans="1:7" s="274" customFormat="1" ht="26.1">
      <c r="A70" s="434" t="str">
        <f>'Sources and Uses Budget'!A69</f>
        <v>Other: (LenderLegal +Investor Legal + Bond Issuance Legal + MGP Legal + SDHC Legal Fee)</v>
      </c>
      <c r="B70" s="190">
        <f>'Sources and Uses Budget'!$C69</f>
        <v>252500</v>
      </c>
      <c r="C70" s="190">
        <f>'Sources and Uses Budget'!$C69</f>
        <v>252500</v>
      </c>
      <c r="D70" s="194">
        <f t="shared" si="0"/>
        <v>0</v>
      </c>
      <c r="E70" s="192"/>
      <c r="F70" s="191"/>
      <c r="G70" s="277"/>
    </row>
    <row r="71" spans="1:7" s="274" customFormat="1">
      <c r="A71" s="107" t="s">
        <v>1861</v>
      </c>
      <c r="B71" s="194">
        <f>SUM(B66:B70)</f>
        <v>352500</v>
      </c>
      <c r="C71" s="194">
        <f>SUM(C66:C70)</f>
        <v>352500</v>
      </c>
      <c r="D71" s="194">
        <f t="shared" si="0"/>
        <v>0</v>
      </c>
      <c r="E71" s="192"/>
      <c r="F71" s="191"/>
      <c r="G71" s="277"/>
    </row>
    <row r="72" spans="1:7" s="274" customFormat="1" ht="14.1">
      <c r="A72" s="188" t="s">
        <v>1862</v>
      </c>
      <c r="B72" s="188"/>
      <c r="C72" s="188"/>
      <c r="D72" s="188"/>
      <c r="E72" s="207"/>
      <c r="F72" s="188"/>
      <c r="G72" s="277"/>
    </row>
    <row r="73" spans="1:7" s="274" customFormat="1" ht="14.1">
      <c r="A73" s="193" t="s">
        <v>1863</v>
      </c>
      <c r="B73" s="190">
        <f>'Sources and Uses Budget'!$C72</f>
        <v>0</v>
      </c>
      <c r="C73" s="190">
        <f>'Sources and Uses Budget'!$C72</f>
        <v>0</v>
      </c>
      <c r="D73" s="194">
        <f t="shared" si="0"/>
        <v>0</v>
      </c>
      <c r="E73" s="192"/>
      <c r="F73" s="191"/>
      <c r="G73" s="277"/>
    </row>
    <row r="74" spans="1:7" s="274" customFormat="1" ht="14.1">
      <c r="A74" s="193" t="s">
        <v>1864</v>
      </c>
      <c r="B74" s="190">
        <f>'Sources and Uses Budget'!$C73</f>
        <v>0</v>
      </c>
      <c r="C74" s="190">
        <f>'Sources and Uses Budget'!$C73</f>
        <v>0</v>
      </c>
      <c r="D74" s="194">
        <f t="shared" si="0"/>
        <v>0</v>
      </c>
      <c r="E74" s="192"/>
      <c r="F74" s="191"/>
      <c r="G74" s="277"/>
    </row>
    <row r="75" spans="1:7" s="274" customFormat="1">
      <c r="A75" s="211" t="s">
        <v>1865</v>
      </c>
      <c r="B75" s="190">
        <f>'Sources and Uses Budget'!$C74</f>
        <v>0</v>
      </c>
      <c r="C75" s="190">
        <f>'Sources and Uses Budget'!$C74</f>
        <v>0</v>
      </c>
      <c r="D75" s="194">
        <f t="shared" si="0"/>
        <v>0</v>
      </c>
      <c r="E75" s="192"/>
      <c r="F75" s="191"/>
      <c r="G75" s="277"/>
    </row>
    <row r="76" spans="1:7" s="274" customFormat="1" ht="14.1">
      <c r="A76" s="193" t="s">
        <v>1866</v>
      </c>
      <c r="B76" s="190">
        <f>'Sources and Uses Budget'!$C75</f>
        <v>312757.8</v>
      </c>
      <c r="C76" s="190">
        <f>'Sources and Uses Budget'!$C75</f>
        <v>312757.8</v>
      </c>
      <c r="D76" s="194">
        <f t="shared" si="0"/>
        <v>0</v>
      </c>
      <c r="E76" s="192"/>
      <c r="F76" s="191"/>
      <c r="G76" s="277"/>
    </row>
    <row r="77" spans="1:7" s="274" customFormat="1" ht="14.1">
      <c r="A77" s="196" t="s">
        <v>1829</v>
      </c>
      <c r="B77" s="190">
        <f>'Sources and Uses Budget'!$C76</f>
        <v>0</v>
      </c>
      <c r="C77" s="190">
        <f>'Sources and Uses Budget'!$C76</f>
        <v>0</v>
      </c>
      <c r="D77" s="194">
        <f t="shared" si="0"/>
        <v>0</v>
      </c>
      <c r="E77" s="192"/>
      <c r="F77" s="191"/>
      <c r="G77" s="277"/>
    </row>
    <row r="78" spans="1:7" s="274" customFormat="1" ht="14.1">
      <c r="A78" s="195" t="s">
        <v>1867</v>
      </c>
      <c r="B78" s="194">
        <f>SUM(B73:B77)</f>
        <v>312757.8</v>
      </c>
      <c r="C78" s="194">
        <f>SUM(C73:C77)</f>
        <v>312757.8</v>
      </c>
      <c r="D78" s="194">
        <f t="shared" ref="D78:D106" si="1">C78-B78</f>
        <v>0</v>
      </c>
      <c r="E78" s="192"/>
      <c r="F78" s="191"/>
      <c r="G78" s="277"/>
    </row>
    <row r="79" spans="1:7" s="274" customFormat="1" ht="14.1">
      <c r="A79" s="188" t="s">
        <v>1868</v>
      </c>
      <c r="B79" s="188"/>
      <c r="C79" s="188"/>
      <c r="D79" s="188"/>
      <c r="E79" s="207"/>
      <c r="F79" s="188"/>
      <c r="G79" s="277"/>
    </row>
    <row r="80" spans="1:7" s="274" customFormat="1" ht="14.1">
      <c r="A80" s="435" t="s">
        <v>1869</v>
      </c>
      <c r="B80" s="190">
        <f>'Sources and Uses Budget'!$C79</f>
        <v>1025000</v>
      </c>
      <c r="C80" s="190">
        <f>'Sources and Uses Budget'!$C79</f>
        <v>1025000</v>
      </c>
      <c r="D80" s="194">
        <f t="shared" si="1"/>
        <v>0</v>
      </c>
      <c r="E80" s="192"/>
      <c r="F80" s="191"/>
      <c r="G80" s="277"/>
    </row>
    <row r="81" spans="1:7" s="274" customFormat="1" ht="14.1">
      <c r="A81" s="435" t="s">
        <v>1870</v>
      </c>
      <c r="B81" s="190">
        <f>'Sources and Uses Budget'!$C80</f>
        <v>292338.40000000002</v>
      </c>
      <c r="C81" s="190">
        <f>'Sources and Uses Budget'!$C80</f>
        <v>292338.40000000002</v>
      </c>
      <c r="D81" s="194">
        <f>C81-B81</f>
        <v>0</v>
      </c>
      <c r="E81" s="192"/>
      <c r="F81" s="191"/>
      <c r="G81" s="277"/>
    </row>
    <row r="82" spans="1:7" s="274" customFormat="1" ht="14.1">
      <c r="A82" s="195" t="s">
        <v>1871</v>
      </c>
      <c r="B82" s="194">
        <f>SUM(B80:B81)</f>
        <v>1317338.3999999999</v>
      </c>
      <c r="C82" s="194">
        <f>SUM(C80:C81)</f>
        <v>1317338.3999999999</v>
      </c>
      <c r="D82" s="194">
        <f t="shared" si="1"/>
        <v>0</v>
      </c>
      <c r="E82" s="192"/>
      <c r="F82" s="191"/>
      <c r="G82" s="277"/>
    </row>
    <row r="83" spans="1:7" s="274" customFormat="1" ht="14.1">
      <c r="A83" s="188" t="s">
        <v>1872</v>
      </c>
      <c r="B83" s="188"/>
      <c r="C83" s="188"/>
      <c r="D83" s="188"/>
      <c r="E83" s="207"/>
      <c r="F83" s="188"/>
      <c r="G83" s="277"/>
    </row>
    <row r="84" spans="1:7" s="274" customFormat="1" ht="13.7" customHeight="1">
      <c r="A84" s="193" t="s">
        <v>2796</v>
      </c>
      <c r="B84" s="190">
        <f>'Sources and Uses Budget'!$C83</f>
        <v>51029</v>
      </c>
      <c r="C84" s="190">
        <f>'Sources and Uses Budget'!$C83</f>
        <v>51029</v>
      </c>
      <c r="D84" s="194">
        <f t="shared" si="1"/>
        <v>0</v>
      </c>
      <c r="E84" s="192"/>
      <c r="F84" s="191"/>
      <c r="G84" s="277"/>
    </row>
    <row r="85" spans="1:7" s="274" customFormat="1" ht="14.1">
      <c r="A85" s="193" t="s">
        <v>1874</v>
      </c>
      <c r="B85" s="190">
        <f>'Sources and Uses Budget'!$C84</f>
        <v>50000</v>
      </c>
      <c r="C85" s="190">
        <f>'Sources and Uses Budget'!$C84</f>
        <v>50000</v>
      </c>
      <c r="D85" s="194">
        <f t="shared" si="1"/>
        <v>0</v>
      </c>
      <c r="E85" s="192"/>
      <c r="F85" s="191"/>
      <c r="G85" s="277"/>
    </row>
    <row r="86" spans="1:7" s="274" customFormat="1" ht="14.1">
      <c r="A86" s="193" t="s">
        <v>1875</v>
      </c>
      <c r="B86" s="190">
        <f>'Sources and Uses Budget'!$C85</f>
        <v>887409</v>
      </c>
      <c r="C86" s="190">
        <f>'Sources and Uses Budget'!$C85</f>
        <v>887409</v>
      </c>
      <c r="D86" s="194">
        <f t="shared" si="1"/>
        <v>0</v>
      </c>
      <c r="E86" s="192"/>
      <c r="F86" s="191"/>
      <c r="G86" s="277"/>
    </row>
    <row r="87" spans="1:7" s="274" customFormat="1" ht="14.1">
      <c r="A87" s="193" t="s">
        <v>1876</v>
      </c>
      <c r="B87" s="190">
        <f>'Sources and Uses Budget'!$C86</f>
        <v>400000</v>
      </c>
      <c r="C87" s="190">
        <f>'Sources and Uses Budget'!$C86</f>
        <v>400000</v>
      </c>
      <c r="D87" s="194">
        <f t="shared" si="1"/>
        <v>0</v>
      </c>
      <c r="E87" s="192"/>
      <c r="F87" s="191"/>
      <c r="G87" s="277"/>
    </row>
    <row r="88" spans="1:7" s="274" customFormat="1" ht="14.1">
      <c r="A88" s="193" t="s">
        <v>1877</v>
      </c>
      <c r="B88" s="190">
        <f>'Sources and Uses Budget'!$C87</f>
        <v>0</v>
      </c>
      <c r="C88" s="190">
        <f>'Sources and Uses Budget'!$C87</f>
        <v>0</v>
      </c>
      <c r="D88" s="194">
        <f t="shared" si="1"/>
        <v>0</v>
      </c>
      <c r="E88" s="192"/>
      <c r="F88" s="191"/>
      <c r="G88" s="277"/>
    </row>
    <row r="89" spans="1:7" s="274" customFormat="1" ht="14.1">
      <c r="A89" s="193" t="s">
        <v>1878</v>
      </c>
      <c r="B89" s="190">
        <f>'Sources and Uses Budget'!$C88</f>
        <v>100000</v>
      </c>
      <c r="C89" s="190">
        <f>'Sources and Uses Budget'!$C88</f>
        <v>100000</v>
      </c>
      <c r="D89" s="194">
        <f t="shared" si="1"/>
        <v>0</v>
      </c>
      <c r="E89" s="192"/>
      <c r="F89" s="191"/>
      <c r="G89" s="277"/>
    </row>
    <row r="90" spans="1:7" s="274" customFormat="1" ht="14.1">
      <c r="A90" s="193" t="s">
        <v>1879</v>
      </c>
      <c r="B90" s="190">
        <f>'Sources and Uses Budget'!$C89</f>
        <v>100000</v>
      </c>
      <c r="C90" s="190">
        <f>'Sources and Uses Budget'!$C89</f>
        <v>100000</v>
      </c>
      <c r="D90" s="194">
        <f t="shared" si="1"/>
        <v>0</v>
      </c>
      <c r="E90" s="192"/>
      <c r="F90" s="191"/>
      <c r="G90" s="277"/>
    </row>
    <row r="91" spans="1:7" s="274" customFormat="1" ht="14.1">
      <c r="A91" s="193" t="s">
        <v>1880</v>
      </c>
      <c r="B91" s="190">
        <f>'Sources and Uses Budget'!$C90</f>
        <v>15000</v>
      </c>
      <c r="C91" s="190">
        <f>'Sources and Uses Budget'!$C90</f>
        <v>15000</v>
      </c>
      <c r="D91" s="194">
        <f t="shared" si="1"/>
        <v>0</v>
      </c>
      <c r="E91" s="192"/>
      <c r="F91" s="191"/>
      <c r="G91" s="277"/>
    </row>
    <row r="92" spans="1:7" s="274" customFormat="1" ht="14.1">
      <c r="A92" s="193" t="s">
        <v>1881</v>
      </c>
      <c r="B92" s="190">
        <f>'Sources and Uses Budget'!$C91</f>
        <v>50000</v>
      </c>
      <c r="C92" s="190">
        <f>'Sources and Uses Budget'!$C91</f>
        <v>50000</v>
      </c>
      <c r="D92" s="194">
        <f t="shared" si="1"/>
        <v>0</v>
      </c>
      <c r="E92" s="192"/>
      <c r="F92" s="191"/>
      <c r="G92" s="277"/>
    </row>
    <row r="93" spans="1:7" s="274" customFormat="1" ht="14.1">
      <c r="A93" s="435" t="s">
        <v>1882</v>
      </c>
      <c r="B93" s="190">
        <f>'Sources and Uses Budget'!$C92</f>
        <v>20000</v>
      </c>
      <c r="C93" s="190">
        <f>'Sources and Uses Budget'!$C92</f>
        <v>20000</v>
      </c>
      <c r="D93" s="194">
        <f t="shared" si="1"/>
        <v>0</v>
      </c>
      <c r="E93" s="192"/>
      <c r="F93" s="191"/>
      <c r="G93" s="277"/>
    </row>
    <row r="94" spans="1:7" s="274" customFormat="1" ht="14.1">
      <c r="A94" s="196" t="s">
        <v>1829</v>
      </c>
      <c r="B94" s="190">
        <f>'Sources and Uses Budget'!$C93</f>
        <v>42000</v>
      </c>
      <c r="C94" s="190">
        <f>'Sources and Uses Budget'!$C93</f>
        <v>42000</v>
      </c>
      <c r="D94" s="194">
        <f t="shared" si="1"/>
        <v>0</v>
      </c>
      <c r="E94" s="192"/>
      <c r="F94" s="191"/>
      <c r="G94" s="277"/>
    </row>
    <row r="95" spans="1:7" s="274" customFormat="1" ht="14.1">
      <c r="A95" s="196" t="s">
        <v>1829</v>
      </c>
      <c r="B95" s="190">
        <f>'Sources and Uses Budget'!$C94</f>
        <v>200000</v>
      </c>
      <c r="C95" s="190">
        <f>'Sources and Uses Budget'!$C94</f>
        <v>200000</v>
      </c>
      <c r="D95" s="194">
        <f t="shared" si="1"/>
        <v>0</v>
      </c>
      <c r="E95" s="192"/>
      <c r="F95" s="191"/>
      <c r="G95" s="277"/>
    </row>
    <row r="96" spans="1:7" s="274" customFormat="1" ht="14.1">
      <c r="A96" s="196" t="s">
        <v>1829</v>
      </c>
      <c r="B96" s="190">
        <f>'Sources and Uses Budget'!$C95</f>
        <v>455947.6</v>
      </c>
      <c r="C96" s="190">
        <f>'Sources and Uses Budget'!$C95</f>
        <v>455947.6</v>
      </c>
      <c r="D96" s="194">
        <f t="shared" si="1"/>
        <v>0</v>
      </c>
      <c r="E96" s="192"/>
      <c r="F96" s="191"/>
      <c r="G96" s="277"/>
    </row>
    <row r="97" spans="1:7" s="274" customFormat="1" ht="14.1">
      <c r="A97" s="195" t="s">
        <v>1886</v>
      </c>
      <c r="B97" s="194">
        <f>SUM(B84:B96)</f>
        <v>2371385.6</v>
      </c>
      <c r="C97" s="194">
        <f>SUM(C84:C96)</f>
        <v>2371385.6</v>
      </c>
      <c r="D97" s="194">
        <f t="shared" si="1"/>
        <v>0</v>
      </c>
      <c r="E97" s="192"/>
      <c r="F97" s="191"/>
      <c r="G97" s="277"/>
    </row>
    <row r="98" spans="1:7" s="274" customFormat="1" ht="14.1">
      <c r="A98" s="195" t="s">
        <v>1887</v>
      </c>
      <c r="B98" s="194">
        <f>SUM(B64+B71+B78+B82+B97)</f>
        <v>31372813.400000002</v>
      </c>
      <c r="C98" s="194">
        <f>SUM(C64+C71+C78+C82+C97)</f>
        <v>31372813.400000002</v>
      </c>
      <c r="D98" s="194">
        <f t="shared" si="1"/>
        <v>0</v>
      </c>
      <c r="E98" s="192"/>
      <c r="F98" s="191"/>
      <c r="G98" s="277"/>
    </row>
    <row r="99" spans="1:7" s="274" customFormat="1" ht="14.1">
      <c r="A99" s="188" t="s">
        <v>1888</v>
      </c>
      <c r="B99" s="188"/>
      <c r="C99" s="188"/>
      <c r="D99" s="188"/>
      <c r="E99" s="207"/>
      <c r="F99" s="188"/>
      <c r="G99" s="277"/>
    </row>
    <row r="100" spans="1:7" s="274" customFormat="1">
      <c r="A100" s="208" t="s">
        <v>1889</v>
      </c>
      <c r="B100" s="190">
        <f>'Sources and Uses Budget'!$C99</f>
        <v>4045735.87617866</v>
      </c>
      <c r="C100" s="190">
        <f>'Sources and Uses Budget'!$C99</f>
        <v>4045735.87617866</v>
      </c>
      <c r="D100" s="194">
        <f t="shared" si="1"/>
        <v>0</v>
      </c>
      <c r="E100" s="192"/>
      <c r="F100" s="191"/>
      <c r="G100" s="277"/>
    </row>
    <row r="101" spans="1:7" s="274" customFormat="1">
      <c r="A101" s="208" t="s">
        <v>1890</v>
      </c>
      <c r="B101" s="190">
        <f>'Sources and Uses Budget'!$C100</f>
        <v>0</v>
      </c>
      <c r="C101" s="190">
        <f>'Sources and Uses Budget'!$C100</f>
        <v>0</v>
      </c>
      <c r="D101" s="194">
        <f t="shared" si="1"/>
        <v>0</v>
      </c>
      <c r="E101" s="192"/>
      <c r="F101" s="191"/>
      <c r="G101" s="277"/>
    </row>
    <row r="102" spans="1:7" s="274" customFormat="1">
      <c r="A102" s="208" t="s">
        <v>1891</v>
      </c>
      <c r="B102" s="190">
        <f>'Sources and Uses Budget'!$C101</f>
        <v>0</v>
      </c>
      <c r="C102" s="190">
        <f>'Sources and Uses Budget'!$C101</f>
        <v>0</v>
      </c>
      <c r="D102" s="194">
        <f t="shared" si="1"/>
        <v>0</v>
      </c>
      <c r="E102" s="192"/>
      <c r="F102" s="191"/>
      <c r="G102" s="277"/>
    </row>
    <row r="103" spans="1:7" s="274" customFormat="1" ht="12" customHeight="1">
      <c r="A103" s="208" t="s">
        <v>1892</v>
      </c>
      <c r="B103" s="190">
        <f>'Sources and Uses Budget'!$C102</f>
        <v>0</v>
      </c>
      <c r="C103" s="190">
        <f>'Sources and Uses Budget'!$C102</f>
        <v>0</v>
      </c>
      <c r="D103" s="194">
        <f t="shared" si="1"/>
        <v>0</v>
      </c>
      <c r="E103" s="192"/>
      <c r="F103" s="191"/>
      <c r="G103" s="277"/>
    </row>
    <row r="104" spans="1:7" s="274" customFormat="1" ht="14.1">
      <c r="A104" s="937" t="str">
        <f>'Sources and Uses Budget'!A103</f>
        <v>Other: (Specify)</v>
      </c>
      <c r="B104" s="190">
        <f>'Sources and Uses Budget'!$C103</f>
        <v>0</v>
      </c>
      <c r="C104" s="190">
        <f>'Sources and Uses Budget'!$C103</f>
        <v>0</v>
      </c>
      <c r="D104" s="194">
        <f t="shared" si="1"/>
        <v>0</v>
      </c>
      <c r="E104" s="192"/>
      <c r="F104" s="191"/>
      <c r="G104" s="277"/>
    </row>
    <row r="105" spans="1:7" s="274" customFormat="1" ht="14.1">
      <c r="A105" s="195" t="s">
        <v>1893</v>
      </c>
      <c r="B105" s="194">
        <f>SUM(B100:B104)</f>
        <v>4045735.87617866</v>
      </c>
      <c r="C105" s="194">
        <f>SUM(C100:C104)</f>
        <v>4045735.87617866</v>
      </c>
      <c r="D105" s="194">
        <f t="shared" si="1"/>
        <v>0</v>
      </c>
      <c r="E105" s="192"/>
      <c r="F105" s="191"/>
      <c r="G105" s="277"/>
    </row>
    <row r="106" spans="1:7" s="274" customFormat="1" ht="14.1">
      <c r="A106" s="195" t="s">
        <v>1894</v>
      </c>
      <c r="B106" s="197">
        <f>SUM(B98+B105)</f>
        <v>35418549.276178665</v>
      </c>
      <c r="C106" s="197">
        <f>SUM(C98+C105)</f>
        <v>35418549.276178665</v>
      </c>
      <c r="D106" s="194">
        <f t="shared" si="1"/>
        <v>0</v>
      </c>
      <c r="E106" s="192"/>
      <c r="F106" s="191"/>
      <c r="G106" s="277"/>
    </row>
    <row r="107" spans="1:7" s="274" customFormat="1">
      <c r="A107" s="202" t="s">
        <v>2797</v>
      </c>
      <c r="B107" s="203"/>
      <c r="C107" s="204"/>
      <c r="D107" s="206"/>
      <c r="E107" s="189"/>
      <c r="F107" s="201"/>
      <c r="G107" s="277"/>
    </row>
    <row r="108" spans="1:7" s="200" customFormat="1" ht="12" hidden="1" customHeight="1">
      <c r="A108" s="199"/>
    </row>
    <row r="109" spans="1:7" s="200" customFormat="1" ht="12" hidden="1" customHeight="1">
      <c r="A109" s="199"/>
    </row>
    <row r="110" spans="1:7" s="200" customFormat="1" ht="12" hidden="1" customHeight="1">
      <c r="A110" s="199"/>
    </row>
    <row r="111" spans="1:7" s="200" customFormat="1" ht="12" hidden="1" customHeight="1">
      <c r="A111" s="199"/>
    </row>
    <row r="112" spans="1:7" s="200" customFormat="1" ht="12" hidden="1" customHeight="1">
      <c r="A112" s="199"/>
    </row>
    <row r="113" spans="1:1" s="200" customFormat="1" ht="12" hidden="1" customHeight="1">
      <c r="A113" s="199"/>
    </row>
    <row r="114" spans="1:1" s="200" customFormat="1" ht="12" hidden="1" customHeight="1">
      <c r="A114" s="199"/>
    </row>
    <row r="115" spans="1:1" s="200" customFormat="1" ht="12" hidden="1" customHeight="1">
      <c r="A115" s="199"/>
    </row>
    <row r="116" spans="1:1" s="200" customFormat="1" ht="12" hidden="1" customHeight="1">
      <c r="A116" s="199"/>
    </row>
    <row r="117" spans="1:1" s="200" customFormat="1" ht="12" hidden="1" customHeight="1">
      <c r="A117" s="199"/>
    </row>
    <row r="118" spans="1:1" s="200" customFormat="1" ht="12" hidden="1" customHeight="1">
      <c r="A118" s="199"/>
    </row>
    <row r="119" spans="1:1" s="200" customFormat="1" ht="12" hidden="1" customHeight="1">
      <c r="A119" s="199"/>
    </row>
    <row r="120" spans="1:1" s="200" customFormat="1" ht="12" hidden="1" customHeight="1">
      <c r="A120" s="199"/>
    </row>
    <row r="121" spans="1:1" s="200" customFormat="1" ht="12" hidden="1" customHeight="1">
      <c r="A121" s="199"/>
    </row>
    <row r="122" spans="1:1" s="200" customFormat="1" ht="12" hidden="1" customHeight="1">
      <c r="A122" s="199"/>
    </row>
    <row r="123" spans="1:1" s="200" customFormat="1" ht="12" hidden="1" customHeight="1">
      <c r="A123" s="199"/>
    </row>
    <row r="124" spans="1:1" s="200" customFormat="1" ht="12" hidden="1" customHeight="1">
      <c r="A124" s="199"/>
    </row>
    <row r="125" spans="1:1" s="200" customFormat="1" ht="12" hidden="1" customHeight="1">
      <c r="A125" s="199"/>
    </row>
    <row r="126" spans="1:1" s="200" customFormat="1" ht="12" hidden="1" customHeight="1">
      <c r="A126" s="199"/>
    </row>
    <row r="127" spans="1:1" s="200" customFormat="1" ht="12" hidden="1" customHeight="1">
      <c r="A127" s="199"/>
    </row>
    <row r="128" spans="1:1" s="200" customFormat="1" ht="12" hidden="1" customHeight="1">
      <c r="A128" s="199"/>
    </row>
    <row r="129" spans="1:1" s="200" customFormat="1" ht="12" hidden="1" customHeight="1">
      <c r="A129" s="199"/>
    </row>
    <row r="130" spans="1:1" s="200" customFormat="1" ht="12" hidden="1" customHeight="1">
      <c r="A130" s="199"/>
    </row>
    <row r="131" spans="1:1" s="200" customFormat="1" ht="12" hidden="1" customHeight="1">
      <c r="A131" s="199"/>
    </row>
    <row r="132" spans="1:1" s="200" customFormat="1" ht="12" hidden="1" customHeight="1">
      <c r="A132" s="199"/>
    </row>
    <row r="133" spans="1:1" s="200" customFormat="1" ht="12" hidden="1" customHeight="1">
      <c r="A133" s="199"/>
    </row>
    <row r="134" spans="1:1" s="200" customFormat="1" ht="12" hidden="1" customHeight="1">
      <c r="A134" s="199"/>
    </row>
    <row r="135" spans="1:1" s="200" customFormat="1" ht="12" hidden="1" customHeight="1">
      <c r="A135" s="199"/>
    </row>
    <row r="136" spans="1:1" s="200" customFormat="1" ht="12" hidden="1" customHeight="1">
      <c r="A136" s="199"/>
    </row>
    <row r="137" spans="1:1" s="200" customFormat="1" ht="12" hidden="1" customHeight="1">
      <c r="A137" s="199"/>
    </row>
    <row r="138" spans="1:1" s="200" customFormat="1" ht="12" hidden="1" customHeight="1">
      <c r="A138" s="199"/>
    </row>
    <row r="139" spans="1:1" s="200" customFormat="1" ht="12" hidden="1" customHeight="1">
      <c r="A139" s="199"/>
    </row>
    <row r="140" spans="1:1" s="200" customFormat="1" ht="12" hidden="1" customHeight="1">
      <c r="A140" s="199"/>
    </row>
    <row r="141" spans="1:1" s="200" customFormat="1" ht="12" hidden="1" customHeight="1">
      <c r="A141" s="199"/>
    </row>
    <row r="142" spans="1:1" s="200" customFormat="1" ht="12" hidden="1" customHeight="1">
      <c r="A142" s="199"/>
    </row>
    <row r="143" spans="1:1" s="200" customFormat="1" ht="12" hidden="1" customHeight="1">
      <c r="A143" s="199"/>
    </row>
    <row r="144" spans="1:1" s="200" customFormat="1" ht="12" hidden="1" customHeight="1">
      <c r="A144" s="199"/>
    </row>
    <row r="145" spans="1:1" s="200" customFormat="1" ht="12" hidden="1" customHeight="1">
      <c r="A145" s="199"/>
    </row>
    <row r="146" spans="1:1" s="200" customFormat="1" ht="12" hidden="1" customHeight="1">
      <c r="A146" s="199"/>
    </row>
    <row r="147" spans="1:1" s="200" customFormat="1" ht="12" hidden="1" customHeight="1">
      <c r="A147" s="199"/>
    </row>
    <row r="148" spans="1:1" s="200" customFormat="1" ht="12" hidden="1" customHeight="1">
      <c r="A148" s="199"/>
    </row>
    <row r="149" spans="1:1" s="200" customFormat="1" ht="12" hidden="1" customHeight="1">
      <c r="A149" s="199"/>
    </row>
    <row r="150" spans="1:1" s="200" customFormat="1" ht="12" hidden="1" customHeight="1">
      <c r="A150" s="199"/>
    </row>
    <row r="151" spans="1:1" s="200" customFormat="1" ht="12" hidden="1" customHeight="1">
      <c r="A151" s="199"/>
    </row>
    <row r="152" spans="1:1" s="200" customFormat="1" ht="12" hidden="1" customHeight="1">
      <c r="A152" s="199"/>
    </row>
    <row r="153" spans="1:1" s="200" customFormat="1" ht="12" hidden="1" customHeight="1">
      <c r="A153" s="199"/>
    </row>
    <row r="154" spans="1:1" s="200" customFormat="1" ht="12" hidden="1" customHeight="1">
      <c r="A154" s="199"/>
    </row>
    <row r="155" spans="1:1" s="200" customFormat="1" ht="12" hidden="1" customHeight="1">
      <c r="A155" s="199"/>
    </row>
    <row r="156" spans="1:1" s="200" customFormat="1" ht="12" hidden="1" customHeight="1">
      <c r="A156" s="199"/>
    </row>
    <row r="157" spans="1:1" s="200" customFormat="1" ht="12" hidden="1" customHeight="1">
      <c r="A157" s="199"/>
    </row>
    <row r="158" spans="1:1" s="200" customFormat="1" ht="12" hidden="1" customHeight="1">
      <c r="A158" s="199"/>
    </row>
    <row r="159" spans="1:1" s="200" customFormat="1" ht="12" hidden="1" customHeight="1">
      <c r="A159" s="199"/>
    </row>
    <row r="160" spans="1:1" s="200" customFormat="1" ht="12" hidden="1" customHeight="1">
      <c r="A160" s="199"/>
    </row>
    <row r="161" spans="1:1" s="200" customFormat="1" ht="12" hidden="1" customHeight="1">
      <c r="A161" s="199"/>
    </row>
    <row r="162" spans="1:1" s="200" customFormat="1" ht="12" hidden="1" customHeight="1">
      <c r="A162" s="199"/>
    </row>
    <row r="163" spans="1:1" s="200" customFormat="1" ht="12" hidden="1" customHeight="1">
      <c r="A163" s="199"/>
    </row>
    <row r="164" spans="1:1" s="200" customFormat="1" ht="12" hidden="1" customHeight="1">
      <c r="A164" s="199"/>
    </row>
    <row r="165" spans="1:1" s="200" customFormat="1" ht="12" hidden="1" customHeight="1">
      <c r="A165" s="199"/>
    </row>
    <row r="166" spans="1:1" s="200" customFormat="1" ht="12" hidden="1" customHeight="1">
      <c r="A166" s="199"/>
    </row>
    <row r="167" spans="1:1" s="200" customFormat="1" ht="12" hidden="1" customHeight="1">
      <c r="A167" s="199"/>
    </row>
    <row r="168" spans="1:1" s="200" customFormat="1" ht="12" hidden="1" customHeight="1">
      <c r="A168" s="199"/>
    </row>
    <row r="169" spans="1:1" s="200" customFormat="1" ht="12" hidden="1" customHeight="1">
      <c r="A169" s="199"/>
    </row>
    <row r="170" spans="1:1" s="200" customFormat="1" ht="12" hidden="1" customHeight="1">
      <c r="A170" s="199"/>
    </row>
    <row r="171" spans="1:1" s="200" customFormat="1" ht="12" hidden="1" customHeight="1">
      <c r="A171" s="199"/>
    </row>
    <row r="172" spans="1:1" s="200" customFormat="1" ht="12" hidden="1" customHeight="1">
      <c r="A172" s="199"/>
    </row>
    <row r="173" spans="1:1" s="200" customFormat="1" ht="12" hidden="1" customHeight="1">
      <c r="A173" s="199"/>
    </row>
    <row r="174" spans="1:1" s="200" customFormat="1" ht="12" hidden="1" customHeight="1">
      <c r="A174" s="199"/>
    </row>
    <row r="175" spans="1:1" s="200" customFormat="1" ht="12" hidden="1" customHeight="1">
      <c r="A175" s="199"/>
    </row>
    <row r="176" spans="1:1" s="200" customFormat="1" ht="12" hidden="1" customHeight="1">
      <c r="A176" s="199"/>
    </row>
    <row r="177" spans="1:1" s="200" customFormat="1" ht="12" hidden="1" customHeight="1">
      <c r="A177" s="199"/>
    </row>
    <row r="178" spans="1:1" s="200" customFormat="1" ht="12" hidden="1" customHeight="1">
      <c r="A178" s="199"/>
    </row>
    <row r="179" spans="1:1" s="200" customFormat="1" ht="12" hidden="1" customHeight="1">
      <c r="A179" s="199"/>
    </row>
    <row r="180" spans="1:1" s="200" customFormat="1" ht="12" hidden="1" customHeight="1">
      <c r="A180" s="199"/>
    </row>
    <row r="181" spans="1:1" s="200" customFormat="1" ht="12" hidden="1" customHeight="1">
      <c r="A181" s="199"/>
    </row>
    <row r="182" spans="1:1" s="200" customFormat="1" ht="12" hidden="1" customHeight="1">
      <c r="A182" s="199"/>
    </row>
    <row r="183" spans="1:1" s="200" customFormat="1" ht="12" hidden="1" customHeight="1">
      <c r="A183" s="199"/>
    </row>
    <row r="184" spans="1:1" s="200" customFormat="1" ht="12" hidden="1" customHeight="1">
      <c r="A184" s="199"/>
    </row>
    <row r="185" spans="1:1" s="200" customFormat="1" ht="12" hidden="1" customHeight="1">
      <c r="A185" s="199"/>
    </row>
    <row r="186" spans="1:1" s="200" customFormat="1" ht="12" hidden="1" customHeight="1">
      <c r="A186" s="199"/>
    </row>
    <row r="187" spans="1:1" s="200" customFormat="1" ht="12" hidden="1" customHeight="1">
      <c r="A187" s="199"/>
    </row>
    <row r="188" spans="1:1" s="200" customFormat="1" ht="12" hidden="1" customHeight="1">
      <c r="A188" s="199"/>
    </row>
    <row r="189" spans="1:1" s="200" customFormat="1" ht="12" hidden="1" customHeight="1">
      <c r="A189" s="199"/>
    </row>
    <row r="190" spans="1:1" s="200" customFormat="1" ht="12" hidden="1" customHeight="1">
      <c r="A190" s="199"/>
    </row>
    <row r="191" spans="1:1" s="200" customFormat="1" ht="12" hidden="1" customHeight="1">
      <c r="A191" s="199"/>
    </row>
    <row r="192" spans="1:1" s="200" customFormat="1" ht="12" hidden="1" customHeight="1">
      <c r="A192" s="199"/>
    </row>
    <row r="193" spans="1:1" s="200" customFormat="1" ht="12" hidden="1" customHeight="1">
      <c r="A193" s="199"/>
    </row>
    <row r="194" spans="1:1" s="200" customFormat="1" ht="12" hidden="1" customHeight="1">
      <c r="A194" s="199"/>
    </row>
    <row r="195" spans="1:1" s="200" customFormat="1" ht="12" hidden="1" customHeight="1">
      <c r="A195" s="199"/>
    </row>
    <row r="196" spans="1:1" s="200" customFormat="1" ht="12" hidden="1" customHeight="1">
      <c r="A196" s="199"/>
    </row>
    <row r="197" spans="1:1" s="200" customFormat="1" ht="12" hidden="1" customHeight="1">
      <c r="A197" s="199"/>
    </row>
    <row r="198" spans="1:1" s="200" customFormat="1" ht="12" hidden="1" customHeight="1">
      <c r="A198" s="199"/>
    </row>
    <row r="199" spans="1:1" s="200" customFormat="1" ht="12" hidden="1" customHeight="1">
      <c r="A199" s="199"/>
    </row>
    <row r="200" spans="1:1" s="200" customFormat="1" ht="12" hidden="1" customHeight="1">
      <c r="A200" s="199"/>
    </row>
    <row r="201" spans="1:1" s="200" customFormat="1" ht="12" hidden="1" customHeight="1">
      <c r="A201" s="199"/>
    </row>
    <row r="202" spans="1:1" s="200" customFormat="1" ht="12" hidden="1" customHeight="1">
      <c r="A202" s="199"/>
    </row>
    <row r="203" spans="1:1" s="200" customFormat="1" ht="12" hidden="1" customHeight="1">
      <c r="A203" s="199"/>
    </row>
    <row r="204" spans="1:1" s="200" customFormat="1" ht="12" hidden="1" customHeight="1">
      <c r="A204" s="199"/>
    </row>
    <row r="205" spans="1:1" s="200" customFormat="1" ht="12" hidden="1" customHeight="1">
      <c r="A205" s="199"/>
    </row>
    <row r="206" spans="1:1" s="200" customFormat="1" ht="12" hidden="1" customHeight="1">
      <c r="A206" s="199"/>
    </row>
    <row r="207" spans="1:1" s="200" customFormat="1" ht="12" hidden="1" customHeight="1">
      <c r="A207" s="199"/>
    </row>
    <row r="208" spans="1:1" s="200" customFormat="1" ht="12" hidden="1" customHeight="1">
      <c r="A208" s="199"/>
    </row>
    <row r="209" spans="1:1" s="200" customFormat="1" ht="12" hidden="1" customHeight="1">
      <c r="A209" s="199"/>
    </row>
    <row r="210" spans="1:1" s="200" customFormat="1" ht="12" hidden="1" customHeight="1">
      <c r="A210" s="199"/>
    </row>
    <row r="211" spans="1:1" s="200" customFormat="1" ht="12" hidden="1" customHeight="1">
      <c r="A211" s="199"/>
    </row>
    <row r="212" spans="1:1" s="200" customFormat="1" ht="12" hidden="1" customHeight="1">
      <c r="A212" s="199"/>
    </row>
    <row r="213" spans="1:1" s="200" customFormat="1" ht="12" hidden="1" customHeight="1">
      <c r="A213" s="199"/>
    </row>
    <row r="214" spans="1:1" s="200" customFormat="1" ht="12" hidden="1" customHeight="1">
      <c r="A214" s="199"/>
    </row>
    <row r="215" spans="1:1" s="200" customFormat="1" ht="12" hidden="1" customHeight="1">
      <c r="A215" s="199"/>
    </row>
    <row r="216" spans="1:1" s="200" customFormat="1" ht="12" hidden="1" customHeight="1">
      <c r="A216" s="199"/>
    </row>
    <row r="217" spans="1:1" s="200" customFormat="1" ht="12" hidden="1" customHeight="1">
      <c r="A217" s="199"/>
    </row>
    <row r="218" spans="1:1" s="200" customFormat="1" ht="12" hidden="1" customHeight="1">
      <c r="A218" s="199"/>
    </row>
    <row r="219" spans="1:1" s="200" customFormat="1" ht="12" hidden="1" customHeight="1">
      <c r="A219" s="199"/>
    </row>
    <row r="220" spans="1:1" s="200" customFormat="1" ht="12" hidden="1" customHeight="1">
      <c r="A220" s="199"/>
    </row>
    <row r="221" spans="1:1" s="200" customFormat="1" ht="12" hidden="1" customHeight="1">
      <c r="A221" s="199"/>
    </row>
    <row r="222" spans="1:1" s="200" customFormat="1" ht="12" hidden="1" customHeight="1">
      <c r="A222" s="199"/>
    </row>
    <row r="223" spans="1:1" s="200" customFormat="1" ht="12" hidden="1" customHeight="1">
      <c r="A223" s="199"/>
    </row>
    <row r="224" spans="1:1" s="200" customFormat="1" ht="12" hidden="1" customHeight="1">
      <c r="A224" s="199"/>
    </row>
    <row r="225" spans="1:1" s="200" customFormat="1" ht="12" hidden="1" customHeight="1">
      <c r="A225" s="199"/>
    </row>
    <row r="226" spans="1:1" s="200" customFormat="1" ht="12" hidden="1" customHeight="1">
      <c r="A226" s="199"/>
    </row>
    <row r="227" spans="1:1" s="200" customFormat="1" ht="12" hidden="1" customHeight="1">
      <c r="A227" s="199"/>
    </row>
    <row r="228" spans="1:1" s="200" customFormat="1" ht="12" hidden="1" customHeight="1">
      <c r="A228" s="199"/>
    </row>
    <row r="229" spans="1:1" s="200" customFormat="1" ht="12" hidden="1" customHeight="1">
      <c r="A229" s="199"/>
    </row>
    <row r="230" spans="1:1" s="200" customFormat="1" ht="12" hidden="1" customHeight="1">
      <c r="A230" s="199"/>
    </row>
    <row r="231" spans="1:1" s="200" customFormat="1" ht="12" hidden="1" customHeight="1">
      <c r="A231" s="199"/>
    </row>
    <row r="232" spans="1:1" s="200" customFormat="1" ht="12" hidden="1" customHeight="1">
      <c r="A232" s="199"/>
    </row>
    <row r="233" spans="1:1" s="200" customFormat="1" ht="12" hidden="1" customHeight="1">
      <c r="A233" s="199"/>
    </row>
    <row r="234" spans="1:1" s="200" customFormat="1" ht="12" hidden="1" customHeight="1">
      <c r="A234" s="199"/>
    </row>
    <row r="235" spans="1:1" s="200" customFormat="1" ht="12" hidden="1" customHeight="1">
      <c r="A235" s="199"/>
    </row>
    <row r="236" spans="1:1" s="200" customFormat="1" ht="12" hidden="1" customHeight="1">
      <c r="A236" s="199"/>
    </row>
    <row r="237" spans="1:1" s="200" customFormat="1" ht="12" hidden="1" customHeight="1">
      <c r="A237" s="199"/>
    </row>
    <row r="238" spans="1:1" s="200" customFormat="1" ht="12" hidden="1" customHeight="1">
      <c r="A238" s="199"/>
    </row>
    <row r="239" spans="1:1" s="200" customFormat="1" ht="12" hidden="1" customHeight="1">
      <c r="A239" s="199"/>
    </row>
    <row r="240" spans="1:1" s="200" customFormat="1" ht="12" hidden="1" customHeight="1">
      <c r="A240" s="199"/>
    </row>
    <row r="241" spans="1:1" s="200" customFormat="1" ht="12" hidden="1" customHeight="1">
      <c r="A241" s="199"/>
    </row>
    <row r="242" spans="1:1" s="200" customFormat="1" ht="12" hidden="1" customHeight="1">
      <c r="A242" s="199"/>
    </row>
    <row r="243" spans="1:1" s="200" customFormat="1" ht="12" hidden="1" customHeight="1">
      <c r="A243" s="199"/>
    </row>
    <row r="244" spans="1:1" s="200" customFormat="1" ht="12" hidden="1" customHeight="1">
      <c r="A244" s="199"/>
    </row>
    <row r="245" spans="1:1" s="200" customFormat="1" ht="12" hidden="1" customHeight="1">
      <c r="A245" s="199"/>
    </row>
    <row r="246" spans="1:1" s="200" customFormat="1" ht="12" hidden="1" customHeight="1">
      <c r="A246" s="199"/>
    </row>
    <row r="247" spans="1:1" s="200" customFormat="1" ht="12" hidden="1" customHeight="1">
      <c r="A247" s="199"/>
    </row>
    <row r="248" spans="1:1" s="200" customFormat="1" ht="12" hidden="1" customHeight="1">
      <c r="A248" s="199"/>
    </row>
    <row r="249" spans="1:1" s="200" customFormat="1" ht="12" hidden="1" customHeight="1">
      <c r="A249" s="199"/>
    </row>
    <row r="250" spans="1:1" s="200" customFormat="1" ht="12" hidden="1" customHeight="1">
      <c r="A250" s="199"/>
    </row>
    <row r="251" spans="1:1" s="200" customFormat="1" ht="12" hidden="1" customHeight="1">
      <c r="A251" s="199"/>
    </row>
    <row r="252" spans="1:1" s="200" customFormat="1" ht="12" hidden="1" customHeight="1">
      <c r="A252" s="199"/>
    </row>
    <row r="253" spans="1:1" s="200" customFormat="1" ht="12" hidden="1" customHeight="1">
      <c r="A253" s="199"/>
    </row>
    <row r="254" spans="1:1" s="200" customFormat="1" ht="12" hidden="1" customHeight="1">
      <c r="A254" s="199"/>
    </row>
    <row r="255" spans="1:1" s="200" customFormat="1" ht="12" hidden="1" customHeight="1">
      <c r="A255" s="199"/>
    </row>
    <row r="256" spans="1:1" s="200" customFormat="1" ht="12" hidden="1" customHeight="1">
      <c r="A256" s="199"/>
    </row>
    <row r="257" spans="1:1" s="200" customFormat="1" ht="12" hidden="1" customHeight="1">
      <c r="A257" s="199"/>
    </row>
    <row r="258" spans="1:1" s="200" customFormat="1" ht="12" hidden="1" customHeight="1">
      <c r="A258" s="199"/>
    </row>
    <row r="259" spans="1:1" s="200" customFormat="1" ht="12" hidden="1" customHeight="1">
      <c r="A259" s="199"/>
    </row>
    <row r="260" spans="1:1" s="200" customFormat="1" ht="12" hidden="1" customHeight="1">
      <c r="A260" s="199"/>
    </row>
    <row r="261" spans="1:1" s="200" customFormat="1" ht="12" hidden="1" customHeight="1">
      <c r="A261" s="199"/>
    </row>
    <row r="262" spans="1:1" s="200" customFormat="1" ht="12" hidden="1" customHeight="1">
      <c r="A262" s="199"/>
    </row>
    <row r="263" spans="1:1" s="200" customFormat="1" ht="12" hidden="1" customHeight="1">
      <c r="A263" s="199"/>
    </row>
    <row r="264" spans="1:1" s="200" customFormat="1" ht="12" hidden="1" customHeight="1">
      <c r="A264" s="199"/>
    </row>
    <row r="265" spans="1:1" s="200" customFormat="1" ht="12" hidden="1" customHeight="1">
      <c r="A265" s="199"/>
    </row>
    <row r="266" spans="1:1" s="200" customFormat="1" ht="12" hidden="1" customHeight="1">
      <c r="A266" s="199"/>
    </row>
    <row r="267" spans="1:1" s="200" customFormat="1" ht="12" hidden="1" customHeight="1">
      <c r="A267" s="199"/>
    </row>
    <row r="268" spans="1:1" s="200" customFormat="1" ht="12" hidden="1" customHeight="1">
      <c r="A268" s="199"/>
    </row>
    <row r="269" spans="1:1" s="200" customFormat="1" ht="12" hidden="1" customHeight="1">
      <c r="A269" s="199"/>
    </row>
    <row r="270" spans="1:1" s="200" customFormat="1" ht="12" hidden="1" customHeight="1">
      <c r="A270" s="199"/>
    </row>
    <row r="271" spans="1:1" s="200" customFormat="1" ht="12" hidden="1" customHeight="1">
      <c r="A271" s="199"/>
    </row>
    <row r="272" spans="1:1" s="200" customFormat="1" ht="12" hidden="1" customHeight="1">
      <c r="A272" s="199"/>
    </row>
    <row r="273" spans="1:1" s="200" customFormat="1" ht="12" hidden="1" customHeight="1">
      <c r="A273" s="199"/>
    </row>
    <row r="274" spans="1:1" s="200" customFormat="1" ht="12" hidden="1" customHeight="1">
      <c r="A274" s="199"/>
    </row>
    <row r="275" spans="1:1" s="200" customFormat="1" ht="12" hidden="1" customHeight="1">
      <c r="A275" s="199"/>
    </row>
    <row r="276" spans="1:1" s="200" customFormat="1" ht="12" hidden="1" customHeight="1">
      <c r="A276" s="199"/>
    </row>
    <row r="277" spans="1:1" s="200" customFormat="1" ht="12" hidden="1" customHeight="1">
      <c r="A277" s="199"/>
    </row>
    <row r="278" spans="1:1" s="200" customFormat="1" ht="12" hidden="1" customHeight="1">
      <c r="A278" s="199"/>
    </row>
    <row r="279" spans="1:1" s="200" customFormat="1" ht="12" hidden="1" customHeight="1">
      <c r="A279" s="199"/>
    </row>
    <row r="280" spans="1:1" s="200" customFormat="1" ht="12" hidden="1" customHeight="1">
      <c r="A280" s="199"/>
    </row>
    <row r="281" spans="1:1" s="200" customFormat="1" ht="12" hidden="1" customHeight="1">
      <c r="A281" s="199"/>
    </row>
    <row r="282" spans="1:1" s="200" customFormat="1" ht="12" hidden="1" customHeight="1">
      <c r="A282" s="199"/>
    </row>
    <row r="283" spans="1:1" s="200" customFormat="1" ht="12" hidden="1" customHeight="1">
      <c r="A283" s="199"/>
    </row>
    <row r="284" spans="1:1" s="200" customFormat="1" ht="12" hidden="1" customHeight="1">
      <c r="A284" s="199"/>
    </row>
    <row r="285" spans="1:1" s="200" customFormat="1" ht="12" hidden="1" customHeight="1">
      <c r="A285" s="199"/>
    </row>
    <row r="286" spans="1:1" s="200" customFormat="1" ht="12" hidden="1" customHeight="1">
      <c r="A286" s="199"/>
    </row>
    <row r="287" spans="1:1" s="200" customFormat="1" ht="12" hidden="1" customHeight="1">
      <c r="A287" s="199"/>
    </row>
    <row r="288" spans="1:1" s="200" customFormat="1" ht="12" hidden="1" customHeight="1">
      <c r="A288" s="199"/>
    </row>
    <row r="289" spans="1:1" s="200" customFormat="1" ht="12" hidden="1" customHeight="1">
      <c r="A289" s="199"/>
    </row>
    <row r="290" spans="1:1" s="200" customFormat="1" ht="12" hidden="1" customHeight="1">
      <c r="A290" s="199"/>
    </row>
    <row r="291" spans="1:1" s="200" customFormat="1" ht="12" hidden="1" customHeight="1">
      <c r="A291" s="199"/>
    </row>
    <row r="292" spans="1:1" s="200" customFormat="1" ht="12" hidden="1" customHeight="1">
      <c r="A292" s="199"/>
    </row>
    <row r="293" spans="1:1" s="200" customFormat="1" ht="12" hidden="1" customHeight="1">
      <c r="A293" s="199"/>
    </row>
    <row r="294" spans="1:1" s="200" customFormat="1" ht="12" hidden="1" customHeight="1">
      <c r="A294" s="199"/>
    </row>
    <row r="295" spans="1:1" s="200" customFormat="1" ht="12" hidden="1" customHeight="1">
      <c r="A295" s="199"/>
    </row>
    <row r="296" spans="1:1" s="200" customFormat="1" ht="12" hidden="1" customHeight="1">
      <c r="A296" s="199"/>
    </row>
    <row r="297" spans="1:1" s="200" customFormat="1" ht="12" hidden="1" customHeight="1">
      <c r="A297" s="199"/>
    </row>
    <row r="298" spans="1:1" s="200" customFormat="1" ht="12" hidden="1" customHeight="1">
      <c r="A298" s="199"/>
    </row>
    <row r="299" spans="1:1" s="200" customFormat="1" ht="12" hidden="1" customHeight="1">
      <c r="A299" s="199"/>
    </row>
    <row r="300" spans="1:1" s="200" customFormat="1" ht="12" hidden="1" customHeight="1">
      <c r="A300" s="199"/>
    </row>
    <row r="301" spans="1:1" s="200" customFormat="1" ht="12" hidden="1" customHeight="1">
      <c r="A301" s="199"/>
    </row>
    <row r="302" spans="1:1" s="200" customFormat="1" ht="12" hidden="1" customHeight="1">
      <c r="A302" s="199"/>
    </row>
    <row r="303" spans="1:1" s="200" customFormat="1" ht="12" hidden="1" customHeight="1">
      <c r="A303" s="199"/>
    </row>
    <row r="304" spans="1:1" s="200" customFormat="1" ht="12" hidden="1" customHeight="1">
      <c r="A304" s="199"/>
    </row>
    <row r="305" spans="1:1" s="200" customFormat="1" ht="12" hidden="1" customHeight="1">
      <c r="A305" s="199"/>
    </row>
    <row r="306" spans="1:1" s="200" customFormat="1" ht="12" hidden="1" customHeight="1">
      <c r="A306" s="199"/>
    </row>
    <row r="307" spans="1:1" s="200" customFormat="1" ht="12" hidden="1" customHeight="1">
      <c r="A307" s="199"/>
    </row>
    <row r="308" spans="1:1" s="200" customFormat="1" ht="12" hidden="1" customHeight="1">
      <c r="A308" s="199"/>
    </row>
    <row r="309" spans="1:1" s="200" customFormat="1" ht="12" hidden="1" customHeight="1">
      <c r="A309" s="199"/>
    </row>
    <row r="310" spans="1:1" s="200" customFormat="1" ht="12" hidden="1" customHeight="1">
      <c r="A310" s="199"/>
    </row>
    <row r="311" spans="1:1" s="200" customFormat="1" ht="12" hidden="1" customHeight="1">
      <c r="A311" s="199"/>
    </row>
    <row r="312" spans="1:1" s="200" customFormat="1" ht="12" hidden="1" customHeight="1">
      <c r="A312" s="199"/>
    </row>
    <row r="313" spans="1:1" s="200" customFormat="1" ht="12" hidden="1" customHeight="1">
      <c r="A313" s="199"/>
    </row>
    <row r="314" spans="1:1" s="200" customFormat="1" ht="12" hidden="1" customHeight="1">
      <c r="A314" s="199"/>
    </row>
    <row r="315" spans="1:1" s="200" customFormat="1" ht="12" hidden="1" customHeight="1">
      <c r="A315" s="199"/>
    </row>
    <row r="316" spans="1:1" s="200" customFormat="1" ht="12" hidden="1" customHeight="1">
      <c r="A316" s="199"/>
    </row>
    <row r="317" spans="1:1" s="200" customFormat="1" ht="12" hidden="1" customHeight="1">
      <c r="A317" s="199"/>
    </row>
    <row r="318" spans="1:1" s="200" customFormat="1" ht="12" hidden="1" customHeight="1">
      <c r="A318" s="199"/>
    </row>
    <row r="319" spans="1:1" s="200" customFormat="1" ht="12" hidden="1" customHeight="1">
      <c r="A319" s="199"/>
    </row>
    <row r="320" spans="1:1" s="200" customFormat="1" ht="12" hidden="1" customHeight="1">
      <c r="A320" s="199"/>
    </row>
    <row r="321" spans="1:1" s="200" customFormat="1" ht="12" hidden="1" customHeight="1">
      <c r="A321" s="199"/>
    </row>
    <row r="322" spans="1:1" s="200" customFormat="1" ht="12" hidden="1" customHeight="1">
      <c r="A322" s="199"/>
    </row>
    <row r="323" spans="1:1" s="200" customFormat="1" ht="12" hidden="1" customHeight="1">
      <c r="A323" s="199"/>
    </row>
    <row r="324" spans="1:1" s="200" customFormat="1" ht="12" hidden="1" customHeight="1">
      <c r="A324" s="199"/>
    </row>
    <row r="325" spans="1:1" s="200" customFormat="1" ht="12" hidden="1" customHeight="1">
      <c r="A325" s="199"/>
    </row>
    <row r="326" spans="1:1" s="200" customFormat="1" ht="12" hidden="1" customHeight="1">
      <c r="A326" s="199"/>
    </row>
    <row r="327" spans="1:1" s="200" customFormat="1" ht="12" hidden="1" customHeight="1">
      <c r="A327" s="199"/>
    </row>
    <row r="328" spans="1:1" s="200" customFormat="1" ht="12" hidden="1" customHeight="1">
      <c r="A328" s="199"/>
    </row>
    <row r="329" spans="1:1" s="200" customFormat="1" ht="12" hidden="1" customHeight="1">
      <c r="A329" s="199"/>
    </row>
    <row r="330" spans="1:1" s="200" customFormat="1" ht="12" hidden="1" customHeight="1">
      <c r="A330" s="199"/>
    </row>
    <row r="331" spans="1:1" s="200" customFormat="1" ht="12" hidden="1" customHeight="1">
      <c r="A331" s="199"/>
    </row>
    <row r="332" spans="1:1" s="200" customFormat="1" ht="12" hidden="1" customHeight="1">
      <c r="A332" s="199"/>
    </row>
    <row r="333" spans="1:1" s="200" customFormat="1" ht="12" hidden="1" customHeight="1">
      <c r="A333" s="199"/>
    </row>
    <row r="334" spans="1:1" s="200" customFormat="1" ht="12" hidden="1" customHeight="1">
      <c r="A334" s="199"/>
    </row>
    <row r="335" spans="1:1" s="200" customFormat="1" ht="12" hidden="1" customHeight="1">
      <c r="A335" s="199"/>
    </row>
    <row r="336" spans="1:1" s="200" customFormat="1" ht="12" hidden="1" customHeight="1">
      <c r="A336" s="199"/>
    </row>
    <row r="337" spans="1:1" s="200" customFormat="1" ht="12" hidden="1" customHeight="1">
      <c r="A337" s="199"/>
    </row>
    <row r="338" spans="1:1" s="200" customFormat="1" ht="12" hidden="1" customHeight="1">
      <c r="A338" s="199"/>
    </row>
    <row r="339" spans="1:1" s="200" customFormat="1" ht="12" hidden="1" customHeight="1">
      <c r="A339" s="199"/>
    </row>
    <row r="340" spans="1:1" s="200" customFormat="1" ht="12" hidden="1" customHeight="1">
      <c r="A340" s="199"/>
    </row>
    <row r="341" spans="1:1" s="200" customFormat="1" ht="12" hidden="1" customHeight="1">
      <c r="A341" s="199"/>
    </row>
    <row r="342" spans="1:1" s="200" customFormat="1" ht="12" hidden="1" customHeight="1">
      <c r="A342" s="199"/>
    </row>
    <row r="343" spans="1:1" s="200" customFormat="1" ht="12" hidden="1" customHeight="1">
      <c r="A343" s="199"/>
    </row>
    <row r="344" spans="1:1" s="200" customFormat="1" ht="12" hidden="1" customHeight="1">
      <c r="A344" s="199"/>
    </row>
    <row r="345" spans="1:1" s="200" customFormat="1" ht="12" hidden="1" customHeight="1">
      <c r="A345" s="199"/>
    </row>
    <row r="346" spans="1:1" s="200" customFormat="1" ht="12" hidden="1" customHeight="1">
      <c r="A346" s="199"/>
    </row>
    <row r="347" spans="1:1" s="200" customFormat="1" ht="12" hidden="1" customHeight="1">
      <c r="A347" s="199"/>
    </row>
    <row r="348" spans="1:1" s="200" customFormat="1" ht="12" hidden="1" customHeight="1">
      <c r="A348" s="199"/>
    </row>
    <row r="349" spans="1:1" s="200" customFormat="1" ht="12" hidden="1" customHeight="1">
      <c r="A349" s="199"/>
    </row>
    <row r="350" spans="1:1" s="200" customFormat="1" ht="12" hidden="1" customHeight="1">
      <c r="A350" s="199"/>
    </row>
    <row r="351" spans="1:1" s="200" customFormat="1" ht="12" hidden="1" customHeight="1">
      <c r="A351" s="199"/>
    </row>
    <row r="352" spans="1:1" s="200" customFormat="1" ht="12" hidden="1" customHeight="1">
      <c r="A352" s="199"/>
    </row>
    <row r="353" spans="1:1" s="200" customFormat="1" ht="12" hidden="1" customHeight="1">
      <c r="A353" s="199"/>
    </row>
    <row r="354" spans="1:1" s="200" customFormat="1" ht="12" hidden="1" customHeight="1">
      <c r="A354" s="199"/>
    </row>
    <row r="355" spans="1:1" s="200" customFormat="1" ht="12" hidden="1" customHeight="1">
      <c r="A355" s="199"/>
    </row>
    <row r="356" spans="1:1" s="200" customFormat="1" ht="12" hidden="1" customHeight="1">
      <c r="A356" s="199"/>
    </row>
    <row r="357" spans="1:1" s="200" customFormat="1" ht="12" hidden="1" customHeight="1">
      <c r="A357" s="199"/>
    </row>
    <row r="358" spans="1:1" s="200" customFormat="1" ht="12" hidden="1" customHeight="1">
      <c r="A358" s="199"/>
    </row>
    <row r="359" spans="1:1" s="200" customFormat="1" ht="12" hidden="1" customHeight="1">
      <c r="A359" s="199"/>
    </row>
    <row r="360" spans="1:1" s="200" customFormat="1" ht="12" hidden="1" customHeight="1">
      <c r="A360" s="199"/>
    </row>
    <row r="361" spans="1:1" s="200" customFormat="1" ht="12" hidden="1" customHeight="1">
      <c r="A361" s="199"/>
    </row>
    <row r="362" spans="1:1" s="200" customFormat="1" ht="12" hidden="1" customHeight="1">
      <c r="A362" s="199"/>
    </row>
    <row r="363" spans="1:1" s="200" customFormat="1" ht="12" hidden="1" customHeight="1">
      <c r="A363" s="199"/>
    </row>
    <row r="364" spans="1:1" s="200" customFormat="1" ht="12" hidden="1" customHeight="1">
      <c r="A364" s="199"/>
    </row>
    <row r="365" spans="1:1" s="200" customFormat="1" ht="12" hidden="1" customHeight="1">
      <c r="A365" s="199"/>
    </row>
    <row r="366" spans="1:1" s="200" customFormat="1" ht="12" hidden="1" customHeight="1">
      <c r="A366" s="199"/>
    </row>
    <row r="367" spans="1:1" s="200" customFormat="1" ht="12" hidden="1" customHeight="1">
      <c r="A367" s="199"/>
    </row>
    <row r="368" spans="1:1" s="200" customFormat="1" ht="12" hidden="1" customHeight="1">
      <c r="A368" s="199"/>
    </row>
    <row r="369" spans="1:1" s="200" customFormat="1" ht="12" hidden="1" customHeight="1">
      <c r="A369" s="199"/>
    </row>
    <row r="370" spans="1:1" s="200" customFormat="1" ht="12" hidden="1" customHeight="1">
      <c r="A370" s="199"/>
    </row>
    <row r="371" spans="1:1" s="200" customFormat="1" ht="12" hidden="1" customHeight="1">
      <c r="A371" s="199"/>
    </row>
    <row r="372" spans="1:1" s="200" customFormat="1" ht="12" hidden="1" customHeight="1">
      <c r="A372" s="199"/>
    </row>
    <row r="373" spans="1:1" s="200" customFormat="1" ht="12" hidden="1" customHeight="1">
      <c r="A373" s="199"/>
    </row>
    <row r="374" spans="1:1" s="200" customFormat="1" ht="12" hidden="1" customHeight="1">
      <c r="A374" s="199"/>
    </row>
    <row r="375" spans="1:1" s="200" customFormat="1" ht="12" hidden="1" customHeight="1">
      <c r="A375" s="199"/>
    </row>
    <row r="376" spans="1:1" s="200" customFormat="1" ht="12" hidden="1" customHeight="1">
      <c r="A376" s="199"/>
    </row>
    <row r="377" spans="1:1" s="200" customFormat="1" ht="12" hidden="1" customHeight="1">
      <c r="A377" s="199"/>
    </row>
    <row r="378" spans="1:1" s="200" customFormat="1" ht="12" hidden="1" customHeight="1">
      <c r="A378" s="199"/>
    </row>
    <row r="379" spans="1:1" s="200" customFormat="1" ht="12" hidden="1" customHeight="1">
      <c r="A379" s="199"/>
    </row>
    <row r="380" spans="1:1" s="200" customFormat="1" ht="12" hidden="1" customHeight="1">
      <c r="A380" s="199"/>
    </row>
    <row r="381" spans="1:1" s="200" customFormat="1" ht="12" hidden="1" customHeight="1">
      <c r="A381" s="199"/>
    </row>
    <row r="382" spans="1:1" s="200" customFormat="1" ht="12" hidden="1" customHeight="1">
      <c r="A382" s="199"/>
    </row>
    <row r="383" spans="1:1" s="200" customFormat="1" ht="12" hidden="1" customHeight="1">
      <c r="A383" s="199"/>
    </row>
    <row r="384" spans="1:1" s="200" customFormat="1" ht="12" hidden="1" customHeight="1">
      <c r="A384" s="199"/>
    </row>
    <row r="385" spans="1:1" s="200" customFormat="1" ht="12" hidden="1" customHeight="1">
      <c r="A385" s="199"/>
    </row>
    <row r="386" spans="1:1" s="200" customFormat="1" ht="12" hidden="1" customHeight="1">
      <c r="A386" s="199"/>
    </row>
    <row r="387" spans="1:1" s="200" customFormat="1" ht="12" hidden="1" customHeight="1">
      <c r="A387" s="199"/>
    </row>
    <row r="388" spans="1:1" s="200" customFormat="1" ht="12" hidden="1" customHeight="1">
      <c r="A388" s="199"/>
    </row>
    <row r="389" spans="1:1" s="200" customFormat="1" ht="12" hidden="1" customHeight="1">
      <c r="A389" s="199"/>
    </row>
    <row r="390" spans="1:1" s="200" customFormat="1" ht="12" hidden="1" customHeight="1">
      <c r="A390" s="199"/>
    </row>
    <row r="391" spans="1:1" s="200" customFormat="1" ht="12" hidden="1" customHeight="1">
      <c r="A391" s="199"/>
    </row>
    <row r="392" spans="1:1" s="200" customFormat="1" ht="12" hidden="1" customHeight="1">
      <c r="A392" s="199"/>
    </row>
    <row r="393" spans="1:1" s="200" customFormat="1" ht="12" hidden="1" customHeight="1">
      <c r="A393" s="199"/>
    </row>
    <row r="394" spans="1:1" s="200" customFormat="1" ht="12" hidden="1" customHeight="1">
      <c r="A394" s="199"/>
    </row>
    <row r="395" spans="1:1" s="200" customFormat="1" ht="12" hidden="1" customHeight="1">
      <c r="A395" s="199"/>
    </row>
    <row r="396" spans="1:1" s="200" customFormat="1" ht="12" hidden="1" customHeight="1">
      <c r="A396" s="199"/>
    </row>
    <row r="397" spans="1:1" s="200" customFormat="1" ht="12" hidden="1" customHeight="1">
      <c r="A397" s="199"/>
    </row>
    <row r="398" spans="1:1" s="200" customFormat="1" ht="12" hidden="1" customHeight="1">
      <c r="A398" s="199"/>
    </row>
    <row r="399" spans="1:1" s="200" customFormat="1" ht="12" hidden="1" customHeight="1">
      <c r="A399" s="199"/>
    </row>
    <row r="400" spans="1:1" s="200" customFormat="1" ht="12" hidden="1" customHeight="1">
      <c r="A400" s="199"/>
    </row>
    <row r="401" spans="1:1" s="200" customFormat="1" ht="12" hidden="1" customHeight="1">
      <c r="A401" s="199"/>
    </row>
    <row r="402" spans="1:1" s="200" customFormat="1" ht="12" hidden="1" customHeight="1">
      <c r="A402" s="199"/>
    </row>
    <row r="403" spans="1:1" s="200" customFormat="1" ht="12" hidden="1" customHeight="1">
      <c r="A403" s="199"/>
    </row>
    <row r="404" spans="1:1" s="200" customFormat="1" ht="12" hidden="1" customHeight="1">
      <c r="A404" s="199"/>
    </row>
    <row r="405" spans="1:1" s="200" customFormat="1" ht="12" hidden="1" customHeight="1">
      <c r="A405" s="199"/>
    </row>
    <row r="406" spans="1:1" s="200" customFormat="1" ht="12" hidden="1" customHeight="1">
      <c r="A406" s="199"/>
    </row>
    <row r="407" spans="1:1" s="200" customFormat="1" ht="12" hidden="1" customHeight="1">
      <c r="A407" s="199"/>
    </row>
    <row r="408" spans="1:1" s="200" customFormat="1" ht="12" hidden="1" customHeight="1">
      <c r="A408" s="199"/>
    </row>
    <row r="409" spans="1:1" s="200" customFormat="1" ht="12" hidden="1" customHeight="1">
      <c r="A409" s="199"/>
    </row>
    <row r="410" spans="1:1" s="200" customFormat="1" ht="12" hidden="1" customHeight="1">
      <c r="A410" s="199"/>
    </row>
    <row r="411" spans="1:1" s="200" customFormat="1" ht="12" hidden="1" customHeight="1">
      <c r="A411" s="199"/>
    </row>
    <row r="412" spans="1:1" s="200" customFormat="1" ht="12" hidden="1" customHeight="1">
      <c r="A412" s="199"/>
    </row>
    <row r="413" spans="1:1" s="200" customFormat="1" ht="12" hidden="1" customHeight="1">
      <c r="A413" s="199"/>
    </row>
    <row r="414" spans="1:1" s="200" customFormat="1" ht="12" hidden="1" customHeight="1">
      <c r="A414" s="199"/>
    </row>
    <row r="415" spans="1:1" s="200" customFormat="1" ht="12" hidden="1" customHeight="1">
      <c r="A415" s="199"/>
    </row>
    <row r="416" spans="1:1" s="200" customFormat="1" ht="12" hidden="1" customHeight="1">
      <c r="A416" s="199"/>
    </row>
    <row r="417" spans="1:1" s="200" customFormat="1" ht="12" hidden="1" customHeight="1">
      <c r="A417" s="199"/>
    </row>
    <row r="418" spans="1:1" s="200" customFormat="1" ht="12" hidden="1" customHeight="1">
      <c r="A418" s="199"/>
    </row>
    <row r="419" spans="1:1" s="200" customFormat="1" ht="12" hidden="1" customHeight="1">
      <c r="A419" s="199"/>
    </row>
    <row r="420" spans="1:1" s="200" customFormat="1" ht="12" hidden="1" customHeight="1">
      <c r="A420" s="199"/>
    </row>
    <row r="421" spans="1:1" s="200" customFormat="1" ht="12" hidden="1" customHeight="1">
      <c r="A421" s="199"/>
    </row>
    <row r="422" spans="1:1" s="200" customFormat="1" ht="12" hidden="1" customHeight="1">
      <c r="A422" s="199"/>
    </row>
    <row r="423" spans="1:1" s="200" customFormat="1" ht="12" hidden="1" customHeight="1">
      <c r="A423" s="199"/>
    </row>
    <row r="424" spans="1:1" s="200" customFormat="1" ht="12" hidden="1" customHeight="1">
      <c r="A424" s="199"/>
    </row>
    <row r="425" spans="1:1" s="200" customFormat="1" ht="12" hidden="1" customHeight="1">
      <c r="A425" s="199"/>
    </row>
    <row r="426" spans="1:1" s="200" customFormat="1" ht="12" hidden="1" customHeight="1">
      <c r="A426" s="199"/>
    </row>
    <row r="427" spans="1:1" s="200" customFormat="1" ht="12" hidden="1" customHeight="1">
      <c r="A427" s="199"/>
    </row>
    <row r="428" spans="1:1" s="200" customFormat="1" ht="12" hidden="1" customHeight="1">
      <c r="A428" s="199"/>
    </row>
    <row r="429" spans="1:1" s="200" customFormat="1" ht="12" hidden="1" customHeight="1">
      <c r="A429" s="199"/>
    </row>
    <row r="430" spans="1:1" s="200" customFormat="1" ht="12" hidden="1" customHeight="1">
      <c r="A430" s="199"/>
    </row>
    <row r="431" spans="1:1" s="200" customFormat="1" ht="12" hidden="1" customHeight="1">
      <c r="A431" s="199"/>
    </row>
    <row r="432" spans="1:1" s="200" customFormat="1" ht="12" hidden="1" customHeight="1">
      <c r="A432" s="199"/>
    </row>
    <row r="433" spans="1:1" s="200" customFormat="1" ht="12" hidden="1" customHeight="1">
      <c r="A433" s="199"/>
    </row>
    <row r="434" spans="1:1" s="200" customFormat="1" ht="12" hidden="1" customHeight="1">
      <c r="A434" s="199"/>
    </row>
    <row r="435" spans="1:1" s="200" customFormat="1" ht="12" hidden="1" customHeight="1">
      <c r="A435" s="199"/>
    </row>
    <row r="436" spans="1:1" s="200" customFormat="1" ht="12" hidden="1" customHeight="1">
      <c r="A436" s="199"/>
    </row>
    <row r="437" spans="1:1" s="200" customFormat="1" ht="12" hidden="1" customHeight="1">
      <c r="A437" s="199"/>
    </row>
    <row r="438" spans="1:1" s="200" customFormat="1" ht="12" hidden="1" customHeight="1">
      <c r="A438" s="199"/>
    </row>
    <row r="439" spans="1:1" s="200" customFormat="1" ht="12" hidden="1" customHeight="1">
      <c r="A439" s="199"/>
    </row>
    <row r="440" spans="1:1" s="200" customFormat="1" ht="12" hidden="1" customHeight="1">
      <c r="A440" s="199"/>
    </row>
    <row r="441" spans="1:1" s="200" customFormat="1" ht="12" hidden="1" customHeight="1">
      <c r="A441" s="199"/>
    </row>
    <row r="442" spans="1:1" s="200" customFormat="1" ht="12" hidden="1" customHeight="1">
      <c r="A442" s="199"/>
    </row>
    <row r="443" spans="1:1" s="200" customFormat="1" ht="12" hidden="1" customHeight="1">
      <c r="A443" s="199"/>
    </row>
    <row r="444" spans="1:1" s="200" customFormat="1" ht="12" hidden="1" customHeight="1">
      <c r="A444" s="199"/>
    </row>
    <row r="445" spans="1:1" s="200" customFormat="1" ht="12" hidden="1" customHeight="1">
      <c r="A445" s="199"/>
    </row>
    <row r="446" spans="1:1" s="200" customFormat="1" ht="12" hidden="1" customHeight="1">
      <c r="A446" s="199"/>
    </row>
    <row r="447" spans="1:1" s="200" customFormat="1" ht="12" hidden="1" customHeight="1">
      <c r="A447" s="199"/>
    </row>
    <row r="448" spans="1:1" s="200" customFormat="1" ht="12" hidden="1" customHeight="1">
      <c r="A448" s="199"/>
    </row>
    <row r="449" spans="1:1" s="200" customFormat="1" ht="12" hidden="1" customHeight="1">
      <c r="A449" s="199"/>
    </row>
    <row r="450" spans="1:1" s="200" customFormat="1" ht="12" hidden="1" customHeight="1">
      <c r="A450" s="199"/>
    </row>
    <row r="451" spans="1:1" s="200" customFormat="1" ht="12" hidden="1" customHeight="1">
      <c r="A451" s="199"/>
    </row>
    <row r="452" spans="1:1" s="200" customFormat="1" ht="12" hidden="1" customHeight="1">
      <c r="A452" s="199"/>
    </row>
    <row r="453" spans="1:1" s="200" customFormat="1" ht="12" hidden="1" customHeight="1">
      <c r="A453" s="199"/>
    </row>
    <row r="454" spans="1:1" s="200" customFormat="1" ht="12" hidden="1" customHeight="1">
      <c r="A454" s="199"/>
    </row>
    <row r="455" spans="1:1" s="200" customFormat="1" ht="12" hidden="1" customHeight="1">
      <c r="A455" s="199"/>
    </row>
    <row r="456" spans="1:1" s="200" customFormat="1" ht="12" hidden="1" customHeight="1">
      <c r="A456" s="199"/>
    </row>
    <row r="457" spans="1:1" s="200" customFormat="1" ht="12" hidden="1" customHeight="1">
      <c r="A457" s="199"/>
    </row>
    <row r="458" spans="1:1" s="200" customFormat="1" ht="12" hidden="1" customHeight="1">
      <c r="A458" s="199"/>
    </row>
    <row r="459" spans="1:1" s="200" customFormat="1" ht="12" hidden="1" customHeight="1">
      <c r="A459" s="199"/>
    </row>
    <row r="460" spans="1:1" s="200" customFormat="1" ht="12" hidden="1" customHeight="1">
      <c r="A460" s="199"/>
    </row>
    <row r="461" spans="1:1" s="200" customFormat="1" ht="12" hidden="1" customHeight="1">
      <c r="A461" s="199"/>
    </row>
    <row r="462" spans="1:1" s="200" customFormat="1" ht="12" hidden="1" customHeight="1">
      <c r="A462" s="199"/>
    </row>
    <row r="463" spans="1:1" s="200" customFormat="1" ht="12" hidden="1" customHeight="1">
      <c r="A463" s="199"/>
    </row>
    <row r="464" spans="1:1" s="200" customFormat="1" ht="12" hidden="1" customHeight="1">
      <c r="A464" s="199"/>
    </row>
    <row r="465" spans="1:1" s="200" customFormat="1" ht="12" hidden="1" customHeight="1">
      <c r="A465" s="199"/>
    </row>
    <row r="466" spans="1:1" s="200" customFormat="1" ht="12" hidden="1" customHeight="1">
      <c r="A466" s="199"/>
    </row>
    <row r="467" spans="1:1" s="200" customFormat="1" ht="12" hidden="1" customHeight="1">
      <c r="A467" s="199"/>
    </row>
    <row r="468" spans="1:1" s="200" customFormat="1" ht="12" hidden="1" customHeight="1">
      <c r="A468" s="199"/>
    </row>
    <row r="469" spans="1:1" s="200" customFormat="1" ht="12" hidden="1" customHeight="1">
      <c r="A469" s="199"/>
    </row>
    <row r="470" spans="1:1" s="200" customFormat="1" ht="12" hidden="1" customHeight="1">
      <c r="A470" s="199"/>
    </row>
    <row r="471" spans="1:1" s="200" customFormat="1" ht="12" hidden="1" customHeight="1">
      <c r="A471" s="199"/>
    </row>
    <row r="472" spans="1:1" s="200" customFormat="1" ht="12" hidden="1" customHeight="1">
      <c r="A472" s="199"/>
    </row>
    <row r="473" spans="1:1" s="200" customFormat="1" ht="12" hidden="1" customHeight="1">
      <c r="A473" s="199"/>
    </row>
    <row r="474" spans="1:1" s="200" customFormat="1" ht="12" hidden="1" customHeight="1">
      <c r="A474" s="199"/>
    </row>
    <row r="475" spans="1:1" s="200" customFormat="1" ht="12" hidden="1" customHeight="1">
      <c r="A475" s="199"/>
    </row>
    <row r="476" spans="1:1" s="200" customFormat="1" ht="12" hidden="1" customHeight="1">
      <c r="A476" s="199"/>
    </row>
    <row r="477" spans="1:1" s="200" customFormat="1" ht="12" hidden="1" customHeight="1">
      <c r="A477" s="199"/>
    </row>
    <row r="478" spans="1:1" s="200" customFormat="1" ht="12" hidden="1" customHeight="1">
      <c r="A478" s="199"/>
    </row>
    <row r="479" spans="1:1" s="200" customFormat="1" ht="12" hidden="1" customHeight="1">
      <c r="A479" s="199"/>
    </row>
    <row r="480" spans="1:1" s="200" customFormat="1" ht="12" hidden="1" customHeight="1">
      <c r="A480" s="199"/>
    </row>
    <row r="481" spans="1:1" s="200" customFormat="1" ht="12" hidden="1" customHeight="1">
      <c r="A481" s="199"/>
    </row>
    <row r="482" spans="1:1" s="200" customFormat="1" ht="12" hidden="1" customHeight="1">
      <c r="A482" s="199"/>
    </row>
    <row r="483" spans="1:1" s="200" customFormat="1" ht="12" hidden="1" customHeight="1">
      <c r="A483" s="199"/>
    </row>
    <row r="484" spans="1:1" s="200" customFormat="1" ht="12" hidden="1" customHeight="1">
      <c r="A484" s="199"/>
    </row>
    <row r="485" spans="1:1" s="200" customFormat="1" ht="12" hidden="1" customHeight="1">
      <c r="A485" s="199"/>
    </row>
    <row r="486" spans="1:1" s="200" customFormat="1" ht="12" hidden="1" customHeight="1">
      <c r="A486" s="199"/>
    </row>
    <row r="487" spans="1:1" s="200" customFormat="1" ht="12" hidden="1" customHeight="1">
      <c r="A487" s="199"/>
    </row>
    <row r="488" spans="1:1" s="200" customFormat="1" ht="12" hidden="1" customHeight="1">
      <c r="A488" s="199"/>
    </row>
    <row r="489" spans="1:1" s="200" customFormat="1" ht="12" hidden="1" customHeight="1">
      <c r="A489" s="199"/>
    </row>
    <row r="490" spans="1:1" s="200" customFormat="1" ht="12" hidden="1" customHeight="1">
      <c r="A490" s="199"/>
    </row>
    <row r="491" spans="1:1" s="200" customFormat="1" ht="12" hidden="1" customHeight="1">
      <c r="A491" s="199"/>
    </row>
    <row r="492" spans="1:1" s="200" customFormat="1" ht="12" hidden="1" customHeight="1">
      <c r="A492" s="199"/>
    </row>
    <row r="493" spans="1:1" s="200" customFormat="1" ht="12" hidden="1" customHeight="1">
      <c r="A493" s="199"/>
    </row>
    <row r="494" spans="1:1" s="200" customFormat="1" ht="12" hidden="1" customHeight="1">
      <c r="A494" s="199"/>
    </row>
    <row r="495" spans="1:1" s="200" customFormat="1" ht="12" hidden="1" customHeight="1">
      <c r="A495" s="199"/>
    </row>
    <row r="496" spans="1:1" s="200" customFormat="1" ht="12" hidden="1" customHeight="1">
      <c r="A496" s="199"/>
    </row>
    <row r="497" spans="1:1" s="200" customFormat="1" ht="12" hidden="1" customHeight="1">
      <c r="A497" s="199"/>
    </row>
    <row r="498" spans="1:1" s="200" customFormat="1" ht="12" hidden="1" customHeight="1">
      <c r="A498" s="199"/>
    </row>
    <row r="499" spans="1:1" s="200" customFormat="1" ht="12" hidden="1" customHeight="1">
      <c r="A499" s="199"/>
    </row>
    <row r="500" spans="1:1" s="200" customFormat="1" ht="12" hidden="1" customHeight="1">
      <c r="A500" s="199"/>
    </row>
    <row r="501" spans="1:1" s="200" customFormat="1" ht="12" hidden="1" customHeight="1">
      <c r="A501" s="199"/>
    </row>
    <row r="502" spans="1:1" s="200" customFormat="1" ht="12" hidden="1" customHeight="1">
      <c r="A502" s="199"/>
    </row>
    <row r="503" spans="1:1" s="200" customFormat="1" ht="12" hidden="1" customHeight="1">
      <c r="A503" s="199"/>
    </row>
    <row r="504" spans="1:1" s="200" customFormat="1" ht="12" hidden="1" customHeight="1">
      <c r="A504" s="199"/>
    </row>
    <row r="505" spans="1:1" s="200" customFormat="1" ht="12" hidden="1" customHeight="1">
      <c r="A505" s="199"/>
    </row>
    <row r="506" spans="1:1" s="200" customFormat="1" ht="12" hidden="1" customHeight="1">
      <c r="A506" s="199"/>
    </row>
    <row r="507" spans="1:1" s="200" customFormat="1" ht="12" hidden="1" customHeight="1">
      <c r="A507" s="199"/>
    </row>
    <row r="508" spans="1:1" s="200" customFormat="1" ht="12" hidden="1" customHeight="1">
      <c r="A508" s="199"/>
    </row>
    <row r="509" spans="1:1" s="200" customFormat="1" ht="12" hidden="1" customHeight="1">
      <c r="A509" s="199"/>
    </row>
    <row r="510" spans="1:1" s="200" customFormat="1" ht="12" hidden="1" customHeight="1">
      <c r="A510" s="199"/>
    </row>
    <row r="511" spans="1:1" s="200" customFormat="1" ht="12" hidden="1" customHeight="1">
      <c r="A511" s="199"/>
    </row>
    <row r="512" spans="1:1" s="200" customFormat="1" ht="12" hidden="1" customHeight="1">
      <c r="A512" s="199"/>
    </row>
    <row r="513" spans="1:1" s="200" customFormat="1" ht="12" hidden="1" customHeight="1">
      <c r="A513" s="199"/>
    </row>
    <row r="514" spans="1:1" s="200" customFormat="1" ht="12" hidden="1" customHeight="1">
      <c r="A514" s="199"/>
    </row>
    <row r="515" spans="1:1" s="200" customFormat="1" ht="12" hidden="1" customHeight="1">
      <c r="A515" s="199"/>
    </row>
    <row r="516" spans="1:1" s="200" customFormat="1" ht="12" hidden="1" customHeight="1">
      <c r="A516" s="199"/>
    </row>
    <row r="517" spans="1:1" s="200" customFormat="1" ht="12" hidden="1" customHeight="1">
      <c r="A517" s="199"/>
    </row>
    <row r="518" spans="1:1" s="200" customFormat="1" ht="12" hidden="1" customHeight="1">
      <c r="A518" s="199"/>
    </row>
    <row r="519" spans="1:1" s="200" customFormat="1" ht="12" hidden="1" customHeight="1">
      <c r="A519" s="199"/>
    </row>
    <row r="520" spans="1:1" s="200" customFormat="1" ht="12" hidden="1" customHeight="1">
      <c r="A520" s="199"/>
    </row>
    <row r="521" spans="1:1" s="200" customFormat="1" ht="12" hidden="1" customHeight="1">
      <c r="A521" s="199"/>
    </row>
    <row r="522" spans="1:1" s="200" customFormat="1" ht="12" hidden="1" customHeight="1">
      <c r="A522" s="199"/>
    </row>
    <row r="523" spans="1:1" s="200" customFormat="1" ht="12" hidden="1" customHeight="1">
      <c r="A523" s="199"/>
    </row>
    <row r="524" spans="1:1" s="200" customFormat="1" ht="12" hidden="1" customHeight="1">
      <c r="A524" s="199"/>
    </row>
    <row r="525" spans="1:1" s="200" customFormat="1" ht="12" hidden="1" customHeight="1">
      <c r="A525" s="199"/>
    </row>
    <row r="526" spans="1:1" s="200" customFormat="1" ht="12" hidden="1" customHeight="1">
      <c r="A526" s="199"/>
    </row>
    <row r="527" spans="1:1" s="200" customFormat="1" ht="12" hidden="1" customHeight="1">
      <c r="A527" s="199"/>
    </row>
    <row r="528" spans="1:1" s="200" customFormat="1" ht="12" hidden="1" customHeight="1">
      <c r="A528" s="199"/>
    </row>
    <row r="529" spans="1:1" s="200" customFormat="1" ht="12" hidden="1" customHeight="1">
      <c r="A529" s="199"/>
    </row>
    <row r="530" spans="1:1" s="200" customFormat="1" ht="12" hidden="1" customHeight="1">
      <c r="A530" s="199"/>
    </row>
    <row r="531" spans="1:1" s="200" customFormat="1" ht="12" hidden="1" customHeight="1">
      <c r="A531" s="199"/>
    </row>
    <row r="532" spans="1:1" s="200" customFormat="1" ht="12" hidden="1" customHeight="1">
      <c r="A532" s="199"/>
    </row>
    <row r="533" spans="1:1" s="200" customFormat="1" ht="12" hidden="1" customHeight="1">
      <c r="A533" s="199"/>
    </row>
    <row r="534" spans="1:1" s="200" customFormat="1" ht="12" hidden="1" customHeight="1">
      <c r="A534" s="199"/>
    </row>
    <row r="535" spans="1:1" s="200" customFormat="1" ht="12" hidden="1" customHeight="1">
      <c r="A535" s="199"/>
    </row>
    <row r="536" spans="1:1" s="200" customFormat="1" ht="12" hidden="1" customHeight="1">
      <c r="A536" s="199"/>
    </row>
    <row r="537" spans="1:1" s="200" customFormat="1" ht="12" hidden="1" customHeight="1">
      <c r="A537" s="199"/>
    </row>
    <row r="538" spans="1:1" s="200" customFormat="1" ht="12" hidden="1" customHeight="1">
      <c r="A538" s="199"/>
    </row>
    <row r="539" spans="1:1" s="200" customFormat="1" ht="12" hidden="1" customHeight="1">
      <c r="A539" s="199"/>
    </row>
    <row r="540" spans="1:1" s="200" customFormat="1" ht="12" hidden="1" customHeight="1">
      <c r="A540" s="199"/>
    </row>
    <row r="541" spans="1:1" s="200" customFormat="1" ht="12" hidden="1" customHeight="1">
      <c r="A541" s="199"/>
    </row>
    <row r="542" spans="1:1" s="200" customFormat="1" ht="12" hidden="1" customHeight="1">
      <c r="A542" s="199"/>
    </row>
    <row r="543" spans="1:1" s="200" customFormat="1" ht="12" hidden="1" customHeight="1">
      <c r="A543" s="199"/>
    </row>
    <row r="544" spans="1:1" s="200" customFormat="1" ht="12" hidden="1" customHeight="1">
      <c r="A544" s="199"/>
    </row>
    <row r="545" spans="1:1" s="200" customFormat="1" ht="12" hidden="1" customHeight="1">
      <c r="A545" s="199"/>
    </row>
    <row r="546" spans="1:1" s="200" customFormat="1" ht="12" hidden="1" customHeight="1">
      <c r="A546" s="199"/>
    </row>
    <row r="547" spans="1:1" s="200" customFormat="1" ht="12" hidden="1" customHeight="1">
      <c r="A547" s="199"/>
    </row>
    <row r="548" spans="1:1" s="200" customFormat="1" ht="12" hidden="1" customHeight="1">
      <c r="A548" s="199"/>
    </row>
    <row r="549" spans="1:1" s="200" customFormat="1" ht="12" hidden="1" customHeight="1">
      <c r="A549" s="199"/>
    </row>
    <row r="550" spans="1:1" s="200" customFormat="1" ht="12" hidden="1" customHeight="1">
      <c r="A550" s="199"/>
    </row>
    <row r="551" spans="1:1" s="200" customFormat="1" ht="12" hidden="1" customHeight="1">
      <c r="A551" s="199"/>
    </row>
    <row r="552" spans="1:1" s="200" customFormat="1" ht="12" hidden="1" customHeight="1">
      <c r="A552" s="199"/>
    </row>
    <row r="553" spans="1:1" s="200" customFormat="1" ht="12" hidden="1" customHeight="1">
      <c r="A553" s="199"/>
    </row>
    <row r="554" spans="1:1" s="200" customFormat="1" ht="12" hidden="1" customHeight="1">
      <c r="A554" s="199"/>
    </row>
    <row r="555" spans="1:1" s="200" customFormat="1" ht="12" hidden="1" customHeight="1">
      <c r="A555" s="199"/>
    </row>
    <row r="556" spans="1:1" s="200" customFormat="1" ht="12" hidden="1" customHeight="1">
      <c r="A556" s="199"/>
    </row>
    <row r="557" spans="1:1" s="200" customFormat="1" ht="12" hidden="1" customHeight="1">
      <c r="A557" s="199"/>
    </row>
    <row r="558" spans="1:1" s="200" customFormat="1" ht="12" hidden="1" customHeight="1">
      <c r="A558" s="199"/>
    </row>
    <row r="559" spans="1:1" s="200" customFormat="1" ht="12" hidden="1" customHeight="1">
      <c r="A559" s="199"/>
    </row>
    <row r="560" spans="1:1" s="200" customFormat="1" ht="12" hidden="1" customHeight="1">
      <c r="A560" s="199"/>
    </row>
    <row r="561" spans="1:1" s="200" customFormat="1" ht="12" hidden="1" customHeight="1">
      <c r="A561" s="199"/>
    </row>
    <row r="562" spans="1:1" s="200" customFormat="1" ht="12" hidden="1" customHeight="1">
      <c r="A562" s="199"/>
    </row>
    <row r="563" spans="1:1" s="200" customFormat="1" ht="12" hidden="1" customHeight="1">
      <c r="A563" s="199"/>
    </row>
    <row r="564" spans="1:1" s="200" customFormat="1" ht="12" hidden="1" customHeight="1">
      <c r="A564" s="199"/>
    </row>
    <row r="565" spans="1:1" s="200" customFormat="1" ht="12" hidden="1" customHeight="1">
      <c r="A565" s="199"/>
    </row>
    <row r="566" spans="1:1" s="200" customFormat="1" ht="12" hidden="1" customHeight="1">
      <c r="A566" s="199"/>
    </row>
    <row r="567" spans="1:1" s="200" customFormat="1" ht="12" hidden="1" customHeight="1">
      <c r="A567" s="199"/>
    </row>
    <row r="568" spans="1:1" s="200" customFormat="1" ht="12" hidden="1" customHeight="1">
      <c r="A568" s="199"/>
    </row>
    <row r="569" spans="1:1" s="200" customFormat="1" ht="12" hidden="1" customHeight="1">
      <c r="A569" s="199"/>
    </row>
    <row r="570" spans="1:1" s="200" customFormat="1" ht="12" hidden="1" customHeight="1">
      <c r="A570" s="199"/>
    </row>
    <row r="571" spans="1:1" s="200" customFormat="1" ht="12" hidden="1" customHeight="1">
      <c r="A571" s="199"/>
    </row>
    <row r="572" spans="1:1" s="200" customFormat="1" ht="12" hidden="1" customHeight="1">
      <c r="A572" s="199"/>
    </row>
    <row r="573" spans="1:1" s="200" customFormat="1" ht="12" hidden="1" customHeight="1">
      <c r="A573" s="199"/>
    </row>
    <row r="574" spans="1:1" s="200" customFormat="1" ht="12" hidden="1" customHeight="1">
      <c r="A574" s="199"/>
    </row>
    <row r="575" spans="1:1" s="200" customFormat="1" ht="12" hidden="1" customHeight="1">
      <c r="A575" s="199"/>
    </row>
    <row r="576" spans="1:1" s="200" customFormat="1" ht="12" hidden="1" customHeight="1">
      <c r="A576" s="199"/>
    </row>
    <row r="577" spans="1:1" s="200" customFormat="1" ht="12" hidden="1" customHeight="1">
      <c r="A577" s="199"/>
    </row>
    <row r="578" spans="1:1" s="200" customFormat="1" ht="12" hidden="1" customHeight="1">
      <c r="A578" s="199"/>
    </row>
    <row r="579" spans="1:1" s="200" customFormat="1" ht="12" hidden="1" customHeight="1">
      <c r="A579" s="199"/>
    </row>
    <row r="580" spans="1:1" s="200" customFormat="1" ht="12" hidden="1" customHeight="1">
      <c r="A580" s="199"/>
    </row>
    <row r="581" spans="1:1" s="200" customFormat="1" ht="12" hidden="1" customHeight="1">
      <c r="A581" s="199"/>
    </row>
    <row r="582" spans="1:1" s="200" customFormat="1" ht="12" hidden="1" customHeight="1">
      <c r="A582" s="199"/>
    </row>
    <row r="583" spans="1:1" s="200" customFormat="1" ht="12" hidden="1" customHeight="1">
      <c r="A583" s="199"/>
    </row>
    <row r="584" spans="1:1" s="200" customFormat="1" ht="12" hidden="1" customHeight="1">
      <c r="A584" s="199"/>
    </row>
    <row r="585" spans="1:1" s="200" customFormat="1" ht="12" hidden="1" customHeight="1">
      <c r="A585" s="199"/>
    </row>
    <row r="586" spans="1:1" s="200" customFormat="1" ht="12" hidden="1" customHeight="1">
      <c r="A586" s="199"/>
    </row>
    <row r="587" spans="1:1" s="200" customFormat="1" ht="12" hidden="1" customHeight="1">
      <c r="A587" s="199"/>
    </row>
    <row r="588" spans="1:1" s="200" customFormat="1" ht="12" hidden="1" customHeight="1">
      <c r="A588" s="199"/>
    </row>
    <row r="589" spans="1:1" s="200" customFormat="1" ht="12" hidden="1" customHeight="1">
      <c r="A589" s="199"/>
    </row>
    <row r="590" spans="1:1" s="200" customFormat="1" ht="12" hidden="1" customHeight="1">
      <c r="A590" s="199"/>
    </row>
    <row r="591" spans="1:1" s="200" customFormat="1" ht="12" hidden="1" customHeight="1">
      <c r="A591" s="199"/>
    </row>
    <row r="592" spans="1:1" s="200" customFormat="1" ht="12" hidden="1" customHeight="1">
      <c r="A592" s="199"/>
    </row>
    <row r="593" spans="1:1" s="200" customFormat="1" ht="12" hidden="1" customHeight="1">
      <c r="A593" s="199"/>
    </row>
    <row r="594" spans="1:1" s="200" customFormat="1" ht="12" hidden="1" customHeight="1">
      <c r="A594" s="199"/>
    </row>
    <row r="595" spans="1:1" s="200" customFormat="1" ht="12" hidden="1" customHeight="1">
      <c r="A595" s="199"/>
    </row>
    <row r="596" spans="1:1" s="200" customFormat="1" ht="12" hidden="1" customHeight="1">
      <c r="A596" s="199"/>
    </row>
    <row r="597" spans="1:1" s="200" customFormat="1" ht="12" hidden="1" customHeight="1">
      <c r="A597" s="199"/>
    </row>
    <row r="598" spans="1:1" s="200" customFormat="1" ht="12" hidden="1" customHeight="1">
      <c r="A598" s="199"/>
    </row>
    <row r="599" spans="1:1" s="200" customFormat="1" ht="12" hidden="1" customHeight="1">
      <c r="A599" s="199"/>
    </row>
    <row r="600" spans="1:1" s="200" customFormat="1" ht="12" hidden="1" customHeight="1">
      <c r="A600" s="199"/>
    </row>
    <row r="601" spans="1:1" s="200" customFormat="1" ht="12" hidden="1" customHeight="1">
      <c r="A601" s="199"/>
    </row>
    <row r="602" spans="1:1" s="200" customFormat="1" ht="12" hidden="1" customHeight="1">
      <c r="A602" s="199"/>
    </row>
    <row r="603" spans="1:1" s="200" customFormat="1" ht="12" hidden="1" customHeight="1">
      <c r="A603" s="199"/>
    </row>
    <row r="604" spans="1:1" s="200" customFormat="1" ht="12" hidden="1" customHeight="1">
      <c r="A604" s="199"/>
    </row>
    <row r="605" spans="1:1" s="200" customFormat="1" ht="12" hidden="1" customHeight="1">
      <c r="A605" s="199"/>
    </row>
    <row r="606" spans="1:1" s="200" customFormat="1" ht="12" hidden="1" customHeight="1">
      <c r="A606" s="199"/>
    </row>
    <row r="607" spans="1:1" s="200" customFormat="1" ht="12" hidden="1" customHeight="1">
      <c r="A607" s="199"/>
    </row>
    <row r="608" spans="1:1" s="200" customFormat="1" ht="12" hidden="1" customHeight="1">
      <c r="A608" s="199"/>
    </row>
    <row r="609" spans="1:1" s="200" customFormat="1" ht="12" hidden="1" customHeight="1">
      <c r="A609" s="199"/>
    </row>
    <row r="610" spans="1:1" s="200" customFormat="1" ht="12" hidden="1" customHeight="1">
      <c r="A610" s="199"/>
    </row>
    <row r="611" spans="1:1" s="200" customFormat="1" ht="12" hidden="1" customHeight="1">
      <c r="A611" s="199"/>
    </row>
    <row r="612" spans="1:1" s="200" customFormat="1" ht="12" hidden="1" customHeight="1">
      <c r="A612" s="199"/>
    </row>
    <row r="613" spans="1:1" s="200" customFormat="1" ht="12" hidden="1" customHeight="1">
      <c r="A613" s="199"/>
    </row>
    <row r="614" spans="1:1" s="200" customFormat="1" ht="12" hidden="1" customHeight="1">
      <c r="A614" s="199"/>
    </row>
    <row r="615" spans="1:1" s="200" customFormat="1" ht="12" hidden="1" customHeight="1">
      <c r="A615" s="199"/>
    </row>
    <row r="616" spans="1:1" s="200" customFormat="1" ht="12" hidden="1" customHeight="1">
      <c r="A616" s="199"/>
    </row>
    <row r="617" spans="1:1" s="200" customFormat="1" ht="12" hidden="1" customHeight="1">
      <c r="A617" s="199"/>
    </row>
    <row r="618" spans="1:1" s="200" customFormat="1" ht="12" hidden="1" customHeight="1">
      <c r="A618" s="199"/>
    </row>
    <row r="619" spans="1:1" s="200" customFormat="1" ht="12" hidden="1" customHeight="1">
      <c r="A619" s="199"/>
    </row>
    <row r="620" spans="1:1" s="200" customFormat="1" ht="12" hidden="1" customHeight="1">
      <c r="A620" s="199"/>
    </row>
    <row r="621" spans="1:1" s="200" customFormat="1" ht="12" hidden="1" customHeight="1">
      <c r="A621" s="199"/>
    </row>
    <row r="622" spans="1:1" s="200" customFormat="1" ht="12" hidden="1" customHeight="1">
      <c r="A622" s="199"/>
    </row>
    <row r="623" spans="1:1" s="200" customFormat="1" ht="12" hidden="1" customHeight="1">
      <c r="A623" s="199"/>
    </row>
    <row r="624" spans="1:1" s="200" customFormat="1" ht="12" hidden="1" customHeight="1">
      <c r="A624" s="199"/>
    </row>
    <row r="625" spans="1:1" s="200" customFormat="1" ht="12" hidden="1" customHeight="1">
      <c r="A625" s="199"/>
    </row>
    <row r="626" spans="1:1" s="200" customFormat="1" ht="12" hidden="1" customHeight="1">
      <c r="A626" s="199"/>
    </row>
    <row r="627" spans="1:1" s="200" customFormat="1" ht="12" hidden="1" customHeight="1">
      <c r="A627" s="199"/>
    </row>
    <row r="628" spans="1:1" s="200" customFormat="1" ht="12" hidden="1" customHeight="1">
      <c r="A628" s="199"/>
    </row>
    <row r="629" spans="1:1" s="200" customFormat="1" ht="12" hidden="1" customHeight="1">
      <c r="A629" s="199"/>
    </row>
    <row r="630" spans="1:1" s="200" customFormat="1" ht="12" hidden="1" customHeight="1">
      <c r="A630" s="199"/>
    </row>
    <row r="631" spans="1:1" s="200" customFormat="1" ht="12" hidden="1" customHeight="1">
      <c r="A631" s="199"/>
    </row>
    <row r="632" spans="1:1" s="200" customFormat="1" ht="12" hidden="1" customHeight="1">
      <c r="A632" s="199"/>
    </row>
    <row r="633" spans="1:1" s="200" customFormat="1" ht="12" hidden="1" customHeight="1">
      <c r="A633" s="199"/>
    </row>
    <row r="634" spans="1:1" s="200" customFormat="1" ht="12" hidden="1" customHeight="1">
      <c r="A634" s="199"/>
    </row>
    <row r="635" spans="1:1" s="200" customFormat="1" ht="12" hidden="1" customHeight="1">
      <c r="A635" s="199"/>
    </row>
    <row r="636" spans="1:1" s="200" customFormat="1" ht="12" hidden="1" customHeight="1">
      <c r="A636" s="199"/>
    </row>
    <row r="637" spans="1:1" s="200" customFormat="1" ht="12" hidden="1" customHeight="1">
      <c r="A637" s="199"/>
    </row>
    <row r="638" spans="1:1" s="200" customFormat="1" ht="12" hidden="1" customHeight="1">
      <c r="A638" s="199"/>
    </row>
    <row r="639" spans="1:1" s="200" customFormat="1" ht="12" hidden="1" customHeight="1">
      <c r="A639" s="199"/>
    </row>
    <row r="640" spans="1:1" s="200" customFormat="1" ht="12" hidden="1" customHeight="1">
      <c r="A640" s="199"/>
    </row>
    <row r="641" spans="1:1" s="200" customFormat="1" ht="12" hidden="1" customHeight="1">
      <c r="A641" s="199"/>
    </row>
    <row r="642" spans="1:1" s="200" customFormat="1" ht="12" hidden="1" customHeight="1">
      <c r="A642" s="199"/>
    </row>
    <row r="643" spans="1:1" s="200" customFormat="1" ht="12" hidden="1" customHeight="1">
      <c r="A643" s="199"/>
    </row>
    <row r="644" spans="1:1" s="200" customFormat="1" ht="12" hidden="1" customHeight="1">
      <c r="A644" s="199"/>
    </row>
    <row r="645" spans="1:1" s="200" customFormat="1" ht="12" hidden="1" customHeight="1">
      <c r="A645" s="199"/>
    </row>
    <row r="646" spans="1:1" s="200" customFormat="1" ht="12" hidden="1" customHeight="1">
      <c r="A646" s="199"/>
    </row>
    <row r="647" spans="1:1" s="200" customFormat="1" ht="12" hidden="1" customHeight="1">
      <c r="A647" s="199"/>
    </row>
    <row r="648" spans="1:1" s="200" customFormat="1" ht="12" hidden="1" customHeight="1">
      <c r="A648" s="199"/>
    </row>
    <row r="649" spans="1:1" s="200" customFormat="1" ht="12" hidden="1" customHeight="1">
      <c r="A649" s="199"/>
    </row>
    <row r="650" spans="1:1" s="200" customFormat="1" ht="12" hidden="1" customHeight="1">
      <c r="A650" s="199"/>
    </row>
    <row r="651" spans="1:1" s="200" customFormat="1" ht="12" hidden="1" customHeight="1">
      <c r="A651" s="199"/>
    </row>
    <row r="652" spans="1:1" s="200" customFormat="1" ht="12" hidden="1" customHeight="1">
      <c r="A652" s="199"/>
    </row>
    <row r="653" spans="1:1" s="200" customFormat="1" ht="12" hidden="1" customHeight="1">
      <c r="A653" s="199"/>
    </row>
    <row r="654" spans="1:1" s="200" customFormat="1" ht="12" hidden="1" customHeight="1">
      <c r="A654" s="199"/>
    </row>
    <row r="655" spans="1:1" s="200" customFormat="1" ht="12" hidden="1" customHeight="1">
      <c r="A655" s="199"/>
    </row>
    <row r="656" spans="1:1" s="200" customFormat="1" ht="12" hidden="1" customHeight="1">
      <c r="A656" s="199"/>
    </row>
    <row r="657" spans="1:1" s="200" customFormat="1" ht="12" hidden="1" customHeight="1">
      <c r="A657" s="199"/>
    </row>
    <row r="658" spans="1:1" s="200" customFormat="1" ht="12" hidden="1" customHeight="1">
      <c r="A658" s="199"/>
    </row>
    <row r="659" spans="1:1" s="200" customFormat="1" ht="12" hidden="1" customHeight="1">
      <c r="A659" s="199"/>
    </row>
    <row r="660" spans="1:1" s="200" customFormat="1" ht="12" hidden="1" customHeight="1">
      <c r="A660" s="199"/>
    </row>
    <row r="661" spans="1:1" s="200" customFormat="1" ht="12" hidden="1" customHeight="1">
      <c r="A661" s="199"/>
    </row>
    <row r="662" spans="1:1" s="200" customFormat="1" ht="12" hidden="1" customHeight="1">
      <c r="A662" s="199"/>
    </row>
    <row r="663" spans="1:1" s="200" customFormat="1" ht="12" hidden="1" customHeight="1">
      <c r="A663" s="199"/>
    </row>
    <row r="664" spans="1:1" s="200" customFormat="1" ht="12" hidden="1" customHeight="1">
      <c r="A664" s="199"/>
    </row>
    <row r="665" spans="1:1" s="200" customFormat="1" ht="12" hidden="1" customHeight="1">
      <c r="A665" s="199"/>
    </row>
    <row r="666" spans="1:1" s="200" customFormat="1" ht="12" hidden="1" customHeight="1">
      <c r="A666" s="199"/>
    </row>
    <row r="667" spans="1:1" s="200" customFormat="1" ht="12" hidden="1" customHeight="1">
      <c r="A667" s="199"/>
    </row>
    <row r="668" spans="1:1" s="200" customFormat="1" ht="12" hidden="1" customHeight="1">
      <c r="A668" s="199"/>
    </row>
    <row r="669" spans="1:1" s="200" customFormat="1" ht="12" hidden="1" customHeight="1">
      <c r="A669" s="199"/>
    </row>
    <row r="670" spans="1:1" s="200" customFormat="1" ht="12" hidden="1" customHeight="1">
      <c r="A670" s="199"/>
    </row>
    <row r="671" spans="1:1" s="200" customFormat="1" ht="12" hidden="1" customHeight="1">
      <c r="A671" s="199"/>
    </row>
    <row r="672" spans="1:1" s="200" customFormat="1" ht="12" hidden="1" customHeight="1">
      <c r="A672" s="199"/>
    </row>
    <row r="673" spans="1:1" s="200" customFormat="1" ht="12" hidden="1" customHeight="1">
      <c r="A673" s="199"/>
    </row>
    <row r="674" spans="1:1" s="200" customFormat="1" ht="12" hidden="1" customHeight="1">
      <c r="A674" s="199"/>
    </row>
    <row r="675" spans="1:1" s="200" customFormat="1" ht="12" hidden="1" customHeight="1">
      <c r="A675" s="199"/>
    </row>
    <row r="676" spans="1:1" s="200" customFormat="1" ht="12" hidden="1" customHeight="1">
      <c r="A676" s="199"/>
    </row>
    <row r="677" spans="1:1" s="200" customFormat="1" ht="12" hidden="1" customHeight="1">
      <c r="A677" s="199"/>
    </row>
    <row r="678" spans="1:1" s="200" customFormat="1" ht="12" hidden="1" customHeight="1">
      <c r="A678" s="199"/>
    </row>
    <row r="679" spans="1:1" s="200" customFormat="1" ht="12" hidden="1" customHeight="1">
      <c r="A679" s="199"/>
    </row>
    <row r="680" spans="1:1" s="200" customFormat="1" ht="12" hidden="1" customHeight="1">
      <c r="A680" s="199"/>
    </row>
    <row r="681" spans="1:1" s="200" customFormat="1" ht="12" hidden="1" customHeight="1">
      <c r="A681" s="199"/>
    </row>
    <row r="682" spans="1:1" s="200" customFormat="1" ht="12" hidden="1" customHeight="1">
      <c r="A682" s="199"/>
    </row>
    <row r="683" spans="1:1" s="200" customFormat="1" ht="12" hidden="1" customHeight="1">
      <c r="A683" s="199"/>
    </row>
    <row r="684" spans="1:1" s="200" customFormat="1" ht="12" hidden="1" customHeight="1">
      <c r="A684" s="199"/>
    </row>
    <row r="685" spans="1:1" s="200" customFormat="1" ht="12" hidden="1" customHeight="1">
      <c r="A685" s="199"/>
    </row>
    <row r="686" spans="1:1" s="200" customFormat="1" ht="12" hidden="1" customHeight="1">
      <c r="A686" s="199"/>
    </row>
    <row r="687" spans="1:1" s="200" customFormat="1" ht="12" hidden="1" customHeight="1">
      <c r="A687" s="199"/>
    </row>
    <row r="688" spans="1:1" s="200" customFormat="1" ht="12" hidden="1" customHeight="1">
      <c r="A688" s="199"/>
    </row>
    <row r="689" spans="1:1" s="200" customFormat="1" ht="12" hidden="1" customHeight="1">
      <c r="A689" s="199"/>
    </row>
    <row r="690" spans="1:1" s="200" customFormat="1" ht="12" hidden="1" customHeight="1">
      <c r="A690" s="199"/>
    </row>
    <row r="691" spans="1:1" s="200" customFormat="1" ht="12" hidden="1" customHeight="1">
      <c r="A691" s="199"/>
    </row>
    <row r="692" spans="1:1" s="200" customFormat="1" ht="12" hidden="1" customHeight="1">
      <c r="A692" s="199"/>
    </row>
    <row r="693" spans="1:1" s="200" customFormat="1" ht="12" hidden="1" customHeight="1">
      <c r="A693" s="199"/>
    </row>
    <row r="694" spans="1:1" s="200" customFormat="1" ht="12" hidden="1" customHeight="1">
      <c r="A694" s="199"/>
    </row>
    <row r="695" spans="1:1" s="200" customFormat="1" ht="12" hidden="1" customHeight="1">
      <c r="A695" s="199"/>
    </row>
    <row r="696" spans="1:1" s="200" customFormat="1" ht="12" hidden="1" customHeight="1">
      <c r="A696" s="199"/>
    </row>
    <row r="697" spans="1:1" s="200" customFormat="1" ht="12" hidden="1" customHeight="1">
      <c r="A697" s="199"/>
    </row>
    <row r="698" spans="1:1" s="200" customFormat="1" ht="12" hidden="1" customHeight="1">
      <c r="A698" s="199"/>
    </row>
    <row r="699" spans="1:1" s="200" customFormat="1" ht="12" hidden="1" customHeight="1">
      <c r="A699" s="199"/>
    </row>
    <row r="700" spans="1:1" s="200" customFormat="1" ht="12" hidden="1" customHeight="1">
      <c r="A700" s="199"/>
    </row>
    <row r="701" spans="1:1" s="200" customFormat="1" ht="12" hidden="1" customHeight="1">
      <c r="A701" s="199"/>
    </row>
    <row r="702" spans="1:1" s="200" customFormat="1" ht="12" hidden="1" customHeight="1">
      <c r="A702" s="199"/>
    </row>
    <row r="703" spans="1:1" s="200" customFormat="1" ht="12" hidden="1" customHeight="1">
      <c r="A703" s="199"/>
    </row>
    <row r="704" spans="1:1" s="200" customFormat="1" ht="12" hidden="1" customHeight="1">
      <c r="A704" s="199"/>
    </row>
    <row r="705" spans="1:1" s="200" customFormat="1" ht="12" hidden="1" customHeight="1">
      <c r="A705" s="199"/>
    </row>
    <row r="706" spans="1:1" s="200" customFormat="1" ht="12" hidden="1" customHeight="1">
      <c r="A706" s="199"/>
    </row>
    <row r="707" spans="1:1" s="200" customFormat="1" ht="12" hidden="1" customHeight="1">
      <c r="A707" s="199"/>
    </row>
    <row r="708" spans="1:1" s="200" customFormat="1" ht="12" hidden="1" customHeight="1">
      <c r="A708" s="199"/>
    </row>
    <row r="709" spans="1:1" s="200" customFormat="1" ht="12" hidden="1" customHeight="1">
      <c r="A709" s="199"/>
    </row>
    <row r="710" spans="1:1" s="200" customFormat="1" ht="12" hidden="1" customHeight="1">
      <c r="A710" s="199"/>
    </row>
    <row r="711" spans="1:1" s="200" customFormat="1" ht="12" hidden="1" customHeight="1">
      <c r="A711" s="199"/>
    </row>
    <row r="712" spans="1:1" s="200" customFormat="1" ht="12" hidden="1" customHeight="1">
      <c r="A712" s="199"/>
    </row>
    <row r="713" spans="1:1" s="200" customFormat="1" ht="12" hidden="1" customHeight="1">
      <c r="A713" s="199"/>
    </row>
    <row r="714" spans="1:1" s="200" customFormat="1" ht="12" hidden="1" customHeight="1">
      <c r="A714" s="199"/>
    </row>
    <row r="715" spans="1:1" s="200" customFormat="1" ht="12" hidden="1" customHeight="1">
      <c r="A715" s="199"/>
    </row>
    <row r="716" spans="1:1" s="200" customFormat="1" ht="12" hidden="1" customHeight="1">
      <c r="A716" s="199"/>
    </row>
    <row r="717" spans="1:1" s="200" customFormat="1" ht="12" hidden="1" customHeight="1">
      <c r="A717" s="199"/>
    </row>
    <row r="718" spans="1:1" s="200" customFormat="1" ht="12" hidden="1" customHeight="1">
      <c r="A718" s="199"/>
    </row>
    <row r="719" spans="1:1" s="200" customFormat="1" ht="12" hidden="1" customHeight="1">
      <c r="A719" s="199"/>
    </row>
    <row r="720" spans="1:1" s="200" customFormat="1" ht="12" hidden="1" customHeight="1">
      <c r="A720" s="199"/>
    </row>
    <row r="721" spans="1:1" s="200" customFormat="1" ht="12" hidden="1" customHeight="1">
      <c r="A721" s="199"/>
    </row>
    <row r="722" spans="1:1" s="200" customFormat="1" ht="12" hidden="1" customHeight="1">
      <c r="A722" s="199"/>
    </row>
    <row r="723" spans="1:1" s="200" customFormat="1" ht="12" hidden="1" customHeight="1">
      <c r="A723" s="199"/>
    </row>
    <row r="724" spans="1:1" s="200" customFormat="1" ht="12" hidden="1" customHeight="1">
      <c r="A724" s="199"/>
    </row>
    <row r="725" spans="1:1" s="200" customFormat="1" ht="12" hidden="1" customHeight="1">
      <c r="A725" s="199"/>
    </row>
    <row r="726" spans="1:1" s="200" customFormat="1" ht="12" hidden="1" customHeight="1">
      <c r="A726" s="199"/>
    </row>
    <row r="727" spans="1:1" s="200" customFormat="1" ht="12" hidden="1" customHeight="1">
      <c r="A727" s="199"/>
    </row>
    <row r="728" spans="1:1" s="200" customFormat="1" ht="12" hidden="1" customHeight="1">
      <c r="A728" s="199"/>
    </row>
    <row r="729" spans="1:1" s="200" customFormat="1" ht="12" hidden="1" customHeight="1">
      <c r="A729" s="199"/>
    </row>
    <row r="730" spans="1:1" s="200" customFormat="1" ht="12" hidden="1" customHeight="1">
      <c r="A730" s="199"/>
    </row>
    <row r="731" spans="1:1" s="200" customFormat="1" ht="12" hidden="1" customHeight="1">
      <c r="A731" s="199"/>
    </row>
    <row r="732" spans="1:1" s="200" customFormat="1" ht="12" hidden="1" customHeight="1">
      <c r="A732" s="199"/>
    </row>
    <row r="733" spans="1:1" s="200" customFormat="1" ht="12" hidden="1" customHeight="1">
      <c r="A733" s="199"/>
    </row>
    <row r="734" spans="1:1" s="200" customFormat="1" ht="12" hidden="1" customHeight="1">
      <c r="A734" s="199"/>
    </row>
    <row r="735" spans="1:1" s="200" customFormat="1" ht="12" hidden="1" customHeight="1">
      <c r="A735" s="199"/>
    </row>
    <row r="736" spans="1:1" s="200" customFormat="1" ht="12" hidden="1" customHeight="1">
      <c r="A736" s="199"/>
    </row>
    <row r="737" spans="1:1" s="200" customFormat="1" ht="12" hidden="1" customHeight="1">
      <c r="A737" s="199"/>
    </row>
    <row r="738" spans="1:1" s="200" customFormat="1" ht="12" hidden="1" customHeight="1">
      <c r="A738" s="199"/>
    </row>
    <row r="739" spans="1:1" s="200" customFormat="1" ht="12" hidden="1" customHeight="1">
      <c r="A739" s="199"/>
    </row>
    <row r="740" spans="1:1" s="200" customFormat="1" ht="12" hidden="1" customHeight="1">
      <c r="A740" s="199"/>
    </row>
    <row r="741" spans="1:1" s="200" customFormat="1" ht="12" hidden="1" customHeight="1">
      <c r="A741" s="199"/>
    </row>
    <row r="742" spans="1:1" s="200" customFormat="1" ht="12" hidden="1" customHeight="1">
      <c r="A742" s="199"/>
    </row>
    <row r="743" spans="1:1" s="200" customFormat="1" ht="12" hidden="1" customHeight="1">
      <c r="A743" s="199"/>
    </row>
    <row r="744" spans="1:1" s="200" customFormat="1" ht="12" hidden="1" customHeight="1">
      <c r="A744" s="199"/>
    </row>
    <row r="745" spans="1:1" s="200" customFormat="1" ht="12" hidden="1" customHeight="1">
      <c r="A745" s="199"/>
    </row>
    <row r="746" spans="1:1" s="200" customFormat="1" ht="12" hidden="1" customHeight="1">
      <c r="A746" s="199"/>
    </row>
    <row r="747" spans="1:1" s="200" customFormat="1" ht="12" hidden="1" customHeight="1">
      <c r="A747" s="199"/>
    </row>
    <row r="748" spans="1:1" s="200" customFormat="1" ht="12" hidden="1" customHeight="1">
      <c r="A748" s="199"/>
    </row>
    <row r="749" spans="1:1" s="200" customFormat="1" ht="12" hidden="1" customHeight="1">
      <c r="A749" s="199"/>
    </row>
    <row r="750" spans="1:1" s="200" customFormat="1" ht="12" hidden="1" customHeight="1">
      <c r="A750" s="199"/>
    </row>
    <row r="751" spans="1:1" s="200" customFormat="1" ht="12" hidden="1" customHeight="1">
      <c r="A751" s="199"/>
    </row>
    <row r="752" spans="1:1" s="200" customFormat="1" ht="12" hidden="1" customHeight="1">
      <c r="A752" s="199"/>
    </row>
    <row r="753" spans="1:1" s="200" customFormat="1" ht="12" hidden="1" customHeight="1">
      <c r="A753" s="199"/>
    </row>
    <row r="754" spans="1:1" s="200" customFormat="1" ht="12" hidden="1" customHeight="1">
      <c r="A754" s="199"/>
    </row>
    <row r="755" spans="1:1" s="200" customFormat="1" ht="12" hidden="1" customHeight="1">
      <c r="A755" s="199"/>
    </row>
    <row r="756" spans="1:1" s="200" customFormat="1" ht="12" hidden="1" customHeight="1">
      <c r="A756" s="199"/>
    </row>
    <row r="757" spans="1:1" s="200" customFormat="1" ht="12" hidden="1" customHeight="1">
      <c r="A757" s="199"/>
    </row>
    <row r="758" spans="1:1" s="200" customFormat="1" ht="12" hidden="1" customHeight="1">
      <c r="A758" s="199"/>
    </row>
    <row r="759" spans="1:1" s="200" customFormat="1" ht="12" hidden="1" customHeight="1">
      <c r="A759" s="199"/>
    </row>
    <row r="760" spans="1:1" s="200" customFormat="1" ht="12" hidden="1" customHeight="1">
      <c r="A760" s="199"/>
    </row>
    <row r="761" spans="1:1" s="200" customFormat="1" ht="12" hidden="1" customHeight="1">
      <c r="A761" s="199"/>
    </row>
    <row r="762" spans="1:1" s="200" customFormat="1" ht="12" hidden="1" customHeight="1">
      <c r="A762" s="199"/>
    </row>
    <row r="763" spans="1:1" s="200" customFormat="1" ht="12" hidden="1" customHeight="1">
      <c r="A763" s="199"/>
    </row>
    <row r="764" spans="1:1" s="200" customFormat="1" ht="12" hidden="1" customHeight="1">
      <c r="A764" s="199"/>
    </row>
    <row r="765" spans="1:1" s="200" customFormat="1" ht="12" hidden="1" customHeight="1">
      <c r="A765" s="199"/>
    </row>
    <row r="766" spans="1:1" s="200" customFormat="1" ht="12" hidden="1" customHeight="1">
      <c r="A766" s="199"/>
    </row>
    <row r="767" spans="1:1" s="200" customFormat="1" ht="12" hidden="1" customHeight="1">
      <c r="A767" s="199"/>
    </row>
    <row r="768" spans="1:1" s="200" customFormat="1" ht="12" hidden="1" customHeight="1">
      <c r="A768" s="199"/>
    </row>
    <row r="769" spans="1:1" s="200" customFormat="1" ht="12" hidden="1" customHeight="1">
      <c r="A769" s="199"/>
    </row>
    <row r="770" spans="1:1" s="200" customFormat="1" ht="12" hidden="1" customHeight="1">
      <c r="A770" s="199"/>
    </row>
    <row r="771" spans="1:1" s="200" customFormat="1" ht="12" hidden="1" customHeight="1">
      <c r="A771" s="199"/>
    </row>
    <row r="772" spans="1:1" s="200" customFormat="1" ht="12" hidden="1" customHeight="1">
      <c r="A772" s="199"/>
    </row>
    <row r="773" spans="1:1" s="200" customFormat="1" ht="12" hidden="1" customHeight="1">
      <c r="A773" s="199"/>
    </row>
    <row r="774" spans="1:1" s="200" customFormat="1" ht="12" hidden="1" customHeight="1">
      <c r="A774" s="199"/>
    </row>
    <row r="775" spans="1:1" s="200" customFormat="1" ht="12" hidden="1" customHeight="1">
      <c r="A775" s="199"/>
    </row>
    <row r="776" spans="1:1" s="200" customFormat="1" ht="12" hidden="1" customHeight="1">
      <c r="A776" s="199"/>
    </row>
    <row r="777" spans="1:1" s="200" customFormat="1" ht="12" hidden="1" customHeight="1">
      <c r="A777" s="199"/>
    </row>
    <row r="778" spans="1:1" s="200" customFormat="1" ht="12" hidden="1" customHeight="1">
      <c r="A778" s="199"/>
    </row>
    <row r="779" spans="1:1" s="200" customFormat="1" ht="12" hidden="1" customHeight="1">
      <c r="A779" s="199"/>
    </row>
    <row r="780" spans="1:1" s="200" customFormat="1" ht="12" hidden="1" customHeight="1">
      <c r="A780" s="199"/>
    </row>
    <row r="781" spans="1:1" s="200" customFormat="1" ht="12" hidden="1" customHeight="1">
      <c r="A781" s="199"/>
    </row>
    <row r="782" spans="1:1" s="200" customFormat="1" ht="12" hidden="1" customHeight="1">
      <c r="A782" s="199"/>
    </row>
    <row r="783" spans="1:1" s="200" customFormat="1" ht="12" hidden="1" customHeight="1">
      <c r="A783" s="199"/>
    </row>
    <row r="784" spans="1:1" s="200" customFormat="1" ht="12" hidden="1" customHeight="1">
      <c r="A784" s="199"/>
    </row>
    <row r="785" spans="1:1" s="200" customFormat="1" ht="12" hidden="1" customHeight="1">
      <c r="A785" s="199"/>
    </row>
    <row r="786" spans="1:1" s="200" customFormat="1" ht="12" hidden="1" customHeight="1">
      <c r="A786" s="199"/>
    </row>
    <row r="787" spans="1:1" s="200" customFormat="1" ht="12" hidden="1" customHeight="1">
      <c r="A787" s="199"/>
    </row>
    <row r="788" spans="1:1" s="200" customFormat="1" ht="12" hidden="1" customHeight="1">
      <c r="A788" s="199"/>
    </row>
    <row r="789" spans="1:1" s="200" customFormat="1" ht="12" hidden="1" customHeight="1">
      <c r="A789" s="199"/>
    </row>
    <row r="790" spans="1:1" s="200" customFormat="1" ht="12" hidden="1" customHeight="1">
      <c r="A790" s="199"/>
    </row>
    <row r="791" spans="1:1" s="200" customFormat="1" ht="12" hidden="1" customHeight="1">
      <c r="A791" s="199"/>
    </row>
    <row r="792" spans="1:1" s="200" customFormat="1" ht="12" hidden="1" customHeight="1">
      <c r="A792" s="199"/>
    </row>
    <row r="793" spans="1:1" s="200" customFormat="1" ht="12" hidden="1" customHeight="1">
      <c r="A793" s="199"/>
    </row>
    <row r="794" spans="1:1" s="200" customFormat="1" ht="12" hidden="1" customHeight="1">
      <c r="A794" s="199"/>
    </row>
    <row r="795" spans="1:1" s="200" customFormat="1" ht="12" hidden="1" customHeight="1">
      <c r="A795" s="199"/>
    </row>
    <row r="796" spans="1:1" s="200" customFormat="1" ht="12" hidden="1" customHeight="1">
      <c r="A796" s="199"/>
    </row>
    <row r="797" spans="1:1" s="200" customFormat="1" ht="12" hidden="1" customHeight="1">
      <c r="A797" s="199"/>
    </row>
    <row r="798" spans="1:1" s="200" customFormat="1" ht="12" hidden="1" customHeight="1">
      <c r="A798" s="199"/>
    </row>
    <row r="799" spans="1:1" s="200" customFormat="1" ht="12" hidden="1" customHeight="1">
      <c r="A799" s="199"/>
    </row>
    <row r="800" spans="1:1" s="200" customFormat="1" ht="12" hidden="1" customHeight="1">
      <c r="A800" s="199"/>
    </row>
    <row r="801" spans="1:1" s="200" customFormat="1" ht="12" hidden="1" customHeight="1">
      <c r="A801" s="199"/>
    </row>
    <row r="802" spans="1:1" s="200" customFormat="1" ht="12" hidden="1" customHeight="1">
      <c r="A802" s="199"/>
    </row>
    <row r="803" spans="1:1" s="200" customFormat="1" ht="12" hidden="1" customHeight="1">
      <c r="A803" s="199"/>
    </row>
    <row r="804" spans="1:1" s="200" customFormat="1" ht="12" hidden="1" customHeight="1">
      <c r="A804" s="199"/>
    </row>
    <row r="805" spans="1:1" s="200" customFormat="1" ht="12" hidden="1" customHeight="1">
      <c r="A805" s="199"/>
    </row>
    <row r="806" spans="1:1" s="200" customFormat="1" ht="12" hidden="1" customHeight="1">
      <c r="A806" s="199"/>
    </row>
    <row r="807" spans="1:1" s="200" customFormat="1" ht="12" hidden="1" customHeight="1">
      <c r="A807" s="199"/>
    </row>
    <row r="808" spans="1:1" s="200" customFormat="1" ht="12" hidden="1" customHeight="1">
      <c r="A808" s="199"/>
    </row>
    <row r="809" spans="1:1" s="200" customFormat="1" ht="12" hidden="1" customHeight="1">
      <c r="A809" s="199"/>
    </row>
    <row r="810" spans="1:1" s="200" customFormat="1" ht="12" hidden="1" customHeight="1">
      <c r="A810" s="199"/>
    </row>
    <row r="811" spans="1:1" s="200" customFormat="1" ht="12" hidden="1" customHeight="1">
      <c r="A811" s="199"/>
    </row>
    <row r="812" spans="1:1" s="200" customFormat="1" ht="12" hidden="1" customHeight="1">
      <c r="A812" s="199"/>
    </row>
    <row r="813" spans="1:1" s="200" customFormat="1" ht="12" hidden="1" customHeight="1">
      <c r="A813" s="199"/>
    </row>
    <row r="814" spans="1:1" s="200" customFormat="1" ht="12" hidden="1" customHeight="1">
      <c r="A814" s="199"/>
    </row>
    <row r="815" spans="1:1" s="200" customFormat="1" ht="12" hidden="1" customHeight="1">
      <c r="A815" s="199"/>
    </row>
    <row r="816" spans="1:1" s="200" customFormat="1" ht="12" hidden="1" customHeight="1">
      <c r="A816" s="199"/>
    </row>
    <row r="817" spans="1:1" s="200" customFormat="1" ht="12" hidden="1" customHeight="1">
      <c r="A817" s="199"/>
    </row>
    <row r="818" spans="1:1" s="200" customFormat="1" ht="12" hidden="1" customHeight="1">
      <c r="A818" s="199"/>
    </row>
    <row r="819" spans="1:1" s="200" customFormat="1" ht="12" hidden="1" customHeight="1">
      <c r="A819" s="199"/>
    </row>
    <row r="820" spans="1:1" s="200" customFormat="1" ht="12" hidden="1" customHeight="1">
      <c r="A820" s="199"/>
    </row>
    <row r="821" spans="1:1" s="200" customFormat="1" ht="12" hidden="1" customHeight="1">
      <c r="A821" s="199"/>
    </row>
    <row r="822" spans="1:1" s="200" customFormat="1" ht="12" hidden="1" customHeight="1">
      <c r="A822" s="199"/>
    </row>
    <row r="823" spans="1:1" s="200" customFormat="1" ht="12" hidden="1" customHeight="1">
      <c r="A823" s="199"/>
    </row>
    <row r="824" spans="1:1" s="200" customFormat="1" ht="12" hidden="1" customHeight="1">
      <c r="A824" s="199"/>
    </row>
    <row r="825" spans="1:1" s="200" customFormat="1" ht="12" hidden="1" customHeight="1">
      <c r="A825" s="199"/>
    </row>
    <row r="826" spans="1:1" s="200" customFormat="1" ht="12" hidden="1" customHeight="1">
      <c r="A826" s="199"/>
    </row>
    <row r="827" spans="1:1" s="200" customFormat="1" ht="12" hidden="1" customHeight="1">
      <c r="A827" s="199"/>
    </row>
    <row r="828" spans="1:1" s="200" customFormat="1" ht="12" hidden="1" customHeight="1">
      <c r="A828" s="199"/>
    </row>
    <row r="829" spans="1:1" s="200" customFormat="1" ht="12" hidden="1" customHeight="1">
      <c r="A829" s="199"/>
    </row>
    <row r="830" spans="1:1" s="200" customFormat="1" ht="12" hidden="1" customHeight="1">
      <c r="A830" s="199"/>
    </row>
    <row r="831" spans="1:1" s="200" customFormat="1" ht="12" hidden="1" customHeight="1">
      <c r="A831" s="199"/>
    </row>
    <row r="832" spans="1:1" s="200" customFormat="1" ht="12" hidden="1" customHeight="1">
      <c r="A832" s="199"/>
    </row>
    <row r="833" spans="1:1" s="200" customFormat="1" ht="12" hidden="1" customHeight="1">
      <c r="A833" s="199"/>
    </row>
    <row r="834" spans="1:1" s="200" customFormat="1" ht="12" hidden="1" customHeight="1">
      <c r="A834" s="199"/>
    </row>
    <row r="835" spans="1:1" s="200" customFormat="1" ht="12" hidden="1" customHeight="1">
      <c r="A835" s="199"/>
    </row>
    <row r="836" spans="1:1" s="200" customFormat="1" ht="12" hidden="1" customHeight="1">
      <c r="A836" s="199"/>
    </row>
    <row r="837" spans="1:1" s="200" customFormat="1" ht="12" hidden="1" customHeight="1">
      <c r="A837" s="199"/>
    </row>
    <row r="838" spans="1:1" s="200" customFormat="1" ht="12" hidden="1" customHeight="1">
      <c r="A838" s="199"/>
    </row>
    <row r="839" spans="1:1" s="200" customFormat="1" ht="12" hidden="1" customHeight="1">
      <c r="A839" s="199"/>
    </row>
    <row r="840" spans="1:1" s="200" customFormat="1" ht="12" hidden="1" customHeight="1">
      <c r="A840" s="199"/>
    </row>
    <row r="841" spans="1:1" s="200" customFormat="1" ht="12" hidden="1" customHeight="1">
      <c r="A841" s="199"/>
    </row>
    <row r="842" spans="1:1" s="200" customFormat="1" ht="12" hidden="1" customHeight="1">
      <c r="A842" s="199"/>
    </row>
    <row r="843" spans="1:1" s="200" customFormat="1" ht="12" hidden="1" customHeight="1">
      <c r="A843" s="199"/>
    </row>
    <row r="844" spans="1:1" s="200" customFormat="1" ht="12" hidden="1" customHeight="1">
      <c r="A844" s="199"/>
    </row>
    <row r="845" spans="1:1" s="200" customFormat="1" ht="12" hidden="1" customHeight="1">
      <c r="A845" s="199"/>
    </row>
    <row r="846" spans="1:1" s="200" customFormat="1" ht="12" hidden="1" customHeight="1">
      <c r="A846" s="199"/>
    </row>
    <row r="847" spans="1:1" s="200" customFormat="1" ht="12" hidden="1" customHeight="1">
      <c r="A847" s="199"/>
    </row>
    <row r="848" spans="1:1" s="200" customFormat="1" ht="12" hidden="1" customHeight="1">
      <c r="A848" s="199"/>
    </row>
    <row r="849" spans="1:1" s="200" customFormat="1" ht="12" hidden="1" customHeight="1">
      <c r="A849" s="199"/>
    </row>
    <row r="850" spans="1:1" s="200" customFormat="1" ht="12" hidden="1" customHeight="1">
      <c r="A850" s="199"/>
    </row>
    <row r="851" spans="1:1" s="200" customFormat="1" ht="12" hidden="1" customHeight="1">
      <c r="A851" s="199"/>
    </row>
    <row r="852" spans="1:1" s="200" customFormat="1" ht="12" hidden="1" customHeight="1">
      <c r="A852" s="199"/>
    </row>
    <row r="853" spans="1:1" s="200" customFormat="1" ht="12" hidden="1" customHeight="1">
      <c r="A853" s="199"/>
    </row>
    <row r="854" spans="1:1" s="200" customFormat="1" ht="12" hidden="1" customHeight="1">
      <c r="A854" s="199"/>
    </row>
    <row r="855" spans="1:1" s="200" customFormat="1" ht="12" hidden="1" customHeight="1">
      <c r="A855" s="199"/>
    </row>
    <row r="856" spans="1:1" s="200" customFormat="1" ht="12" hidden="1" customHeight="1">
      <c r="A856" s="199"/>
    </row>
    <row r="857" spans="1:1" s="200" customFormat="1" ht="12" hidden="1" customHeight="1">
      <c r="A857" s="199"/>
    </row>
    <row r="858" spans="1:1" s="200" customFormat="1" ht="12" hidden="1" customHeight="1">
      <c r="A858" s="199"/>
    </row>
    <row r="859" spans="1:1" s="200" customFormat="1" ht="12" hidden="1" customHeight="1">
      <c r="A859" s="199"/>
    </row>
    <row r="860" spans="1:1" s="200" customFormat="1" ht="12" hidden="1" customHeight="1">
      <c r="A860" s="199"/>
    </row>
    <row r="861" spans="1:1" s="200" customFormat="1" ht="12" hidden="1" customHeight="1">
      <c r="A861" s="199"/>
    </row>
    <row r="862" spans="1:1" s="200" customFormat="1" ht="12" hidden="1" customHeight="1">
      <c r="A862" s="199"/>
    </row>
    <row r="863" spans="1:1" s="200" customFormat="1" ht="12" hidden="1" customHeight="1">
      <c r="A863" s="199"/>
    </row>
    <row r="864" spans="1:1" s="200" customFormat="1" ht="12" hidden="1" customHeight="1">
      <c r="A864" s="199"/>
    </row>
    <row r="865" spans="1:1" s="200" customFormat="1" ht="12" hidden="1" customHeight="1">
      <c r="A865" s="199"/>
    </row>
    <row r="866" spans="1:1" s="200" customFormat="1" ht="12" hidden="1" customHeight="1">
      <c r="A866" s="199"/>
    </row>
    <row r="867" spans="1:1" s="200" customFormat="1" ht="12" hidden="1" customHeight="1">
      <c r="A867" s="199"/>
    </row>
    <row r="868" spans="1:1" s="200" customFormat="1" ht="12" hidden="1" customHeight="1">
      <c r="A868" s="199"/>
    </row>
    <row r="869" spans="1:1" s="200" customFormat="1" ht="12" hidden="1" customHeight="1">
      <c r="A869" s="199"/>
    </row>
    <row r="870" spans="1:1" s="200" customFormat="1" ht="12" hidden="1" customHeight="1">
      <c r="A870" s="199"/>
    </row>
    <row r="871" spans="1:1" s="200" customFormat="1" ht="12" hidden="1" customHeight="1">
      <c r="A871" s="199"/>
    </row>
    <row r="872" spans="1:1" s="200" customFormat="1" ht="12" hidden="1" customHeight="1">
      <c r="A872" s="199"/>
    </row>
    <row r="873" spans="1:1" s="200" customFormat="1" ht="12" hidden="1" customHeight="1">
      <c r="A873" s="199"/>
    </row>
    <row r="874" spans="1:1" s="200" customFormat="1" ht="12" hidden="1" customHeight="1">
      <c r="A874" s="199"/>
    </row>
    <row r="875" spans="1:1" s="200" customFormat="1" ht="12" hidden="1" customHeight="1">
      <c r="A875" s="199"/>
    </row>
    <row r="876" spans="1:1" s="200" customFormat="1" ht="12" hidden="1" customHeight="1">
      <c r="A876" s="199"/>
    </row>
    <row r="877" spans="1:1" s="200" customFormat="1" ht="12" hidden="1" customHeight="1">
      <c r="A877" s="199"/>
    </row>
    <row r="878" spans="1:1" s="200" customFormat="1" ht="12" hidden="1" customHeight="1">
      <c r="A878" s="199"/>
    </row>
    <row r="879" spans="1:1" s="200" customFormat="1" ht="12" hidden="1" customHeight="1">
      <c r="A879" s="199"/>
    </row>
    <row r="880" spans="1:1" s="200" customFormat="1" ht="12" hidden="1" customHeight="1">
      <c r="A880" s="199"/>
    </row>
    <row r="881" spans="1:1" s="200" customFormat="1" ht="12" hidden="1" customHeight="1">
      <c r="A881" s="199"/>
    </row>
    <row r="882" spans="1:1" s="200" customFormat="1" ht="12" hidden="1" customHeight="1">
      <c r="A882" s="199"/>
    </row>
    <row r="883" spans="1:1" s="200" customFormat="1" ht="12" hidden="1" customHeight="1">
      <c r="A883" s="199"/>
    </row>
    <row r="884" spans="1:1" s="200" customFormat="1" ht="12" hidden="1" customHeight="1">
      <c r="A884" s="199"/>
    </row>
    <row r="885" spans="1:1" s="200" customFormat="1" ht="12" hidden="1" customHeight="1">
      <c r="A885" s="199"/>
    </row>
    <row r="886" spans="1:1" s="200" customFormat="1" ht="12" hidden="1" customHeight="1">
      <c r="A886" s="199"/>
    </row>
    <row r="887" spans="1:1" s="200" customFormat="1" ht="12" hidden="1" customHeight="1">
      <c r="A887" s="199"/>
    </row>
    <row r="888" spans="1:1" s="200" customFormat="1" ht="12" hidden="1" customHeight="1">
      <c r="A888" s="199"/>
    </row>
    <row r="889" spans="1:1" s="200" customFormat="1" ht="12" hidden="1" customHeight="1">
      <c r="A889" s="199"/>
    </row>
    <row r="890" spans="1:1" s="200" customFormat="1" ht="12" hidden="1" customHeight="1">
      <c r="A890" s="199"/>
    </row>
    <row r="891" spans="1:1" s="200" customFormat="1" ht="12" hidden="1" customHeight="1">
      <c r="A891" s="199"/>
    </row>
    <row r="892" spans="1:1" s="200" customFormat="1" ht="12" hidden="1" customHeight="1">
      <c r="A892" s="199"/>
    </row>
    <row r="893" spans="1:1" s="200" customFormat="1" ht="12" hidden="1" customHeight="1">
      <c r="A893" s="199"/>
    </row>
    <row r="894" spans="1:1" s="200" customFormat="1" ht="12" hidden="1" customHeight="1">
      <c r="A894" s="199"/>
    </row>
    <row r="895" spans="1:1" s="200" customFormat="1" ht="12" hidden="1" customHeight="1">
      <c r="A895" s="199"/>
    </row>
    <row r="896" spans="1:1" s="200" customFormat="1" ht="12" hidden="1" customHeight="1">
      <c r="A896" s="199"/>
    </row>
    <row r="897" spans="1:1" s="200" customFormat="1" ht="12" hidden="1" customHeight="1">
      <c r="A897" s="199"/>
    </row>
    <row r="898" spans="1:1" s="200" customFormat="1" ht="12" hidden="1" customHeight="1">
      <c r="A898" s="199"/>
    </row>
    <row r="899" spans="1:1" s="200" customFormat="1" ht="12" hidden="1" customHeight="1">
      <c r="A899" s="199"/>
    </row>
    <row r="900" spans="1:1" s="200" customFormat="1" ht="12" hidden="1" customHeight="1">
      <c r="A900" s="199"/>
    </row>
    <row r="901" spans="1:1" s="200" customFormat="1" ht="12" hidden="1" customHeight="1">
      <c r="A901" s="199"/>
    </row>
    <row r="902" spans="1:1" s="200" customFormat="1" ht="12" hidden="1" customHeight="1">
      <c r="A902" s="199"/>
    </row>
    <row r="903" spans="1:1" s="200" customFormat="1" ht="12" hidden="1" customHeight="1">
      <c r="A903" s="199"/>
    </row>
    <row r="904" spans="1:1" s="200" customFormat="1" ht="12" hidden="1" customHeight="1">
      <c r="A904" s="199"/>
    </row>
    <row r="905" spans="1:1" s="200" customFormat="1" ht="12" hidden="1" customHeight="1">
      <c r="A905" s="199"/>
    </row>
    <row r="906" spans="1:1" s="200" customFormat="1" ht="12" hidden="1" customHeight="1">
      <c r="A906" s="199"/>
    </row>
    <row r="907" spans="1:1" s="200" customFormat="1" ht="12" hidden="1" customHeight="1">
      <c r="A907" s="199"/>
    </row>
    <row r="908" spans="1:1" s="200" customFormat="1" ht="12" hidden="1" customHeight="1">
      <c r="A908" s="199"/>
    </row>
    <row r="909" spans="1:1" s="200" customFormat="1" ht="12" hidden="1" customHeight="1">
      <c r="A909" s="199"/>
    </row>
    <row r="910" spans="1:1" s="200" customFormat="1" ht="12" hidden="1" customHeight="1">
      <c r="A910" s="199"/>
    </row>
    <row r="911" spans="1:1" s="200" customFormat="1" ht="12" hidden="1" customHeight="1">
      <c r="A911" s="199"/>
    </row>
    <row r="912" spans="1:1" s="200" customFormat="1" ht="12" hidden="1" customHeight="1">
      <c r="A912" s="199"/>
    </row>
    <row r="913" spans="1:1" s="200" customFormat="1" ht="12" hidden="1" customHeight="1">
      <c r="A913" s="199"/>
    </row>
    <row r="914" spans="1:1" s="200" customFormat="1" ht="12" hidden="1" customHeight="1">
      <c r="A914" s="199"/>
    </row>
    <row r="915" spans="1:1" s="200" customFormat="1" ht="12" hidden="1" customHeight="1">
      <c r="A915" s="199"/>
    </row>
    <row r="916" spans="1:1" s="200" customFormat="1" ht="12" hidden="1" customHeight="1">
      <c r="A916" s="199"/>
    </row>
    <row r="917" spans="1:1" s="200" customFormat="1" ht="12" hidden="1" customHeight="1">
      <c r="A917" s="199"/>
    </row>
    <row r="918" spans="1:1" s="200" customFormat="1" ht="12" hidden="1" customHeight="1">
      <c r="A918" s="199"/>
    </row>
    <row r="919" spans="1:1" s="200" customFormat="1" ht="12" hidden="1" customHeight="1">
      <c r="A919" s="199"/>
    </row>
    <row r="920" spans="1:1" s="200" customFormat="1" ht="12" hidden="1" customHeight="1">
      <c r="A920" s="199"/>
    </row>
    <row r="921" spans="1:1" s="200" customFormat="1" ht="12" hidden="1" customHeight="1">
      <c r="A921" s="199"/>
    </row>
    <row r="922" spans="1:1" s="200" customFormat="1" ht="12" hidden="1" customHeight="1">
      <c r="A922" s="199"/>
    </row>
    <row r="923" spans="1:1" s="200" customFormat="1" ht="12" hidden="1" customHeight="1">
      <c r="A923" s="199"/>
    </row>
    <row r="924" spans="1:1" s="200" customFormat="1" ht="12" hidden="1" customHeight="1">
      <c r="A924" s="199"/>
    </row>
    <row r="925" spans="1:1" s="200" customFormat="1" ht="12" hidden="1" customHeight="1">
      <c r="A925" s="199"/>
    </row>
    <row r="926" spans="1:1" s="200" customFormat="1" ht="12" hidden="1" customHeight="1">
      <c r="A926" s="199"/>
    </row>
    <row r="927" spans="1:1" s="200" customFormat="1" ht="12" hidden="1" customHeight="1">
      <c r="A927" s="199"/>
    </row>
    <row r="928" spans="1:1" s="200" customFormat="1" ht="12" hidden="1" customHeight="1">
      <c r="A928" s="199"/>
    </row>
    <row r="929" spans="1:1" s="200" customFormat="1" ht="12" hidden="1" customHeight="1">
      <c r="A929" s="199"/>
    </row>
    <row r="930" spans="1:1" s="200" customFormat="1" ht="12" hidden="1" customHeight="1">
      <c r="A930" s="199"/>
    </row>
    <row r="931" spans="1:1" s="200" customFormat="1" ht="12" hidden="1" customHeight="1">
      <c r="A931" s="199"/>
    </row>
    <row r="932" spans="1:1" s="200" customFormat="1" ht="12" hidden="1" customHeight="1">
      <c r="A932" s="199"/>
    </row>
    <row r="933" spans="1:1" s="200" customFormat="1" ht="12" hidden="1" customHeight="1">
      <c r="A933" s="199"/>
    </row>
    <row r="934" spans="1:1" s="200" customFormat="1" ht="12" hidden="1" customHeight="1">
      <c r="A934" s="199"/>
    </row>
    <row r="935" spans="1:1" s="200" customFormat="1" ht="12" hidden="1" customHeight="1">
      <c r="A935" s="199"/>
    </row>
    <row r="936" spans="1:1" s="200" customFormat="1" ht="12" hidden="1" customHeight="1">
      <c r="A936" s="199"/>
    </row>
    <row r="937" spans="1:1" s="200" customFormat="1" ht="12" hidden="1" customHeight="1">
      <c r="A937" s="199"/>
    </row>
    <row r="938" spans="1:1" s="200" customFormat="1" ht="12" hidden="1" customHeight="1">
      <c r="A938" s="199"/>
    </row>
    <row r="939" spans="1:1" s="200" customFormat="1" ht="12" hidden="1" customHeight="1">
      <c r="A939" s="199"/>
    </row>
    <row r="940" spans="1:1" s="200" customFormat="1" ht="12" hidden="1" customHeight="1">
      <c r="A940" s="199"/>
    </row>
    <row r="941" spans="1:1" s="200" customFormat="1" ht="12" hidden="1" customHeight="1">
      <c r="A941" s="199"/>
    </row>
    <row r="942" spans="1:1" s="200" customFormat="1" ht="12" hidden="1" customHeight="1">
      <c r="A942" s="199"/>
    </row>
    <row r="943" spans="1:1" s="200" customFormat="1" ht="12" hidden="1" customHeight="1">
      <c r="A943" s="199"/>
    </row>
    <row r="944" spans="1:1" s="200" customFormat="1" ht="12" hidden="1" customHeight="1">
      <c r="A944" s="199"/>
    </row>
    <row r="945" spans="1:1" s="200" customFormat="1" ht="12" hidden="1" customHeight="1">
      <c r="A945" s="199"/>
    </row>
    <row r="946" spans="1:1" s="200" customFormat="1" ht="12" hidden="1" customHeight="1">
      <c r="A946" s="199"/>
    </row>
    <row r="947" spans="1:1" s="200" customFormat="1" ht="12" hidden="1" customHeight="1">
      <c r="A947" s="199"/>
    </row>
    <row r="948" spans="1:1" s="200" customFormat="1" ht="12" hidden="1" customHeight="1">
      <c r="A948" s="199"/>
    </row>
    <row r="949" spans="1:1" s="200" customFormat="1" ht="12" hidden="1" customHeight="1">
      <c r="A949" s="199"/>
    </row>
    <row r="950" spans="1:1" s="200" customFormat="1" ht="12" hidden="1" customHeight="1">
      <c r="A950" s="199"/>
    </row>
    <row r="951" spans="1:1" s="200" customFormat="1" ht="12" hidden="1" customHeight="1">
      <c r="A951" s="199"/>
    </row>
    <row r="952" spans="1:1" s="200" customFormat="1" ht="12" hidden="1" customHeight="1">
      <c r="A952" s="199"/>
    </row>
    <row r="953" spans="1:1" s="200" customFormat="1" ht="12" hidden="1" customHeight="1">
      <c r="A953" s="199"/>
    </row>
    <row r="954" spans="1:1" s="200" customFormat="1" ht="12" hidden="1" customHeight="1">
      <c r="A954" s="199"/>
    </row>
    <row r="955" spans="1:1" s="200" customFormat="1" ht="12" hidden="1" customHeight="1">
      <c r="A955" s="199"/>
    </row>
    <row r="956" spans="1:1" s="200" customFormat="1" ht="12" hidden="1" customHeight="1">
      <c r="A956" s="199"/>
    </row>
    <row r="957" spans="1:1" s="200" customFormat="1" ht="12" hidden="1" customHeight="1">
      <c r="A957" s="199"/>
    </row>
    <row r="958" spans="1:1" s="200" customFormat="1" ht="12" hidden="1" customHeight="1">
      <c r="A958" s="199"/>
    </row>
    <row r="959" spans="1:1" s="200" customFormat="1" ht="12" hidden="1" customHeight="1">
      <c r="A959" s="199"/>
    </row>
    <row r="960" spans="1:1" s="200" customFormat="1" ht="12" hidden="1" customHeight="1">
      <c r="A960" s="199"/>
    </row>
    <row r="961" spans="1:1" s="200" customFormat="1" ht="12" hidden="1" customHeight="1">
      <c r="A961" s="199"/>
    </row>
    <row r="962" spans="1:1" s="200" customFormat="1" ht="12" hidden="1" customHeight="1">
      <c r="A962" s="199"/>
    </row>
    <row r="963" spans="1:1" s="200" customFormat="1" ht="12" hidden="1" customHeight="1">
      <c r="A963" s="199"/>
    </row>
    <row r="964" spans="1:1" s="200" customFormat="1" ht="12" hidden="1" customHeight="1">
      <c r="A964" s="199"/>
    </row>
    <row r="965" spans="1:1" s="200" customFormat="1" ht="12" hidden="1" customHeight="1">
      <c r="A965" s="199"/>
    </row>
    <row r="966" spans="1:1" s="200" customFormat="1" ht="12" hidden="1" customHeight="1">
      <c r="A966" s="199"/>
    </row>
    <row r="967" spans="1:1" s="200" customFormat="1" ht="12" hidden="1" customHeight="1">
      <c r="A967" s="199"/>
    </row>
    <row r="968" spans="1:1" s="200" customFormat="1" ht="12" hidden="1" customHeight="1">
      <c r="A968" s="199"/>
    </row>
    <row r="969" spans="1:1" s="200" customFormat="1" ht="12" hidden="1" customHeight="1">
      <c r="A969" s="199"/>
    </row>
    <row r="970" spans="1:1" s="200" customFormat="1" ht="12" hidden="1" customHeight="1">
      <c r="A970" s="199"/>
    </row>
    <row r="971" spans="1:1" s="200" customFormat="1" ht="12" hidden="1" customHeight="1">
      <c r="A971" s="199"/>
    </row>
    <row r="972" spans="1:1" s="200" customFormat="1" ht="12" hidden="1" customHeight="1">
      <c r="A972" s="199"/>
    </row>
    <row r="973" spans="1:1" s="200" customFormat="1" ht="12" hidden="1" customHeight="1">
      <c r="A973" s="199"/>
    </row>
    <row r="974" spans="1:1" s="200" customFormat="1" ht="12" hidden="1" customHeight="1">
      <c r="A974" s="199"/>
    </row>
    <row r="975" spans="1:1" s="200" customFormat="1" ht="12" hidden="1" customHeight="1">
      <c r="A975" s="199"/>
    </row>
    <row r="976" spans="1:1" s="200" customFormat="1" ht="12" hidden="1" customHeight="1">
      <c r="A976" s="199"/>
    </row>
    <row r="977" spans="1:1" s="200" customFormat="1" ht="12" hidden="1" customHeight="1">
      <c r="A977" s="199"/>
    </row>
    <row r="978" spans="1:1" s="200" customFormat="1" ht="12" hidden="1" customHeight="1">
      <c r="A978" s="199"/>
    </row>
    <row r="979" spans="1:1" s="200" customFormat="1" ht="12" hidden="1" customHeight="1">
      <c r="A979" s="199"/>
    </row>
    <row r="980" spans="1:1" s="200" customFormat="1" ht="12" hidden="1" customHeight="1">
      <c r="A980" s="199"/>
    </row>
    <row r="981" spans="1:1" s="200" customFormat="1" ht="12" hidden="1" customHeight="1">
      <c r="A981" s="199"/>
    </row>
    <row r="982" spans="1:1" s="200" customFormat="1" ht="12" hidden="1" customHeight="1">
      <c r="A982" s="199"/>
    </row>
    <row r="983" spans="1:1" s="200" customFormat="1" ht="12" hidden="1" customHeight="1">
      <c r="A983" s="199"/>
    </row>
    <row r="984" spans="1:1" s="200" customFormat="1" ht="12" hidden="1" customHeight="1">
      <c r="A984" s="199"/>
    </row>
    <row r="985" spans="1:1" s="200" customFormat="1" ht="12" hidden="1" customHeight="1">
      <c r="A985" s="199"/>
    </row>
    <row r="986" spans="1:1" s="200" customFormat="1" ht="12" hidden="1" customHeight="1">
      <c r="A986" s="199"/>
    </row>
    <row r="987" spans="1:1" s="200" customFormat="1" ht="12" hidden="1" customHeight="1">
      <c r="A987" s="199"/>
    </row>
    <row r="988" spans="1:1" s="200" customFormat="1" ht="12" hidden="1" customHeight="1">
      <c r="A988" s="199"/>
    </row>
    <row r="989" spans="1:1" s="200" customFormat="1" ht="12" hidden="1" customHeight="1">
      <c r="A989" s="199"/>
    </row>
    <row r="990" spans="1:1" s="200" customFormat="1" ht="12" hidden="1" customHeight="1">
      <c r="A990" s="199"/>
    </row>
    <row r="991" spans="1:1" s="200" customFormat="1" ht="12" hidden="1" customHeight="1">
      <c r="A991" s="199"/>
    </row>
    <row r="992" spans="1:1" s="200" customFormat="1" ht="12" hidden="1" customHeight="1">
      <c r="A992" s="199"/>
    </row>
    <row r="993" spans="1:1" s="200" customFormat="1" ht="12" hidden="1" customHeight="1">
      <c r="A993" s="199"/>
    </row>
    <row r="994" spans="1:1" s="200" customFormat="1" ht="12" hidden="1" customHeight="1">
      <c r="A994" s="199"/>
    </row>
    <row r="995" spans="1:1" s="200" customFormat="1" ht="12" hidden="1" customHeight="1">
      <c r="A995" s="199"/>
    </row>
    <row r="996" spans="1:1" s="200" customFormat="1" ht="12" hidden="1" customHeight="1">
      <c r="A996" s="199"/>
    </row>
    <row r="997" spans="1:1" s="200" customFormat="1" ht="12" hidden="1" customHeight="1">
      <c r="A997" s="199"/>
    </row>
    <row r="998" spans="1:1" s="200" customFormat="1" ht="12" hidden="1" customHeight="1">
      <c r="A998" s="199"/>
    </row>
    <row r="999" spans="1:1" s="200" customFormat="1" ht="12" hidden="1" customHeight="1">
      <c r="A999" s="199"/>
    </row>
    <row r="1000" spans="1:1" s="200" customFormat="1" ht="12" hidden="1" customHeight="1">
      <c r="A1000" s="199"/>
    </row>
    <row r="1001" spans="1:1" s="200" customFormat="1" ht="12" hidden="1" customHeight="1">
      <c r="A1001" s="199"/>
    </row>
    <row r="1002" spans="1:1" s="200" customFormat="1" ht="12" hidden="1" customHeight="1">
      <c r="A1002" s="199"/>
    </row>
    <row r="1003" spans="1:1" s="200" customFormat="1" ht="12" hidden="1" customHeight="1">
      <c r="A1003" s="199"/>
    </row>
    <row r="1004" spans="1:1" s="200" customFormat="1" ht="12" hidden="1" customHeight="1">
      <c r="A1004" s="199"/>
    </row>
    <row r="1005" spans="1:1" s="200" customFormat="1" ht="12" hidden="1" customHeight="1">
      <c r="A1005" s="199"/>
    </row>
    <row r="1006" spans="1:1" s="200" customFormat="1" ht="12" hidden="1" customHeight="1">
      <c r="A1006" s="199"/>
    </row>
    <row r="1007" spans="1:1" s="200" customFormat="1" ht="12" hidden="1" customHeight="1">
      <c r="A1007" s="199"/>
    </row>
    <row r="1008" spans="1:1" s="200" customFormat="1" ht="12" hidden="1" customHeight="1">
      <c r="A1008" s="199"/>
    </row>
    <row r="1009" spans="1:1" s="200" customFormat="1" ht="12" hidden="1" customHeight="1">
      <c r="A1009" s="199"/>
    </row>
    <row r="1010" spans="1:1" s="200" customFormat="1" ht="12" hidden="1" customHeight="1">
      <c r="A1010" s="199"/>
    </row>
    <row r="1011" spans="1:1" s="200" customFormat="1" ht="12" hidden="1" customHeight="1">
      <c r="A1011" s="199"/>
    </row>
    <row r="1012" spans="1:1" s="200" customFormat="1" ht="12" hidden="1" customHeight="1">
      <c r="A1012" s="199"/>
    </row>
    <row r="1013" spans="1:1" s="200" customFormat="1" ht="12" hidden="1" customHeight="1">
      <c r="A1013" s="199"/>
    </row>
    <row r="1014" spans="1:1" s="200" customFormat="1" ht="12" hidden="1" customHeight="1">
      <c r="A1014" s="199"/>
    </row>
    <row r="1015" spans="1:1" s="200" customFormat="1" ht="12" hidden="1" customHeight="1">
      <c r="A1015" s="199"/>
    </row>
    <row r="1016" spans="1:1" s="200" customFormat="1" ht="12" hidden="1" customHeight="1">
      <c r="A1016" s="199"/>
    </row>
    <row r="1017" spans="1:1" s="200" customFormat="1" ht="12" hidden="1" customHeight="1">
      <c r="A1017" s="199"/>
    </row>
    <row r="1018" spans="1:1" s="200" customFormat="1" ht="12" hidden="1" customHeight="1">
      <c r="A1018" s="199"/>
    </row>
    <row r="1019" spans="1:1" s="200" customFormat="1" ht="12" hidden="1" customHeight="1">
      <c r="A1019" s="199"/>
    </row>
    <row r="1020" spans="1:1" s="200" customFormat="1" ht="12" hidden="1" customHeight="1">
      <c r="A1020" s="199"/>
    </row>
    <row r="1021" spans="1:1" s="200" customFormat="1" ht="12" hidden="1" customHeight="1">
      <c r="A1021" s="199"/>
    </row>
    <row r="1022" spans="1:1" s="200" customFormat="1" ht="12" hidden="1" customHeight="1">
      <c r="A1022" s="199"/>
    </row>
    <row r="1023" spans="1:1" s="200" customFormat="1" ht="12" hidden="1" customHeight="1">
      <c r="A1023" s="199"/>
    </row>
    <row r="1024" spans="1:1" s="200" customFormat="1" ht="12" hidden="1" customHeight="1">
      <c r="A1024" s="199"/>
    </row>
    <row r="1025" spans="1:1" s="200" customFormat="1" ht="12" hidden="1" customHeight="1">
      <c r="A1025" s="199"/>
    </row>
    <row r="1026" spans="1:1" s="200" customFormat="1" ht="12" hidden="1" customHeight="1">
      <c r="A1026" s="199"/>
    </row>
    <row r="1027" spans="1:1" s="200" customFormat="1" ht="12" hidden="1" customHeight="1">
      <c r="A1027" s="199"/>
    </row>
    <row r="1028" spans="1:1" s="200" customFormat="1" ht="12" hidden="1" customHeight="1">
      <c r="A1028" s="199"/>
    </row>
    <row r="1029" spans="1:1" s="200" customFormat="1" ht="12" hidden="1" customHeight="1">
      <c r="A1029" s="199"/>
    </row>
    <row r="1030" spans="1:1" s="200" customFormat="1" ht="12" hidden="1" customHeight="1">
      <c r="A1030" s="199"/>
    </row>
    <row r="1031" spans="1:1" s="200" customFormat="1" ht="12" hidden="1" customHeight="1">
      <c r="A1031" s="199"/>
    </row>
    <row r="1032" spans="1:1" s="200" customFormat="1" ht="12" hidden="1" customHeight="1">
      <c r="A1032" s="199"/>
    </row>
    <row r="1033" spans="1:1" s="200" customFormat="1" ht="12" hidden="1" customHeight="1">
      <c r="A1033" s="199"/>
    </row>
    <row r="1034" spans="1:1" s="200" customFormat="1" ht="12" hidden="1" customHeight="1">
      <c r="A1034" s="199"/>
    </row>
    <row r="1035" spans="1:1" s="200" customFormat="1" ht="12" hidden="1" customHeight="1">
      <c r="A1035" s="199"/>
    </row>
    <row r="1036" spans="1:1" s="200" customFormat="1" ht="12" hidden="1" customHeight="1">
      <c r="A1036" s="199"/>
    </row>
    <row r="1037" spans="1:1" s="200" customFormat="1" ht="12" hidden="1" customHeight="1">
      <c r="A1037" s="199"/>
    </row>
    <row r="1038" spans="1:1" s="200" customFormat="1" ht="12" hidden="1" customHeight="1">
      <c r="A1038" s="199"/>
    </row>
    <row r="1039" spans="1:1" s="200" customFormat="1" ht="12" hidden="1" customHeight="1">
      <c r="A1039" s="199"/>
    </row>
    <row r="1040" spans="1:1" s="200" customFormat="1" ht="12" hidden="1" customHeight="1">
      <c r="A1040" s="199"/>
    </row>
    <row r="1041" spans="1:1" s="200" customFormat="1" ht="12" hidden="1" customHeight="1">
      <c r="A1041" s="199"/>
    </row>
    <row r="1042" spans="1:1" s="200" customFormat="1" ht="12" hidden="1" customHeight="1">
      <c r="A1042" s="199"/>
    </row>
    <row r="1043" spans="1:1" s="200" customFormat="1" ht="12" hidden="1" customHeight="1">
      <c r="A1043" s="199"/>
    </row>
    <row r="1044" spans="1:1" s="200" customFormat="1" ht="12" hidden="1" customHeight="1">
      <c r="A1044" s="199"/>
    </row>
    <row r="1045" spans="1:1" s="200" customFormat="1" ht="12" hidden="1" customHeight="1">
      <c r="A1045" s="199"/>
    </row>
    <row r="1046" spans="1:1" s="200" customFormat="1" ht="12" hidden="1" customHeight="1">
      <c r="A1046" s="199"/>
    </row>
    <row r="1047" spans="1:1" s="200" customFormat="1" ht="12" hidden="1" customHeight="1">
      <c r="A1047" s="199"/>
    </row>
    <row r="1048" spans="1:1" s="200" customFormat="1" ht="12" hidden="1" customHeight="1">
      <c r="A1048" s="199"/>
    </row>
    <row r="1049" spans="1:1" s="200" customFormat="1" ht="12" hidden="1" customHeight="1">
      <c r="A1049" s="199"/>
    </row>
    <row r="1050" spans="1:1" s="200" customFormat="1" ht="12" hidden="1" customHeight="1">
      <c r="A1050" s="199"/>
    </row>
    <row r="1051" spans="1:1" s="200" customFormat="1" ht="12" hidden="1" customHeight="1">
      <c r="A1051" s="199"/>
    </row>
    <row r="1052" spans="1:1" s="200" customFormat="1" ht="12" hidden="1" customHeight="1">
      <c r="A1052" s="199"/>
    </row>
    <row r="1053" spans="1:1" s="200" customFormat="1" ht="12" hidden="1" customHeight="1">
      <c r="A1053" s="199"/>
    </row>
    <row r="1054" spans="1:1" s="200" customFormat="1" ht="12" hidden="1" customHeight="1">
      <c r="A1054" s="199"/>
    </row>
    <row r="1055" spans="1:1" s="200" customFormat="1" ht="12" hidden="1" customHeight="1">
      <c r="A1055" s="199"/>
    </row>
    <row r="1056" spans="1:1" s="200" customFormat="1" ht="12" hidden="1" customHeight="1">
      <c r="A1056" s="199"/>
    </row>
    <row r="1057" spans="1:1" s="200" customFormat="1" ht="12" hidden="1" customHeight="1">
      <c r="A1057" s="199"/>
    </row>
    <row r="1058" spans="1:1" s="200" customFormat="1" ht="12" hidden="1" customHeight="1">
      <c r="A1058" s="199"/>
    </row>
    <row r="1059" spans="1:1" s="200" customFormat="1" ht="12" hidden="1" customHeight="1">
      <c r="A1059" s="199"/>
    </row>
    <row r="1060" spans="1:1" s="200" customFormat="1" ht="12" hidden="1" customHeight="1">
      <c r="A1060" s="199"/>
    </row>
    <row r="1061" spans="1:1" s="200" customFormat="1" ht="12" hidden="1" customHeight="1">
      <c r="A1061" s="199"/>
    </row>
    <row r="1062" spans="1:1" s="200" customFormat="1" ht="12" hidden="1" customHeight="1">
      <c r="A1062" s="199"/>
    </row>
    <row r="1063" spans="1:1" s="200" customFormat="1" ht="12" hidden="1" customHeight="1">
      <c r="A1063" s="199"/>
    </row>
    <row r="1064" spans="1:1" s="200" customFormat="1" ht="12" hidden="1" customHeight="1">
      <c r="A1064" s="199"/>
    </row>
    <row r="1065" spans="1:1" s="200" customFormat="1" ht="12" hidden="1" customHeight="1">
      <c r="A1065" s="199"/>
    </row>
    <row r="1066" spans="1:1" s="200" customFormat="1" ht="12" hidden="1" customHeight="1">
      <c r="A1066" s="199"/>
    </row>
    <row r="1067" spans="1:1" s="200" customFormat="1" ht="12" hidden="1" customHeight="1">
      <c r="A1067" s="199"/>
    </row>
    <row r="1068" spans="1:1" s="200" customFormat="1" ht="12" hidden="1" customHeight="1">
      <c r="A1068" s="199"/>
    </row>
    <row r="1069" spans="1:1" s="200" customFormat="1" ht="12" hidden="1" customHeight="1">
      <c r="A1069" s="199"/>
    </row>
    <row r="1070" spans="1:1" s="200" customFormat="1" ht="12" hidden="1" customHeight="1">
      <c r="A1070" s="199"/>
    </row>
    <row r="1071" spans="1:1" s="200" customFormat="1" ht="12" hidden="1" customHeight="1">
      <c r="A1071" s="199"/>
    </row>
    <row r="1072" spans="1:1" s="200" customFormat="1" ht="12" hidden="1" customHeight="1">
      <c r="A1072" s="199"/>
    </row>
    <row r="1073" spans="1:1" s="200" customFormat="1" ht="12" hidden="1" customHeight="1">
      <c r="A1073" s="199"/>
    </row>
    <row r="1074" spans="1:1" s="200" customFormat="1" ht="12" hidden="1" customHeight="1">
      <c r="A1074" s="199"/>
    </row>
    <row r="1075" spans="1:1" s="200" customFormat="1" ht="12" hidden="1" customHeight="1">
      <c r="A1075" s="199"/>
    </row>
    <row r="1076" spans="1:1" s="200" customFormat="1" ht="12" hidden="1" customHeight="1">
      <c r="A1076" s="199"/>
    </row>
    <row r="1077" spans="1:1" s="200" customFormat="1" ht="12" hidden="1" customHeight="1">
      <c r="A1077" s="199"/>
    </row>
    <row r="1078" spans="1:1" s="200" customFormat="1" ht="12" hidden="1" customHeight="1">
      <c r="A1078" s="199"/>
    </row>
    <row r="1079" spans="1:1" s="200" customFormat="1" ht="12" hidden="1" customHeight="1">
      <c r="A1079" s="199"/>
    </row>
    <row r="1080" spans="1:1" s="200" customFormat="1" ht="12" hidden="1" customHeight="1">
      <c r="A1080" s="199"/>
    </row>
    <row r="1081" spans="1:1" s="200" customFormat="1" ht="12" hidden="1" customHeight="1">
      <c r="A1081" s="199"/>
    </row>
    <row r="1082" spans="1:1" s="200" customFormat="1" ht="12" hidden="1" customHeight="1">
      <c r="A1082" s="199"/>
    </row>
    <row r="1083" spans="1:1" s="200" customFormat="1" ht="12" hidden="1" customHeight="1">
      <c r="A1083" s="199"/>
    </row>
    <row r="1084" spans="1:1" s="200" customFormat="1" ht="12" hidden="1" customHeight="1">
      <c r="A1084" s="199"/>
    </row>
    <row r="1085" spans="1:1" s="200" customFormat="1" ht="12" hidden="1" customHeight="1">
      <c r="A1085" s="199"/>
    </row>
    <row r="1086" spans="1:1" s="200" customFormat="1" ht="12" hidden="1" customHeight="1">
      <c r="A1086" s="199"/>
    </row>
    <row r="1087" spans="1:1" s="200" customFormat="1" ht="12" hidden="1" customHeight="1">
      <c r="A1087" s="199"/>
    </row>
    <row r="1088" spans="1:1" s="200" customFormat="1" ht="12" hidden="1" customHeight="1">
      <c r="A1088" s="199"/>
    </row>
    <row r="1089" spans="1:1" s="200" customFormat="1" ht="12" hidden="1" customHeight="1">
      <c r="A1089" s="199"/>
    </row>
    <row r="1090" spans="1:1" s="200" customFormat="1" ht="12" hidden="1" customHeight="1">
      <c r="A1090" s="199"/>
    </row>
    <row r="1091" spans="1:1" s="200" customFormat="1" ht="12" hidden="1" customHeight="1">
      <c r="A1091" s="199"/>
    </row>
    <row r="1092" spans="1:1" s="200" customFormat="1" ht="12" hidden="1" customHeight="1">
      <c r="A1092" s="199"/>
    </row>
    <row r="1093" spans="1:1" s="200" customFormat="1" ht="12" hidden="1" customHeight="1">
      <c r="A1093" s="199"/>
    </row>
    <row r="1094" spans="1:1" s="200" customFormat="1" ht="12" hidden="1" customHeight="1">
      <c r="A1094" s="199"/>
    </row>
    <row r="1095" spans="1:1" s="200" customFormat="1" ht="12" hidden="1" customHeight="1">
      <c r="A1095" s="199"/>
    </row>
    <row r="1096" spans="1:1" s="200" customFormat="1" ht="12" hidden="1" customHeight="1">
      <c r="A1096" s="199"/>
    </row>
    <row r="1097" spans="1:1" s="200" customFormat="1" ht="12" hidden="1" customHeight="1">
      <c r="A1097" s="199"/>
    </row>
    <row r="1098" spans="1:1" s="200" customFormat="1" ht="12" hidden="1" customHeight="1">
      <c r="A1098" s="199"/>
    </row>
    <row r="1099" spans="1:1" s="200" customFormat="1" ht="12" hidden="1" customHeight="1">
      <c r="A1099" s="199"/>
    </row>
    <row r="1100" spans="1:1" s="200" customFormat="1" ht="12" hidden="1" customHeight="1">
      <c r="A1100" s="199"/>
    </row>
    <row r="1101" spans="1:1" s="200" customFormat="1" ht="12" hidden="1" customHeight="1">
      <c r="A1101" s="199"/>
    </row>
    <row r="1102" spans="1:1" s="200" customFormat="1" ht="12" hidden="1" customHeight="1">
      <c r="A1102" s="199"/>
    </row>
    <row r="1103" spans="1:1" s="200" customFormat="1" ht="12" hidden="1" customHeight="1">
      <c r="A1103" s="199"/>
    </row>
    <row r="1104" spans="1:1" s="200" customFormat="1" ht="12" hidden="1" customHeight="1">
      <c r="A1104" s="199"/>
    </row>
    <row r="1105" spans="1:1" s="200" customFormat="1" ht="12" hidden="1" customHeight="1">
      <c r="A1105" s="199"/>
    </row>
    <row r="1106" spans="1:1" s="200" customFormat="1" ht="12" hidden="1" customHeight="1">
      <c r="A1106" s="199"/>
    </row>
    <row r="1107" spans="1:1" s="200" customFormat="1" ht="12" hidden="1" customHeight="1">
      <c r="A1107" s="199"/>
    </row>
    <row r="1108" spans="1:1" s="200" customFormat="1" ht="12" hidden="1" customHeight="1">
      <c r="A1108" s="199"/>
    </row>
    <row r="1109" spans="1:1" s="200" customFormat="1" ht="12" hidden="1" customHeight="1">
      <c r="A1109" s="199"/>
    </row>
    <row r="1110" spans="1:1" s="200" customFormat="1" ht="12" hidden="1" customHeight="1">
      <c r="A1110" s="199"/>
    </row>
    <row r="1111" spans="1:1" s="200" customFormat="1" ht="12" hidden="1" customHeight="1">
      <c r="A1111" s="199"/>
    </row>
    <row r="1112" spans="1:1" s="200" customFormat="1" ht="12" hidden="1" customHeight="1">
      <c r="A1112" s="199"/>
    </row>
    <row r="1113" spans="1:1" s="200" customFormat="1" ht="12" hidden="1" customHeight="1">
      <c r="A1113" s="199"/>
    </row>
    <row r="1114" spans="1:1" s="200" customFormat="1" ht="12" hidden="1" customHeight="1">
      <c r="A1114" s="199"/>
    </row>
    <row r="1115" spans="1:1" s="200" customFormat="1" ht="12" hidden="1" customHeight="1">
      <c r="A1115" s="199"/>
    </row>
    <row r="1116" spans="1:1" s="200" customFormat="1" ht="12" hidden="1" customHeight="1">
      <c r="A1116" s="199"/>
    </row>
    <row r="1117" spans="1:1" s="200" customFormat="1" ht="12" hidden="1" customHeight="1">
      <c r="A1117" s="199"/>
    </row>
    <row r="1118" spans="1:1" s="200" customFormat="1" ht="12" hidden="1" customHeight="1">
      <c r="A1118" s="199"/>
    </row>
    <row r="1119" spans="1:1" s="200" customFormat="1" ht="12" hidden="1" customHeight="1">
      <c r="A1119" s="199"/>
    </row>
    <row r="1120" spans="1:1" s="200" customFormat="1" ht="12" hidden="1" customHeight="1">
      <c r="A1120" s="199"/>
    </row>
    <row r="1121" spans="1:1" s="200" customFormat="1" ht="12" hidden="1" customHeight="1">
      <c r="A1121" s="199"/>
    </row>
    <row r="1122" spans="1:1" s="200" customFormat="1" ht="12" hidden="1" customHeight="1">
      <c r="A1122" s="199"/>
    </row>
    <row r="1123" spans="1:1" s="200" customFormat="1" ht="12" hidden="1" customHeight="1">
      <c r="A1123" s="199"/>
    </row>
    <row r="1124" spans="1:1" s="200" customFormat="1" ht="12" hidden="1" customHeight="1">
      <c r="A1124" s="199"/>
    </row>
    <row r="1125" spans="1:1" s="200" customFormat="1" ht="12" hidden="1" customHeight="1">
      <c r="A1125" s="199"/>
    </row>
    <row r="1126" spans="1:1" s="200" customFormat="1" ht="12" hidden="1" customHeight="1">
      <c r="A1126" s="199"/>
    </row>
    <row r="1127" spans="1:1" s="200" customFormat="1" ht="12" hidden="1" customHeight="1">
      <c r="A1127" s="199"/>
    </row>
    <row r="1128" spans="1:1" s="200" customFormat="1" ht="12" hidden="1" customHeight="1">
      <c r="A1128" s="199"/>
    </row>
    <row r="1129" spans="1:1" s="200" customFormat="1" ht="12" hidden="1" customHeight="1">
      <c r="A1129" s="199"/>
    </row>
    <row r="1130" spans="1:1" s="200" customFormat="1" ht="12" hidden="1" customHeight="1">
      <c r="A1130" s="199"/>
    </row>
    <row r="1131" spans="1:1" s="200" customFormat="1" ht="12" hidden="1" customHeight="1">
      <c r="A1131" s="199"/>
    </row>
    <row r="1132" spans="1:1" s="200" customFormat="1" ht="12" hidden="1" customHeight="1">
      <c r="A1132" s="199"/>
    </row>
    <row r="1133" spans="1:1" s="200" customFormat="1" ht="12" hidden="1" customHeight="1">
      <c r="A1133" s="199"/>
    </row>
    <row r="1134" spans="1:1" s="200" customFormat="1" ht="12" hidden="1" customHeight="1">
      <c r="A1134" s="199"/>
    </row>
    <row r="1135" spans="1:1" s="200" customFormat="1" ht="12" hidden="1" customHeight="1">
      <c r="A1135" s="199"/>
    </row>
    <row r="1136" spans="1:1" s="200" customFormat="1" ht="12" hidden="1" customHeight="1">
      <c r="A1136" s="199"/>
    </row>
    <row r="1137" spans="1:1" s="200" customFormat="1" ht="12" hidden="1" customHeight="1">
      <c r="A1137" s="199"/>
    </row>
    <row r="1138" spans="1:1" s="200" customFormat="1" ht="12" hidden="1" customHeight="1">
      <c r="A1138" s="199"/>
    </row>
    <row r="1139" spans="1:1" s="200" customFormat="1" ht="12" hidden="1" customHeight="1">
      <c r="A1139" s="199"/>
    </row>
    <row r="1140" spans="1:1" s="200" customFormat="1" ht="12" hidden="1" customHeight="1">
      <c r="A1140" s="199"/>
    </row>
    <row r="1141" spans="1:1" s="200" customFormat="1" ht="12" hidden="1" customHeight="1">
      <c r="A1141" s="199"/>
    </row>
    <row r="1142" spans="1:1" s="200" customFormat="1" ht="12" hidden="1" customHeight="1">
      <c r="A1142" s="199"/>
    </row>
    <row r="1143" spans="1:1" s="200" customFormat="1" ht="12" hidden="1" customHeight="1">
      <c r="A1143" s="199"/>
    </row>
    <row r="1144" spans="1:1" s="200" customFormat="1" ht="12" hidden="1" customHeight="1">
      <c r="A1144" s="199"/>
    </row>
    <row r="1145" spans="1:1" s="200" customFormat="1" ht="12" hidden="1" customHeight="1">
      <c r="A1145" s="199"/>
    </row>
    <row r="1146" spans="1:1" s="200" customFormat="1" ht="12" hidden="1" customHeight="1">
      <c r="A1146" s="199"/>
    </row>
    <row r="1147" spans="1:1" s="200" customFormat="1" ht="12" hidden="1" customHeight="1">
      <c r="A1147" s="199"/>
    </row>
    <row r="1148" spans="1:1" s="200" customFormat="1" ht="12" hidden="1" customHeight="1">
      <c r="A1148" s="199"/>
    </row>
    <row r="1149" spans="1:1" s="200" customFormat="1" ht="12" hidden="1" customHeight="1">
      <c r="A1149" s="199"/>
    </row>
    <row r="1150" spans="1:1" s="200" customFormat="1" ht="12" hidden="1" customHeight="1">
      <c r="A1150" s="199"/>
    </row>
    <row r="1151" spans="1:1" s="200" customFormat="1" ht="12" hidden="1" customHeight="1">
      <c r="A1151" s="199"/>
    </row>
    <row r="1152" spans="1:1" s="200" customFormat="1" ht="12" hidden="1" customHeight="1">
      <c r="A1152" s="199"/>
    </row>
    <row r="1153" spans="1:1" s="200" customFormat="1" ht="12" hidden="1" customHeight="1">
      <c r="A1153" s="199"/>
    </row>
    <row r="1154" spans="1:1" s="200" customFormat="1" ht="12" hidden="1" customHeight="1">
      <c r="A1154" s="199"/>
    </row>
    <row r="1155" spans="1:1" s="200" customFormat="1" ht="12" hidden="1" customHeight="1">
      <c r="A1155" s="199"/>
    </row>
    <row r="1156" spans="1:1" s="200" customFormat="1" ht="12" hidden="1" customHeight="1">
      <c r="A1156" s="199"/>
    </row>
    <row r="1157" spans="1:1" s="200" customFormat="1" ht="12" hidden="1" customHeight="1">
      <c r="A1157" s="199"/>
    </row>
    <row r="1158" spans="1:1" s="200" customFormat="1" ht="12" hidden="1" customHeight="1">
      <c r="A1158" s="199"/>
    </row>
    <row r="1159" spans="1:1" s="200" customFormat="1" ht="12" hidden="1" customHeight="1">
      <c r="A1159" s="199"/>
    </row>
    <row r="1160" spans="1:1" s="200" customFormat="1" ht="12" hidden="1" customHeight="1">
      <c r="A1160" s="199"/>
    </row>
    <row r="1161" spans="1:1" s="200" customFormat="1" ht="12" hidden="1" customHeight="1">
      <c r="A1161" s="199"/>
    </row>
    <row r="1162" spans="1:1" s="200" customFormat="1" ht="12" hidden="1" customHeight="1">
      <c r="A1162" s="199"/>
    </row>
    <row r="1163" spans="1:1" s="200" customFormat="1" ht="12" hidden="1" customHeight="1">
      <c r="A1163" s="199"/>
    </row>
    <row r="1164" spans="1:1" s="200" customFormat="1" ht="12" hidden="1" customHeight="1">
      <c r="A1164" s="199"/>
    </row>
    <row r="1165" spans="1:1" s="200" customFormat="1" ht="12" hidden="1" customHeight="1">
      <c r="A1165" s="199"/>
    </row>
    <row r="1166" spans="1:1" s="200" customFormat="1" ht="12" hidden="1" customHeight="1">
      <c r="A1166" s="199"/>
    </row>
    <row r="1167" spans="1:1" s="200" customFormat="1" ht="12" hidden="1" customHeight="1">
      <c r="A1167" s="199"/>
    </row>
    <row r="1168" spans="1:1" s="200" customFormat="1" ht="12" hidden="1" customHeight="1">
      <c r="A1168" s="199"/>
    </row>
    <row r="1169" spans="1:1" s="200" customFormat="1" ht="12" hidden="1" customHeight="1">
      <c r="A1169" s="199"/>
    </row>
    <row r="1170" spans="1:1" s="200" customFormat="1" ht="12" hidden="1" customHeight="1">
      <c r="A1170" s="199"/>
    </row>
    <row r="1171" spans="1:1" s="200" customFormat="1" ht="12" hidden="1" customHeight="1">
      <c r="A1171" s="199"/>
    </row>
    <row r="1172" spans="1:1" s="200" customFormat="1" ht="12" hidden="1" customHeight="1">
      <c r="A1172" s="199"/>
    </row>
    <row r="1173" spans="1:1" s="200" customFormat="1" ht="12" hidden="1" customHeight="1">
      <c r="A1173" s="199"/>
    </row>
    <row r="1174" spans="1:1" s="200" customFormat="1" ht="12" hidden="1" customHeight="1">
      <c r="A1174" s="199"/>
    </row>
    <row r="1175" spans="1:1" s="200" customFormat="1" ht="12" hidden="1" customHeight="1">
      <c r="A1175" s="199"/>
    </row>
    <row r="1176" spans="1:1" s="200" customFormat="1" ht="12" hidden="1" customHeight="1">
      <c r="A1176" s="199"/>
    </row>
    <row r="1177" spans="1:1" s="200" customFormat="1" ht="12" hidden="1" customHeight="1">
      <c r="A1177" s="199"/>
    </row>
    <row r="1178" spans="1:1" s="200" customFormat="1" ht="12" hidden="1" customHeight="1">
      <c r="A1178" s="199"/>
    </row>
    <row r="1179" spans="1:1" s="200" customFormat="1" ht="12" hidden="1" customHeight="1">
      <c r="A1179" s="199"/>
    </row>
    <row r="1180" spans="1:1" s="200" customFormat="1" ht="12" hidden="1" customHeight="1">
      <c r="A1180" s="199"/>
    </row>
    <row r="1181" spans="1:1" s="200" customFormat="1" ht="12" hidden="1" customHeight="1">
      <c r="A1181" s="199"/>
    </row>
    <row r="1182" spans="1:1" s="200" customFormat="1" ht="12" hidden="1" customHeight="1">
      <c r="A1182" s="199"/>
    </row>
    <row r="1183" spans="1:1" s="200" customFormat="1" ht="12" hidden="1" customHeight="1">
      <c r="A1183" s="199"/>
    </row>
    <row r="1184" spans="1:1" s="200" customFormat="1" ht="12" hidden="1" customHeight="1">
      <c r="A1184" s="199"/>
    </row>
    <row r="1185" spans="1:1" s="200" customFormat="1" ht="12" hidden="1" customHeight="1">
      <c r="A1185" s="199"/>
    </row>
    <row r="1186" spans="1:1" s="200" customFormat="1" ht="12" hidden="1" customHeight="1">
      <c r="A1186" s="199"/>
    </row>
    <row r="1187" spans="1:1" s="200" customFormat="1" ht="12" hidden="1" customHeight="1">
      <c r="A1187" s="199"/>
    </row>
    <row r="1188" spans="1:1" s="200" customFormat="1" ht="12" hidden="1" customHeight="1">
      <c r="A1188" s="199"/>
    </row>
    <row r="1189" spans="1:1" s="200" customFormat="1" ht="12" hidden="1" customHeight="1">
      <c r="A1189" s="199"/>
    </row>
    <row r="1190" spans="1:1" s="200" customFormat="1" ht="12" hidden="1" customHeight="1">
      <c r="A1190" s="199"/>
    </row>
    <row r="1191" spans="1:1" s="200" customFormat="1" ht="12" hidden="1" customHeight="1">
      <c r="A1191" s="199"/>
    </row>
    <row r="1192" spans="1:1" s="200" customFormat="1" ht="12" hidden="1" customHeight="1">
      <c r="A1192" s="199"/>
    </row>
    <row r="1193" spans="1:1" s="200" customFormat="1" ht="12" hidden="1" customHeight="1">
      <c r="A1193" s="199"/>
    </row>
    <row r="1194" spans="1:1" s="200" customFormat="1" ht="12" hidden="1" customHeight="1">
      <c r="A1194" s="199"/>
    </row>
    <row r="1195" spans="1:1" s="200" customFormat="1" ht="12" hidden="1" customHeight="1">
      <c r="A1195" s="199"/>
    </row>
    <row r="1196" spans="1:1" s="200" customFormat="1" ht="12" hidden="1" customHeight="1">
      <c r="A1196" s="199"/>
    </row>
    <row r="1197" spans="1:1" s="200" customFormat="1" ht="12" hidden="1" customHeight="1">
      <c r="A1197" s="199"/>
    </row>
    <row r="1198" spans="1:1" s="200" customFormat="1" ht="12" hidden="1" customHeight="1">
      <c r="A1198" s="199"/>
    </row>
    <row r="1199" spans="1:1" s="200" customFormat="1" ht="12" hidden="1" customHeight="1">
      <c r="A1199" s="199"/>
    </row>
    <row r="1200" spans="1:1" s="200" customFormat="1" ht="12" hidden="1" customHeight="1">
      <c r="A1200" s="199"/>
    </row>
    <row r="1201" spans="1:1" s="200" customFormat="1" ht="12" hidden="1" customHeight="1">
      <c r="A1201" s="199"/>
    </row>
    <row r="1202" spans="1:1" s="200" customFormat="1" ht="12" hidden="1" customHeight="1">
      <c r="A1202" s="199"/>
    </row>
    <row r="1203" spans="1:1" s="200" customFormat="1" ht="12" hidden="1" customHeight="1">
      <c r="A1203" s="199"/>
    </row>
    <row r="1204" spans="1:1" s="200" customFormat="1" ht="12" hidden="1" customHeight="1">
      <c r="A1204" s="199"/>
    </row>
    <row r="1205" spans="1:1" s="200" customFormat="1" ht="12" hidden="1" customHeight="1">
      <c r="A1205" s="199"/>
    </row>
    <row r="1206" spans="1:1" s="200" customFormat="1" ht="12" hidden="1" customHeight="1">
      <c r="A1206" s="199"/>
    </row>
    <row r="1207" spans="1:1" s="200" customFormat="1" ht="12" hidden="1" customHeight="1">
      <c r="A1207" s="199"/>
    </row>
    <row r="1208" spans="1:1" s="200" customFormat="1" ht="12" hidden="1" customHeight="1">
      <c r="A1208" s="199"/>
    </row>
    <row r="1209" spans="1:1" s="200" customFormat="1" ht="12" hidden="1" customHeight="1">
      <c r="A1209" s="199"/>
    </row>
    <row r="1210" spans="1:1" s="200" customFormat="1" ht="12" hidden="1" customHeight="1">
      <c r="A1210" s="199"/>
    </row>
    <row r="1211" spans="1:1" s="200" customFormat="1" ht="12" hidden="1" customHeight="1">
      <c r="A1211" s="199"/>
    </row>
    <row r="1212" spans="1:1" s="200" customFormat="1" ht="12" hidden="1" customHeight="1">
      <c r="A1212" s="199"/>
    </row>
    <row r="1213" spans="1:1" s="200" customFormat="1" ht="12" hidden="1" customHeight="1">
      <c r="A1213" s="199"/>
    </row>
    <row r="1214" spans="1:1" s="200" customFormat="1" ht="12" hidden="1" customHeight="1">
      <c r="A1214" s="199"/>
    </row>
    <row r="1215" spans="1:1" s="200" customFormat="1" ht="12" hidden="1" customHeight="1">
      <c r="A1215" s="199"/>
    </row>
    <row r="1216" spans="1:1" s="200" customFormat="1" ht="12" hidden="1" customHeight="1">
      <c r="A1216" s="199"/>
    </row>
    <row r="1217" spans="1:1" s="200" customFormat="1" ht="12" hidden="1" customHeight="1">
      <c r="A1217" s="199"/>
    </row>
    <row r="1218" spans="1:1" s="200" customFormat="1" ht="12" hidden="1" customHeight="1">
      <c r="A1218" s="199"/>
    </row>
    <row r="1219" spans="1:1" s="200" customFormat="1" ht="12" hidden="1" customHeight="1">
      <c r="A1219" s="199"/>
    </row>
    <row r="1220" spans="1:1" s="200" customFormat="1" ht="12" hidden="1" customHeight="1">
      <c r="A1220" s="199"/>
    </row>
    <row r="1221" spans="1:1" s="200" customFormat="1" ht="12" hidden="1" customHeight="1">
      <c r="A1221" s="199"/>
    </row>
    <row r="1222" spans="1:1" s="200" customFormat="1" ht="12" hidden="1" customHeight="1">
      <c r="A1222" s="199"/>
    </row>
    <row r="1223" spans="1:1" s="200" customFormat="1" ht="12" hidden="1" customHeight="1">
      <c r="A1223" s="199"/>
    </row>
    <row r="1224" spans="1:1" s="200" customFormat="1" ht="12" hidden="1" customHeight="1">
      <c r="A1224" s="199"/>
    </row>
    <row r="1225" spans="1:1" s="200" customFormat="1" ht="12" hidden="1" customHeight="1">
      <c r="A1225" s="199"/>
    </row>
    <row r="1226" spans="1:1" s="200" customFormat="1" ht="12" hidden="1" customHeight="1">
      <c r="A1226" s="199"/>
    </row>
    <row r="1227" spans="1:1" s="200" customFormat="1" ht="12" hidden="1" customHeight="1">
      <c r="A1227" s="199"/>
    </row>
    <row r="1228" spans="1:1" s="200" customFormat="1" ht="12" hidden="1" customHeight="1">
      <c r="A1228" s="199"/>
    </row>
    <row r="1229" spans="1:1" s="200" customFormat="1" ht="12" hidden="1" customHeight="1">
      <c r="A1229" s="199"/>
    </row>
    <row r="1230" spans="1:1" s="200" customFormat="1" ht="12" hidden="1" customHeight="1">
      <c r="A1230" s="199"/>
    </row>
    <row r="1231" spans="1:1" s="200" customFormat="1" ht="12" hidden="1" customHeight="1">
      <c r="A1231" s="199"/>
    </row>
    <row r="1232" spans="1:1" s="200" customFormat="1" ht="12" hidden="1" customHeight="1">
      <c r="A1232" s="199"/>
    </row>
    <row r="1233" spans="1:1" s="200" customFormat="1" ht="12" hidden="1" customHeight="1">
      <c r="A1233" s="199"/>
    </row>
    <row r="1234" spans="1:1" s="200" customFormat="1" ht="12" hidden="1" customHeight="1">
      <c r="A1234" s="199"/>
    </row>
    <row r="1235" spans="1:1" s="200" customFormat="1" ht="12" hidden="1" customHeight="1">
      <c r="A1235" s="199"/>
    </row>
    <row r="1236" spans="1:1" s="200" customFormat="1" ht="12" hidden="1" customHeight="1">
      <c r="A1236" s="199"/>
    </row>
    <row r="1237" spans="1:1" s="200" customFormat="1" ht="12" hidden="1" customHeight="1">
      <c r="A1237" s="199"/>
    </row>
    <row r="1238" spans="1:1" s="200" customFormat="1" ht="12" hidden="1" customHeight="1">
      <c r="A1238" s="199"/>
    </row>
    <row r="1239" spans="1:1" s="200" customFormat="1" ht="12" hidden="1" customHeight="1">
      <c r="A1239" s="199"/>
    </row>
    <row r="1240" spans="1:1" s="200" customFormat="1" ht="12" hidden="1" customHeight="1">
      <c r="A1240" s="199"/>
    </row>
    <row r="1241" spans="1:1" s="200" customFormat="1" ht="12" hidden="1" customHeight="1">
      <c r="A1241" s="199"/>
    </row>
    <row r="1242" spans="1:1" s="200" customFormat="1" ht="12" hidden="1" customHeight="1">
      <c r="A1242" s="199"/>
    </row>
    <row r="1243" spans="1:1" s="200" customFormat="1" ht="12" hidden="1" customHeight="1">
      <c r="A1243" s="199"/>
    </row>
    <row r="1244" spans="1:1" s="200" customFormat="1" ht="12" hidden="1" customHeight="1">
      <c r="A1244" s="199"/>
    </row>
    <row r="1245" spans="1:1" s="200" customFormat="1" ht="12" hidden="1" customHeight="1">
      <c r="A1245" s="199"/>
    </row>
    <row r="1246" spans="1:1" s="200" customFormat="1" ht="12" hidden="1" customHeight="1">
      <c r="A1246" s="199"/>
    </row>
    <row r="1247" spans="1:1" s="200" customFormat="1" ht="12" hidden="1" customHeight="1">
      <c r="A1247" s="199"/>
    </row>
    <row r="1248" spans="1:1" s="200" customFormat="1" ht="12" hidden="1" customHeight="1">
      <c r="A1248" s="199"/>
    </row>
    <row r="1249" spans="1:1" s="200" customFormat="1" ht="12" hidden="1" customHeight="1">
      <c r="A1249" s="199"/>
    </row>
    <row r="1250" spans="1:1" s="200" customFormat="1" ht="12" hidden="1" customHeight="1">
      <c r="A1250" s="199"/>
    </row>
    <row r="1251" spans="1:1" s="200" customFormat="1" ht="12" hidden="1" customHeight="1">
      <c r="A1251" s="199"/>
    </row>
    <row r="1252" spans="1:1" s="200" customFormat="1" ht="12" hidden="1" customHeight="1">
      <c r="A1252" s="199"/>
    </row>
    <row r="1253" spans="1:1" s="200" customFormat="1" ht="12" hidden="1" customHeight="1">
      <c r="A1253" s="199"/>
    </row>
    <row r="1254" spans="1:1" s="200" customFormat="1" ht="12" hidden="1" customHeight="1">
      <c r="A1254" s="199"/>
    </row>
    <row r="1255" spans="1:1" s="200" customFormat="1" ht="12" hidden="1" customHeight="1">
      <c r="A1255" s="199"/>
    </row>
    <row r="1256" spans="1:1" s="200" customFormat="1" ht="12" hidden="1" customHeight="1">
      <c r="A1256" s="199"/>
    </row>
    <row r="1257" spans="1:1" s="200" customFormat="1" ht="12" hidden="1" customHeight="1">
      <c r="A1257" s="199"/>
    </row>
    <row r="1258" spans="1:1" s="200" customFormat="1" ht="12" hidden="1" customHeight="1">
      <c r="A1258" s="199"/>
    </row>
    <row r="1259" spans="1:1" s="200" customFormat="1" ht="12" hidden="1" customHeight="1">
      <c r="A1259" s="199"/>
    </row>
    <row r="1260" spans="1:1" s="200" customFormat="1" ht="12" hidden="1" customHeight="1">
      <c r="A1260" s="199"/>
    </row>
    <row r="1261" spans="1:1" s="200" customFormat="1" ht="12" hidden="1" customHeight="1">
      <c r="A1261" s="199"/>
    </row>
    <row r="1262" spans="1:1" s="200" customFormat="1" ht="12" hidden="1" customHeight="1">
      <c r="A1262" s="199"/>
    </row>
    <row r="1263" spans="1:1" s="200" customFormat="1" ht="12" hidden="1" customHeight="1">
      <c r="A1263" s="199"/>
    </row>
    <row r="1264" spans="1:1" s="200" customFormat="1" ht="12" hidden="1" customHeight="1">
      <c r="A1264" s="199"/>
    </row>
    <row r="1265" spans="1:1" s="200" customFormat="1" ht="12" hidden="1" customHeight="1">
      <c r="A1265" s="199"/>
    </row>
    <row r="1266" spans="1:1" s="200" customFormat="1" ht="12" hidden="1" customHeight="1">
      <c r="A1266" s="199"/>
    </row>
    <row r="1267" spans="1:1" s="200" customFormat="1" ht="12" hidden="1" customHeight="1">
      <c r="A1267" s="199"/>
    </row>
    <row r="1268" spans="1:1" s="200" customFormat="1" ht="12" hidden="1" customHeight="1">
      <c r="A1268" s="199"/>
    </row>
    <row r="1269" spans="1:1" s="200" customFormat="1" ht="12" hidden="1" customHeight="1">
      <c r="A1269" s="199"/>
    </row>
    <row r="1270" spans="1:1" s="200" customFormat="1" ht="12" hidden="1" customHeight="1">
      <c r="A1270" s="199"/>
    </row>
    <row r="1271" spans="1:1" s="200" customFormat="1" ht="12" hidden="1" customHeight="1">
      <c r="A1271" s="199"/>
    </row>
    <row r="1272" spans="1:1" s="200" customFormat="1" ht="12" hidden="1" customHeight="1">
      <c r="A1272" s="199"/>
    </row>
    <row r="1273" spans="1:1" s="200" customFormat="1" ht="12" hidden="1" customHeight="1">
      <c r="A1273" s="199"/>
    </row>
    <row r="1274" spans="1:1" s="200" customFormat="1" ht="12" hidden="1" customHeight="1">
      <c r="A1274" s="199"/>
    </row>
    <row r="1275" spans="1:1" s="200" customFormat="1" ht="12" hidden="1" customHeight="1">
      <c r="A1275" s="199"/>
    </row>
    <row r="1276" spans="1:1" s="200" customFormat="1" ht="12" hidden="1" customHeight="1">
      <c r="A1276" s="199"/>
    </row>
    <row r="1277" spans="1:1" s="200" customFormat="1" ht="12" hidden="1" customHeight="1">
      <c r="A1277" s="199"/>
    </row>
    <row r="1278" spans="1:1" s="200" customFormat="1" ht="12" hidden="1" customHeight="1">
      <c r="A1278" s="199"/>
    </row>
    <row r="1279" spans="1:1" s="200" customFormat="1" ht="12" hidden="1" customHeight="1">
      <c r="A1279" s="199"/>
    </row>
    <row r="1280" spans="1:1" s="200" customFormat="1" ht="12" hidden="1" customHeight="1">
      <c r="A1280" s="199"/>
    </row>
    <row r="1281" spans="1:1" s="200" customFormat="1" ht="12" hidden="1" customHeight="1">
      <c r="A1281" s="199"/>
    </row>
    <row r="1282" spans="1:1" s="200" customFormat="1" ht="12" hidden="1" customHeight="1">
      <c r="A1282" s="199"/>
    </row>
    <row r="1283" spans="1:1" s="200" customFormat="1" ht="12" hidden="1" customHeight="1">
      <c r="A1283" s="199"/>
    </row>
    <row r="1284" spans="1:1" s="200" customFormat="1" ht="12" hidden="1" customHeight="1">
      <c r="A1284" s="199"/>
    </row>
    <row r="1285" spans="1:1" s="200" customFormat="1" ht="12" hidden="1" customHeight="1">
      <c r="A1285" s="199"/>
    </row>
    <row r="1286" spans="1:1" s="200" customFormat="1" ht="12" hidden="1" customHeight="1">
      <c r="A1286" s="199"/>
    </row>
    <row r="1287" spans="1:1" s="200" customFormat="1" ht="12" hidden="1" customHeight="1">
      <c r="A1287" s="199"/>
    </row>
    <row r="1288" spans="1:1" s="200" customFormat="1" ht="12" hidden="1" customHeight="1">
      <c r="A1288" s="199"/>
    </row>
    <row r="1289" spans="1:1" s="200" customFormat="1" ht="12" hidden="1" customHeight="1">
      <c r="A1289" s="199"/>
    </row>
    <row r="1290" spans="1:1" s="200" customFormat="1" ht="12" hidden="1" customHeight="1">
      <c r="A1290" s="199"/>
    </row>
    <row r="1291" spans="1:1" s="200" customFormat="1" ht="12" hidden="1" customHeight="1">
      <c r="A1291" s="199"/>
    </row>
    <row r="1292" spans="1:1" s="200" customFormat="1" ht="12" hidden="1" customHeight="1">
      <c r="A1292" s="199"/>
    </row>
    <row r="1293" spans="1:1" s="200" customFormat="1" ht="12" hidden="1" customHeight="1">
      <c r="A1293" s="199"/>
    </row>
    <row r="1294" spans="1:1" s="200" customFormat="1" ht="12" hidden="1" customHeight="1">
      <c r="A1294" s="199"/>
    </row>
    <row r="1295" spans="1:1" s="200" customFormat="1" ht="12" hidden="1" customHeight="1">
      <c r="A1295" s="199"/>
    </row>
    <row r="1296" spans="1:1" s="200" customFormat="1" ht="12" hidden="1" customHeight="1">
      <c r="A1296" s="199"/>
    </row>
    <row r="1297" spans="1:1" s="200" customFormat="1" ht="12" hidden="1" customHeight="1">
      <c r="A1297" s="199"/>
    </row>
    <row r="1298" spans="1:1" s="200" customFormat="1" ht="12" hidden="1" customHeight="1">
      <c r="A1298" s="199"/>
    </row>
    <row r="1299" spans="1:1" s="200" customFormat="1" ht="12" hidden="1" customHeight="1">
      <c r="A1299" s="199"/>
    </row>
    <row r="1300" spans="1:1" s="200" customFormat="1" ht="12" hidden="1" customHeight="1">
      <c r="A1300" s="199"/>
    </row>
    <row r="1301" spans="1:1" s="200" customFormat="1" ht="12" hidden="1" customHeight="1">
      <c r="A1301" s="199"/>
    </row>
    <row r="1302" spans="1:1" s="200" customFormat="1" ht="12" hidden="1" customHeight="1">
      <c r="A1302" s="199"/>
    </row>
    <row r="1303" spans="1:1" s="200" customFormat="1" ht="12" hidden="1" customHeight="1">
      <c r="A1303" s="199"/>
    </row>
    <row r="1304" spans="1:1" s="200" customFormat="1" ht="12" hidden="1" customHeight="1">
      <c r="A1304" s="199"/>
    </row>
    <row r="1305" spans="1:1" s="200" customFormat="1" ht="12" hidden="1" customHeight="1">
      <c r="A1305" s="199"/>
    </row>
    <row r="1306" spans="1:1" s="200" customFormat="1" ht="12" hidden="1" customHeight="1">
      <c r="A1306" s="199"/>
    </row>
    <row r="1307" spans="1:1" s="200" customFormat="1" ht="12" hidden="1" customHeight="1">
      <c r="A1307" s="199"/>
    </row>
    <row r="1308" spans="1:1" s="200" customFormat="1" ht="12" hidden="1" customHeight="1">
      <c r="A1308" s="199"/>
    </row>
    <row r="1309" spans="1:1" s="200" customFormat="1" ht="12" hidden="1" customHeight="1">
      <c r="A1309" s="199"/>
    </row>
    <row r="1310" spans="1:1" s="200" customFormat="1" ht="12" hidden="1" customHeight="1">
      <c r="A1310" s="199"/>
    </row>
    <row r="1311" spans="1:1" s="200" customFormat="1" ht="12" hidden="1" customHeight="1">
      <c r="A1311" s="199"/>
    </row>
    <row r="1312" spans="1:1" s="200" customFormat="1" ht="12" hidden="1" customHeight="1">
      <c r="A1312" s="199"/>
    </row>
    <row r="1313" spans="1:1" s="200" customFormat="1" ht="12" hidden="1" customHeight="1">
      <c r="A1313" s="199"/>
    </row>
    <row r="1314" spans="1:1" s="200" customFormat="1" ht="12" hidden="1" customHeight="1">
      <c r="A1314" s="199"/>
    </row>
    <row r="1315" spans="1:1" s="200" customFormat="1" ht="12" hidden="1" customHeight="1">
      <c r="A1315" s="199"/>
    </row>
    <row r="1316" spans="1:1" s="200" customFormat="1" ht="12" hidden="1" customHeight="1">
      <c r="A1316" s="199"/>
    </row>
    <row r="1317" spans="1:1" s="200" customFormat="1" ht="12" hidden="1" customHeight="1">
      <c r="A1317" s="199"/>
    </row>
    <row r="1318" spans="1:1" s="200" customFormat="1" ht="12" hidden="1" customHeight="1">
      <c r="A1318" s="199"/>
    </row>
    <row r="1319" spans="1:1" s="200" customFormat="1" ht="12" hidden="1" customHeight="1">
      <c r="A1319" s="199"/>
    </row>
    <row r="1320" spans="1:1" s="200" customFormat="1" ht="12" hidden="1" customHeight="1">
      <c r="A1320" s="199"/>
    </row>
    <row r="1321" spans="1:1" s="200" customFormat="1" ht="12" hidden="1" customHeight="1">
      <c r="A1321" s="199"/>
    </row>
    <row r="1322" spans="1:1" s="200" customFormat="1" ht="12" hidden="1" customHeight="1">
      <c r="A1322" s="199"/>
    </row>
    <row r="1323" spans="1:1" s="200" customFormat="1" ht="12" hidden="1" customHeight="1">
      <c r="A1323" s="199"/>
    </row>
    <row r="1324" spans="1:1" s="200" customFormat="1" ht="12" hidden="1" customHeight="1">
      <c r="A1324" s="199"/>
    </row>
    <row r="1325" spans="1:1" s="200" customFormat="1" ht="12" hidden="1" customHeight="1">
      <c r="A1325" s="199"/>
    </row>
    <row r="1326" spans="1:1" s="200" customFormat="1" ht="12" hidden="1" customHeight="1">
      <c r="A1326" s="199"/>
    </row>
    <row r="1327" spans="1:1" s="200" customFormat="1" ht="12" hidden="1" customHeight="1">
      <c r="A1327" s="199"/>
    </row>
    <row r="1328" spans="1:1" s="200" customFormat="1" ht="12" hidden="1" customHeight="1">
      <c r="A1328" s="199"/>
    </row>
    <row r="1329" spans="1:1" s="200" customFormat="1" ht="12" hidden="1" customHeight="1">
      <c r="A1329" s="199"/>
    </row>
    <row r="1330" spans="1:1" s="200" customFormat="1" ht="12" hidden="1" customHeight="1">
      <c r="A1330" s="199"/>
    </row>
    <row r="1331" spans="1:1" s="200" customFormat="1" ht="12" hidden="1" customHeight="1">
      <c r="A1331" s="199"/>
    </row>
    <row r="1332" spans="1:1" s="200" customFormat="1" ht="12" hidden="1" customHeight="1">
      <c r="A1332" s="199"/>
    </row>
    <row r="1333" spans="1:1" s="200" customFormat="1" ht="12" hidden="1" customHeight="1">
      <c r="A1333" s="199"/>
    </row>
    <row r="1334" spans="1:1" s="200" customFormat="1" ht="12" hidden="1" customHeight="1">
      <c r="A1334" s="199"/>
    </row>
    <row r="1335" spans="1:1" s="200" customFormat="1" ht="12" hidden="1" customHeight="1">
      <c r="A1335" s="199"/>
    </row>
    <row r="1336" spans="1:1" s="200" customFormat="1" ht="12" hidden="1" customHeight="1">
      <c r="A1336" s="199"/>
    </row>
    <row r="1337" spans="1:1" s="200" customFormat="1" ht="12" hidden="1" customHeight="1">
      <c r="A1337" s="199"/>
    </row>
    <row r="1338" spans="1:1" s="200" customFormat="1" ht="12" hidden="1" customHeight="1">
      <c r="A1338" s="199"/>
    </row>
    <row r="1339" spans="1:1" s="200" customFormat="1" ht="12" hidden="1" customHeight="1">
      <c r="A1339" s="199"/>
    </row>
    <row r="1340" spans="1:1" s="200" customFormat="1" ht="12" hidden="1" customHeight="1">
      <c r="A1340" s="199"/>
    </row>
    <row r="1341" spans="1:1" s="200" customFormat="1" ht="12" hidden="1" customHeight="1">
      <c r="A1341" s="199"/>
    </row>
    <row r="1342" spans="1:1" s="200" customFormat="1" ht="12" hidden="1" customHeight="1">
      <c r="A1342" s="199"/>
    </row>
    <row r="1343" spans="1:1" s="200" customFormat="1" ht="12" hidden="1" customHeight="1">
      <c r="A1343" s="199"/>
    </row>
    <row r="1344" spans="1:1" s="200" customFormat="1" ht="12" hidden="1" customHeight="1">
      <c r="A1344" s="199"/>
    </row>
    <row r="1345" spans="1:1" s="200" customFormat="1" ht="12" hidden="1" customHeight="1">
      <c r="A1345" s="199"/>
    </row>
    <row r="1346" spans="1:1" s="200" customFormat="1" ht="12" hidden="1" customHeight="1">
      <c r="A1346" s="199"/>
    </row>
    <row r="1347" spans="1:1" s="200" customFormat="1" ht="12" hidden="1" customHeight="1">
      <c r="A1347" s="199"/>
    </row>
    <row r="1348" spans="1:1" s="200" customFormat="1" ht="12" hidden="1" customHeight="1">
      <c r="A1348" s="199"/>
    </row>
    <row r="1349" spans="1:1" s="200" customFormat="1" ht="12" hidden="1" customHeight="1">
      <c r="A1349" s="199"/>
    </row>
    <row r="1350" spans="1:1" s="200" customFormat="1" ht="12" hidden="1" customHeight="1">
      <c r="A1350" s="199"/>
    </row>
    <row r="1351" spans="1:1" s="200" customFormat="1" ht="12" hidden="1" customHeight="1">
      <c r="A1351" s="199"/>
    </row>
    <row r="1352" spans="1:1" s="200" customFormat="1" ht="12" hidden="1" customHeight="1">
      <c r="A1352" s="199"/>
    </row>
    <row r="1353" spans="1:1" s="200" customFormat="1" ht="12" hidden="1" customHeight="1">
      <c r="A1353" s="199"/>
    </row>
    <row r="1354" spans="1:1" s="200" customFormat="1" ht="12" hidden="1" customHeight="1">
      <c r="A1354" s="199"/>
    </row>
    <row r="1355" spans="1:1" s="200" customFormat="1" ht="12" hidden="1" customHeight="1">
      <c r="A1355" s="199"/>
    </row>
    <row r="1356" spans="1:1" s="200" customFormat="1" ht="12" hidden="1" customHeight="1">
      <c r="A1356" s="199"/>
    </row>
    <row r="1357" spans="1:1" s="200" customFormat="1" ht="12" hidden="1" customHeight="1">
      <c r="A1357" s="199"/>
    </row>
    <row r="1358" spans="1:1" s="200" customFormat="1" ht="12" hidden="1" customHeight="1">
      <c r="A1358" s="199"/>
    </row>
    <row r="1359" spans="1:1" s="200" customFormat="1" ht="12" hidden="1" customHeight="1">
      <c r="A1359" s="199"/>
    </row>
    <row r="1360" spans="1:1" s="200" customFormat="1" ht="12" hidden="1" customHeight="1">
      <c r="A1360" s="199"/>
    </row>
    <row r="1361" spans="1:1" s="200" customFormat="1" ht="12" hidden="1" customHeight="1">
      <c r="A1361" s="199"/>
    </row>
    <row r="1362" spans="1:1" s="200" customFormat="1" ht="12" hidden="1" customHeight="1">
      <c r="A1362" s="199"/>
    </row>
    <row r="1363" spans="1:1" s="200" customFormat="1" ht="12" hidden="1" customHeight="1">
      <c r="A1363" s="199"/>
    </row>
    <row r="1364" spans="1:1" s="200" customFormat="1" ht="12" hidden="1" customHeight="1">
      <c r="A1364" s="199"/>
    </row>
    <row r="1365" spans="1:1" s="200" customFormat="1" ht="12" hidden="1" customHeight="1">
      <c r="A1365" s="199"/>
    </row>
    <row r="1366" spans="1:1" s="200" customFormat="1" ht="12" hidden="1" customHeight="1">
      <c r="A1366" s="199"/>
    </row>
    <row r="1367" spans="1:1" s="200" customFormat="1" ht="12" hidden="1" customHeight="1">
      <c r="A1367" s="199"/>
    </row>
    <row r="1368" spans="1:1" s="200" customFormat="1" ht="12" hidden="1" customHeight="1">
      <c r="A1368" s="199"/>
    </row>
    <row r="1369" spans="1:1" s="200" customFormat="1" ht="12" hidden="1" customHeight="1">
      <c r="A1369" s="199"/>
    </row>
    <row r="1370" spans="1:1" s="200" customFormat="1" ht="12" hidden="1" customHeight="1">
      <c r="A1370" s="199"/>
    </row>
    <row r="1371" spans="1:1" s="200" customFormat="1" ht="12" hidden="1" customHeight="1">
      <c r="A1371" s="199"/>
    </row>
    <row r="1372" spans="1:1" s="200" customFormat="1" ht="12" hidden="1" customHeight="1">
      <c r="A1372" s="199"/>
    </row>
    <row r="1373" spans="1:1" s="200" customFormat="1" ht="12" hidden="1" customHeight="1">
      <c r="A1373" s="199"/>
    </row>
    <row r="1374" spans="1:1" s="200" customFormat="1" ht="12" hidden="1" customHeight="1">
      <c r="A1374" s="199"/>
    </row>
    <row r="1375" spans="1:1" s="200" customFormat="1" ht="12" hidden="1" customHeight="1">
      <c r="A1375" s="199"/>
    </row>
    <row r="1376" spans="1:1" s="200" customFormat="1" ht="12" hidden="1" customHeight="1">
      <c r="A1376" s="199"/>
    </row>
    <row r="1377" spans="1:1" s="200" customFormat="1" ht="12" hidden="1" customHeight="1">
      <c r="A1377" s="199"/>
    </row>
    <row r="1378" spans="1:1" s="200" customFormat="1" ht="12" hidden="1" customHeight="1">
      <c r="A1378" s="199"/>
    </row>
    <row r="1379" spans="1:1" s="200" customFormat="1" ht="12" hidden="1" customHeight="1">
      <c r="A1379" s="199"/>
    </row>
    <row r="1380" spans="1:1" s="200" customFormat="1" ht="12" hidden="1" customHeight="1">
      <c r="A1380" s="199"/>
    </row>
    <row r="1381" spans="1:1" s="200" customFormat="1" ht="12" hidden="1" customHeight="1">
      <c r="A1381" s="199"/>
    </row>
    <row r="1382" spans="1:1" s="200" customFormat="1" ht="12" hidden="1" customHeight="1">
      <c r="A1382" s="199"/>
    </row>
    <row r="1383" spans="1:1" s="200" customFormat="1" ht="12" hidden="1" customHeight="1">
      <c r="A1383" s="199"/>
    </row>
    <row r="1384" spans="1:1" s="200" customFormat="1" ht="12" hidden="1" customHeight="1">
      <c r="A1384" s="199"/>
    </row>
    <row r="1385" spans="1:1" s="200" customFormat="1" ht="12" hidden="1" customHeight="1">
      <c r="A1385" s="199"/>
    </row>
    <row r="1386" spans="1:1" s="200" customFormat="1" ht="12" hidden="1" customHeight="1">
      <c r="A1386" s="199"/>
    </row>
    <row r="1387" spans="1:1" s="200" customFormat="1" ht="12" hidden="1" customHeight="1">
      <c r="A1387" s="199"/>
    </row>
    <row r="1388" spans="1:1" s="200" customFormat="1" ht="12" hidden="1" customHeight="1">
      <c r="A1388" s="199"/>
    </row>
    <row r="1389" spans="1:1" s="200" customFormat="1" ht="12" hidden="1" customHeight="1">
      <c r="A1389" s="199"/>
    </row>
    <row r="1390" spans="1:1" s="200" customFormat="1" ht="12" hidden="1" customHeight="1">
      <c r="A1390" s="199"/>
    </row>
    <row r="1391" spans="1:1" s="200" customFormat="1" ht="12" hidden="1" customHeight="1">
      <c r="A1391" s="199"/>
    </row>
    <row r="1392" spans="1:1" s="200" customFormat="1" ht="12" hidden="1" customHeight="1">
      <c r="A1392" s="199"/>
    </row>
    <row r="1393" spans="1:1" s="200" customFormat="1" ht="12" hidden="1" customHeight="1">
      <c r="A1393" s="199"/>
    </row>
    <row r="1394" spans="1:1" s="200" customFormat="1" ht="12" hidden="1" customHeight="1">
      <c r="A1394" s="199"/>
    </row>
    <row r="1395" spans="1:1" s="200" customFormat="1" ht="12" hidden="1" customHeight="1">
      <c r="A1395" s="199"/>
    </row>
    <row r="1396" spans="1:1" s="200" customFormat="1" ht="12" hidden="1" customHeight="1">
      <c r="A1396" s="199"/>
    </row>
    <row r="1397" spans="1:1" s="200" customFormat="1" ht="12" hidden="1" customHeight="1">
      <c r="A1397" s="199"/>
    </row>
    <row r="1398" spans="1:1" s="200" customFormat="1" ht="12" hidden="1" customHeight="1">
      <c r="A1398" s="199"/>
    </row>
    <row r="1399" spans="1:1" s="200" customFormat="1" ht="12" hidden="1" customHeight="1">
      <c r="A1399" s="199"/>
    </row>
    <row r="1400" spans="1:1" s="200" customFormat="1" ht="12" hidden="1" customHeight="1">
      <c r="A1400" s="199"/>
    </row>
    <row r="1401" spans="1:1" s="200" customFormat="1" ht="12" hidden="1" customHeight="1">
      <c r="A1401" s="199"/>
    </row>
    <row r="1402" spans="1:1" s="200" customFormat="1" ht="12" hidden="1" customHeight="1">
      <c r="A1402" s="199"/>
    </row>
    <row r="1403" spans="1:1" s="200" customFormat="1" ht="12" hidden="1" customHeight="1">
      <c r="A1403" s="199"/>
    </row>
    <row r="1404" spans="1:1" s="200" customFormat="1" ht="12" hidden="1" customHeight="1">
      <c r="A1404" s="199"/>
    </row>
    <row r="1405" spans="1:1" s="200" customFormat="1" ht="12" hidden="1" customHeight="1">
      <c r="A1405" s="199"/>
    </row>
    <row r="1406" spans="1:1" s="200" customFormat="1" ht="12" hidden="1" customHeight="1">
      <c r="A1406" s="199"/>
    </row>
    <row r="1407" spans="1:1" s="200" customFormat="1" ht="12" hidden="1" customHeight="1">
      <c r="A1407" s="199"/>
    </row>
    <row r="1408" spans="1:1" s="200" customFormat="1" ht="12" hidden="1" customHeight="1">
      <c r="A1408" s="199"/>
    </row>
    <row r="1409" spans="1:1" s="200" customFormat="1" ht="12" hidden="1" customHeight="1">
      <c r="A1409" s="199"/>
    </row>
    <row r="1410" spans="1:1" s="200" customFormat="1" ht="12" hidden="1" customHeight="1">
      <c r="A1410" s="199"/>
    </row>
    <row r="1411" spans="1:1" s="200" customFormat="1" ht="12" hidden="1" customHeight="1">
      <c r="A1411" s="199"/>
    </row>
    <row r="1412" spans="1:1" s="200" customFormat="1" ht="12" hidden="1" customHeight="1">
      <c r="A1412" s="199"/>
    </row>
    <row r="1413" spans="1:1" s="200" customFormat="1" ht="12" hidden="1" customHeight="1">
      <c r="A1413" s="199"/>
    </row>
    <row r="1414" spans="1:1" s="200" customFormat="1" ht="12" hidden="1" customHeight="1">
      <c r="A1414" s="199"/>
    </row>
    <row r="1415" spans="1:1" s="200" customFormat="1" ht="12" hidden="1" customHeight="1">
      <c r="A1415" s="199"/>
    </row>
    <row r="1416" spans="1:1" s="200" customFormat="1" ht="12" hidden="1" customHeight="1">
      <c r="A1416" s="199"/>
    </row>
    <row r="1417" spans="1:1" s="200" customFormat="1" ht="12" hidden="1" customHeight="1">
      <c r="A1417" s="199"/>
    </row>
    <row r="1418" spans="1:1" s="200" customFormat="1" ht="12" hidden="1" customHeight="1">
      <c r="A1418" s="199"/>
    </row>
    <row r="1419" spans="1:1" s="200" customFormat="1" ht="12" hidden="1" customHeight="1">
      <c r="A1419" s="199"/>
    </row>
    <row r="1420" spans="1:1" s="200" customFormat="1" ht="12" hidden="1" customHeight="1">
      <c r="A1420" s="199"/>
    </row>
    <row r="1421" spans="1:1" s="200" customFormat="1" ht="12" hidden="1" customHeight="1">
      <c r="A1421" s="199"/>
    </row>
    <row r="1422" spans="1:1" s="200" customFormat="1" ht="12" hidden="1" customHeight="1">
      <c r="A1422" s="199"/>
    </row>
    <row r="1423" spans="1:1" s="200" customFormat="1" ht="12" hidden="1" customHeight="1">
      <c r="A1423" s="199"/>
    </row>
    <row r="1424" spans="1:1" s="200" customFormat="1" ht="12" hidden="1" customHeight="1">
      <c r="A1424" s="199"/>
    </row>
    <row r="1425" spans="1:1" s="200" customFormat="1" ht="12" hidden="1" customHeight="1">
      <c r="A1425" s="199"/>
    </row>
    <row r="1426" spans="1:1" s="200" customFormat="1" ht="12" hidden="1" customHeight="1">
      <c r="A1426" s="199"/>
    </row>
    <row r="1427" spans="1:1" s="200" customFormat="1" ht="12" hidden="1" customHeight="1">
      <c r="A1427" s="199"/>
    </row>
    <row r="1428" spans="1:1" s="200" customFormat="1" ht="12" hidden="1" customHeight="1">
      <c r="A1428" s="199"/>
    </row>
    <row r="1429" spans="1:1" s="200" customFormat="1" ht="12" hidden="1" customHeight="1">
      <c r="A1429" s="199"/>
    </row>
    <row r="1430" spans="1:1" s="200" customFormat="1" ht="12" hidden="1" customHeight="1">
      <c r="A1430" s="199"/>
    </row>
    <row r="1431" spans="1:1" s="200" customFormat="1" ht="12" hidden="1" customHeight="1">
      <c r="A1431" s="199"/>
    </row>
    <row r="1432" spans="1:1" s="200" customFormat="1" ht="12" hidden="1" customHeight="1">
      <c r="A1432" s="199"/>
    </row>
    <row r="1433" spans="1:1" s="200" customFormat="1" ht="12" hidden="1" customHeight="1">
      <c r="A1433" s="199"/>
    </row>
    <row r="1434" spans="1:1" s="200" customFormat="1" ht="12" hidden="1" customHeight="1">
      <c r="A1434" s="199"/>
    </row>
    <row r="1435" spans="1:1" s="200" customFormat="1" ht="12" hidden="1" customHeight="1">
      <c r="A1435" s="199"/>
    </row>
    <row r="1436" spans="1:1" s="200" customFormat="1" ht="12" hidden="1" customHeight="1">
      <c r="A1436" s="199"/>
    </row>
    <row r="1437" spans="1:1" s="200" customFormat="1" ht="12" hidden="1" customHeight="1">
      <c r="A1437" s="199"/>
    </row>
    <row r="1438" spans="1:1" s="200" customFormat="1" ht="12" hidden="1" customHeight="1">
      <c r="A1438" s="199"/>
    </row>
    <row r="1439" spans="1:1" s="200" customFormat="1" ht="12" hidden="1" customHeight="1">
      <c r="A1439" s="199"/>
    </row>
    <row r="1440" spans="1:1" s="200" customFormat="1" ht="12" hidden="1" customHeight="1">
      <c r="A1440" s="199"/>
    </row>
    <row r="1441" spans="1:1" s="200" customFormat="1" ht="12" hidden="1" customHeight="1">
      <c r="A1441" s="199"/>
    </row>
    <row r="1442" spans="1:1" s="200" customFormat="1" ht="12" hidden="1" customHeight="1">
      <c r="A1442" s="199"/>
    </row>
    <row r="1443" spans="1:1" s="200" customFormat="1" ht="12" hidden="1" customHeight="1">
      <c r="A1443" s="199"/>
    </row>
    <row r="1444" spans="1:1" s="200" customFormat="1" ht="12" hidden="1" customHeight="1">
      <c r="A1444" s="199"/>
    </row>
    <row r="1445" spans="1:1" s="200" customFormat="1" ht="12" hidden="1" customHeight="1">
      <c r="A1445" s="199"/>
    </row>
    <row r="1446" spans="1:1" s="200" customFormat="1" ht="12" hidden="1" customHeight="1">
      <c r="A1446" s="199"/>
    </row>
    <row r="1447" spans="1:1" s="200" customFormat="1" ht="12" hidden="1" customHeight="1">
      <c r="A1447" s="199"/>
    </row>
    <row r="1448" spans="1:1" s="200" customFormat="1" ht="12" hidden="1" customHeight="1">
      <c r="A1448" s="199"/>
    </row>
    <row r="1449" spans="1:1" s="200" customFormat="1" ht="12" hidden="1" customHeight="1">
      <c r="A1449" s="199"/>
    </row>
    <row r="1450" spans="1:1" s="200" customFormat="1" ht="12" hidden="1" customHeight="1">
      <c r="A1450" s="199"/>
    </row>
    <row r="1451" spans="1:1" s="200" customFormat="1" ht="12" hidden="1" customHeight="1">
      <c r="A1451" s="199"/>
    </row>
    <row r="1452" spans="1:1" s="200" customFormat="1" ht="12" hidden="1" customHeight="1">
      <c r="A1452" s="199"/>
    </row>
    <row r="1453" spans="1:1" s="200" customFormat="1" ht="12" hidden="1" customHeight="1">
      <c r="A1453" s="199"/>
    </row>
    <row r="1454" spans="1:1" s="200" customFormat="1" ht="12" hidden="1" customHeight="1">
      <c r="A1454" s="199"/>
    </row>
    <row r="1455" spans="1:1" s="200" customFormat="1" ht="12" hidden="1" customHeight="1">
      <c r="A1455" s="199"/>
    </row>
    <row r="1456" spans="1:1" s="200" customFormat="1" ht="12" hidden="1" customHeight="1">
      <c r="A1456" s="199"/>
    </row>
    <row r="1457" spans="1:1" s="200" customFormat="1" ht="12" hidden="1" customHeight="1">
      <c r="A1457" s="199"/>
    </row>
    <row r="1458" spans="1:1" s="200" customFormat="1" ht="12" hidden="1" customHeight="1">
      <c r="A1458" s="199"/>
    </row>
    <row r="1459" spans="1:1" s="200" customFormat="1" ht="12" hidden="1" customHeight="1">
      <c r="A1459" s="199"/>
    </row>
    <row r="1460" spans="1:1" s="200" customFormat="1" ht="12" hidden="1" customHeight="1">
      <c r="A1460" s="199"/>
    </row>
    <row r="1461" spans="1:1" s="200" customFormat="1" ht="12" hidden="1" customHeight="1">
      <c r="A1461" s="199"/>
    </row>
    <row r="1462" spans="1:1" s="200" customFormat="1" ht="12" hidden="1" customHeight="1">
      <c r="A1462" s="199"/>
    </row>
    <row r="1463" spans="1:1" s="200" customFormat="1" ht="12" hidden="1" customHeight="1">
      <c r="A1463" s="199"/>
    </row>
    <row r="1464" spans="1:1" s="200" customFormat="1" ht="12" hidden="1" customHeight="1">
      <c r="A1464" s="199"/>
    </row>
    <row r="1465" spans="1:1" s="200" customFormat="1" ht="12" hidden="1" customHeight="1">
      <c r="A1465" s="199"/>
    </row>
    <row r="1466" spans="1:1" s="200" customFormat="1" ht="12" hidden="1" customHeight="1">
      <c r="A1466" s="199"/>
    </row>
    <row r="1467" spans="1:1" s="200" customFormat="1" ht="12" hidden="1" customHeight="1">
      <c r="A1467" s="199"/>
    </row>
    <row r="1468" spans="1:1" s="200" customFormat="1" ht="12" hidden="1" customHeight="1">
      <c r="A1468" s="199"/>
    </row>
    <row r="1469" spans="1:1" s="200" customFormat="1" ht="12" hidden="1" customHeight="1">
      <c r="A1469" s="199"/>
    </row>
    <row r="1470" spans="1:1" s="200" customFormat="1" ht="12" hidden="1" customHeight="1">
      <c r="A1470" s="199"/>
    </row>
    <row r="1471" spans="1:1" s="200" customFormat="1" ht="12" hidden="1" customHeight="1">
      <c r="A1471" s="199"/>
    </row>
    <row r="1472" spans="1:1" s="200" customFormat="1" ht="12" hidden="1" customHeight="1">
      <c r="A1472" s="199"/>
    </row>
    <row r="1473" spans="1:1" s="200" customFormat="1" ht="12" hidden="1" customHeight="1">
      <c r="A1473" s="199"/>
    </row>
    <row r="1474" spans="1:1" s="200" customFormat="1" ht="12" hidden="1" customHeight="1">
      <c r="A1474" s="199"/>
    </row>
    <row r="1475" spans="1:1" s="200" customFormat="1" ht="12" hidden="1" customHeight="1">
      <c r="A1475" s="199"/>
    </row>
    <row r="1476" spans="1:1" s="200" customFormat="1" ht="12" hidden="1" customHeight="1">
      <c r="A1476" s="199"/>
    </row>
    <row r="1477" spans="1:1" s="200" customFormat="1" ht="12" hidden="1" customHeight="1">
      <c r="A1477" s="199"/>
    </row>
    <row r="1478" spans="1:1" s="200" customFormat="1" ht="12" hidden="1" customHeight="1">
      <c r="A1478" s="199"/>
    </row>
    <row r="1479" spans="1:1" s="200" customFormat="1" ht="12" hidden="1" customHeight="1">
      <c r="A1479" s="199"/>
    </row>
    <row r="1480" spans="1:1" s="200" customFormat="1" ht="12" hidden="1" customHeight="1">
      <c r="A1480" s="199"/>
    </row>
    <row r="1481" spans="1:1" s="200" customFormat="1" ht="12" hidden="1" customHeight="1">
      <c r="A1481" s="199"/>
    </row>
    <row r="1482" spans="1:1" s="200" customFormat="1" ht="12" hidden="1" customHeight="1">
      <c r="A1482" s="199"/>
    </row>
    <row r="1483" spans="1:1" s="200" customFormat="1" ht="12" hidden="1" customHeight="1">
      <c r="A1483" s="199"/>
    </row>
    <row r="1484" spans="1:1" s="200" customFormat="1" ht="12" hidden="1" customHeight="1">
      <c r="A1484" s="199"/>
    </row>
    <row r="1485" spans="1:1" s="200" customFormat="1" ht="12" hidden="1" customHeight="1">
      <c r="A1485" s="199"/>
    </row>
    <row r="1486" spans="1:1" s="200" customFormat="1" ht="12" hidden="1" customHeight="1">
      <c r="A1486" s="199"/>
    </row>
    <row r="1487" spans="1:1" s="200" customFormat="1" ht="12" hidden="1" customHeight="1">
      <c r="A1487" s="199"/>
    </row>
    <row r="1488" spans="1:1" s="200" customFormat="1" ht="12" hidden="1" customHeight="1">
      <c r="A1488" s="199"/>
    </row>
    <row r="1489" spans="1:1" s="200" customFormat="1" ht="12" hidden="1" customHeight="1">
      <c r="A1489" s="199"/>
    </row>
    <row r="1490" spans="1:1" s="200" customFormat="1" ht="12" hidden="1" customHeight="1">
      <c r="A1490" s="199"/>
    </row>
    <row r="1491" spans="1:1" s="200" customFormat="1" ht="12" hidden="1" customHeight="1">
      <c r="A1491" s="199"/>
    </row>
    <row r="1492" spans="1:1" s="200" customFormat="1" ht="12" hidden="1" customHeight="1">
      <c r="A1492" s="199"/>
    </row>
    <row r="1493" spans="1:1" s="200" customFormat="1" ht="12" hidden="1" customHeight="1">
      <c r="A1493" s="199"/>
    </row>
    <row r="1494" spans="1:1" s="200" customFormat="1" ht="12" hidden="1" customHeight="1">
      <c r="A1494" s="199"/>
    </row>
    <row r="1495" spans="1:1" s="200" customFormat="1" ht="12" hidden="1" customHeight="1">
      <c r="A1495" s="199"/>
    </row>
    <row r="1496" spans="1:1" s="200" customFormat="1" ht="12" hidden="1" customHeight="1">
      <c r="A1496" s="199"/>
    </row>
    <row r="1497" spans="1:1" s="200" customFormat="1" ht="12" hidden="1" customHeight="1">
      <c r="A1497" s="199"/>
    </row>
    <row r="1498" spans="1:1" s="200" customFormat="1" ht="12" hidden="1" customHeight="1">
      <c r="A1498" s="199"/>
    </row>
    <row r="1499" spans="1:1" s="200" customFormat="1" ht="12" hidden="1" customHeight="1">
      <c r="A1499" s="199"/>
    </row>
    <row r="1500" spans="1:1" s="200" customFormat="1" ht="12" hidden="1" customHeight="1">
      <c r="A1500" s="199"/>
    </row>
    <row r="1501" spans="1:1" s="200" customFormat="1" ht="12" hidden="1" customHeight="1">
      <c r="A1501" s="199"/>
    </row>
    <row r="1502" spans="1:1" s="200" customFormat="1" ht="12" hidden="1" customHeight="1">
      <c r="A1502" s="199"/>
    </row>
    <row r="1503" spans="1:1" s="200" customFormat="1" ht="12" hidden="1" customHeight="1">
      <c r="A1503" s="199"/>
    </row>
    <row r="1504" spans="1:1" s="200" customFormat="1" ht="12" hidden="1" customHeight="1">
      <c r="A1504" s="199"/>
    </row>
    <row r="1505" spans="1:1" s="200" customFormat="1" ht="12" hidden="1" customHeight="1">
      <c r="A1505" s="199"/>
    </row>
    <row r="1506" spans="1:1" s="200" customFormat="1" ht="12" hidden="1" customHeight="1">
      <c r="A1506" s="199"/>
    </row>
    <row r="1507" spans="1:1" s="200" customFormat="1" ht="12" hidden="1" customHeight="1">
      <c r="A1507" s="199"/>
    </row>
    <row r="1508" spans="1:1" s="200" customFormat="1" ht="12" hidden="1" customHeight="1">
      <c r="A1508" s="199"/>
    </row>
    <row r="1509" spans="1:1" s="200" customFormat="1" ht="12" hidden="1" customHeight="1">
      <c r="A1509" s="199"/>
    </row>
    <row r="1510" spans="1:1" s="200" customFormat="1" ht="12" hidden="1" customHeight="1">
      <c r="A1510" s="199"/>
    </row>
    <row r="1511" spans="1:1" s="200" customFormat="1" ht="12" hidden="1" customHeight="1">
      <c r="A1511" s="199"/>
    </row>
    <row r="1512" spans="1:1" s="200" customFormat="1" ht="12" hidden="1" customHeight="1">
      <c r="A1512" s="199"/>
    </row>
    <row r="1513" spans="1:1" s="200" customFormat="1" ht="12" hidden="1" customHeight="1">
      <c r="A1513" s="199"/>
    </row>
    <row r="1514" spans="1:1" s="200" customFormat="1" ht="12" hidden="1" customHeight="1">
      <c r="A1514" s="199"/>
    </row>
    <row r="1515" spans="1:1" s="200" customFormat="1" ht="12" hidden="1" customHeight="1">
      <c r="A1515" s="199"/>
    </row>
    <row r="1516" spans="1:1" s="200" customFormat="1" ht="12" hidden="1" customHeight="1">
      <c r="A1516" s="199"/>
    </row>
    <row r="1517" spans="1:1" s="200" customFormat="1" ht="12" hidden="1" customHeight="1">
      <c r="A1517" s="199"/>
    </row>
    <row r="1518" spans="1:1" s="200" customFormat="1" ht="12" hidden="1" customHeight="1">
      <c r="A1518" s="199"/>
    </row>
    <row r="1519" spans="1:1" s="200" customFormat="1" ht="12" hidden="1" customHeight="1">
      <c r="A1519" s="199"/>
    </row>
    <row r="1520" spans="1:1" s="200" customFormat="1" ht="12" hidden="1" customHeight="1">
      <c r="A1520" s="199"/>
    </row>
    <row r="1521" spans="1:1" s="200" customFormat="1" ht="12" hidden="1" customHeight="1">
      <c r="A1521" s="199"/>
    </row>
    <row r="1522" spans="1:1" s="200" customFormat="1" ht="12" hidden="1" customHeight="1">
      <c r="A1522" s="199"/>
    </row>
    <row r="1523" spans="1:1" s="200" customFormat="1" ht="12" hidden="1" customHeight="1">
      <c r="A1523" s="199"/>
    </row>
    <row r="1524" spans="1:1" s="200" customFormat="1" ht="12" hidden="1" customHeight="1">
      <c r="A1524" s="199"/>
    </row>
    <row r="1525" spans="1:1" s="200" customFormat="1" ht="12" hidden="1" customHeight="1">
      <c r="A1525" s="199"/>
    </row>
    <row r="1526" spans="1:1" s="200" customFormat="1" ht="12" hidden="1" customHeight="1">
      <c r="A1526" s="199"/>
    </row>
    <row r="1527" spans="1:1" s="200" customFormat="1" ht="12" hidden="1" customHeight="1">
      <c r="A1527" s="199"/>
    </row>
    <row r="1528" spans="1:1" s="200" customFormat="1" ht="12" hidden="1" customHeight="1">
      <c r="A1528" s="199"/>
    </row>
    <row r="1529" spans="1:1" s="200" customFormat="1" ht="12" hidden="1" customHeight="1">
      <c r="A1529" s="199"/>
    </row>
    <row r="1530" spans="1:1" s="200" customFormat="1" ht="12" hidden="1" customHeight="1">
      <c r="A1530" s="199"/>
    </row>
    <row r="1531" spans="1:1" s="200" customFormat="1" ht="12" hidden="1" customHeight="1">
      <c r="A1531" s="199"/>
    </row>
    <row r="1532" spans="1:1" s="200" customFormat="1" ht="12" hidden="1" customHeight="1">
      <c r="A1532" s="199"/>
    </row>
    <row r="1533" spans="1:1" s="200" customFormat="1" ht="12" hidden="1" customHeight="1">
      <c r="A1533" s="199"/>
    </row>
    <row r="1534" spans="1:1" s="200" customFormat="1" ht="12" hidden="1" customHeight="1">
      <c r="A1534" s="199"/>
    </row>
    <row r="1535" spans="1:1" s="200" customFormat="1" ht="12" hidden="1" customHeight="1">
      <c r="A1535" s="199"/>
    </row>
    <row r="1536" spans="1:1" s="200" customFormat="1" ht="12" hidden="1" customHeight="1">
      <c r="A1536" s="199"/>
    </row>
    <row r="1537" spans="1:1" s="200" customFormat="1" ht="12" hidden="1" customHeight="1">
      <c r="A1537" s="199"/>
    </row>
    <row r="1538" spans="1:1" s="200" customFormat="1" ht="12" hidden="1" customHeight="1">
      <c r="A1538" s="199"/>
    </row>
    <row r="1539" spans="1:1" s="200" customFormat="1" ht="12" hidden="1" customHeight="1">
      <c r="A1539" s="199"/>
    </row>
    <row r="1540" spans="1:1" s="200" customFormat="1" ht="12" hidden="1" customHeight="1">
      <c r="A1540" s="199"/>
    </row>
    <row r="1541" spans="1:1" s="200" customFormat="1" ht="12" hidden="1" customHeight="1">
      <c r="A1541" s="199"/>
    </row>
    <row r="1542" spans="1:1" s="200" customFormat="1" ht="12" hidden="1" customHeight="1">
      <c r="A1542" s="199"/>
    </row>
    <row r="1543" spans="1:1" s="200" customFormat="1" ht="12" hidden="1" customHeight="1">
      <c r="A1543" s="199"/>
    </row>
    <row r="1544" spans="1:1" s="200" customFormat="1" ht="12" hidden="1" customHeight="1">
      <c r="A1544" s="199"/>
    </row>
    <row r="1545" spans="1:1" s="200" customFormat="1" ht="12" hidden="1" customHeight="1">
      <c r="A1545" s="199"/>
    </row>
    <row r="1546" spans="1:1" s="200" customFormat="1" ht="12" hidden="1" customHeight="1">
      <c r="A1546" s="199"/>
    </row>
    <row r="1547" spans="1:1" s="200" customFormat="1" ht="12" hidden="1" customHeight="1">
      <c r="A1547" s="199"/>
    </row>
    <row r="1548" spans="1:1" s="200" customFormat="1" ht="12" hidden="1" customHeight="1">
      <c r="A1548" s="199"/>
    </row>
    <row r="1549" spans="1:1" s="200" customFormat="1" ht="12" hidden="1" customHeight="1">
      <c r="A1549" s="199"/>
    </row>
    <row r="1550" spans="1:1" s="200" customFormat="1" ht="12" hidden="1" customHeight="1">
      <c r="A1550" s="199"/>
    </row>
    <row r="1551" spans="1:1" s="200" customFormat="1" ht="12" hidden="1" customHeight="1">
      <c r="A1551" s="199"/>
    </row>
    <row r="1552" spans="1:1" s="200" customFormat="1" ht="12" hidden="1" customHeight="1">
      <c r="A1552" s="199"/>
    </row>
    <row r="1553" spans="1:1" s="200" customFormat="1" ht="12" hidden="1" customHeight="1">
      <c r="A1553" s="199"/>
    </row>
    <row r="1554" spans="1:1" s="200" customFormat="1" ht="12" hidden="1" customHeight="1">
      <c r="A1554" s="199"/>
    </row>
    <row r="1555" spans="1:1" s="200" customFormat="1" ht="12" hidden="1" customHeight="1">
      <c r="A1555" s="199"/>
    </row>
    <row r="1556" spans="1:1" s="200" customFormat="1" ht="12" hidden="1" customHeight="1">
      <c r="A1556" s="199"/>
    </row>
    <row r="1557" spans="1:1" s="200" customFormat="1" ht="12" hidden="1" customHeight="1">
      <c r="A1557" s="199"/>
    </row>
    <row r="1558" spans="1:1" s="200" customFormat="1" ht="12" hidden="1" customHeight="1">
      <c r="A1558" s="199"/>
    </row>
    <row r="1559" spans="1:1" s="200" customFormat="1" ht="12" hidden="1" customHeight="1">
      <c r="A1559" s="199"/>
    </row>
    <row r="1560" spans="1:1" s="200" customFormat="1" ht="12" hidden="1" customHeight="1">
      <c r="A1560" s="199"/>
    </row>
    <row r="1561" spans="1:1" s="200" customFormat="1" ht="12" hidden="1" customHeight="1">
      <c r="A1561" s="199"/>
    </row>
    <row r="1562" spans="1:1" s="200" customFormat="1" ht="12" hidden="1" customHeight="1">
      <c r="A1562" s="199"/>
    </row>
    <row r="1563" spans="1:1" s="200" customFormat="1" ht="12" hidden="1" customHeight="1">
      <c r="A1563" s="199"/>
    </row>
    <row r="1564" spans="1:1" s="200" customFormat="1" ht="12" hidden="1" customHeight="1">
      <c r="A1564" s="199"/>
    </row>
    <row r="1565" spans="1:1" s="200" customFormat="1" ht="12" hidden="1" customHeight="1">
      <c r="A1565" s="199"/>
    </row>
    <row r="1566" spans="1:1" s="200" customFormat="1" ht="12" hidden="1" customHeight="1">
      <c r="A1566" s="199"/>
    </row>
    <row r="1567" spans="1:1" s="200" customFormat="1" ht="12" hidden="1" customHeight="1">
      <c r="A1567" s="199"/>
    </row>
    <row r="1568" spans="1:1" s="200" customFormat="1" ht="12" hidden="1" customHeight="1">
      <c r="A1568" s="199"/>
    </row>
    <row r="1569" spans="1:1" s="200" customFormat="1" ht="12" hidden="1" customHeight="1">
      <c r="A1569" s="199"/>
    </row>
    <row r="1570" spans="1:1" s="200" customFormat="1" ht="12" hidden="1" customHeight="1">
      <c r="A1570" s="199"/>
    </row>
    <row r="1571" spans="1:1" s="200" customFormat="1" ht="12" hidden="1" customHeight="1">
      <c r="A1571" s="199"/>
    </row>
    <row r="1572" spans="1:1" s="200" customFormat="1" ht="12" hidden="1" customHeight="1">
      <c r="A1572" s="199"/>
    </row>
    <row r="1573" spans="1:1" s="200" customFormat="1" ht="12" hidden="1" customHeight="1">
      <c r="A1573" s="199"/>
    </row>
    <row r="1574" spans="1:1" s="200" customFormat="1" ht="12" hidden="1" customHeight="1">
      <c r="A1574" s="199"/>
    </row>
    <row r="1575" spans="1:1" s="200" customFormat="1" ht="12" hidden="1" customHeight="1">
      <c r="A1575" s="199"/>
    </row>
    <row r="1576" spans="1:1" s="200" customFormat="1" ht="12" hidden="1" customHeight="1">
      <c r="A1576" s="199"/>
    </row>
    <row r="1577" spans="1:1" s="200" customFormat="1" ht="12" hidden="1" customHeight="1">
      <c r="A1577" s="199"/>
    </row>
    <row r="1578" spans="1:1" s="200" customFormat="1" ht="12" hidden="1" customHeight="1">
      <c r="A1578" s="199"/>
    </row>
    <row r="1579" spans="1:1" s="200" customFormat="1" ht="12" hidden="1" customHeight="1">
      <c r="A1579" s="199"/>
    </row>
    <row r="1580" spans="1:1" s="200" customFormat="1" ht="12" hidden="1" customHeight="1">
      <c r="A1580" s="199"/>
    </row>
    <row r="1581" spans="1:1" s="200" customFormat="1" ht="12" hidden="1" customHeight="1">
      <c r="A1581" s="199"/>
    </row>
    <row r="1582" spans="1:1" s="200" customFormat="1" ht="12" hidden="1" customHeight="1">
      <c r="A1582" s="199"/>
    </row>
    <row r="1583" spans="1:1" s="200" customFormat="1" ht="12" hidden="1" customHeight="1">
      <c r="A1583" s="199"/>
    </row>
    <row r="1584" spans="1:1" s="200" customFormat="1" ht="12" hidden="1" customHeight="1">
      <c r="A1584" s="199"/>
    </row>
    <row r="1585" spans="1:1" s="200" customFormat="1" ht="12" hidden="1" customHeight="1">
      <c r="A1585" s="199"/>
    </row>
    <row r="1586" spans="1:1" s="200" customFormat="1" ht="12" hidden="1" customHeight="1">
      <c r="A1586" s="199"/>
    </row>
    <row r="1587" spans="1:1" s="200" customFormat="1" ht="12" hidden="1" customHeight="1">
      <c r="A1587" s="199"/>
    </row>
    <row r="1588" spans="1:1" s="200" customFormat="1" ht="12" hidden="1" customHeight="1">
      <c r="A1588" s="199"/>
    </row>
    <row r="1589" spans="1:1" s="200" customFormat="1" ht="12" hidden="1" customHeight="1">
      <c r="A1589" s="199"/>
    </row>
    <row r="1590" spans="1:1" s="200" customFormat="1" ht="12" hidden="1" customHeight="1">
      <c r="A1590" s="199"/>
    </row>
    <row r="1591" spans="1:1" s="200" customFormat="1" ht="12" hidden="1" customHeight="1">
      <c r="A1591" s="199"/>
    </row>
    <row r="1592" spans="1:1" s="200" customFormat="1" ht="12" hidden="1" customHeight="1">
      <c r="A1592" s="199"/>
    </row>
    <row r="1593" spans="1:1" s="200" customFormat="1" ht="12" hidden="1" customHeight="1">
      <c r="A1593" s="199"/>
    </row>
    <row r="1594" spans="1:1" s="200" customFormat="1" ht="12" hidden="1" customHeight="1">
      <c r="A1594" s="199"/>
    </row>
    <row r="1595" spans="1:1" s="200" customFormat="1" ht="12" hidden="1" customHeight="1">
      <c r="A1595" s="199"/>
    </row>
    <row r="1596" spans="1:1" s="200" customFormat="1" ht="12" hidden="1" customHeight="1">
      <c r="A1596" s="199"/>
    </row>
    <row r="1597" spans="1:1" s="200" customFormat="1" ht="12" hidden="1" customHeight="1">
      <c r="A1597" s="199"/>
    </row>
    <row r="1598" spans="1:1" s="200" customFormat="1" ht="12" hidden="1" customHeight="1">
      <c r="A1598" s="199"/>
    </row>
    <row r="1599" spans="1:1" s="200" customFormat="1" ht="12" hidden="1" customHeight="1">
      <c r="A1599" s="199"/>
    </row>
    <row r="1600" spans="1:1" s="200" customFormat="1" ht="12" hidden="1" customHeight="1">
      <c r="A1600" s="199"/>
    </row>
    <row r="1601" spans="1:1" s="200" customFormat="1" ht="12" hidden="1" customHeight="1">
      <c r="A1601" s="199"/>
    </row>
    <row r="1602" spans="1:1" s="200" customFormat="1" ht="12" hidden="1" customHeight="1">
      <c r="A1602" s="199"/>
    </row>
    <row r="1603" spans="1:1" s="200" customFormat="1" ht="12" hidden="1" customHeight="1">
      <c r="A1603" s="199"/>
    </row>
    <row r="1604" spans="1:1" s="200" customFormat="1" ht="12" hidden="1" customHeight="1">
      <c r="A1604" s="199"/>
    </row>
    <row r="1605" spans="1:1" s="200" customFormat="1" ht="12" hidden="1" customHeight="1">
      <c r="A1605" s="199"/>
    </row>
    <row r="1606" spans="1:1" s="200" customFormat="1" ht="12" hidden="1" customHeight="1">
      <c r="A1606" s="199"/>
    </row>
    <row r="1607" spans="1:1" s="200" customFormat="1" ht="12" hidden="1" customHeight="1">
      <c r="A1607" s="199"/>
    </row>
    <row r="1608" spans="1:1" s="200" customFormat="1" ht="12" hidden="1" customHeight="1">
      <c r="A1608" s="199"/>
    </row>
    <row r="1609" spans="1:1" s="200" customFormat="1" ht="12" hidden="1" customHeight="1">
      <c r="A1609" s="199"/>
    </row>
    <row r="1610" spans="1:1" s="200" customFormat="1" ht="12" hidden="1" customHeight="1">
      <c r="A1610" s="199"/>
    </row>
    <row r="1611" spans="1:1" s="200" customFormat="1" ht="12" hidden="1" customHeight="1">
      <c r="A1611" s="199"/>
    </row>
    <row r="1612" spans="1:1" s="200" customFormat="1" ht="12" hidden="1" customHeight="1">
      <c r="A1612" s="199"/>
    </row>
    <row r="1613" spans="1:1" s="200" customFormat="1" ht="12" hidden="1" customHeight="1">
      <c r="A1613" s="199"/>
    </row>
    <row r="1614" spans="1:1" s="200" customFormat="1" ht="12" hidden="1" customHeight="1">
      <c r="A1614" s="199"/>
    </row>
    <row r="1615" spans="1:1" s="200" customFormat="1" ht="12" hidden="1" customHeight="1">
      <c r="A1615" s="199"/>
    </row>
    <row r="1616" spans="1:1" s="200" customFormat="1" ht="12" hidden="1" customHeight="1">
      <c r="A1616" s="199"/>
    </row>
    <row r="1617" spans="1:1" s="200" customFormat="1" ht="12" hidden="1" customHeight="1">
      <c r="A1617" s="199"/>
    </row>
    <row r="1618" spans="1:1" s="200" customFormat="1" ht="12" hidden="1" customHeight="1">
      <c r="A1618" s="199"/>
    </row>
    <row r="1619" spans="1:1" s="200" customFormat="1" ht="12" hidden="1" customHeight="1">
      <c r="A1619" s="199"/>
    </row>
    <row r="1620" spans="1:1" s="200" customFormat="1" ht="12" hidden="1" customHeight="1">
      <c r="A1620" s="199"/>
    </row>
    <row r="1621" spans="1:1" s="200" customFormat="1" ht="12" hidden="1" customHeight="1">
      <c r="A1621" s="199"/>
    </row>
    <row r="1622" spans="1:1" s="200" customFormat="1" ht="12" hidden="1" customHeight="1">
      <c r="A1622" s="199"/>
    </row>
    <row r="1623" spans="1:1" s="200" customFormat="1" ht="12" hidden="1" customHeight="1">
      <c r="A1623" s="199"/>
    </row>
    <row r="1624" spans="1:1" s="200" customFormat="1" ht="12" hidden="1" customHeight="1">
      <c r="A1624" s="199"/>
    </row>
    <row r="1625" spans="1:1" s="200" customFormat="1" ht="12" hidden="1" customHeight="1">
      <c r="A1625" s="199"/>
    </row>
    <row r="1626" spans="1:1" s="200" customFormat="1" ht="12" hidden="1" customHeight="1">
      <c r="A1626" s="199"/>
    </row>
    <row r="1627" spans="1:1" s="200" customFormat="1" ht="12" hidden="1" customHeight="1">
      <c r="A1627" s="199"/>
    </row>
    <row r="1628" spans="1:1" s="200" customFormat="1" ht="12" hidden="1" customHeight="1">
      <c r="A1628" s="199"/>
    </row>
    <row r="1629" spans="1:1" s="200" customFormat="1" ht="12" hidden="1" customHeight="1">
      <c r="A1629" s="199"/>
    </row>
    <row r="1630" spans="1:1" s="200" customFormat="1" ht="12" hidden="1" customHeight="1">
      <c r="A1630" s="199"/>
    </row>
    <row r="1631" spans="1:1" s="200" customFormat="1" ht="12" hidden="1" customHeight="1">
      <c r="A1631" s="199"/>
    </row>
    <row r="1632" spans="1:1" s="200" customFormat="1" ht="12" hidden="1" customHeight="1">
      <c r="A1632" s="199"/>
    </row>
    <row r="1633" spans="1:1" s="200" customFormat="1" ht="12" hidden="1" customHeight="1">
      <c r="A1633" s="199"/>
    </row>
    <row r="1634" spans="1:1" s="200" customFormat="1" ht="12" hidden="1" customHeight="1">
      <c r="A1634" s="199"/>
    </row>
    <row r="1635" spans="1:1" s="200" customFormat="1" ht="12" hidden="1" customHeight="1">
      <c r="A1635" s="199"/>
    </row>
    <row r="1636" spans="1:1" s="200" customFormat="1" ht="12" hidden="1" customHeight="1">
      <c r="A1636" s="199"/>
    </row>
    <row r="1637" spans="1:1" s="200" customFormat="1" ht="12" hidden="1" customHeight="1">
      <c r="A1637" s="199"/>
    </row>
    <row r="1638" spans="1:1" s="200" customFormat="1" ht="12" hidden="1" customHeight="1">
      <c r="A1638" s="199"/>
    </row>
    <row r="1639" spans="1:1" s="200" customFormat="1" ht="12" hidden="1" customHeight="1">
      <c r="A1639" s="199"/>
    </row>
    <row r="1640" spans="1:1" s="200" customFormat="1" ht="12" hidden="1" customHeight="1">
      <c r="A1640" s="199"/>
    </row>
    <row r="1641" spans="1:1" s="200" customFormat="1" ht="12" hidden="1" customHeight="1">
      <c r="A1641" s="199"/>
    </row>
    <row r="1642" spans="1:1" s="200" customFormat="1" ht="12" hidden="1" customHeight="1">
      <c r="A1642" s="199"/>
    </row>
    <row r="1643" spans="1:1" s="200" customFormat="1" ht="12" hidden="1" customHeight="1">
      <c r="A1643" s="199"/>
    </row>
    <row r="1644" spans="1:1" s="200" customFormat="1" ht="12" hidden="1" customHeight="1">
      <c r="A1644" s="199"/>
    </row>
    <row r="1645" spans="1:1" s="200" customFormat="1" ht="12" hidden="1" customHeight="1">
      <c r="A1645" s="199"/>
    </row>
    <row r="1646" spans="1:1" s="200" customFormat="1" ht="12" hidden="1" customHeight="1">
      <c r="A1646" s="199"/>
    </row>
    <row r="1647" spans="1:1" s="200" customFormat="1" ht="12" hidden="1" customHeight="1">
      <c r="A1647" s="199"/>
    </row>
    <row r="1648" spans="1:1" s="200" customFormat="1" ht="12" hidden="1" customHeight="1">
      <c r="A1648" s="199"/>
    </row>
    <row r="1649" spans="1:1" s="200" customFormat="1" ht="12" hidden="1" customHeight="1">
      <c r="A1649" s="199"/>
    </row>
    <row r="1650" spans="1:1" s="200" customFormat="1" ht="12" hidden="1" customHeight="1">
      <c r="A1650" s="199"/>
    </row>
    <row r="1651" spans="1:1" s="200" customFormat="1" ht="12" hidden="1" customHeight="1">
      <c r="A1651" s="199"/>
    </row>
    <row r="1652" spans="1:1" s="200" customFormat="1" ht="12" hidden="1" customHeight="1">
      <c r="A1652" s="199"/>
    </row>
    <row r="1653" spans="1:1" s="200" customFormat="1" ht="12" hidden="1" customHeight="1">
      <c r="A1653" s="199"/>
    </row>
    <row r="1654" spans="1:1" s="200" customFormat="1" ht="12" hidden="1" customHeight="1">
      <c r="A1654" s="199"/>
    </row>
    <row r="1655" spans="1:1" s="200" customFormat="1" ht="12" hidden="1" customHeight="1">
      <c r="A1655" s="199"/>
    </row>
    <row r="1656" spans="1:1" s="200" customFormat="1" ht="12" hidden="1" customHeight="1">
      <c r="A1656" s="199"/>
    </row>
    <row r="1657" spans="1:1" s="200" customFormat="1" ht="12" hidden="1" customHeight="1">
      <c r="A1657" s="199"/>
    </row>
    <row r="1658" spans="1:1" s="200" customFormat="1" ht="12" hidden="1" customHeight="1">
      <c r="A1658" s="199"/>
    </row>
    <row r="1659" spans="1:1" s="200" customFormat="1" ht="12" hidden="1" customHeight="1">
      <c r="A1659" s="199"/>
    </row>
    <row r="1660" spans="1:1" s="200" customFormat="1" ht="12" hidden="1" customHeight="1">
      <c r="A1660" s="199"/>
    </row>
    <row r="1661" spans="1:1" s="200" customFormat="1" ht="12" hidden="1" customHeight="1">
      <c r="A1661" s="199"/>
    </row>
    <row r="1662" spans="1:1" s="200" customFormat="1" ht="12" hidden="1" customHeight="1">
      <c r="A1662" s="199"/>
    </row>
    <row r="1663" spans="1:1" s="200" customFormat="1" ht="12" hidden="1" customHeight="1">
      <c r="A1663" s="199"/>
    </row>
    <row r="1664" spans="1:1" s="200" customFormat="1" ht="12" hidden="1" customHeight="1">
      <c r="A1664" s="199"/>
    </row>
    <row r="1665" spans="1:1" s="200" customFormat="1" ht="12" hidden="1" customHeight="1">
      <c r="A1665" s="199"/>
    </row>
    <row r="1666" spans="1:1" s="200" customFormat="1" ht="12" hidden="1" customHeight="1">
      <c r="A1666" s="199"/>
    </row>
    <row r="1667" spans="1:1" s="200" customFormat="1" ht="12" hidden="1" customHeight="1">
      <c r="A1667" s="199"/>
    </row>
    <row r="1668" spans="1:1" s="200" customFormat="1" ht="12" hidden="1" customHeight="1">
      <c r="A1668" s="199"/>
    </row>
    <row r="1669" spans="1:1" s="200" customFormat="1" ht="12" hidden="1" customHeight="1">
      <c r="A1669" s="199"/>
    </row>
    <row r="1670" spans="1:1" s="200" customFormat="1" ht="12" hidden="1" customHeight="1">
      <c r="A1670" s="199"/>
    </row>
    <row r="1671" spans="1:1" s="200" customFormat="1" ht="12" hidden="1" customHeight="1">
      <c r="A1671" s="199"/>
    </row>
    <row r="1672" spans="1:1" s="200" customFormat="1" ht="12" hidden="1" customHeight="1">
      <c r="A1672" s="199"/>
    </row>
    <row r="1673" spans="1:1" s="200" customFormat="1" ht="12" hidden="1" customHeight="1">
      <c r="A1673" s="199"/>
    </row>
    <row r="1674" spans="1:1" s="200" customFormat="1" ht="12" hidden="1" customHeight="1">
      <c r="A1674" s="199"/>
    </row>
    <row r="1675" spans="1:1" s="200" customFormat="1" ht="12" hidden="1" customHeight="1">
      <c r="A1675" s="199"/>
    </row>
    <row r="1676" spans="1:1" s="200" customFormat="1" ht="12" hidden="1" customHeight="1">
      <c r="A1676" s="199"/>
    </row>
    <row r="1677" spans="1:1" s="200" customFormat="1" ht="12" hidden="1" customHeight="1">
      <c r="A1677" s="199"/>
    </row>
    <row r="1678" spans="1:1" s="200" customFormat="1" ht="12" hidden="1" customHeight="1">
      <c r="A1678" s="199"/>
    </row>
    <row r="1679" spans="1:1" s="200" customFormat="1" ht="12" hidden="1" customHeight="1">
      <c r="A1679" s="199"/>
    </row>
    <row r="1680" spans="1:1" s="200" customFormat="1" ht="12" hidden="1" customHeight="1">
      <c r="A1680" s="199"/>
    </row>
    <row r="1681" spans="1:1" s="200" customFormat="1" ht="12" hidden="1" customHeight="1">
      <c r="A1681" s="199"/>
    </row>
    <row r="1682" spans="1:1" s="200" customFormat="1" ht="12" hidden="1" customHeight="1">
      <c r="A1682" s="199"/>
    </row>
    <row r="1683" spans="1:1" s="200" customFormat="1" ht="12" hidden="1" customHeight="1">
      <c r="A1683" s="199"/>
    </row>
    <row r="1684" spans="1:1" s="200" customFormat="1" ht="12" hidden="1" customHeight="1">
      <c r="A1684" s="199"/>
    </row>
    <row r="1685" spans="1:1" s="200" customFormat="1" ht="12" hidden="1" customHeight="1">
      <c r="A1685" s="199"/>
    </row>
    <row r="1686" spans="1:1" s="200" customFormat="1" ht="12" hidden="1" customHeight="1">
      <c r="A1686" s="199"/>
    </row>
    <row r="1687" spans="1:1" s="200" customFormat="1" ht="12" hidden="1" customHeight="1">
      <c r="A1687" s="199"/>
    </row>
    <row r="1688" spans="1:1" s="200" customFormat="1" ht="12" hidden="1" customHeight="1">
      <c r="A1688" s="199"/>
    </row>
    <row r="1689" spans="1:1" s="200" customFormat="1" ht="12" hidden="1" customHeight="1">
      <c r="A1689" s="199"/>
    </row>
    <row r="1690" spans="1:1" s="200" customFormat="1" ht="12" hidden="1" customHeight="1">
      <c r="A1690" s="199"/>
    </row>
    <row r="1691" spans="1:1" s="200" customFormat="1" ht="12" hidden="1" customHeight="1">
      <c r="A1691" s="199"/>
    </row>
    <row r="1692" spans="1:1" s="200" customFormat="1" ht="12" hidden="1" customHeight="1">
      <c r="A1692" s="199"/>
    </row>
    <row r="1693" spans="1:1" s="200" customFormat="1" ht="12" hidden="1" customHeight="1">
      <c r="A1693" s="199"/>
    </row>
    <row r="1694" spans="1:1" s="200" customFormat="1" ht="12" hidden="1" customHeight="1">
      <c r="A1694" s="199"/>
    </row>
    <row r="1695" spans="1:1" s="200" customFormat="1" ht="12" hidden="1" customHeight="1">
      <c r="A1695" s="199"/>
    </row>
    <row r="1696" spans="1:1" s="200" customFormat="1" ht="12" hidden="1" customHeight="1">
      <c r="A1696" s="199"/>
    </row>
    <row r="1697" spans="1:1" s="200" customFormat="1" ht="12" hidden="1" customHeight="1">
      <c r="A1697" s="199"/>
    </row>
    <row r="1698" spans="1:1" s="200" customFormat="1" ht="12" hidden="1" customHeight="1">
      <c r="A1698" s="199"/>
    </row>
    <row r="1699" spans="1:1" s="200" customFormat="1" ht="12" hidden="1" customHeight="1">
      <c r="A1699" s="199"/>
    </row>
    <row r="1700" spans="1:1" s="200" customFormat="1" ht="12" hidden="1" customHeight="1">
      <c r="A1700" s="199"/>
    </row>
    <row r="1701" spans="1:1" s="200" customFormat="1" ht="12" hidden="1" customHeight="1">
      <c r="A1701" s="199"/>
    </row>
    <row r="1702" spans="1:1" s="200" customFormat="1" ht="12" hidden="1" customHeight="1">
      <c r="A1702" s="199"/>
    </row>
    <row r="1703" spans="1:1" s="200" customFormat="1" ht="12" hidden="1" customHeight="1">
      <c r="A1703" s="199"/>
    </row>
    <row r="1704" spans="1:1" s="200" customFormat="1" ht="12" hidden="1" customHeight="1">
      <c r="A1704" s="199"/>
    </row>
    <row r="1705" spans="1:1" s="200" customFormat="1" ht="12" hidden="1" customHeight="1">
      <c r="A1705" s="199"/>
    </row>
    <row r="1706" spans="1:1" s="200" customFormat="1" ht="12" hidden="1" customHeight="1">
      <c r="A1706" s="199"/>
    </row>
    <row r="1707" spans="1:1" s="200" customFormat="1" ht="12" hidden="1" customHeight="1">
      <c r="A1707" s="199"/>
    </row>
    <row r="1708" spans="1:1" s="200" customFormat="1" ht="12" hidden="1" customHeight="1">
      <c r="A1708" s="199"/>
    </row>
    <row r="1709" spans="1:1" s="200" customFormat="1" ht="12" hidden="1" customHeight="1">
      <c r="A1709" s="199"/>
    </row>
    <row r="1710" spans="1:1" s="200" customFormat="1" ht="12" hidden="1" customHeight="1">
      <c r="A1710" s="199"/>
    </row>
    <row r="1711" spans="1:1" s="200" customFormat="1" ht="12" hidden="1" customHeight="1">
      <c r="A1711" s="199"/>
    </row>
    <row r="1712" spans="1:1" s="200" customFormat="1" ht="12" hidden="1" customHeight="1">
      <c r="A1712" s="199"/>
    </row>
    <row r="1713" spans="1:1" s="200" customFormat="1" ht="12" hidden="1" customHeight="1">
      <c r="A1713" s="199"/>
    </row>
    <row r="1714" spans="1:1" s="200" customFormat="1" ht="12" hidden="1" customHeight="1">
      <c r="A1714" s="199"/>
    </row>
    <row r="1715" spans="1:1" s="200" customFormat="1" ht="12" hidden="1" customHeight="1">
      <c r="A1715" s="199"/>
    </row>
    <row r="1716" spans="1:1" s="200" customFormat="1" ht="12" hidden="1" customHeight="1">
      <c r="A1716" s="199"/>
    </row>
    <row r="1717" spans="1:1" s="200" customFormat="1" ht="12" hidden="1" customHeight="1">
      <c r="A1717" s="199"/>
    </row>
    <row r="1718" spans="1:1" s="200" customFormat="1" ht="12" hidden="1" customHeight="1">
      <c r="A1718" s="199"/>
    </row>
    <row r="1719" spans="1:1" s="200" customFormat="1" ht="12" hidden="1" customHeight="1">
      <c r="A1719" s="199"/>
    </row>
    <row r="1720" spans="1:1" s="200" customFormat="1" ht="12" hidden="1" customHeight="1">
      <c r="A1720" s="199"/>
    </row>
    <row r="1721" spans="1:1" s="200" customFormat="1" ht="12" hidden="1" customHeight="1">
      <c r="A1721" s="199"/>
    </row>
    <row r="1722" spans="1:1" s="200" customFormat="1" ht="12" hidden="1" customHeight="1">
      <c r="A1722" s="199"/>
    </row>
    <row r="1723" spans="1:1" s="200" customFormat="1" ht="12" hidden="1" customHeight="1">
      <c r="A1723" s="199"/>
    </row>
    <row r="1724" spans="1:1" s="200" customFormat="1" ht="12" hidden="1" customHeight="1">
      <c r="A1724" s="199"/>
    </row>
    <row r="1725" spans="1:1" s="200" customFormat="1" ht="12" hidden="1" customHeight="1">
      <c r="A1725" s="199"/>
    </row>
    <row r="1726" spans="1:1" s="200" customFormat="1" ht="12" hidden="1" customHeight="1">
      <c r="A1726" s="199"/>
    </row>
    <row r="1727" spans="1:1" s="200" customFormat="1" ht="12" hidden="1" customHeight="1">
      <c r="A1727" s="199"/>
    </row>
    <row r="1728" spans="1:1" s="200" customFormat="1" ht="12" hidden="1" customHeight="1">
      <c r="A1728" s="199"/>
    </row>
    <row r="1729" spans="1:1" s="200" customFormat="1" ht="12" hidden="1" customHeight="1">
      <c r="A1729" s="199"/>
    </row>
    <row r="1730" spans="1:1" s="200" customFormat="1" ht="12" hidden="1" customHeight="1">
      <c r="A1730" s="199"/>
    </row>
    <row r="1731" spans="1:1" s="200" customFormat="1" ht="12" hidden="1" customHeight="1">
      <c r="A1731" s="199"/>
    </row>
    <row r="1732" spans="1:1" s="200" customFormat="1" ht="12" hidden="1" customHeight="1">
      <c r="A1732" s="199"/>
    </row>
    <row r="1733" spans="1:1" s="200" customFormat="1" ht="12" hidden="1" customHeight="1">
      <c r="A1733" s="199"/>
    </row>
    <row r="1734" spans="1:1" s="200" customFormat="1" ht="12" hidden="1" customHeight="1">
      <c r="A1734" s="199"/>
    </row>
    <row r="1735" spans="1:1" s="200" customFormat="1" ht="12" hidden="1" customHeight="1">
      <c r="A1735" s="199"/>
    </row>
    <row r="1736" spans="1:1" s="200" customFormat="1" ht="12" hidden="1" customHeight="1">
      <c r="A1736" s="199"/>
    </row>
    <row r="1737" spans="1:1" s="200" customFormat="1" ht="12" hidden="1" customHeight="1">
      <c r="A1737" s="199"/>
    </row>
    <row r="1738" spans="1:1" s="200" customFormat="1" ht="12" hidden="1" customHeight="1">
      <c r="A1738" s="199"/>
    </row>
    <row r="1739" spans="1:1" s="200" customFormat="1" ht="12" hidden="1" customHeight="1">
      <c r="A1739" s="199"/>
    </row>
    <row r="1740" spans="1:1" s="200" customFormat="1" ht="12" hidden="1" customHeight="1">
      <c r="A1740" s="199"/>
    </row>
    <row r="1741" spans="1:1" s="200" customFormat="1" ht="12" hidden="1" customHeight="1">
      <c r="A1741" s="199"/>
    </row>
    <row r="1742" spans="1:1" s="200" customFormat="1" ht="12" hidden="1" customHeight="1">
      <c r="A1742" s="199"/>
    </row>
    <row r="1743" spans="1:1" s="200" customFormat="1" ht="12" hidden="1" customHeight="1">
      <c r="A1743" s="199"/>
    </row>
    <row r="1744" spans="1:1" s="200" customFormat="1" ht="12" hidden="1" customHeight="1">
      <c r="A1744" s="199"/>
    </row>
    <row r="1745" spans="1:1" s="200" customFormat="1" ht="12" hidden="1" customHeight="1">
      <c r="A1745" s="199"/>
    </row>
    <row r="1746" spans="1:1" s="200" customFormat="1" ht="12" hidden="1" customHeight="1">
      <c r="A1746" s="199"/>
    </row>
    <row r="1747" spans="1:1" s="200" customFormat="1" ht="12" hidden="1" customHeight="1">
      <c r="A1747" s="199"/>
    </row>
    <row r="1748" spans="1:1" s="200" customFormat="1" ht="12" hidden="1" customHeight="1">
      <c r="A1748" s="199"/>
    </row>
    <row r="1749" spans="1:1" s="200" customFormat="1" ht="12" hidden="1" customHeight="1">
      <c r="A1749" s="199"/>
    </row>
    <row r="1750" spans="1:1" s="200" customFormat="1" ht="12" hidden="1" customHeight="1">
      <c r="A1750" s="199"/>
    </row>
    <row r="1751" spans="1:1" s="200" customFormat="1" ht="12" hidden="1" customHeight="1">
      <c r="A1751" s="199"/>
    </row>
    <row r="1752" spans="1:1" s="200" customFormat="1" ht="12" hidden="1" customHeight="1">
      <c r="A1752" s="199"/>
    </row>
    <row r="1753" spans="1:1" s="200" customFormat="1" ht="12" hidden="1" customHeight="1">
      <c r="A1753" s="199"/>
    </row>
    <row r="1754" spans="1:1" s="200" customFormat="1" ht="12" hidden="1" customHeight="1">
      <c r="A1754" s="199"/>
    </row>
    <row r="1755" spans="1:1" s="200" customFormat="1" ht="12" hidden="1" customHeight="1">
      <c r="A1755" s="199"/>
    </row>
    <row r="1756" spans="1:1" s="200" customFormat="1" ht="12" hidden="1" customHeight="1">
      <c r="A1756" s="199"/>
    </row>
    <row r="1757" spans="1:1" s="200" customFormat="1" ht="12" hidden="1" customHeight="1">
      <c r="A1757" s="199"/>
    </row>
    <row r="1758" spans="1:1" s="200" customFormat="1" ht="12" hidden="1" customHeight="1">
      <c r="A1758" s="199"/>
    </row>
    <row r="1759" spans="1:1" s="200" customFormat="1" ht="12" hidden="1" customHeight="1">
      <c r="A1759" s="199"/>
    </row>
    <row r="1760" spans="1:1" s="200" customFormat="1" ht="12" hidden="1" customHeight="1">
      <c r="A1760" s="199"/>
    </row>
    <row r="1761" spans="1:1" s="200" customFormat="1" ht="12" hidden="1" customHeight="1">
      <c r="A1761" s="199"/>
    </row>
    <row r="1762" spans="1:1" s="200" customFormat="1" ht="12" hidden="1" customHeight="1">
      <c r="A1762" s="199"/>
    </row>
    <row r="1763" spans="1:1" s="200" customFormat="1" ht="12" hidden="1" customHeight="1">
      <c r="A1763" s="199"/>
    </row>
    <row r="1764" spans="1:1" s="200" customFormat="1" ht="12" hidden="1" customHeight="1">
      <c r="A1764" s="199"/>
    </row>
    <row r="1765" spans="1:1" s="200" customFormat="1" ht="12" hidden="1" customHeight="1">
      <c r="A1765" s="199"/>
    </row>
    <row r="1766" spans="1:1" s="200" customFormat="1" ht="12" hidden="1" customHeight="1">
      <c r="A1766" s="199"/>
    </row>
    <row r="1767" spans="1:1" s="200" customFormat="1" ht="12" hidden="1" customHeight="1">
      <c r="A1767" s="199"/>
    </row>
    <row r="1768" spans="1:1" s="200" customFormat="1" ht="12" hidden="1" customHeight="1">
      <c r="A1768" s="199"/>
    </row>
    <row r="1769" spans="1:1" s="200" customFormat="1" ht="12" hidden="1" customHeight="1">
      <c r="A1769" s="199"/>
    </row>
    <row r="1770" spans="1:1" s="200" customFormat="1" ht="12" hidden="1" customHeight="1">
      <c r="A1770" s="199"/>
    </row>
    <row r="1771" spans="1:1" s="200" customFormat="1" ht="12" hidden="1" customHeight="1">
      <c r="A1771" s="199"/>
    </row>
    <row r="1772" spans="1:1" s="200" customFormat="1" ht="12" hidden="1" customHeight="1">
      <c r="A1772" s="199"/>
    </row>
    <row r="1773" spans="1:1" s="200" customFormat="1" ht="12" hidden="1" customHeight="1">
      <c r="A1773" s="199"/>
    </row>
    <row r="1774" spans="1:1" s="200" customFormat="1" ht="12" hidden="1" customHeight="1">
      <c r="A1774" s="199"/>
    </row>
    <row r="1775" spans="1:1" s="200" customFormat="1" ht="12" hidden="1" customHeight="1">
      <c r="A1775" s="199"/>
    </row>
    <row r="1776" spans="1:1" s="200" customFormat="1" ht="12" hidden="1" customHeight="1">
      <c r="A1776" s="199"/>
    </row>
    <row r="1777" spans="1:1" s="200" customFormat="1" ht="12" hidden="1" customHeight="1">
      <c r="A1777" s="199"/>
    </row>
    <row r="1778" spans="1:1" s="200" customFormat="1" ht="12" hidden="1" customHeight="1">
      <c r="A1778" s="199"/>
    </row>
    <row r="1779" spans="1:1" s="200" customFormat="1" ht="12" hidden="1" customHeight="1">
      <c r="A1779" s="199"/>
    </row>
    <row r="1780" spans="1:1" s="200" customFormat="1" ht="12" hidden="1" customHeight="1">
      <c r="A1780" s="199"/>
    </row>
    <row r="1781" spans="1:1" s="200" customFormat="1" ht="12" hidden="1" customHeight="1">
      <c r="A1781" s="199"/>
    </row>
    <row r="1782" spans="1:1" s="200" customFormat="1" ht="12" hidden="1" customHeight="1">
      <c r="A1782" s="199"/>
    </row>
    <row r="1783" spans="1:1" s="200" customFormat="1" ht="12" hidden="1" customHeight="1">
      <c r="A1783" s="199"/>
    </row>
    <row r="1784" spans="1:1" s="200" customFormat="1" ht="12" hidden="1" customHeight="1">
      <c r="A1784" s="199"/>
    </row>
    <row r="1785" spans="1:1" s="200" customFormat="1" ht="12" hidden="1" customHeight="1">
      <c r="A1785" s="199"/>
    </row>
    <row r="1786" spans="1:1" s="200" customFormat="1" ht="12" hidden="1" customHeight="1">
      <c r="A1786" s="199"/>
    </row>
    <row r="1787" spans="1:1" s="200" customFormat="1" ht="12" hidden="1" customHeight="1">
      <c r="A1787" s="199"/>
    </row>
    <row r="1788" spans="1:1" s="200" customFormat="1" ht="12" hidden="1" customHeight="1">
      <c r="A1788" s="199"/>
    </row>
    <row r="1789" spans="1:1" s="200" customFormat="1" ht="12" hidden="1" customHeight="1">
      <c r="A1789" s="199"/>
    </row>
    <row r="1790" spans="1:1" s="200" customFormat="1" ht="12" hidden="1" customHeight="1">
      <c r="A1790" s="199"/>
    </row>
    <row r="1791" spans="1:1" s="200" customFormat="1" ht="12" hidden="1" customHeight="1">
      <c r="A1791" s="199"/>
    </row>
    <row r="1792" spans="1:1" s="200" customFormat="1" ht="12" hidden="1" customHeight="1">
      <c r="A1792" s="199"/>
    </row>
    <row r="1793" spans="1:1" s="200" customFormat="1" ht="12" hidden="1" customHeight="1">
      <c r="A1793" s="199"/>
    </row>
    <row r="1794" spans="1:1" s="200" customFormat="1" ht="12" hidden="1" customHeight="1">
      <c r="A1794" s="199"/>
    </row>
    <row r="1795" spans="1:1" s="200" customFormat="1" ht="12" hidden="1" customHeight="1">
      <c r="A1795" s="199"/>
    </row>
    <row r="1796" spans="1:1" s="200" customFormat="1" ht="12" hidden="1" customHeight="1">
      <c r="A1796" s="199"/>
    </row>
    <row r="1797" spans="1:1" s="200" customFormat="1" ht="12" hidden="1" customHeight="1">
      <c r="A1797" s="199"/>
    </row>
    <row r="1798" spans="1:1" s="200" customFormat="1" ht="12" hidden="1" customHeight="1">
      <c r="A1798" s="199"/>
    </row>
    <row r="1799" spans="1:1" s="200" customFormat="1" ht="12" hidden="1" customHeight="1">
      <c r="A1799" s="199"/>
    </row>
    <row r="1800" spans="1:1" s="200" customFormat="1" ht="12" hidden="1" customHeight="1">
      <c r="A1800" s="199"/>
    </row>
    <row r="1801" spans="1:1" s="200" customFormat="1" ht="12" hidden="1" customHeight="1">
      <c r="A1801" s="199"/>
    </row>
    <row r="1802" spans="1:1" s="200" customFormat="1" ht="12" hidden="1" customHeight="1">
      <c r="A1802" s="199"/>
    </row>
    <row r="1803" spans="1:1" s="200" customFormat="1" ht="12" hidden="1" customHeight="1">
      <c r="A1803" s="199"/>
    </row>
    <row r="1804" spans="1:1" s="200" customFormat="1" ht="12" hidden="1" customHeight="1">
      <c r="A1804" s="199"/>
    </row>
    <row r="1805" spans="1:1" s="200" customFormat="1" ht="12" hidden="1" customHeight="1">
      <c r="A1805" s="199"/>
    </row>
    <row r="1806" spans="1:1" s="200" customFormat="1" ht="12" hidden="1" customHeight="1">
      <c r="A1806" s="199"/>
    </row>
    <row r="1807" spans="1:1" s="200" customFormat="1" ht="12" hidden="1" customHeight="1">
      <c r="A1807" s="199"/>
    </row>
    <row r="1808" spans="1:1" s="200" customFormat="1" ht="12" hidden="1" customHeight="1">
      <c r="A1808" s="199"/>
    </row>
    <row r="1809" spans="1:1" s="200" customFormat="1" ht="12" hidden="1" customHeight="1">
      <c r="A1809" s="199"/>
    </row>
    <row r="1810" spans="1:1" s="200" customFormat="1" ht="12" hidden="1" customHeight="1">
      <c r="A1810" s="199"/>
    </row>
    <row r="1811" spans="1:1" s="200" customFormat="1" ht="12" hidden="1" customHeight="1">
      <c r="A1811" s="199"/>
    </row>
    <row r="1812" spans="1:1" s="200" customFormat="1" ht="12" hidden="1" customHeight="1">
      <c r="A1812" s="199"/>
    </row>
    <row r="1813" spans="1:1" s="200" customFormat="1" ht="12" hidden="1" customHeight="1">
      <c r="A1813" s="199"/>
    </row>
    <row r="1814" spans="1:1" s="200" customFormat="1" ht="12" hidden="1" customHeight="1">
      <c r="A1814" s="199"/>
    </row>
    <row r="1815" spans="1:1" s="200" customFormat="1" ht="12" hidden="1" customHeight="1">
      <c r="A1815" s="199"/>
    </row>
    <row r="1816" spans="1:1" s="200" customFormat="1" ht="12" hidden="1" customHeight="1">
      <c r="A1816" s="199"/>
    </row>
    <row r="1817" spans="1:1" s="200" customFormat="1" ht="12" hidden="1" customHeight="1">
      <c r="A1817" s="199"/>
    </row>
    <row r="1818" spans="1:1" s="200" customFormat="1" ht="12" hidden="1" customHeight="1">
      <c r="A1818" s="199"/>
    </row>
    <row r="1819" spans="1:1" s="200" customFormat="1" ht="12" hidden="1" customHeight="1">
      <c r="A1819" s="199"/>
    </row>
    <row r="1820" spans="1:1" s="200" customFormat="1" ht="12" hidden="1" customHeight="1">
      <c r="A1820" s="199"/>
    </row>
    <row r="1821" spans="1:1" s="200" customFormat="1" ht="12" hidden="1" customHeight="1">
      <c r="A1821" s="199"/>
    </row>
    <row r="1822" spans="1:1" s="200" customFormat="1" ht="12" hidden="1" customHeight="1">
      <c r="A1822" s="199"/>
    </row>
    <row r="1823" spans="1:1" s="200" customFormat="1" ht="12" hidden="1" customHeight="1">
      <c r="A1823" s="199"/>
    </row>
    <row r="1824" spans="1:1" s="200" customFormat="1" ht="12" hidden="1" customHeight="1">
      <c r="A1824" s="199"/>
    </row>
    <row r="1825" spans="1:1" s="200" customFormat="1" ht="12" hidden="1" customHeight="1">
      <c r="A1825" s="199"/>
    </row>
    <row r="1826" spans="1:1" s="200" customFormat="1" ht="12" hidden="1" customHeight="1">
      <c r="A1826" s="199"/>
    </row>
    <row r="1827" spans="1:1" s="200" customFormat="1" ht="12" hidden="1" customHeight="1">
      <c r="A1827" s="199"/>
    </row>
    <row r="1828" spans="1:1" s="200" customFormat="1" ht="12" hidden="1" customHeight="1">
      <c r="A1828" s="199"/>
    </row>
    <row r="1829" spans="1:1" s="200" customFormat="1" ht="12" hidden="1" customHeight="1">
      <c r="A1829" s="199"/>
    </row>
    <row r="1830" spans="1:1" s="200" customFormat="1" ht="12" hidden="1" customHeight="1">
      <c r="A1830" s="199"/>
    </row>
    <row r="1831" spans="1:1" s="200" customFormat="1" ht="12" hidden="1" customHeight="1">
      <c r="A1831" s="199"/>
    </row>
    <row r="1832" spans="1:1" s="200" customFormat="1" ht="12" hidden="1" customHeight="1">
      <c r="A1832" s="199"/>
    </row>
    <row r="1833" spans="1:1" s="200" customFormat="1" ht="12" hidden="1" customHeight="1">
      <c r="A1833" s="199"/>
    </row>
    <row r="1834" spans="1:1" s="200" customFormat="1" ht="12" hidden="1" customHeight="1">
      <c r="A1834" s="199"/>
    </row>
    <row r="1835" spans="1:1" s="200" customFormat="1" ht="12" hidden="1" customHeight="1">
      <c r="A1835" s="199"/>
    </row>
    <row r="1836" spans="1:1" s="200" customFormat="1" ht="12" hidden="1" customHeight="1">
      <c r="A1836" s="199"/>
    </row>
    <row r="1837" spans="1:1" s="200" customFormat="1" ht="12" hidden="1" customHeight="1">
      <c r="A1837" s="199"/>
    </row>
    <row r="1838" spans="1:1" s="200" customFormat="1" ht="12" hidden="1" customHeight="1">
      <c r="A1838" s="199"/>
    </row>
    <row r="1839" spans="1:1" s="200" customFormat="1" ht="12" hidden="1" customHeight="1">
      <c r="A1839" s="199"/>
    </row>
    <row r="1840" spans="1:1" s="200" customFormat="1" ht="12" hidden="1" customHeight="1">
      <c r="A1840" s="199"/>
    </row>
    <row r="1841" spans="1:1" s="200" customFormat="1" ht="12" hidden="1" customHeight="1">
      <c r="A1841" s="199"/>
    </row>
    <row r="1842" spans="1:1" s="200" customFormat="1" ht="12" hidden="1" customHeight="1">
      <c r="A1842" s="199"/>
    </row>
    <row r="1843" spans="1:1" s="200" customFormat="1" ht="12" hidden="1" customHeight="1">
      <c r="A1843" s="199"/>
    </row>
    <row r="1844" spans="1:1" s="200" customFormat="1" ht="12" hidden="1" customHeight="1">
      <c r="A1844" s="199"/>
    </row>
    <row r="1845" spans="1:1" s="200" customFormat="1" ht="12" hidden="1" customHeight="1">
      <c r="A1845" s="199"/>
    </row>
    <row r="1846" spans="1:1" s="200" customFormat="1" ht="12" hidden="1" customHeight="1">
      <c r="A1846" s="199"/>
    </row>
    <row r="1847" spans="1:1" s="200" customFormat="1" ht="12" hidden="1" customHeight="1">
      <c r="A1847" s="199"/>
    </row>
    <row r="1848" spans="1:1" s="200" customFormat="1" ht="12" hidden="1" customHeight="1">
      <c r="A1848" s="199"/>
    </row>
    <row r="1849" spans="1:1" s="200" customFormat="1" ht="12" hidden="1" customHeight="1">
      <c r="A1849" s="199"/>
    </row>
    <row r="1850" spans="1:1" s="200" customFormat="1" ht="12" hidden="1" customHeight="1">
      <c r="A1850" s="199"/>
    </row>
    <row r="1851" spans="1:1" s="200" customFormat="1" ht="12" hidden="1" customHeight="1">
      <c r="A1851" s="199"/>
    </row>
    <row r="1852" spans="1:1" s="200" customFormat="1" ht="12" hidden="1" customHeight="1">
      <c r="A1852" s="199"/>
    </row>
    <row r="1853" spans="1:1" s="200" customFormat="1" ht="12" hidden="1" customHeight="1">
      <c r="A1853" s="199"/>
    </row>
    <row r="1854" spans="1:1" s="200" customFormat="1" ht="12" hidden="1" customHeight="1">
      <c r="A1854" s="199"/>
    </row>
    <row r="1855" spans="1:1" s="200" customFormat="1" ht="12" hidden="1" customHeight="1">
      <c r="A1855" s="199"/>
    </row>
    <row r="1856" spans="1:1" s="200" customFormat="1" ht="12" hidden="1" customHeight="1">
      <c r="A1856" s="199"/>
    </row>
    <row r="1857" spans="1:1" s="200" customFormat="1" ht="12" hidden="1" customHeight="1">
      <c r="A1857" s="199"/>
    </row>
    <row r="1858" spans="1:1" s="200" customFormat="1" ht="12" hidden="1" customHeight="1">
      <c r="A1858" s="199"/>
    </row>
    <row r="1859" spans="1:1" s="200" customFormat="1" ht="12" hidden="1" customHeight="1">
      <c r="A1859" s="199"/>
    </row>
    <row r="1860" spans="1:1" s="200" customFormat="1" ht="12" hidden="1" customHeight="1">
      <c r="A1860" s="199"/>
    </row>
    <row r="1861" spans="1:1" s="200" customFormat="1" ht="12" hidden="1" customHeight="1">
      <c r="A1861" s="199"/>
    </row>
    <row r="1862" spans="1:1" s="200" customFormat="1" ht="12" hidden="1" customHeight="1">
      <c r="A1862" s="199"/>
    </row>
    <row r="1863" spans="1:1" s="200" customFormat="1" ht="12" hidden="1" customHeight="1">
      <c r="A1863" s="199"/>
    </row>
    <row r="1864" spans="1:1" s="200" customFormat="1" ht="12" hidden="1" customHeight="1">
      <c r="A1864" s="199"/>
    </row>
    <row r="1865" spans="1:1" s="200" customFormat="1" ht="12" hidden="1" customHeight="1">
      <c r="A1865" s="199"/>
    </row>
    <row r="1866" spans="1:1" s="200" customFormat="1" ht="12" hidden="1" customHeight="1">
      <c r="A1866" s="199"/>
    </row>
    <row r="1867" spans="1:1" s="200" customFormat="1" ht="12" hidden="1" customHeight="1">
      <c r="A1867" s="199"/>
    </row>
    <row r="1868" spans="1:1" s="200" customFormat="1" ht="12" hidden="1" customHeight="1">
      <c r="A1868" s="199"/>
    </row>
    <row r="1869" spans="1:1" s="200" customFormat="1" ht="12" hidden="1" customHeight="1">
      <c r="A1869" s="199"/>
    </row>
    <row r="1870" spans="1:1" s="200" customFormat="1" ht="12" hidden="1" customHeight="1">
      <c r="A1870" s="199"/>
    </row>
    <row r="1871" spans="1:1" s="200" customFormat="1" ht="12" hidden="1" customHeight="1">
      <c r="A1871" s="199"/>
    </row>
    <row r="1872" spans="1:1" s="200" customFormat="1" ht="12" hidden="1" customHeight="1">
      <c r="A1872" s="199"/>
    </row>
    <row r="1873" spans="1:1" s="200" customFormat="1" ht="12" hidden="1" customHeight="1">
      <c r="A1873" s="199"/>
    </row>
    <row r="1874" spans="1:1" s="200" customFormat="1" ht="12" hidden="1" customHeight="1">
      <c r="A1874" s="199"/>
    </row>
    <row r="1875" spans="1:1" s="200" customFormat="1" ht="12" hidden="1" customHeight="1">
      <c r="A1875" s="199"/>
    </row>
    <row r="1876" spans="1:1" s="200" customFormat="1" ht="12" hidden="1" customHeight="1">
      <c r="A1876" s="199"/>
    </row>
    <row r="1877" spans="1:1" s="200" customFormat="1" ht="12" hidden="1" customHeight="1">
      <c r="A1877" s="199"/>
    </row>
    <row r="1878" spans="1:1" s="200" customFormat="1" ht="12" hidden="1" customHeight="1">
      <c r="A1878" s="199"/>
    </row>
    <row r="1879" spans="1:1" s="200" customFormat="1" ht="12" hidden="1" customHeight="1">
      <c r="A1879" s="199"/>
    </row>
    <row r="1880" spans="1:1" s="200" customFormat="1" ht="12" hidden="1" customHeight="1">
      <c r="A1880" s="199"/>
    </row>
    <row r="1881" spans="1:1" s="200" customFormat="1" ht="12" hidden="1" customHeight="1">
      <c r="A1881" s="199"/>
    </row>
    <row r="1882" spans="1:1" s="200" customFormat="1" ht="12" hidden="1" customHeight="1">
      <c r="A1882" s="199"/>
    </row>
    <row r="1883" spans="1:1" s="200" customFormat="1" ht="12" hidden="1" customHeight="1">
      <c r="A1883" s="199"/>
    </row>
    <row r="1884" spans="1:1" s="200" customFormat="1" ht="12" hidden="1" customHeight="1">
      <c r="A1884" s="199"/>
    </row>
    <row r="1885" spans="1:1" s="200" customFormat="1" ht="12" hidden="1" customHeight="1">
      <c r="A1885" s="199"/>
    </row>
    <row r="1886" spans="1:1" s="200" customFormat="1" ht="12" hidden="1" customHeight="1">
      <c r="A1886" s="199"/>
    </row>
    <row r="1887" spans="1:1" s="200" customFormat="1" ht="12" hidden="1" customHeight="1">
      <c r="A1887" s="199"/>
    </row>
    <row r="1888" spans="1:1" s="200" customFormat="1" ht="12" hidden="1" customHeight="1">
      <c r="A1888" s="199"/>
    </row>
    <row r="1889" spans="1:1" s="200" customFormat="1" ht="12" hidden="1" customHeight="1">
      <c r="A1889" s="199"/>
    </row>
    <row r="1890" spans="1:1" s="200" customFormat="1" ht="12" hidden="1" customHeight="1">
      <c r="A1890" s="199"/>
    </row>
    <row r="1891" spans="1:1" s="200" customFormat="1" ht="12" hidden="1" customHeight="1">
      <c r="A1891" s="199"/>
    </row>
    <row r="1892" spans="1:1" s="200" customFormat="1" ht="12" hidden="1" customHeight="1">
      <c r="A1892" s="199"/>
    </row>
    <row r="1893" spans="1:1" s="200" customFormat="1" ht="12" hidden="1" customHeight="1">
      <c r="A1893" s="199"/>
    </row>
    <row r="1894" spans="1:1" s="200" customFormat="1" ht="12" hidden="1" customHeight="1">
      <c r="A1894" s="199"/>
    </row>
    <row r="1895" spans="1:1" s="200" customFormat="1" ht="12" hidden="1" customHeight="1">
      <c r="A1895" s="199"/>
    </row>
    <row r="1896" spans="1:1" s="200" customFormat="1" ht="12" hidden="1" customHeight="1">
      <c r="A1896" s="199"/>
    </row>
    <row r="1897" spans="1:1" s="200" customFormat="1" ht="12" hidden="1" customHeight="1">
      <c r="A1897" s="199"/>
    </row>
    <row r="1898" spans="1:1" s="200" customFormat="1" ht="12" hidden="1" customHeight="1">
      <c r="A1898" s="199"/>
    </row>
    <row r="1899" spans="1:1" s="200" customFormat="1" ht="12" hidden="1" customHeight="1">
      <c r="A1899" s="199"/>
    </row>
    <row r="1900" spans="1:1" s="200" customFormat="1" ht="12" hidden="1" customHeight="1">
      <c r="A1900" s="199"/>
    </row>
    <row r="1901" spans="1:1" s="200" customFormat="1" ht="12" hidden="1" customHeight="1">
      <c r="A1901" s="199"/>
    </row>
    <row r="1902" spans="1:1" s="200" customFormat="1" ht="12" hidden="1" customHeight="1">
      <c r="A1902" s="199"/>
    </row>
    <row r="1903" spans="1:1" s="200" customFormat="1" ht="12" hidden="1" customHeight="1">
      <c r="A1903" s="199"/>
    </row>
    <row r="1904" spans="1:1" s="200" customFormat="1" ht="12" hidden="1" customHeight="1">
      <c r="A1904" s="199"/>
    </row>
    <row r="1905" spans="1:1" s="200" customFormat="1" ht="12" hidden="1" customHeight="1">
      <c r="A1905" s="199"/>
    </row>
    <row r="1906" spans="1:1" s="200" customFormat="1" ht="12" hidden="1" customHeight="1">
      <c r="A1906" s="199"/>
    </row>
    <row r="1907" spans="1:1" s="200" customFormat="1" ht="12" hidden="1" customHeight="1">
      <c r="A1907" s="199"/>
    </row>
    <row r="1908" spans="1:1" s="200" customFormat="1" ht="12" hidden="1" customHeight="1">
      <c r="A1908" s="199"/>
    </row>
    <row r="1909" spans="1:1" s="200" customFormat="1" ht="12" hidden="1" customHeight="1">
      <c r="A1909" s="199"/>
    </row>
    <row r="1910" spans="1:1" s="200" customFormat="1" ht="12" hidden="1" customHeight="1">
      <c r="A1910" s="199"/>
    </row>
    <row r="1911" spans="1:1" s="200" customFormat="1" ht="12" hidden="1" customHeight="1">
      <c r="A1911" s="199"/>
    </row>
    <row r="1912" spans="1:1" s="200" customFormat="1" ht="12" hidden="1" customHeight="1">
      <c r="A1912" s="199"/>
    </row>
    <row r="1913" spans="1:1" s="200" customFormat="1" ht="12" hidden="1" customHeight="1">
      <c r="A1913" s="199"/>
    </row>
    <row r="1914" spans="1:1" s="200" customFormat="1" ht="12" hidden="1" customHeight="1">
      <c r="A1914" s="199"/>
    </row>
    <row r="1915" spans="1:1" s="200" customFormat="1" ht="12" hidden="1" customHeight="1">
      <c r="A1915" s="199"/>
    </row>
    <row r="1916" spans="1:1" s="200" customFormat="1" ht="12" hidden="1" customHeight="1">
      <c r="A1916" s="199"/>
    </row>
    <row r="1917" spans="1:1" s="200" customFormat="1" ht="12" hidden="1" customHeight="1">
      <c r="A1917" s="199"/>
    </row>
    <row r="1918" spans="1:1" s="200" customFormat="1" ht="12" hidden="1" customHeight="1">
      <c r="A1918" s="199"/>
    </row>
    <row r="1919" spans="1:1" s="200" customFormat="1" ht="12" hidden="1" customHeight="1">
      <c r="A1919" s="199"/>
    </row>
    <row r="1920" spans="1:1" s="200" customFormat="1" ht="12" hidden="1" customHeight="1">
      <c r="A1920" s="199"/>
    </row>
    <row r="1921" spans="1:1" s="200" customFormat="1" ht="12" hidden="1" customHeight="1">
      <c r="A1921" s="199"/>
    </row>
    <row r="1922" spans="1:1" s="200" customFormat="1" ht="12" hidden="1" customHeight="1">
      <c r="A1922" s="199"/>
    </row>
    <row r="1923" spans="1:1" s="200" customFormat="1" ht="12" hidden="1" customHeight="1">
      <c r="A1923" s="199"/>
    </row>
    <row r="1924" spans="1:1" s="200" customFormat="1" ht="12" hidden="1" customHeight="1">
      <c r="A1924" s="199"/>
    </row>
    <row r="1925" spans="1:1" s="200" customFormat="1" ht="12" hidden="1" customHeight="1">
      <c r="A1925" s="199"/>
    </row>
    <row r="1926" spans="1:1" s="200" customFormat="1" ht="12" hidden="1" customHeight="1">
      <c r="A1926" s="199"/>
    </row>
    <row r="1927" spans="1:1" s="200" customFormat="1" ht="12" hidden="1" customHeight="1">
      <c r="A1927" s="199"/>
    </row>
    <row r="1928" spans="1:1" s="200" customFormat="1" ht="12" hidden="1" customHeight="1">
      <c r="A1928" s="199"/>
    </row>
    <row r="1929" spans="1:1" s="200" customFormat="1" ht="12" hidden="1" customHeight="1">
      <c r="A1929" s="199"/>
    </row>
    <row r="1930" spans="1:1" s="200" customFormat="1" ht="12" hidden="1" customHeight="1">
      <c r="A1930" s="199"/>
    </row>
    <row r="1931" spans="1:1" s="200" customFormat="1" ht="12" hidden="1" customHeight="1">
      <c r="A1931" s="199"/>
    </row>
    <row r="1932" spans="1:1" s="200" customFormat="1" ht="12" hidden="1" customHeight="1">
      <c r="A1932" s="199"/>
    </row>
    <row r="1933" spans="1:1" s="200" customFormat="1" ht="12" hidden="1" customHeight="1">
      <c r="A1933" s="199"/>
    </row>
    <row r="1934" spans="1:1" s="200" customFormat="1" ht="12" hidden="1" customHeight="1">
      <c r="A1934" s="199"/>
    </row>
    <row r="1935" spans="1:1" s="200" customFormat="1" ht="12" hidden="1" customHeight="1">
      <c r="A1935" s="199"/>
    </row>
    <row r="1936" spans="1:1" s="200" customFormat="1" ht="12" hidden="1" customHeight="1">
      <c r="A1936" s="199"/>
    </row>
    <row r="1937" spans="1:1" s="200" customFormat="1" ht="12" hidden="1" customHeight="1">
      <c r="A1937" s="199"/>
    </row>
    <row r="1938" spans="1:1" s="200" customFormat="1" ht="12" hidden="1" customHeight="1">
      <c r="A1938" s="199"/>
    </row>
    <row r="1939" spans="1:1" s="200" customFormat="1" ht="12" hidden="1" customHeight="1">
      <c r="A1939" s="199"/>
    </row>
    <row r="1940" spans="1:1" s="200" customFormat="1" ht="12" hidden="1" customHeight="1">
      <c r="A1940" s="199"/>
    </row>
    <row r="1941" spans="1:1" s="200" customFormat="1" ht="12" hidden="1" customHeight="1">
      <c r="A1941" s="199"/>
    </row>
    <row r="1942" spans="1:1" s="200" customFormat="1" ht="12" hidden="1" customHeight="1">
      <c r="A1942" s="199"/>
    </row>
    <row r="1943" spans="1:1" s="200" customFormat="1" ht="12" hidden="1" customHeight="1">
      <c r="A1943" s="199"/>
    </row>
    <row r="1944" spans="1:1" s="200" customFormat="1" ht="12" hidden="1" customHeight="1">
      <c r="A1944" s="199"/>
    </row>
    <row r="1945" spans="1:1" s="200" customFormat="1" ht="12" hidden="1" customHeight="1">
      <c r="A1945" s="199"/>
    </row>
    <row r="1946" spans="1:1" s="200" customFormat="1" ht="12" hidden="1" customHeight="1">
      <c r="A1946" s="199"/>
    </row>
    <row r="1947" spans="1:1" s="200" customFormat="1" ht="12" hidden="1" customHeight="1">
      <c r="A1947" s="199"/>
    </row>
    <row r="1948" spans="1:1" s="200" customFormat="1" ht="12" hidden="1" customHeight="1">
      <c r="A1948" s="199"/>
    </row>
    <row r="1949" spans="1:1" s="200" customFormat="1" ht="12" hidden="1" customHeight="1">
      <c r="A1949" s="199"/>
    </row>
    <row r="1950" spans="1:1" s="200" customFormat="1" ht="12" hidden="1" customHeight="1">
      <c r="A1950" s="199"/>
    </row>
    <row r="1951" spans="1:1" s="200" customFormat="1" ht="12" hidden="1" customHeight="1">
      <c r="A1951" s="199"/>
    </row>
    <row r="1952" spans="1:1" s="200" customFormat="1" ht="12" hidden="1" customHeight="1">
      <c r="A1952" s="199"/>
    </row>
    <row r="1953" spans="1:1" s="200" customFormat="1" ht="12" hidden="1" customHeight="1">
      <c r="A1953" s="199"/>
    </row>
    <row r="1954" spans="1:1" s="200" customFormat="1" ht="12" hidden="1" customHeight="1">
      <c r="A1954" s="199"/>
    </row>
    <row r="1955" spans="1:1" s="200" customFormat="1" ht="12" hidden="1" customHeight="1">
      <c r="A1955" s="199"/>
    </row>
    <row r="1956" spans="1:1" s="200" customFormat="1" ht="12" hidden="1" customHeight="1">
      <c r="A1956" s="199"/>
    </row>
    <row r="1957" spans="1:1" s="200" customFormat="1" ht="12" hidden="1" customHeight="1">
      <c r="A1957" s="199"/>
    </row>
    <row r="1958" spans="1:1" s="200" customFormat="1" ht="12" hidden="1" customHeight="1">
      <c r="A1958" s="199"/>
    </row>
    <row r="1959" spans="1:1" s="200" customFormat="1" ht="12" hidden="1" customHeight="1">
      <c r="A1959" s="199"/>
    </row>
    <row r="1960" spans="1:1" s="200" customFormat="1" ht="12" hidden="1" customHeight="1">
      <c r="A1960" s="199"/>
    </row>
    <row r="1961" spans="1:1" s="200" customFormat="1" ht="12" hidden="1" customHeight="1">
      <c r="A1961" s="199"/>
    </row>
    <row r="1962" spans="1:1" s="200" customFormat="1" ht="12" hidden="1" customHeight="1">
      <c r="A1962" s="199"/>
    </row>
    <row r="1963" spans="1:1" s="200" customFormat="1" ht="12" hidden="1" customHeight="1">
      <c r="A1963" s="199"/>
    </row>
    <row r="1964" spans="1:1" s="200" customFormat="1" ht="12" hidden="1" customHeight="1">
      <c r="A1964" s="199"/>
    </row>
    <row r="1965" spans="1:1" s="200" customFormat="1" ht="12" hidden="1" customHeight="1">
      <c r="A1965" s="199"/>
    </row>
    <row r="1966" spans="1:1" s="200" customFormat="1" ht="12" hidden="1" customHeight="1">
      <c r="A1966" s="199"/>
    </row>
    <row r="1967" spans="1:1" s="200" customFormat="1" ht="12" hidden="1" customHeight="1">
      <c r="A1967" s="199"/>
    </row>
    <row r="1968" spans="1:1" s="200" customFormat="1" ht="12" hidden="1" customHeight="1">
      <c r="A1968" s="199"/>
    </row>
    <row r="1969" spans="1:1" s="200" customFormat="1" ht="12" hidden="1" customHeight="1">
      <c r="A1969" s="199"/>
    </row>
    <row r="1970" spans="1:1" s="200" customFormat="1" ht="12" hidden="1" customHeight="1">
      <c r="A1970" s="199"/>
    </row>
    <row r="1971" spans="1:1" s="200" customFormat="1" ht="12" hidden="1" customHeight="1">
      <c r="A1971" s="199"/>
    </row>
    <row r="1972" spans="1:1" s="200" customFormat="1" ht="12" hidden="1" customHeight="1">
      <c r="A1972" s="199"/>
    </row>
    <row r="1973" spans="1:1" s="200" customFormat="1" ht="12" hidden="1" customHeight="1">
      <c r="A1973" s="199"/>
    </row>
    <row r="1974" spans="1:1" s="200" customFormat="1" ht="12" hidden="1" customHeight="1">
      <c r="A1974" s="199"/>
    </row>
    <row r="1975" spans="1:1" s="200" customFormat="1" ht="12" hidden="1" customHeight="1">
      <c r="A1975" s="199"/>
    </row>
    <row r="1976" spans="1:1" s="200" customFormat="1" ht="12" hidden="1" customHeight="1">
      <c r="A1976" s="199"/>
    </row>
    <row r="1977" spans="1:1" s="200" customFormat="1" ht="12" hidden="1" customHeight="1">
      <c r="A1977" s="199"/>
    </row>
    <row r="1978" spans="1:1" s="200" customFormat="1" ht="12" hidden="1" customHeight="1">
      <c r="A1978" s="199"/>
    </row>
    <row r="1979" spans="1:1" s="200" customFormat="1" ht="12" hidden="1" customHeight="1">
      <c r="A1979" s="199"/>
    </row>
    <row r="1980" spans="1:1" s="200" customFormat="1" ht="12" hidden="1" customHeight="1">
      <c r="A1980" s="199"/>
    </row>
    <row r="1981" spans="1:1" s="200" customFormat="1" ht="12" hidden="1" customHeight="1">
      <c r="A1981" s="199"/>
    </row>
    <row r="1982" spans="1:1" s="200" customFormat="1" ht="12" hidden="1" customHeight="1">
      <c r="A1982" s="199"/>
    </row>
    <row r="1983" spans="1:1" s="200" customFormat="1" ht="12" hidden="1" customHeight="1">
      <c r="A1983" s="199"/>
    </row>
    <row r="1984" spans="1:1" s="200" customFormat="1" ht="12" hidden="1" customHeight="1">
      <c r="A1984" s="199"/>
    </row>
    <row r="1985" spans="1:1" s="200" customFormat="1" ht="12" hidden="1" customHeight="1">
      <c r="A1985" s="199"/>
    </row>
    <row r="1986" spans="1:1" s="200" customFormat="1" ht="12" hidden="1" customHeight="1">
      <c r="A1986" s="199"/>
    </row>
    <row r="1987" spans="1:1" s="200" customFormat="1" ht="12" hidden="1" customHeight="1">
      <c r="A1987" s="199"/>
    </row>
    <row r="1988" spans="1:1" s="200" customFormat="1" ht="12" hidden="1" customHeight="1">
      <c r="A1988" s="199"/>
    </row>
    <row r="1989" spans="1:1" s="200" customFormat="1" ht="12" hidden="1" customHeight="1">
      <c r="A1989" s="199"/>
    </row>
    <row r="1990" spans="1:1" s="200" customFormat="1" ht="12" hidden="1" customHeight="1">
      <c r="A1990" s="199"/>
    </row>
    <row r="1991" spans="1:1" s="200" customFormat="1" ht="12" hidden="1" customHeight="1">
      <c r="A1991" s="199"/>
    </row>
    <row r="1992" spans="1:1" s="200" customFormat="1" ht="12" hidden="1" customHeight="1">
      <c r="A1992" s="199"/>
    </row>
    <row r="1993" spans="1:1" s="200" customFormat="1" ht="12" hidden="1" customHeight="1">
      <c r="A1993" s="199"/>
    </row>
    <row r="1994" spans="1:1" s="200" customFormat="1" ht="12" hidden="1" customHeight="1">
      <c r="A1994" s="199"/>
    </row>
    <row r="1995" spans="1:1" s="200" customFormat="1" ht="12" hidden="1" customHeight="1">
      <c r="A1995" s="199"/>
    </row>
    <row r="1996" spans="1:1" s="200" customFormat="1" ht="12" hidden="1" customHeight="1">
      <c r="A1996" s="199"/>
    </row>
    <row r="1997" spans="1:1" s="200" customFormat="1" ht="12" hidden="1" customHeight="1">
      <c r="A1997" s="199"/>
    </row>
    <row r="1998" spans="1:1" s="200" customFormat="1" ht="12" hidden="1" customHeight="1">
      <c r="A1998" s="199"/>
    </row>
    <row r="1999" spans="1:1" s="200" customFormat="1" ht="12" hidden="1" customHeight="1">
      <c r="A1999" s="199"/>
    </row>
    <row r="2000" spans="1:1" s="200" customFormat="1" ht="12" hidden="1" customHeight="1">
      <c r="A2000" s="199"/>
    </row>
    <row r="2001" spans="1:1" s="200" customFormat="1" ht="12" hidden="1" customHeight="1">
      <c r="A2001" s="199"/>
    </row>
    <row r="2002" spans="1:1" s="200" customFormat="1" ht="12" hidden="1" customHeight="1">
      <c r="A2002" s="199"/>
    </row>
    <row r="2003" spans="1:1" s="200" customFormat="1" ht="12" hidden="1" customHeight="1">
      <c r="A2003" s="199"/>
    </row>
    <row r="2004" spans="1:1" s="200" customFormat="1" ht="12" hidden="1" customHeight="1">
      <c r="A2004" s="199"/>
    </row>
    <row r="2005" spans="1:1" s="200" customFormat="1" ht="12" hidden="1" customHeight="1">
      <c r="A2005" s="199"/>
    </row>
    <row r="2006" spans="1:1" s="200" customFormat="1" ht="12" hidden="1" customHeight="1">
      <c r="A2006" s="199"/>
    </row>
    <row r="2007" spans="1:1" s="200" customFormat="1" ht="12" hidden="1" customHeight="1">
      <c r="A2007" s="199"/>
    </row>
    <row r="2008" spans="1:1" s="200" customFormat="1" ht="12" hidden="1" customHeight="1">
      <c r="A2008" s="199"/>
    </row>
    <row r="2009" spans="1:1" s="200" customFormat="1" ht="12" hidden="1" customHeight="1">
      <c r="A2009" s="199"/>
    </row>
    <row r="2010" spans="1:1" s="200" customFormat="1" ht="12" hidden="1" customHeight="1">
      <c r="A2010" s="199"/>
    </row>
    <row r="2011" spans="1:1" s="200" customFormat="1" ht="12" hidden="1" customHeight="1">
      <c r="A2011" s="199"/>
    </row>
    <row r="2012" spans="1:1" s="200" customFormat="1" ht="12" hidden="1" customHeight="1">
      <c r="A2012" s="199"/>
    </row>
    <row r="2013" spans="1:1" s="200" customFormat="1" ht="12" hidden="1" customHeight="1">
      <c r="A2013" s="199"/>
    </row>
    <row r="2014" spans="1:1" s="200" customFormat="1" ht="12" hidden="1" customHeight="1">
      <c r="A2014" s="199"/>
    </row>
    <row r="2015" spans="1:1" s="200" customFormat="1" ht="12" hidden="1" customHeight="1">
      <c r="A2015" s="199"/>
    </row>
    <row r="2016" spans="1:1" s="200" customFormat="1" ht="12" hidden="1" customHeight="1">
      <c r="A2016" s="199"/>
    </row>
    <row r="2017" spans="1:1" s="200" customFormat="1" ht="12" hidden="1" customHeight="1">
      <c r="A2017" s="199"/>
    </row>
    <row r="2018" spans="1:1" s="200" customFormat="1" ht="12" hidden="1" customHeight="1">
      <c r="A2018" s="199"/>
    </row>
    <row r="2019" spans="1:1" s="200" customFormat="1" ht="12" hidden="1" customHeight="1">
      <c r="A2019" s="199"/>
    </row>
    <row r="2020" spans="1:1" s="200" customFormat="1" ht="12" hidden="1" customHeight="1">
      <c r="A2020" s="199"/>
    </row>
    <row r="2021" spans="1:1" s="200" customFormat="1" ht="12" hidden="1" customHeight="1">
      <c r="A2021" s="199"/>
    </row>
    <row r="2022" spans="1:1" s="200" customFormat="1" ht="12" hidden="1" customHeight="1">
      <c r="A2022" s="199"/>
    </row>
    <row r="2023" spans="1:1" s="200" customFormat="1" ht="12" hidden="1" customHeight="1">
      <c r="A2023" s="199"/>
    </row>
    <row r="2024" spans="1:1" s="200" customFormat="1" ht="12" hidden="1" customHeight="1">
      <c r="A2024" s="199"/>
    </row>
    <row r="2025" spans="1:1" s="200" customFormat="1" ht="12" hidden="1" customHeight="1">
      <c r="A2025" s="199"/>
    </row>
    <row r="2026" spans="1:1" s="200" customFormat="1" ht="12" hidden="1" customHeight="1">
      <c r="A2026" s="199"/>
    </row>
    <row r="2027" spans="1:1" s="200" customFormat="1" ht="12" hidden="1" customHeight="1">
      <c r="A2027" s="199"/>
    </row>
    <row r="2028" spans="1:1" s="200" customFormat="1" ht="12" hidden="1" customHeight="1">
      <c r="A2028" s="199"/>
    </row>
    <row r="2029" spans="1:1" s="200" customFormat="1" ht="12" hidden="1" customHeight="1">
      <c r="A2029" s="199"/>
    </row>
    <row r="2030" spans="1:1" s="200" customFormat="1" ht="12" hidden="1" customHeight="1">
      <c r="A2030" s="199"/>
    </row>
    <row r="2031" spans="1:1" s="200" customFormat="1" ht="12" hidden="1" customHeight="1">
      <c r="A2031" s="199"/>
    </row>
    <row r="2032" spans="1:1" s="200" customFormat="1" ht="12" hidden="1" customHeight="1">
      <c r="A2032" s="199"/>
    </row>
    <row r="2033" spans="1:1" s="200" customFormat="1" ht="12" hidden="1" customHeight="1">
      <c r="A2033" s="199"/>
    </row>
    <row r="2034" spans="1:1" s="200" customFormat="1" ht="12" hidden="1" customHeight="1">
      <c r="A2034" s="199"/>
    </row>
    <row r="2035" spans="1:1" s="200" customFormat="1" ht="12" hidden="1" customHeight="1">
      <c r="A2035" s="199"/>
    </row>
    <row r="2036" spans="1:1" s="200" customFormat="1" ht="12" hidden="1" customHeight="1">
      <c r="A2036" s="199"/>
    </row>
    <row r="2037" spans="1:1" s="200" customFormat="1" ht="12" hidden="1" customHeight="1">
      <c r="A2037" s="199"/>
    </row>
    <row r="2038" spans="1:1" s="200" customFormat="1" ht="12" hidden="1" customHeight="1">
      <c r="A2038" s="199"/>
    </row>
    <row r="2039" spans="1:1" s="200" customFormat="1" ht="12" hidden="1" customHeight="1">
      <c r="A2039" s="199"/>
    </row>
    <row r="2040" spans="1:1" s="200" customFormat="1" ht="12" hidden="1" customHeight="1">
      <c r="A2040" s="199"/>
    </row>
    <row r="2041" spans="1:1" s="200" customFormat="1" ht="12" hidden="1" customHeight="1">
      <c r="A2041" s="199"/>
    </row>
    <row r="2042" spans="1:1" s="200" customFormat="1" ht="12" hidden="1" customHeight="1">
      <c r="A2042" s="199"/>
    </row>
    <row r="2043" spans="1:1" s="200" customFormat="1" ht="12" hidden="1" customHeight="1">
      <c r="A2043" s="199"/>
    </row>
    <row r="2044" spans="1:1" s="200" customFormat="1" ht="12" hidden="1" customHeight="1">
      <c r="A2044" s="199"/>
    </row>
    <row r="2045" spans="1:1" s="200" customFormat="1" ht="12" hidden="1" customHeight="1">
      <c r="A2045" s="199"/>
    </row>
    <row r="2046" spans="1:1" s="200" customFormat="1" ht="12" hidden="1" customHeight="1">
      <c r="A2046" s="199"/>
    </row>
    <row r="2047" spans="1:1" s="200" customFormat="1" ht="12" hidden="1" customHeight="1">
      <c r="A2047" s="199"/>
    </row>
    <row r="2048" spans="1:1" s="200" customFormat="1" ht="12" hidden="1" customHeight="1">
      <c r="A2048" s="199"/>
    </row>
    <row r="2049" spans="1:1" s="200" customFormat="1" ht="12" hidden="1" customHeight="1">
      <c r="A2049" s="199"/>
    </row>
    <row r="2050" spans="1:1" s="200" customFormat="1" ht="12" hidden="1" customHeight="1">
      <c r="A2050" s="199"/>
    </row>
    <row r="2051" spans="1:1" s="200" customFormat="1" ht="12" hidden="1" customHeight="1">
      <c r="A2051" s="199"/>
    </row>
    <row r="2052" spans="1:1" s="200" customFormat="1" ht="12" hidden="1" customHeight="1">
      <c r="A2052" s="199"/>
    </row>
    <row r="2053" spans="1:1" s="200" customFormat="1" ht="12" hidden="1" customHeight="1">
      <c r="A2053" s="199"/>
    </row>
    <row r="2054" spans="1:1" s="200" customFormat="1" ht="12" hidden="1" customHeight="1">
      <c r="A2054" s="199"/>
    </row>
    <row r="2055" spans="1:1" s="200" customFormat="1" ht="12" hidden="1" customHeight="1">
      <c r="A2055" s="199"/>
    </row>
    <row r="2056" spans="1:1" s="200" customFormat="1" ht="12" hidden="1" customHeight="1">
      <c r="A2056" s="199"/>
    </row>
    <row r="2057" spans="1:1" s="200" customFormat="1" ht="12" hidden="1" customHeight="1">
      <c r="A2057" s="199"/>
    </row>
    <row r="2058" spans="1:1" s="200" customFormat="1" ht="12" hidden="1" customHeight="1">
      <c r="A2058" s="199"/>
    </row>
    <row r="2059" spans="1:1" s="200" customFormat="1" ht="12" hidden="1" customHeight="1">
      <c r="A2059" s="199"/>
    </row>
    <row r="2060" spans="1:1" s="200" customFormat="1" ht="12" hidden="1" customHeight="1">
      <c r="A2060" s="199"/>
    </row>
    <row r="2061" spans="1:1" s="200" customFormat="1" ht="12" hidden="1" customHeight="1">
      <c r="A2061" s="199"/>
    </row>
    <row r="2062" spans="1:1" s="200" customFormat="1" ht="12" hidden="1" customHeight="1">
      <c r="A2062" s="199"/>
    </row>
    <row r="2063" spans="1:1" s="200" customFormat="1" ht="12" hidden="1" customHeight="1">
      <c r="A2063" s="199"/>
    </row>
    <row r="2064" spans="1:1" s="200" customFormat="1" ht="12" hidden="1" customHeight="1">
      <c r="A2064" s="199"/>
    </row>
    <row r="2065" spans="1:1" s="200" customFormat="1" ht="12" hidden="1" customHeight="1">
      <c r="A2065" s="199"/>
    </row>
    <row r="2066" spans="1:1" s="200" customFormat="1" ht="12" hidden="1" customHeight="1">
      <c r="A2066" s="199"/>
    </row>
    <row r="2067" spans="1:1" s="200" customFormat="1" ht="12" hidden="1" customHeight="1">
      <c r="A2067" s="199"/>
    </row>
    <row r="2068" spans="1:1" s="200" customFormat="1" ht="12" hidden="1" customHeight="1">
      <c r="A2068" s="199"/>
    </row>
    <row r="2069" spans="1:1" s="200" customFormat="1" ht="12" hidden="1" customHeight="1">
      <c r="A2069" s="199"/>
    </row>
    <row r="2070" spans="1:1" s="200" customFormat="1" ht="12" hidden="1" customHeight="1">
      <c r="A2070" s="199"/>
    </row>
    <row r="2071" spans="1:1" s="200" customFormat="1" ht="12" hidden="1" customHeight="1">
      <c r="A2071" s="199"/>
    </row>
    <row r="2072" spans="1:1" s="200" customFormat="1" ht="12" hidden="1" customHeight="1">
      <c r="A2072" s="199"/>
    </row>
    <row r="2073" spans="1:1" s="200" customFormat="1" ht="12" hidden="1" customHeight="1">
      <c r="A2073" s="199"/>
    </row>
    <row r="2074" spans="1:1" s="200" customFormat="1" ht="12" hidden="1" customHeight="1">
      <c r="A2074" s="199"/>
    </row>
    <row r="2075" spans="1:1" s="200" customFormat="1" ht="12" hidden="1" customHeight="1">
      <c r="A2075" s="199"/>
    </row>
    <row r="2076" spans="1:1" s="200" customFormat="1" ht="12" hidden="1" customHeight="1">
      <c r="A2076" s="199"/>
    </row>
    <row r="2077" spans="1:1" s="200" customFormat="1" ht="12" hidden="1" customHeight="1">
      <c r="A2077" s="199"/>
    </row>
    <row r="2078" spans="1:1" s="200" customFormat="1" ht="12" hidden="1" customHeight="1">
      <c r="A2078" s="199"/>
    </row>
    <row r="2079" spans="1:1" s="200" customFormat="1" ht="12" hidden="1" customHeight="1">
      <c r="A2079" s="199"/>
    </row>
    <row r="2080" spans="1:1" s="200" customFormat="1" ht="12" hidden="1" customHeight="1">
      <c r="A2080" s="199"/>
    </row>
    <row r="2081" spans="1:1" s="200" customFormat="1" ht="12" hidden="1" customHeight="1">
      <c r="A2081" s="199"/>
    </row>
    <row r="2082" spans="1:1" s="200" customFormat="1" ht="12" hidden="1" customHeight="1">
      <c r="A2082" s="199"/>
    </row>
    <row r="2083" spans="1:1" s="200" customFormat="1" ht="12" hidden="1" customHeight="1">
      <c r="A2083" s="199"/>
    </row>
    <row r="2084" spans="1:1" s="200" customFormat="1" ht="12" hidden="1" customHeight="1">
      <c r="A2084" s="199"/>
    </row>
    <row r="2085" spans="1:1" s="200" customFormat="1" ht="12" hidden="1" customHeight="1">
      <c r="A2085" s="199"/>
    </row>
    <row r="2086" spans="1:1" s="200" customFormat="1" ht="12" hidden="1" customHeight="1">
      <c r="A2086" s="199"/>
    </row>
    <row r="2087" spans="1:1" s="200" customFormat="1" ht="12" hidden="1" customHeight="1">
      <c r="A2087" s="199"/>
    </row>
    <row r="2088" spans="1:1" s="200" customFormat="1" ht="12" hidden="1" customHeight="1">
      <c r="A2088" s="199"/>
    </row>
    <row r="2089" spans="1:1" s="200" customFormat="1" ht="12" hidden="1" customHeight="1">
      <c r="A2089" s="199"/>
    </row>
    <row r="2090" spans="1:1" s="200" customFormat="1" ht="12" hidden="1" customHeight="1">
      <c r="A2090" s="199"/>
    </row>
    <row r="2091" spans="1:1" s="200" customFormat="1" ht="12" hidden="1" customHeight="1">
      <c r="A2091" s="199"/>
    </row>
    <row r="2092" spans="1:1" s="200" customFormat="1" ht="12" hidden="1" customHeight="1">
      <c r="A2092" s="199"/>
    </row>
    <row r="2093" spans="1:1" s="200" customFormat="1" ht="12" hidden="1" customHeight="1">
      <c r="A2093" s="199"/>
    </row>
    <row r="2094" spans="1:1" s="200" customFormat="1" ht="12" hidden="1" customHeight="1">
      <c r="A2094" s="199"/>
    </row>
    <row r="2095" spans="1:1" s="200" customFormat="1" ht="12" hidden="1" customHeight="1">
      <c r="A2095" s="199"/>
    </row>
    <row r="2096" spans="1:1" s="200" customFormat="1" ht="12" hidden="1" customHeight="1">
      <c r="A2096" s="199"/>
    </row>
    <row r="2097" spans="1:1" s="200" customFormat="1" ht="12" hidden="1" customHeight="1">
      <c r="A2097" s="199"/>
    </row>
    <row r="2098" spans="1:1" s="200" customFormat="1" ht="12" hidden="1" customHeight="1">
      <c r="A2098" s="199"/>
    </row>
    <row r="2099" spans="1:1" s="200" customFormat="1" ht="12" hidden="1" customHeight="1">
      <c r="A2099" s="199"/>
    </row>
    <row r="2100" spans="1:1" s="200" customFormat="1" ht="12" hidden="1" customHeight="1">
      <c r="A2100" s="199"/>
    </row>
    <row r="2101" spans="1:1" s="200" customFormat="1" ht="12" hidden="1" customHeight="1">
      <c r="A2101" s="199"/>
    </row>
    <row r="2102" spans="1:1" s="200" customFormat="1" ht="12" hidden="1" customHeight="1">
      <c r="A2102" s="199"/>
    </row>
    <row r="2103" spans="1:1" s="200" customFormat="1" ht="12" hidden="1" customHeight="1">
      <c r="A2103" s="199"/>
    </row>
    <row r="2104" spans="1:1" s="200" customFormat="1" ht="12" hidden="1" customHeight="1">
      <c r="A2104" s="199"/>
    </row>
    <row r="2105" spans="1:1" s="200" customFormat="1" ht="12" hidden="1" customHeight="1">
      <c r="A2105" s="199"/>
    </row>
    <row r="2106" spans="1:1" s="200" customFormat="1" ht="12" hidden="1" customHeight="1">
      <c r="A2106" s="199"/>
    </row>
    <row r="2107" spans="1:1" s="200" customFormat="1" ht="12" hidden="1" customHeight="1">
      <c r="A2107" s="199"/>
    </row>
    <row r="2108" spans="1:1" s="200" customFormat="1" ht="12" hidden="1" customHeight="1">
      <c r="A2108" s="199"/>
    </row>
    <row r="2109" spans="1:1" s="200" customFormat="1" ht="12" hidden="1" customHeight="1">
      <c r="A2109" s="199"/>
    </row>
    <row r="2110" spans="1:1" s="200" customFormat="1" ht="12" hidden="1" customHeight="1">
      <c r="A2110" s="199"/>
    </row>
    <row r="2111" spans="1:1" s="200" customFormat="1" ht="12" hidden="1" customHeight="1">
      <c r="A2111" s="199"/>
    </row>
    <row r="2112" spans="1:1" s="200" customFormat="1" ht="12" hidden="1" customHeight="1">
      <c r="A2112" s="199"/>
    </row>
    <row r="2113" spans="1:1" s="200" customFormat="1" ht="12" hidden="1" customHeight="1">
      <c r="A2113" s="199"/>
    </row>
    <row r="2114" spans="1:1" s="200" customFormat="1" ht="12" hidden="1" customHeight="1">
      <c r="A2114" s="199"/>
    </row>
    <row r="2115" spans="1:1" s="200" customFormat="1" ht="12" hidden="1" customHeight="1">
      <c r="A2115" s="199"/>
    </row>
    <row r="2116" spans="1:1" s="200" customFormat="1" ht="12" hidden="1" customHeight="1">
      <c r="A2116" s="199"/>
    </row>
    <row r="2117" spans="1:1" s="200" customFormat="1" ht="12" hidden="1" customHeight="1">
      <c r="A2117" s="199"/>
    </row>
    <row r="2118" spans="1:1" s="200" customFormat="1" ht="12" hidden="1" customHeight="1">
      <c r="A2118" s="199"/>
    </row>
    <row r="2119" spans="1:1" s="200" customFormat="1" ht="12" hidden="1" customHeight="1">
      <c r="A2119" s="199"/>
    </row>
    <row r="2120" spans="1:1" s="200" customFormat="1" ht="12" hidden="1" customHeight="1">
      <c r="A2120" s="199"/>
    </row>
    <row r="2121" spans="1:1" s="200" customFormat="1" ht="12" hidden="1" customHeight="1">
      <c r="A2121" s="199"/>
    </row>
    <row r="2122" spans="1:1" s="200" customFormat="1" ht="12" hidden="1" customHeight="1">
      <c r="A2122" s="199"/>
    </row>
    <row r="2123" spans="1:1" s="200" customFormat="1" ht="12" hidden="1" customHeight="1">
      <c r="A2123" s="199"/>
    </row>
    <row r="2124" spans="1:1" s="200" customFormat="1" ht="12" hidden="1" customHeight="1">
      <c r="A2124" s="199"/>
    </row>
    <row r="2125" spans="1:1" s="200" customFormat="1" ht="12" hidden="1" customHeight="1">
      <c r="A2125" s="199"/>
    </row>
    <row r="2126" spans="1:1" s="200" customFormat="1" ht="12" hidden="1" customHeight="1">
      <c r="A2126" s="199"/>
    </row>
    <row r="2127" spans="1:1" s="200" customFormat="1" ht="12" hidden="1" customHeight="1">
      <c r="A2127" s="199"/>
    </row>
    <row r="2128" spans="1:1" s="200" customFormat="1" ht="12" hidden="1" customHeight="1">
      <c r="A2128" s="199"/>
    </row>
    <row r="2129" spans="1:1" s="200" customFormat="1" ht="12" hidden="1" customHeight="1">
      <c r="A2129" s="199"/>
    </row>
    <row r="2130" spans="1:1" s="200" customFormat="1" ht="12" hidden="1" customHeight="1">
      <c r="A2130" s="199"/>
    </row>
    <row r="2131" spans="1:1" s="200" customFormat="1" ht="12" hidden="1" customHeight="1">
      <c r="A2131" s="199"/>
    </row>
    <row r="2132" spans="1:1" s="200" customFormat="1" ht="12" hidden="1" customHeight="1">
      <c r="A2132" s="199"/>
    </row>
    <row r="2133" spans="1:1" s="200" customFormat="1" ht="12" hidden="1" customHeight="1">
      <c r="A2133" s="199"/>
    </row>
    <row r="2134" spans="1:1" s="200" customFormat="1" ht="12" hidden="1" customHeight="1">
      <c r="A2134" s="199"/>
    </row>
    <row r="2135" spans="1:1" s="200" customFormat="1" ht="12" hidden="1" customHeight="1">
      <c r="A2135" s="199"/>
    </row>
    <row r="2136" spans="1:1" s="200" customFormat="1" ht="12" hidden="1" customHeight="1">
      <c r="A2136" s="199"/>
    </row>
    <row r="2137" spans="1:1" s="200" customFormat="1" ht="12" hidden="1" customHeight="1">
      <c r="A2137" s="199"/>
    </row>
    <row r="2138" spans="1:1" s="200" customFormat="1" ht="12" hidden="1" customHeight="1">
      <c r="A2138" s="199"/>
    </row>
    <row r="2139" spans="1:1" s="200" customFormat="1" ht="12" hidden="1" customHeight="1">
      <c r="A2139" s="199"/>
    </row>
    <row r="2140" spans="1:1" s="200" customFormat="1" ht="12" hidden="1" customHeight="1">
      <c r="A2140" s="199"/>
    </row>
    <row r="2141" spans="1:1" s="200" customFormat="1" ht="12" hidden="1" customHeight="1">
      <c r="A2141" s="199"/>
    </row>
    <row r="2142" spans="1:1" s="200" customFormat="1" ht="12" hidden="1" customHeight="1">
      <c r="A2142" s="199"/>
    </row>
    <row r="2143" spans="1:1" s="200" customFormat="1" ht="12" hidden="1" customHeight="1">
      <c r="A2143" s="199"/>
    </row>
    <row r="2144" spans="1:1" s="200" customFormat="1" ht="12" hidden="1" customHeight="1">
      <c r="A2144" s="199"/>
    </row>
    <row r="2145" spans="1:1" s="200" customFormat="1" ht="12" hidden="1" customHeight="1">
      <c r="A2145" s="199"/>
    </row>
    <row r="2146" spans="1:1" s="200" customFormat="1" ht="12" hidden="1" customHeight="1">
      <c r="A2146" s="199"/>
    </row>
    <row r="2147" spans="1:1" s="200" customFormat="1" ht="12" hidden="1" customHeight="1">
      <c r="A2147" s="199"/>
    </row>
    <row r="2148" spans="1:1" s="200" customFormat="1" ht="12" hidden="1" customHeight="1">
      <c r="A2148" s="199"/>
    </row>
    <row r="2149" spans="1:1" s="200" customFormat="1" ht="12" hidden="1" customHeight="1">
      <c r="A2149" s="199"/>
    </row>
    <row r="2150" spans="1:1" s="200" customFormat="1" ht="12" hidden="1" customHeight="1">
      <c r="A2150" s="199"/>
    </row>
    <row r="2151" spans="1:1" s="200" customFormat="1" ht="12" hidden="1" customHeight="1">
      <c r="A2151" s="199"/>
    </row>
    <row r="2152" spans="1:1" s="200" customFormat="1" ht="12" hidden="1" customHeight="1">
      <c r="A2152" s="199"/>
    </row>
    <row r="2153" spans="1:1" s="200" customFormat="1" ht="12" hidden="1" customHeight="1">
      <c r="A2153" s="199"/>
    </row>
    <row r="2154" spans="1:1" s="200" customFormat="1" ht="12" hidden="1" customHeight="1">
      <c r="A2154" s="199"/>
    </row>
    <row r="2155" spans="1:1" s="200" customFormat="1" ht="12" hidden="1" customHeight="1">
      <c r="A2155" s="199"/>
    </row>
    <row r="2156" spans="1:1" s="200" customFormat="1" ht="12" hidden="1" customHeight="1">
      <c r="A2156" s="199"/>
    </row>
    <row r="2157" spans="1:1" s="200" customFormat="1" ht="12" hidden="1" customHeight="1">
      <c r="A2157" s="199"/>
    </row>
    <row r="2158" spans="1:1" s="200" customFormat="1" ht="12" hidden="1" customHeight="1">
      <c r="A2158" s="199"/>
    </row>
    <row r="2159" spans="1:1" s="200" customFormat="1" ht="12" hidden="1" customHeight="1">
      <c r="A2159" s="199"/>
    </row>
    <row r="2160" spans="1:1" s="200" customFormat="1" ht="12" hidden="1" customHeight="1">
      <c r="A2160" s="199"/>
    </row>
    <row r="2161" spans="1:1" s="200" customFormat="1" ht="12" hidden="1" customHeight="1">
      <c r="A2161" s="199"/>
    </row>
    <row r="2162" spans="1:1" s="200" customFormat="1" ht="12" hidden="1" customHeight="1">
      <c r="A2162" s="199"/>
    </row>
    <row r="2163" spans="1:1" s="200" customFormat="1" ht="12" hidden="1" customHeight="1">
      <c r="A2163" s="199"/>
    </row>
    <row r="2164" spans="1:1" s="200" customFormat="1" ht="12" hidden="1" customHeight="1">
      <c r="A2164" s="199"/>
    </row>
    <row r="2165" spans="1:1" s="200" customFormat="1" ht="12" hidden="1" customHeight="1">
      <c r="A2165" s="199"/>
    </row>
    <row r="2166" spans="1:1" s="200" customFormat="1" ht="12" hidden="1" customHeight="1">
      <c r="A2166" s="199"/>
    </row>
    <row r="2167" spans="1:1" s="200" customFormat="1" ht="12" hidden="1" customHeight="1">
      <c r="A2167" s="199"/>
    </row>
    <row r="2168" spans="1:1" s="200" customFormat="1" ht="12" hidden="1" customHeight="1">
      <c r="A2168" s="199"/>
    </row>
    <row r="2169" spans="1:1" s="200" customFormat="1" ht="12" hidden="1" customHeight="1">
      <c r="A2169" s="199"/>
    </row>
    <row r="2170" spans="1:1" s="200" customFormat="1" ht="12" hidden="1" customHeight="1">
      <c r="A2170" s="199"/>
    </row>
    <row r="2171" spans="1:1" s="200" customFormat="1" ht="12" hidden="1" customHeight="1">
      <c r="A2171" s="199"/>
    </row>
    <row r="2172" spans="1:1" s="200" customFormat="1" ht="12" hidden="1" customHeight="1">
      <c r="A2172" s="199"/>
    </row>
    <row r="2173" spans="1:1" s="200" customFormat="1" ht="12" hidden="1" customHeight="1">
      <c r="A2173" s="199"/>
    </row>
    <row r="2174" spans="1:1" s="200" customFormat="1" ht="12" hidden="1" customHeight="1">
      <c r="A2174" s="199"/>
    </row>
    <row r="2175" spans="1:1" s="200" customFormat="1" ht="12" hidden="1" customHeight="1">
      <c r="A2175" s="199"/>
    </row>
    <row r="2176" spans="1:1" s="200" customFormat="1" ht="12" hidden="1" customHeight="1">
      <c r="A2176" s="199"/>
    </row>
    <row r="2177" spans="1:1" s="200" customFormat="1" ht="12" hidden="1" customHeight="1">
      <c r="A2177" s="199"/>
    </row>
    <row r="2178" spans="1:1" s="200" customFormat="1" ht="12" hidden="1" customHeight="1">
      <c r="A2178" s="199"/>
    </row>
    <row r="2179" spans="1:1" s="200" customFormat="1" ht="12" hidden="1" customHeight="1">
      <c r="A2179" s="199"/>
    </row>
    <row r="2180" spans="1:1" s="200" customFormat="1" ht="12" hidden="1" customHeight="1">
      <c r="A2180" s="199"/>
    </row>
    <row r="2181" spans="1:1" s="200" customFormat="1" ht="12" hidden="1" customHeight="1">
      <c r="A2181" s="199"/>
    </row>
    <row r="2182" spans="1:1" s="200" customFormat="1" ht="12" hidden="1" customHeight="1">
      <c r="A2182" s="199"/>
    </row>
    <row r="2183" spans="1:1" s="200" customFormat="1" ht="12" hidden="1" customHeight="1">
      <c r="A2183" s="199"/>
    </row>
    <row r="2184" spans="1:1" s="200" customFormat="1" ht="12" hidden="1" customHeight="1">
      <c r="A2184" s="199"/>
    </row>
    <row r="2185" spans="1:1" s="200" customFormat="1" ht="12" hidden="1" customHeight="1">
      <c r="A2185" s="199"/>
    </row>
    <row r="2186" spans="1:1" s="200" customFormat="1" ht="12" hidden="1" customHeight="1">
      <c r="A2186" s="199"/>
    </row>
    <row r="2187" spans="1:1" s="200" customFormat="1" ht="12" hidden="1" customHeight="1">
      <c r="A2187" s="199"/>
    </row>
    <row r="2188" spans="1:1" s="200" customFormat="1" ht="12" hidden="1" customHeight="1">
      <c r="A2188" s="199"/>
    </row>
    <row r="2189" spans="1:1" s="200" customFormat="1" ht="12" hidden="1" customHeight="1">
      <c r="A2189" s="199"/>
    </row>
    <row r="2190" spans="1:1" s="200" customFormat="1" ht="12" hidden="1" customHeight="1">
      <c r="A2190" s="199"/>
    </row>
    <row r="2191" spans="1:1" s="200" customFormat="1" ht="12" hidden="1" customHeight="1">
      <c r="A2191" s="199"/>
    </row>
    <row r="2192" spans="1:1" s="200" customFormat="1" ht="12" hidden="1" customHeight="1">
      <c r="A2192" s="199"/>
    </row>
    <row r="2193" spans="1:1" s="200" customFormat="1" ht="12" hidden="1" customHeight="1">
      <c r="A2193" s="199"/>
    </row>
    <row r="2194" spans="1:1" s="200" customFormat="1" ht="12" hidden="1" customHeight="1">
      <c r="A2194" s="199"/>
    </row>
    <row r="2195" spans="1:1" s="200" customFormat="1" ht="12" hidden="1" customHeight="1">
      <c r="A2195" s="199"/>
    </row>
    <row r="2196" spans="1:1" s="200" customFormat="1" ht="12" hidden="1" customHeight="1">
      <c r="A2196" s="199"/>
    </row>
    <row r="2197" spans="1:1" s="200" customFormat="1" ht="12" hidden="1" customHeight="1">
      <c r="A2197" s="199"/>
    </row>
    <row r="2198" spans="1:1" s="200" customFormat="1" ht="12" hidden="1" customHeight="1">
      <c r="A2198" s="199"/>
    </row>
    <row r="2199" spans="1:1" s="200" customFormat="1" ht="12" hidden="1" customHeight="1">
      <c r="A2199" s="199"/>
    </row>
    <row r="2200" spans="1:1" s="200" customFormat="1" ht="12" hidden="1" customHeight="1">
      <c r="A2200" s="199"/>
    </row>
    <row r="2201" spans="1:1" s="200" customFormat="1" ht="12" hidden="1" customHeight="1">
      <c r="A2201" s="199"/>
    </row>
    <row r="2202" spans="1:1" s="200" customFormat="1" ht="12" hidden="1" customHeight="1">
      <c r="A2202" s="199"/>
    </row>
    <row r="2203" spans="1:1" s="200" customFormat="1" ht="12" hidden="1" customHeight="1">
      <c r="A2203" s="199"/>
    </row>
    <row r="2204" spans="1:1" s="200" customFormat="1" ht="12" hidden="1" customHeight="1">
      <c r="A2204" s="199"/>
    </row>
    <row r="2205" spans="1:1" s="200" customFormat="1" ht="12" hidden="1" customHeight="1">
      <c r="A2205" s="199"/>
    </row>
    <row r="2206" spans="1:1" s="200" customFormat="1" ht="12" hidden="1" customHeight="1">
      <c r="A2206" s="199"/>
    </row>
    <row r="2207" spans="1:1" s="200" customFormat="1" ht="12" hidden="1" customHeight="1">
      <c r="A2207" s="199"/>
    </row>
    <row r="2208" spans="1:1" s="200" customFormat="1" ht="12" hidden="1" customHeight="1">
      <c r="A2208" s="199"/>
    </row>
    <row r="2209" spans="1:1" s="200" customFormat="1" ht="12" hidden="1" customHeight="1">
      <c r="A2209" s="199"/>
    </row>
    <row r="2210" spans="1:1" s="200" customFormat="1" ht="12" hidden="1" customHeight="1">
      <c r="A2210" s="199"/>
    </row>
    <row r="2211" spans="1:1" s="200" customFormat="1" ht="12" hidden="1" customHeight="1">
      <c r="A2211" s="199"/>
    </row>
    <row r="2212" spans="1:1" s="200" customFormat="1" ht="12" hidden="1" customHeight="1">
      <c r="A2212" s="199"/>
    </row>
    <row r="2213" spans="1:1" s="200" customFormat="1" ht="12" hidden="1" customHeight="1">
      <c r="A2213" s="199"/>
    </row>
    <row r="2214" spans="1:1" s="200" customFormat="1" ht="12" hidden="1" customHeight="1">
      <c r="A2214" s="199"/>
    </row>
    <row r="2215" spans="1:1" s="200" customFormat="1" ht="12" hidden="1" customHeight="1">
      <c r="A2215" s="199"/>
    </row>
    <row r="2216" spans="1:1" s="200" customFormat="1" ht="12" hidden="1" customHeight="1">
      <c r="A2216" s="199"/>
    </row>
    <row r="2217" spans="1:1" s="200" customFormat="1" ht="12" hidden="1" customHeight="1">
      <c r="A2217" s="199"/>
    </row>
    <row r="2218" spans="1:1" s="200" customFormat="1" ht="12" hidden="1" customHeight="1">
      <c r="A2218" s="199"/>
    </row>
    <row r="2219" spans="1:1" s="200" customFormat="1" ht="12" hidden="1" customHeight="1">
      <c r="A2219" s="199"/>
    </row>
    <row r="2220" spans="1:1" s="200" customFormat="1" ht="12" hidden="1" customHeight="1">
      <c r="A2220" s="199"/>
    </row>
    <row r="2221" spans="1:1" s="200" customFormat="1" ht="12" hidden="1" customHeight="1">
      <c r="A2221" s="199"/>
    </row>
    <row r="2222" spans="1:1" s="200" customFormat="1" ht="12" hidden="1" customHeight="1">
      <c r="A2222" s="199"/>
    </row>
    <row r="2223" spans="1:1" s="200" customFormat="1" ht="12" hidden="1" customHeight="1">
      <c r="A2223" s="199"/>
    </row>
    <row r="2224" spans="1:1" s="200" customFormat="1" ht="12" hidden="1" customHeight="1">
      <c r="A2224" s="199"/>
    </row>
    <row r="2225" spans="1:1" s="200" customFormat="1" ht="12" hidden="1" customHeight="1">
      <c r="A2225" s="199"/>
    </row>
    <row r="2226" spans="1:1" s="200" customFormat="1" ht="12" hidden="1" customHeight="1">
      <c r="A2226" s="199"/>
    </row>
    <row r="2227" spans="1:1" s="200" customFormat="1" ht="12" hidden="1" customHeight="1">
      <c r="A2227" s="199"/>
    </row>
    <row r="2228" spans="1:1" s="200" customFormat="1" ht="12" hidden="1" customHeight="1">
      <c r="A2228" s="199"/>
    </row>
    <row r="2229" spans="1:1" s="200" customFormat="1" ht="12" hidden="1" customHeight="1">
      <c r="A2229" s="199"/>
    </row>
    <row r="2230" spans="1:1" s="200" customFormat="1" ht="12" hidden="1" customHeight="1">
      <c r="A2230" s="199"/>
    </row>
    <row r="2231" spans="1:1" s="200" customFormat="1" ht="12" hidden="1" customHeight="1">
      <c r="A2231" s="199"/>
    </row>
    <row r="2232" spans="1:1" s="200" customFormat="1" ht="12" hidden="1" customHeight="1">
      <c r="A2232" s="199"/>
    </row>
    <row r="2233" spans="1:1" s="200" customFormat="1" ht="12" hidden="1" customHeight="1">
      <c r="A2233" s="199"/>
    </row>
    <row r="2234" spans="1:1" s="200" customFormat="1" ht="12" hidden="1" customHeight="1">
      <c r="A2234" s="199"/>
    </row>
    <row r="2235" spans="1:1" s="200" customFormat="1" ht="12" hidden="1" customHeight="1">
      <c r="A2235" s="199"/>
    </row>
    <row r="2236" spans="1:1" s="200" customFormat="1" ht="12" hidden="1" customHeight="1">
      <c r="A2236" s="199"/>
    </row>
    <row r="2237" spans="1:1" s="200" customFormat="1" ht="12" hidden="1" customHeight="1">
      <c r="A2237" s="199"/>
    </row>
    <row r="2238" spans="1:1" s="200" customFormat="1" ht="12" hidden="1" customHeight="1">
      <c r="A2238" s="199"/>
    </row>
    <row r="2239" spans="1:1" s="200" customFormat="1" ht="12" hidden="1" customHeight="1">
      <c r="A2239" s="199"/>
    </row>
    <row r="2240" spans="1:1" s="200" customFormat="1" ht="12" hidden="1" customHeight="1">
      <c r="A2240" s="199"/>
    </row>
    <row r="2241" spans="1:1" s="200" customFormat="1" ht="12" hidden="1" customHeight="1">
      <c r="A2241" s="199"/>
    </row>
    <row r="2242" spans="1:1" s="200" customFormat="1" ht="12" hidden="1" customHeight="1">
      <c r="A2242" s="199"/>
    </row>
    <row r="2243" spans="1:1" s="200" customFormat="1" ht="12" hidden="1" customHeight="1">
      <c r="A2243" s="199"/>
    </row>
    <row r="2244" spans="1:1" s="200" customFormat="1" ht="12" hidden="1" customHeight="1">
      <c r="A2244" s="199"/>
    </row>
    <row r="2245" spans="1:1" s="200" customFormat="1" ht="12" hidden="1" customHeight="1">
      <c r="A2245" s="199"/>
    </row>
    <row r="2246" spans="1:1" s="200" customFormat="1" ht="12" hidden="1" customHeight="1">
      <c r="A2246" s="199"/>
    </row>
    <row r="2247" spans="1:1" s="200" customFormat="1" ht="12" hidden="1" customHeight="1">
      <c r="A2247" s="199"/>
    </row>
    <row r="2248" spans="1:1" s="200" customFormat="1" ht="12" hidden="1" customHeight="1">
      <c r="A2248" s="199"/>
    </row>
    <row r="2249" spans="1:1" s="200" customFormat="1" ht="12" hidden="1" customHeight="1">
      <c r="A2249" s="199"/>
    </row>
    <row r="2250" spans="1:1" s="200" customFormat="1" ht="12" hidden="1" customHeight="1">
      <c r="A2250" s="199"/>
    </row>
    <row r="2251" spans="1:1" s="200" customFormat="1" ht="12" hidden="1" customHeight="1">
      <c r="A2251" s="199"/>
    </row>
    <row r="2252" spans="1:1" s="200" customFormat="1" ht="12" hidden="1" customHeight="1">
      <c r="A2252" s="199"/>
    </row>
    <row r="2253" spans="1:1" s="200" customFormat="1" ht="12" hidden="1" customHeight="1">
      <c r="A2253" s="199"/>
    </row>
    <row r="2254" spans="1:1" s="200" customFormat="1" ht="12" hidden="1" customHeight="1">
      <c r="A2254" s="199"/>
    </row>
    <row r="2255" spans="1:1" s="200" customFormat="1" ht="12" hidden="1" customHeight="1">
      <c r="A2255" s="199"/>
    </row>
    <row r="2256" spans="1:1" s="200" customFormat="1" ht="12" hidden="1" customHeight="1">
      <c r="A2256" s="199"/>
    </row>
    <row r="2257" spans="1:1" s="200" customFormat="1" ht="12" hidden="1" customHeight="1">
      <c r="A2257" s="199"/>
    </row>
    <row r="2258" spans="1:1" s="200" customFormat="1" ht="12" hidden="1" customHeight="1">
      <c r="A2258" s="199"/>
    </row>
    <row r="2259" spans="1:1" s="200" customFormat="1" ht="12" hidden="1" customHeight="1">
      <c r="A2259" s="199"/>
    </row>
    <row r="2260" spans="1:1" s="200" customFormat="1" ht="12" hidden="1" customHeight="1">
      <c r="A2260" s="199"/>
    </row>
    <row r="2261" spans="1:1" s="200" customFormat="1" ht="12" hidden="1" customHeight="1">
      <c r="A2261" s="199"/>
    </row>
    <row r="2262" spans="1:1" s="200" customFormat="1" ht="12" hidden="1" customHeight="1">
      <c r="A2262" s="199"/>
    </row>
    <row r="2263" spans="1:1" s="200" customFormat="1" ht="12" hidden="1" customHeight="1">
      <c r="A2263" s="199"/>
    </row>
    <row r="2264" spans="1:1" s="200" customFormat="1" ht="12" hidden="1" customHeight="1">
      <c r="A2264" s="199"/>
    </row>
    <row r="2265" spans="1:1" s="200" customFormat="1" ht="12" hidden="1" customHeight="1">
      <c r="A2265" s="199"/>
    </row>
    <row r="2266" spans="1:1" s="200" customFormat="1" ht="12" hidden="1" customHeight="1">
      <c r="A2266" s="199"/>
    </row>
    <row r="2267" spans="1:1" s="200" customFormat="1" ht="12" hidden="1" customHeight="1">
      <c r="A2267" s="199"/>
    </row>
    <row r="2268" spans="1:1" s="200" customFormat="1" ht="12" hidden="1" customHeight="1">
      <c r="A2268" s="199"/>
    </row>
    <row r="2269" spans="1:1" s="200" customFormat="1" ht="12" hidden="1" customHeight="1">
      <c r="A2269" s="199"/>
    </row>
    <row r="2270" spans="1:1" s="200" customFormat="1" ht="12" hidden="1" customHeight="1">
      <c r="A2270" s="199"/>
    </row>
    <row r="2271" spans="1:1" s="200" customFormat="1" ht="12" hidden="1" customHeight="1">
      <c r="A2271" s="199"/>
    </row>
    <row r="2272" spans="1:1" s="200" customFormat="1" ht="12" hidden="1" customHeight="1">
      <c r="A2272" s="199"/>
    </row>
    <row r="2273" spans="1:1" s="200" customFormat="1" ht="12" hidden="1" customHeight="1">
      <c r="A2273" s="199"/>
    </row>
    <row r="2274" spans="1:1" s="200" customFormat="1" ht="12" hidden="1" customHeight="1">
      <c r="A2274" s="199"/>
    </row>
    <row r="2275" spans="1:1" s="200" customFormat="1" ht="12" hidden="1" customHeight="1">
      <c r="A2275" s="199"/>
    </row>
    <row r="2276" spans="1:1" s="200" customFormat="1" ht="12" hidden="1" customHeight="1">
      <c r="A2276" s="199"/>
    </row>
    <row r="2277" spans="1:1" s="200" customFormat="1" ht="12" hidden="1" customHeight="1">
      <c r="A2277" s="199"/>
    </row>
    <row r="2278" spans="1:1" s="200" customFormat="1" ht="12" hidden="1" customHeight="1">
      <c r="A2278" s="199"/>
    </row>
    <row r="2279" spans="1:1" s="200" customFormat="1" ht="12" hidden="1" customHeight="1">
      <c r="A2279" s="199"/>
    </row>
    <row r="2280" spans="1:1" s="200" customFormat="1" ht="12" hidden="1" customHeight="1">
      <c r="A2280" s="199"/>
    </row>
    <row r="2281" spans="1:1" s="200" customFormat="1" ht="12" hidden="1" customHeight="1">
      <c r="A2281" s="199"/>
    </row>
    <row r="2282" spans="1:1" s="200" customFormat="1" ht="12" hidden="1" customHeight="1">
      <c r="A2282" s="199"/>
    </row>
    <row r="2283" spans="1:1" s="200" customFormat="1" ht="12" hidden="1" customHeight="1">
      <c r="A2283" s="199"/>
    </row>
    <row r="2284" spans="1:1" s="200" customFormat="1" ht="12" hidden="1" customHeight="1">
      <c r="A2284" s="199"/>
    </row>
    <row r="2285" spans="1:1" s="200" customFormat="1" ht="12" hidden="1" customHeight="1">
      <c r="A2285" s="199"/>
    </row>
    <row r="2286" spans="1:1" s="200" customFormat="1" ht="12" hidden="1" customHeight="1">
      <c r="A2286" s="199"/>
    </row>
    <row r="2287" spans="1:1" s="200" customFormat="1" ht="12" hidden="1" customHeight="1">
      <c r="A2287" s="199"/>
    </row>
    <row r="2288" spans="1:1" s="200" customFormat="1" ht="12" hidden="1" customHeight="1">
      <c r="A2288" s="199"/>
    </row>
    <row r="2289" spans="1:1" s="200" customFormat="1" ht="12" hidden="1" customHeight="1">
      <c r="A2289" s="199"/>
    </row>
    <row r="2290" spans="1:1" s="200" customFormat="1" ht="12" hidden="1" customHeight="1">
      <c r="A2290" s="199"/>
    </row>
    <row r="2291" spans="1:1" s="200" customFormat="1" ht="12" hidden="1" customHeight="1">
      <c r="A2291" s="199"/>
    </row>
    <row r="2292" spans="1:1" s="200" customFormat="1" ht="12" hidden="1" customHeight="1">
      <c r="A2292" s="199"/>
    </row>
    <row r="2293" spans="1:1" s="200" customFormat="1" ht="12" hidden="1" customHeight="1">
      <c r="A2293" s="199"/>
    </row>
    <row r="2294" spans="1:1" s="200" customFormat="1" ht="12" hidden="1" customHeight="1">
      <c r="A2294" s="199"/>
    </row>
    <row r="2295" spans="1:1" s="200" customFormat="1" ht="12" hidden="1" customHeight="1">
      <c r="A2295" s="199"/>
    </row>
    <row r="2296" spans="1:1" s="200" customFormat="1" ht="12" hidden="1" customHeight="1">
      <c r="A2296" s="199"/>
    </row>
    <row r="2297" spans="1:1" s="200" customFormat="1" ht="12" hidden="1" customHeight="1">
      <c r="A2297" s="199"/>
    </row>
    <row r="2298" spans="1:1" s="200" customFormat="1" ht="12" hidden="1" customHeight="1">
      <c r="A2298" s="199"/>
    </row>
    <row r="2299" spans="1:1" s="200" customFormat="1" ht="12" hidden="1" customHeight="1">
      <c r="A2299" s="199"/>
    </row>
    <row r="2300" spans="1:1" s="200" customFormat="1" ht="12" hidden="1" customHeight="1">
      <c r="A2300" s="199"/>
    </row>
    <row r="2301" spans="1:1" s="200" customFormat="1" ht="12" hidden="1" customHeight="1">
      <c r="A2301" s="199"/>
    </row>
    <row r="2302" spans="1:1" s="200" customFormat="1" ht="12" hidden="1" customHeight="1">
      <c r="A2302" s="199"/>
    </row>
    <row r="2303" spans="1:1" s="200" customFormat="1" ht="12" hidden="1" customHeight="1">
      <c r="A2303" s="199"/>
    </row>
    <row r="2304" spans="1:1" s="200" customFormat="1" ht="12" hidden="1" customHeight="1">
      <c r="A2304" s="199"/>
    </row>
    <row r="2305" spans="1:1" s="200" customFormat="1" ht="12" hidden="1" customHeight="1">
      <c r="A2305" s="199"/>
    </row>
    <row r="2306" spans="1:1" s="200" customFormat="1" ht="12" hidden="1" customHeight="1">
      <c r="A2306" s="199"/>
    </row>
    <row r="2307" spans="1:1" s="200" customFormat="1" ht="12" hidden="1" customHeight="1">
      <c r="A2307" s="199"/>
    </row>
    <row r="2308" spans="1:1" s="200" customFormat="1" ht="12" hidden="1" customHeight="1">
      <c r="A2308" s="199"/>
    </row>
    <row r="2309" spans="1:1" s="200" customFormat="1" ht="12" hidden="1" customHeight="1">
      <c r="A2309" s="199"/>
    </row>
    <row r="2310" spans="1:1" s="200" customFormat="1" ht="12" hidden="1" customHeight="1">
      <c r="A2310" s="199"/>
    </row>
    <row r="2311" spans="1:1" s="200" customFormat="1" ht="12" hidden="1" customHeight="1">
      <c r="A2311" s="199"/>
    </row>
    <row r="2312" spans="1:1" s="200" customFormat="1" ht="12" hidden="1" customHeight="1">
      <c r="A2312" s="199"/>
    </row>
    <row r="2313" spans="1:1" s="200" customFormat="1" ht="12" hidden="1" customHeight="1">
      <c r="A2313" s="199"/>
    </row>
    <row r="2314" spans="1:1" s="200" customFormat="1" ht="12" hidden="1" customHeight="1">
      <c r="A2314" s="199"/>
    </row>
    <row r="2315" spans="1:1" s="200" customFormat="1" ht="12" hidden="1" customHeight="1">
      <c r="A2315" s="199"/>
    </row>
    <row r="2316" spans="1:1" s="200" customFormat="1" ht="12" hidden="1" customHeight="1">
      <c r="A2316" s="199"/>
    </row>
    <row r="2317" spans="1:1" s="200" customFormat="1" ht="12" hidden="1" customHeight="1">
      <c r="A2317" s="199"/>
    </row>
    <row r="2318" spans="1:1" s="200" customFormat="1" ht="12" hidden="1" customHeight="1">
      <c r="A2318" s="199"/>
    </row>
    <row r="2319" spans="1:1" s="200" customFormat="1" ht="12" hidden="1" customHeight="1">
      <c r="A2319" s="199"/>
    </row>
    <row r="2320" spans="1:1" s="200" customFormat="1" ht="12" hidden="1" customHeight="1">
      <c r="A2320" s="199"/>
    </row>
    <row r="2321" spans="1:1" s="200" customFormat="1" ht="12" hidden="1" customHeight="1">
      <c r="A2321" s="199"/>
    </row>
    <row r="2322" spans="1:1" s="200" customFormat="1" ht="12" hidden="1" customHeight="1">
      <c r="A2322" s="199"/>
    </row>
    <row r="2323" spans="1:1" s="200" customFormat="1" ht="12" hidden="1" customHeight="1">
      <c r="A2323" s="199"/>
    </row>
    <row r="2324" spans="1:1" s="200" customFormat="1" ht="12" hidden="1" customHeight="1">
      <c r="A2324" s="199"/>
    </row>
    <row r="2325" spans="1:1" s="200" customFormat="1" ht="12" hidden="1" customHeight="1">
      <c r="A2325" s="199"/>
    </row>
    <row r="2326" spans="1:1" s="200" customFormat="1" ht="12" hidden="1" customHeight="1">
      <c r="A2326" s="199"/>
    </row>
    <row r="2327" spans="1:1" s="200" customFormat="1" ht="12" hidden="1" customHeight="1">
      <c r="A2327" s="199"/>
    </row>
    <row r="2328" spans="1:1" s="200" customFormat="1" ht="12" hidden="1" customHeight="1">
      <c r="A2328" s="199"/>
    </row>
    <row r="2329" spans="1:1" s="200" customFormat="1" ht="12" hidden="1" customHeight="1">
      <c r="A2329" s="199"/>
    </row>
    <row r="2330" spans="1:1" s="200" customFormat="1" ht="12" hidden="1" customHeight="1">
      <c r="A2330" s="199"/>
    </row>
    <row r="2331" spans="1:1" s="200" customFormat="1" ht="12" hidden="1" customHeight="1">
      <c r="A2331" s="199"/>
    </row>
    <row r="2332" spans="1:1" s="200" customFormat="1" ht="12" hidden="1" customHeight="1">
      <c r="A2332" s="199"/>
    </row>
    <row r="2333" spans="1:1" s="200" customFormat="1" ht="12" hidden="1" customHeight="1">
      <c r="A2333" s="199"/>
    </row>
    <row r="2334" spans="1:1" s="200" customFormat="1" ht="12" hidden="1" customHeight="1">
      <c r="A2334" s="199"/>
    </row>
    <row r="2335" spans="1:1" s="200" customFormat="1" ht="12" hidden="1" customHeight="1">
      <c r="A2335" s="199"/>
    </row>
    <row r="2336" spans="1:1" s="200" customFormat="1" ht="12" hidden="1" customHeight="1">
      <c r="A2336" s="199"/>
    </row>
    <row r="2337" spans="1:1" s="200" customFormat="1" ht="12" hidden="1" customHeight="1">
      <c r="A2337" s="199"/>
    </row>
    <row r="2338" spans="1:1" s="200" customFormat="1" ht="12" hidden="1" customHeight="1">
      <c r="A2338" s="199"/>
    </row>
    <row r="2339" spans="1:1" s="200" customFormat="1" ht="12" hidden="1" customHeight="1">
      <c r="A2339" s="199"/>
    </row>
    <row r="2340" spans="1:1" s="200" customFormat="1" ht="12" hidden="1" customHeight="1">
      <c r="A2340" s="199"/>
    </row>
    <row r="2341" spans="1:1" s="200" customFormat="1" ht="12" hidden="1" customHeight="1">
      <c r="A2341" s="199"/>
    </row>
    <row r="2342" spans="1:1" s="200" customFormat="1" ht="12" hidden="1" customHeight="1">
      <c r="A2342" s="199"/>
    </row>
    <row r="2343" spans="1:1" s="200" customFormat="1" ht="12" hidden="1" customHeight="1">
      <c r="A2343" s="199"/>
    </row>
    <row r="2344" spans="1:1" s="200" customFormat="1" ht="12" hidden="1" customHeight="1">
      <c r="A2344" s="199"/>
    </row>
    <row r="2345" spans="1:1" s="200" customFormat="1" ht="12" hidden="1" customHeight="1">
      <c r="A2345" s="199"/>
    </row>
    <row r="2346" spans="1:1" s="200" customFormat="1" ht="12" hidden="1" customHeight="1">
      <c r="A2346" s="199"/>
    </row>
    <row r="2347" spans="1:1" s="200" customFormat="1" ht="12" hidden="1" customHeight="1">
      <c r="A2347" s="199"/>
    </row>
    <row r="2348" spans="1:1" s="200" customFormat="1" ht="12" hidden="1" customHeight="1">
      <c r="A2348" s="199"/>
    </row>
    <row r="2349" spans="1:1" s="200" customFormat="1" ht="12" hidden="1" customHeight="1">
      <c r="A2349" s="199"/>
    </row>
    <row r="2350" spans="1:1" s="200" customFormat="1" ht="12" hidden="1" customHeight="1">
      <c r="A2350" s="199"/>
    </row>
    <row r="2351" spans="1:1" s="200" customFormat="1" ht="12" hidden="1" customHeight="1">
      <c r="A2351" s="199"/>
    </row>
    <row r="2352" spans="1:1" s="200" customFormat="1" ht="12" hidden="1" customHeight="1">
      <c r="A2352" s="199"/>
    </row>
    <row r="2353" spans="1:1" s="200" customFormat="1" ht="12" hidden="1" customHeight="1">
      <c r="A2353" s="199"/>
    </row>
    <row r="2354" spans="1:1" s="200" customFormat="1" ht="12" hidden="1" customHeight="1">
      <c r="A2354" s="199"/>
    </row>
    <row r="2355" spans="1:1" s="200" customFormat="1" ht="12" hidden="1" customHeight="1">
      <c r="A2355" s="199"/>
    </row>
    <row r="2356" spans="1:1" s="200" customFormat="1" ht="12" hidden="1" customHeight="1">
      <c r="A2356" s="199"/>
    </row>
    <row r="2357" spans="1:1" s="200" customFormat="1" ht="12" hidden="1" customHeight="1">
      <c r="A2357" s="199"/>
    </row>
    <row r="2358" spans="1:1" s="200" customFormat="1" ht="12" hidden="1" customHeight="1">
      <c r="A2358" s="199"/>
    </row>
    <row r="2359" spans="1:1" s="200" customFormat="1" ht="12" hidden="1" customHeight="1">
      <c r="A2359" s="199"/>
    </row>
    <row r="2360" spans="1:1" s="200" customFormat="1" ht="12" hidden="1" customHeight="1">
      <c r="A2360" s="199"/>
    </row>
    <row r="2361" spans="1:1" s="200" customFormat="1" ht="12" hidden="1" customHeight="1">
      <c r="A2361" s="199"/>
    </row>
    <row r="2362" spans="1:1" s="200" customFormat="1" ht="12" hidden="1" customHeight="1">
      <c r="A2362" s="199"/>
    </row>
    <row r="2363" spans="1:1" s="200" customFormat="1" ht="12" hidden="1" customHeight="1">
      <c r="A2363" s="199"/>
    </row>
    <row r="2364" spans="1:1" s="200" customFormat="1" ht="12" hidden="1" customHeight="1">
      <c r="A2364" s="199"/>
    </row>
    <row r="2365" spans="1:1" s="200" customFormat="1" ht="12" hidden="1" customHeight="1">
      <c r="A2365" s="199"/>
    </row>
    <row r="2366" spans="1:1" s="200" customFormat="1" ht="12" hidden="1" customHeight="1">
      <c r="A2366" s="199"/>
    </row>
    <row r="2367" spans="1:1" s="200" customFormat="1" ht="12" hidden="1" customHeight="1">
      <c r="A2367" s="199"/>
    </row>
    <row r="2368" spans="1:1" s="200" customFormat="1" ht="12" hidden="1" customHeight="1">
      <c r="A2368" s="199"/>
    </row>
    <row r="2369" spans="1:1" s="200" customFormat="1" ht="12" hidden="1" customHeight="1">
      <c r="A2369" s="199"/>
    </row>
    <row r="2370" spans="1:1" s="200" customFormat="1" ht="12" hidden="1" customHeight="1">
      <c r="A2370" s="199"/>
    </row>
    <row r="2371" spans="1:1" s="200" customFormat="1" ht="12" hidden="1" customHeight="1">
      <c r="A2371" s="199"/>
    </row>
    <row r="2372" spans="1:1" s="200" customFormat="1" ht="12" hidden="1" customHeight="1">
      <c r="A2372" s="199"/>
    </row>
    <row r="2373" spans="1:1" s="200" customFormat="1" ht="12" hidden="1" customHeight="1">
      <c r="A2373" s="199"/>
    </row>
    <row r="2374" spans="1:1" s="200" customFormat="1" ht="12" hidden="1" customHeight="1">
      <c r="A2374" s="199"/>
    </row>
    <row r="2375" spans="1:1" s="200" customFormat="1" ht="12" hidden="1" customHeight="1">
      <c r="A2375" s="199"/>
    </row>
    <row r="2376" spans="1:1" s="200" customFormat="1" ht="12" hidden="1" customHeight="1">
      <c r="A2376" s="199"/>
    </row>
    <row r="2377" spans="1:1" s="200" customFormat="1" ht="12" hidden="1" customHeight="1">
      <c r="A2377" s="199"/>
    </row>
    <row r="2378" spans="1:1" s="200" customFormat="1" ht="12" hidden="1" customHeight="1">
      <c r="A2378" s="199"/>
    </row>
    <row r="2379" spans="1:1" s="200" customFormat="1" ht="12" hidden="1" customHeight="1">
      <c r="A2379" s="199"/>
    </row>
    <row r="2380" spans="1:1" s="200" customFormat="1" ht="12" hidden="1" customHeight="1">
      <c r="A2380" s="199"/>
    </row>
    <row r="2381" spans="1:1" s="200" customFormat="1" ht="12" hidden="1" customHeight="1">
      <c r="A2381" s="199"/>
    </row>
    <row r="2382" spans="1:1" s="200" customFormat="1" ht="12" hidden="1" customHeight="1">
      <c r="A2382" s="199"/>
    </row>
    <row r="2383" spans="1:1" s="200" customFormat="1" ht="12" hidden="1" customHeight="1">
      <c r="A2383" s="199"/>
    </row>
    <row r="2384" spans="1:1" s="200" customFormat="1" ht="12" hidden="1" customHeight="1">
      <c r="A2384" s="199"/>
    </row>
    <row r="2385" spans="1:1" s="200" customFormat="1" ht="12" hidden="1" customHeight="1">
      <c r="A2385" s="199"/>
    </row>
    <row r="2386" spans="1:1" s="200" customFormat="1" ht="12" hidden="1" customHeight="1">
      <c r="A2386" s="199"/>
    </row>
    <row r="2387" spans="1:1" s="200" customFormat="1" ht="12" hidden="1" customHeight="1">
      <c r="A2387" s="199"/>
    </row>
    <row r="2388" spans="1:1" s="200" customFormat="1" ht="12" hidden="1" customHeight="1">
      <c r="A2388" s="199"/>
    </row>
    <row r="2389" spans="1:1" s="200" customFormat="1" ht="12" hidden="1" customHeight="1">
      <c r="A2389" s="199"/>
    </row>
    <row r="2390" spans="1:1" s="200" customFormat="1" ht="12" hidden="1" customHeight="1">
      <c r="A2390" s="199"/>
    </row>
    <row r="2391" spans="1:1" s="200" customFormat="1" ht="12" hidden="1" customHeight="1">
      <c r="A2391" s="199"/>
    </row>
    <row r="2392" spans="1:1" s="200" customFormat="1" ht="12" hidden="1" customHeight="1">
      <c r="A2392" s="199"/>
    </row>
    <row r="2393" spans="1:1" s="200" customFormat="1" ht="12" hidden="1" customHeight="1">
      <c r="A2393" s="199"/>
    </row>
    <row r="2394" spans="1:1" s="200" customFormat="1" ht="12" hidden="1" customHeight="1">
      <c r="A2394" s="199"/>
    </row>
    <row r="2395" spans="1:1" s="200" customFormat="1" ht="12" hidden="1" customHeight="1">
      <c r="A2395" s="199"/>
    </row>
    <row r="2396" spans="1:1" s="200" customFormat="1" ht="12" hidden="1" customHeight="1">
      <c r="A2396" s="199"/>
    </row>
    <row r="2397" spans="1:1" s="200" customFormat="1" ht="12" hidden="1" customHeight="1">
      <c r="A2397" s="199"/>
    </row>
    <row r="2398" spans="1:1" s="200" customFormat="1" ht="12" hidden="1" customHeight="1">
      <c r="A2398" s="199"/>
    </row>
    <row r="2399" spans="1:1" s="200" customFormat="1" ht="12" hidden="1" customHeight="1">
      <c r="A2399" s="199"/>
    </row>
    <row r="2400" spans="1:1" s="200" customFormat="1" ht="12" hidden="1" customHeight="1">
      <c r="A2400" s="199"/>
    </row>
    <row r="2401" spans="1:1" s="200" customFormat="1" ht="12" hidden="1" customHeight="1">
      <c r="A2401" s="199"/>
    </row>
    <row r="2402" spans="1:1" s="200" customFormat="1" ht="12" hidden="1" customHeight="1">
      <c r="A2402" s="199"/>
    </row>
    <row r="2403" spans="1:1" s="200" customFormat="1" ht="12" hidden="1" customHeight="1">
      <c r="A2403" s="199"/>
    </row>
    <row r="2404" spans="1:1" s="200" customFormat="1" ht="12" hidden="1" customHeight="1">
      <c r="A2404" s="199"/>
    </row>
    <row r="2405" spans="1:1" s="200" customFormat="1" ht="12" hidden="1" customHeight="1">
      <c r="A2405" s="199"/>
    </row>
    <row r="2406" spans="1:1" s="200" customFormat="1" ht="12" hidden="1" customHeight="1">
      <c r="A2406" s="199"/>
    </row>
    <row r="2407" spans="1:1" s="200" customFormat="1" ht="12" hidden="1" customHeight="1">
      <c r="A2407" s="199"/>
    </row>
    <row r="2408" spans="1:1" s="200" customFormat="1" ht="12" hidden="1" customHeight="1">
      <c r="A2408" s="199"/>
    </row>
    <row r="2409" spans="1:1" s="200" customFormat="1" ht="12" hidden="1" customHeight="1">
      <c r="A2409" s="199"/>
    </row>
    <row r="2410" spans="1:1" s="200" customFormat="1" ht="12" hidden="1" customHeight="1">
      <c r="A2410" s="199"/>
    </row>
    <row r="2411" spans="1:1" s="200" customFormat="1" ht="12" hidden="1" customHeight="1">
      <c r="A2411" s="199"/>
    </row>
    <row r="2412" spans="1:1" s="200" customFormat="1" ht="12" hidden="1" customHeight="1">
      <c r="A2412" s="199"/>
    </row>
    <row r="2413" spans="1:1" s="200" customFormat="1" ht="12" hidden="1" customHeight="1">
      <c r="A2413" s="199"/>
    </row>
    <row r="2414" spans="1:1" s="200" customFormat="1" ht="12" hidden="1" customHeight="1">
      <c r="A2414" s="199"/>
    </row>
    <row r="2415" spans="1:1" s="200" customFormat="1" ht="12" hidden="1" customHeight="1">
      <c r="A2415" s="199"/>
    </row>
    <row r="2416" spans="1:1" s="200" customFormat="1" ht="12" hidden="1" customHeight="1">
      <c r="A2416" s="199"/>
    </row>
    <row r="2417" spans="1:1" s="200" customFormat="1" ht="12" hidden="1" customHeight="1">
      <c r="A2417" s="199"/>
    </row>
    <row r="2418" spans="1:1" s="200" customFormat="1" ht="12" hidden="1" customHeight="1">
      <c r="A2418" s="199"/>
    </row>
    <row r="2419" spans="1:1" s="200" customFormat="1" ht="12" hidden="1" customHeight="1">
      <c r="A2419" s="199"/>
    </row>
    <row r="2420" spans="1:1" s="200" customFormat="1" ht="12" hidden="1" customHeight="1">
      <c r="A2420" s="199"/>
    </row>
    <row r="2421" spans="1:1" s="200" customFormat="1" ht="12" hidden="1" customHeight="1">
      <c r="A2421" s="199"/>
    </row>
    <row r="2422" spans="1:1" s="200" customFormat="1" ht="12" hidden="1" customHeight="1">
      <c r="A2422" s="199"/>
    </row>
    <row r="2423" spans="1:1" s="200" customFormat="1" ht="12" hidden="1" customHeight="1">
      <c r="A2423" s="199"/>
    </row>
    <row r="2424" spans="1:1" s="200" customFormat="1" ht="12" hidden="1" customHeight="1">
      <c r="A2424" s="199"/>
    </row>
    <row r="2425" spans="1:1" s="200" customFormat="1" ht="12" hidden="1" customHeight="1">
      <c r="A2425" s="199"/>
    </row>
    <row r="2426" spans="1:1" s="200" customFormat="1" ht="12" hidden="1" customHeight="1">
      <c r="A2426" s="199"/>
    </row>
    <row r="2427" spans="1:1" s="200" customFormat="1" ht="12" hidden="1" customHeight="1">
      <c r="A2427" s="199"/>
    </row>
    <row r="2428" spans="1:1" s="200" customFormat="1" ht="12" hidden="1" customHeight="1">
      <c r="A2428" s="199"/>
    </row>
    <row r="2429" spans="1:1" s="200" customFormat="1" ht="12" hidden="1" customHeight="1">
      <c r="A2429" s="199"/>
    </row>
    <row r="2430" spans="1:1" s="200" customFormat="1" ht="12" hidden="1" customHeight="1">
      <c r="A2430" s="199"/>
    </row>
    <row r="2431" spans="1:1" s="200" customFormat="1" ht="12" hidden="1" customHeight="1">
      <c r="A2431" s="199"/>
    </row>
    <row r="2432" spans="1:1" s="200" customFormat="1" ht="12" hidden="1" customHeight="1">
      <c r="A2432" s="199"/>
    </row>
    <row r="2433" spans="1:1" s="200" customFormat="1" ht="12" hidden="1" customHeight="1">
      <c r="A2433" s="199"/>
    </row>
    <row r="2434" spans="1:1" s="200" customFormat="1" ht="12" hidden="1" customHeight="1">
      <c r="A2434" s="199"/>
    </row>
    <row r="2435" spans="1:1" s="200" customFormat="1" ht="12" hidden="1" customHeight="1">
      <c r="A2435" s="199"/>
    </row>
    <row r="2436" spans="1:1" s="200" customFormat="1" ht="12" hidden="1" customHeight="1">
      <c r="A2436" s="199"/>
    </row>
    <row r="2437" spans="1:1" s="200" customFormat="1" ht="12" hidden="1" customHeight="1">
      <c r="A2437" s="199"/>
    </row>
    <row r="2438" spans="1:1" s="200" customFormat="1" ht="12" hidden="1" customHeight="1">
      <c r="A2438" s="199"/>
    </row>
    <row r="2439" spans="1:1" s="200" customFormat="1" ht="12" hidden="1" customHeight="1">
      <c r="A2439" s="199"/>
    </row>
    <row r="2440" spans="1:1" s="200" customFormat="1" ht="12" hidden="1" customHeight="1">
      <c r="A2440" s="199"/>
    </row>
    <row r="2441" spans="1:1" s="200" customFormat="1" ht="12" hidden="1" customHeight="1">
      <c r="A2441" s="199"/>
    </row>
    <row r="2442" spans="1:1" s="200" customFormat="1" ht="12" hidden="1" customHeight="1">
      <c r="A2442" s="199"/>
    </row>
    <row r="2443" spans="1:1" s="200" customFormat="1" ht="12" hidden="1" customHeight="1">
      <c r="A2443" s="199"/>
    </row>
    <row r="2444" spans="1:1" s="200" customFormat="1" ht="12" hidden="1" customHeight="1">
      <c r="A2444" s="199"/>
    </row>
    <row r="2445" spans="1:1" s="200" customFormat="1" ht="12" hidden="1" customHeight="1">
      <c r="A2445" s="199"/>
    </row>
    <row r="2446" spans="1:1" s="200" customFormat="1" ht="12" hidden="1" customHeight="1">
      <c r="A2446" s="199"/>
    </row>
    <row r="2447" spans="1:1" s="200" customFormat="1" ht="12" hidden="1" customHeight="1">
      <c r="A2447" s="199"/>
    </row>
    <row r="2448" spans="1:1" s="200" customFormat="1" ht="12" hidden="1" customHeight="1">
      <c r="A2448" s="199"/>
    </row>
    <row r="2449" spans="1:1" s="200" customFormat="1" ht="12" hidden="1" customHeight="1">
      <c r="A2449" s="199"/>
    </row>
    <row r="2450" spans="1:1" s="200" customFormat="1" ht="12" hidden="1" customHeight="1">
      <c r="A2450" s="199"/>
    </row>
    <row r="2451" spans="1:1" s="200" customFormat="1" ht="12" hidden="1" customHeight="1">
      <c r="A2451" s="199"/>
    </row>
    <row r="2452" spans="1:1" s="200" customFormat="1" ht="12" hidden="1" customHeight="1">
      <c r="A2452" s="199"/>
    </row>
    <row r="2453" spans="1:1" s="200" customFormat="1" ht="12" hidden="1" customHeight="1">
      <c r="A2453" s="199"/>
    </row>
    <row r="2454" spans="1:1" s="200" customFormat="1" ht="12" hidden="1" customHeight="1">
      <c r="A2454" s="199"/>
    </row>
    <row r="2455" spans="1:1" s="200" customFormat="1" ht="12" hidden="1" customHeight="1">
      <c r="A2455" s="199"/>
    </row>
    <row r="2456" spans="1:1" s="200" customFormat="1" ht="12" hidden="1" customHeight="1">
      <c r="A2456" s="199"/>
    </row>
    <row r="2457" spans="1:1" s="200" customFormat="1" ht="12" hidden="1" customHeight="1">
      <c r="A2457" s="199"/>
    </row>
    <row r="2458" spans="1:1" s="200" customFormat="1" ht="12" hidden="1" customHeight="1">
      <c r="A2458" s="199"/>
    </row>
    <row r="2459" spans="1:1" s="200" customFormat="1" ht="12" hidden="1" customHeight="1">
      <c r="A2459" s="199"/>
    </row>
    <row r="2460" spans="1:1" s="200" customFormat="1" ht="12" hidden="1" customHeight="1">
      <c r="A2460" s="199"/>
    </row>
    <row r="2461" spans="1:1" s="200" customFormat="1" ht="12" hidden="1" customHeight="1">
      <c r="A2461" s="199"/>
    </row>
    <row r="2462" spans="1:1" s="200" customFormat="1" ht="12" hidden="1" customHeight="1">
      <c r="A2462" s="199"/>
    </row>
    <row r="2463" spans="1:1" s="200" customFormat="1" ht="12" hidden="1" customHeight="1">
      <c r="A2463" s="199"/>
    </row>
    <row r="2464" spans="1:1" s="200" customFormat="1" ht="12" hidden="1" customHeight="1">
      <c r="A2464" s="199"/>
    </row>
    <row r="2465" spans="1:1" s="200" customFormat="1" ht="12" hidden="1" customHeight="1">
      <c r="A2465" s="199"/>
    </row>
    <row r="2466" spans="1:1" s="200" customFormat="1" ht="12" hidden="1" customHeight="1">
      <c r="A2466" s="199"/>
    </row>
    <row r="2467" spans="1:1" s="200" customFormat="1" ht="12" hidden="1" customHeight="1">
      <c r="A2467" s="199"/>
    </row>
    <row r="2468" spans="1:1" s="200" customFormat="1" ht="12" hidden="1" customHeight="1">
      <c r="A2468" s="199"/>
    </row>
    <row r="2469" spans="1:1" s="200" customFormat="1" ht="12" hidden="1" customHeight="1">
      <c r="A2469" s="199"/>
    </row>
    <row r="2470" spans="1:1" s="200" customFormat="1" ht="12" hidden="1" customHeight="1">
      <c r="A2470" s="199"/>
    </row>
    <row r="2471" spans="1:1" s="200" customFormat="1" ht="12" hidden="1" customHeight="1">
      <c r="A2471" s="199"/>
    </row>
    <row r="2472" spans="1:1" s="200" customFormat="1" ht="12" hidden="1" customHeight="1">
      <c r="A2472" s="199"/>
    </row>
    <row r="2473" spans="1:1" s="200" customFormat="1" ht="12" hidden="1" customHeight="1">
      <c r="A2473" s="199"/>
    </row>
    <row r="2474" spans="1:1" s="200" customFormat="1" ht="12" hidden="1" customHeight="1">
      <c r="A2474" s="199"/>
    </row>
    <row r="2475" spans="1:1" s="200" customFormat="1" ht="12" hidden="1" customHeight="1">
      <c r="A2475" s="199"/>
    </row>
    <row r="2476" spans="1:1" s="200" customFormat="1" ht="12" hidden="1" customHeight="1">
      <c r="A2476" s="199"/>
    </row>
    <row r="2477" spans="1:1" s="200" customFormat="1" ht="12" hidden="1" customHeight="1">
      <c r="A2477" s="199"/>
    </row>
    <row r="2478" spans="1:1" s="200" customFormat="1" ht="12" hidden="1" customHeight="1">
      <c r="A2478" s="199"/>
    </row>
    <row r="2479" spans="1:1" s="200" customFormat="1" ht="12" hidden="1" customHeight="1">
      <c r="A2479" s="199"/>
    </row>
    <row r="2480" spans="1:1" s="200" customFormat="1" ht="12" hidden="1" customHeight="1">
      <c r="A2480" s="199"/>
    </row>
    <row r="2481" spans="1:1" s="200" customFormat="1" ht="12" hidden="1" customHeight="1">
      <c r="A2481" s="199"/>
    </row>
    <row r="2482" spans="1:1" s="200" customFormat="1" ht="12" hidden="1" customHeight="1">
      <c r="A2482" s="199"/>
    </row>
    <row r="2483" spans="1:1" s="200" customFormat="1" ht="12" hidden="1" customHeight="1">
      <c r="A2483" s="199"/>
    </row>
    <row r="2484" spans="1:1" s="200" customFormat="1" ht="12" hidden="1" customHeight="1">
      <c r="A2484" s="199"/>
    </row>
    <row r="2485" spans="1:1" s="200" customFormat="1" ht="12" hidden="1" customHeight="1">
      <c r="A2485" s="199"/>
    </row>
    <row r="2486" spans="1:1" s="200" customFormat="1" ht="12" hidden="1" customHeight="1">
      <c r="A2486" s="199"/>
    </row>
    <row r="2487" spans="1:1" s="200" customFormat="1" ht="12" hidden="1" customHeight="1">
      <c r="A2487" s="199"/>
    </row>
    <row r="2488" spans="1:1" s="200" customFormat="1" ht="12" hidden="1" customHeight="1">
      <c r="A2488" s="199"/>
    </row>
    <row r="2489" spans="1:1" s="200" customFormat="1" ht="12" hidden="1" customHeight="1">
      <c r="A2489" s="199"/>
    </row>
    <row r="2490" spans="1:1" s="200" customFormat="1" ht="12" hidden="1" customHeight="1">
      <c r="A2490" s="199"/>
    </row>
    <row r="2491" spans="1:1" s="200" customFormat="1" ht="12" hidden="1" customHeight="1">
      <c r="A2491" s="199"/>
    </row>
    <row r="2492" spans="1:1" s="200" customFormat="1" ht="12" hidden="1" customHeight="1">
      <c r="A2492" s="199"/>
    </row>
    <row r="2493" spans="1:1" s="200" customFormat="1" ht="12" hidden="1" customHeight="1">
      <c r="A2493" s="199"/>
    </row>
    <row r="2494" spans="1:1" s="200" customFormat="1" ht="12" hidden="1" customHeight="1">
      <c r="A2494" s="199"/>
    </row>
    <row r="2495" spans="1:1" s="200" customFormat="1" ht="12" hidden="1" customHeight="1">
      <c r="A2495" s="199"/>
    </row>
    <row r="2496" spans="1:1" s="200" customFormat="1" ht="12" hidden="1" customHeight="1">
      <c r="A2496" s="199"/>
    </row>
    <row r="2497" spans="1:1" s="200" customFormat="1" ht="12" hidden="1" customHeight="1">
      <c r="A2497" s="199"/>
    </row>
    <row r="2498" spans="1:1" s="200" customFormat="1" ht="12" hidden="1" customHeight="1">
      <c r="A2498" s="199"/>
    </row>
    <row r="2499" spans="1:1" s="200" customFormat="1" ht="12" hidden="1" customHeight="1">
      <c r="A2499" s="199"/>
    </row>
    <row r="2500" spans="1:1" s="200" customFormat="1" ht="12" hidden="1" customHeight="1">
      <c r="A2500" s="199"/>
    </row>
    <row r="2501" spans="1:1" s="200" customFormat="1" ht="12" hidden="1" customHeight="1">
      <c r="A2501" s="199"/>
    </row>
    <row r="2502" spans="1:1" s="200" customFormat="1" ht="12" hidden="1" customHeight="1">
      <c r="A2502" s="199"/>
    </row>
    <row r="2503" spans="1:1" s="200" customFormat="1" ht="12" hidden="1" customHeight="1">
      <c r="A2503" s="199"/>
    </row>
    <row r="2504" spans="1:1" s="200" customFormat="1" ht="12" hidden="1" customHeight="1">
      <c r="A2504" s="199"/>
    </row>
    <row r="2505" spans="1:1" s="200" customFormat="1" ht="12" hidden="1" customHeight="1">
      <c r="A2505" s="199"/>
    </row>
    <row r="2506" spans="1:1" s="200" customFormat="1" ht="12" hidden="1" customHeight="1">
      <c r="A2506" s="199"/>
    </row>
    <row r="2507" spans="1:1" s="200" customFormat="1" ht="12" hidden="1" customHeight="1">
      <c r="A2507" s="199"/>
    </row>
    <row r="2508" spans="1:1" s="200" customFormat="1" ht="12" hidden="1" customHeight="1">
      <c r="A2508" s="199"/>
    </row>
    <row r="2509" spans="1:1" s="200" customFormat="1" ht="12" hidden="1" customHeight="1">
      <c r="A2509" s="199"/>
    </row>
    <row r="2510" spans="1:1" s="200" customFormat="1" ht="12" hidden="1" customHeight="1">
      <c r="A2510" s="199"/>
    </row>
    <row r="2511" spans="1:1" s="200" customFormat="1" ht="12" hidden="1" customHeight="1">
      <c r="A2511" s="199"/>
    </row>
    <row r="2512" spans="1:1" s="200" customFormat="1" ht="12" hidden="1" customHeight="1">
      <c r="A2512" s="199"/>
    </row>
    <row r="2513" spans="1:1" s="200" customFormat="1" ht="12" hidden="1" customHeight="1">
      <c r="A2513" s="199"/>
    </row>
    <row r="2514" spans="1:1" s="200" customFormat="1" ht="12" hidden="1" customHeight="1">
      <c r="A2514" s="199"/>
    </row>
    <row r="2515" spans="1:1" s="200" customFormat="1" ht="12" hidden="1" customHeight="1">
      <c r="A2515" s="199"/>
    </row>
    <row r="2516" spans="1:1" s="200" customFormat="1" ht="12" hidden="1" customHeight="1">
      <c r="A2516" s="199"/>
    </row>
    <row r="2517" spans="1:1" s="200" customFormat="1" ht="12" hidden="1" customHeight="1">
      <c r="A2517" s="199"/>
    </row>
    <row r="2518" spans="1:1" s="200" customFormat="1" ht="12" hidden="1" customHeight="1">
      <c r="A2518" s="199"/>
    </row>
    <row r="2519" spans="1:1" s="200" customFormat="1" ht="12" hidden="1" customHeight="1">
      <c r="A2519" s="199"/>
    </row>
    <row r="2520" spans="1:1" s="200" customFormat="1" ht="12" hidden="1" customHeight="1">
      <c r="A2520" s="199"/>
    </row>
    <row r="2521" spans="1:1" s="200" customFormat="1" ht="12" hidden="1" customHeight="1">
      <c r="A2521" s="199"/>
    </row>
    <row r="2522" spans="1:1" s="200" customFormat="1" ht="12" hidden="1" customHeight="1">
      <c r="A2522" s="199"/>
    </row>
    <row r="2523" spans="1:1" s="200" customFormat="1" ht="12" hidden="1" customHeight="1">
      <c r="A2523" s="199"/>
    </row>
    <row r="2524" spans="1:1" s="200" customFormat="1" ht="12" hidden="1" customHeight="1">
      <c r="A2524" s="199"/>
    </row>
    <row r="2525" spans="1:1" s="200" customFormat="1" ht="12" hidden="1" customHeight="1">
      <c r="A2525" s="199"/>
    </row>
    <row r="2526" spans="1:1" s="200" customFormat="1" ht="12" hidden="1" customHeight="1">
      <c r="A2526" s="199"/>
    </row>
    <row r="2527" spans="1:1" s="200" customFormat="1" ht="12" hidden="1" customHeight="1">
      <c r="A2527" s="199"/>
    </row>
    <row r="2528" spans="1:1" s="200" customFormat="1" ht="12" hidden="1" customHeight="1">
      <c r="A2528" s="199"/>
    </row>
    <row r="2529" spans="1:1" s="200" customFormat="1" ht="12" hidden="1" customHeight="1">
      <c r="A2529" s="199"/>
    </row>
    <row r="2530" spans="1:1" s="200" customFormat="1" ht="12" hidden="1" customHeight="1">
      <c r="A2530" s="199"/>
    </row>
    <row r="2531" spans="1:1" s="200" customFormat="1" ht="12" hidden="1" customHeight="1">
      <c r="A2531" s="199"/>
    </row>
    <row r="2532" spans="1:1" s="200" customFormat="1" ht="12" hidden="1" customHeight="1">
      <c r="A2532" s="199"/>
    </row>
    <row r="2533" spans="1:1" s="200" customFormat="1" ht="12" hidden="1" customHeight="1">
      <c r="A2533" s="199"/>
    </row>
    <row r="2534" spans="1:1" s="200" customFormat="1" ht="12" hidden="1" customHeight="1">
      <c r="A2534" s="199"/>
    </row>
    <row r="2535" spans="1:1" s="200" customFormat="1" ht="12" hidden="1" customHeight="1">
      <c r="A2535" s="199"/>
    </row>
    <row r="2536" spans="1:1" s="200" customFormat="1" ht="12" hidden="1" customHeight="1">
      <c r="A2536" s="199"/>
    </row>
    <row r="2537" spans="1:1" s="200" customFormat="1" ht="12" hidden="1" customHeight="1">
      <c r="A2537" s="199"/>
    </row>
    <row r="2538" spans="1:1" s="200" customFormat="1" ht="12" hidden="1" customHeight="1">
      <c r="A2538" s="199"/>
    </row>
    <row r="2539" spans="1:1" s="200" customFormat="1" ht="12" hidden="1" customHeight="1">
      <c r="A2539" s="199"/>
    </row>
    <row r="2540" spans="1:1" s="200" customFormat="1" ht="12" hidden="1" customHeight="1">
      <c r="A2540" s="199"/>
    </row>
    <row r="2541" spans="1:1" s="200" customFormat="1" ht="12" hidden="1" customHeight="1">
      <c r="A2541" s="199"/>
    </row>
    <row r="2542" spans="1:1" s="200" customFormat="1" ht="12" hidden="1" customHeight="1">
      <c r="A2542" s="199"/>
    </row>
    <row r="2543" spans="1:1" s="200" customFormat="1" ht="12" hidden="1" customHeight="1">
      <c r="A2543" s="199"/>
    </row>
    <row r="2544" spans="1:1" s="200" customFormat="1" ht="12" hidden="1" customHeight="1">
      <c r="A2544" s="199"/>
    </row>
    <row r="2545" spans="1:1" s="200" customFormat="1" ht="12" hidden="1" customHeight="1">
      <c r="A2545" s="199"/>
    </row>
    <row r="2546" spans="1:1" s="200" customFormat="1" ht="12" hidden="1" customHeight="1">
      <c r="A2546" s="199"/>
    </row>
    <row r="2547" spans="1:1" s="200" customFormat="1" ht="12" hidden="1" customHeight="1">
      <c r="A2547" s="199"/>
    </row>
    <row r="2548" spans="1:1" s="200" customFormat="1" ht="12" hidden="1" customHeight="1">
      <c r="A2548" s="199"/>
    </row>
    <row r="2549" spans="1:1" s="200" customFormat="1" ht="12" hidden="1" customHeight="1">
      <c r="A2549" s="199"/>
    </row>
    <row r="2550" spans="1:1" s="200" customFormat="1" ht="12" hidden="1" customHeight="1">
      <c r="A2550" s="199"/>
    </row>
    <row r="2551" spans="1:1" s="200" customFormat="1" ht="12" hidden="1" customHeight="1">
      <c r="A2551" s="199"/>
    </row>
    <row r="2552" spans="1:1" s="200" customFormat="1" ht="12" hidden="1" customHeight="1">
      <c r="A2552" s="199"/>
    </row>
    <row r="2553" spans="1:1" s="200" customFormat="1" ht="12" hidden="1" customHeight="1">
      <c r="A2553" s="199"/>
    </row>
    <row r="2554" spans="1:1" s="200" customFormat="1" ht="12" hidden="1" customHeight="1">
      <c r="A2554" s="199"/>
    </row>
    <row r="2555" spans="1:1" s="200" customFormat="1" ht="12" hidden="1" customHeight="1">
      <c r="A2555" s="199"/>
    </row>
    <row r="2556" spans="1:1" s="200" customFormat="1" ht="12" hidden="1" customHeight="1">
      <c r="A2556" s="199"/>
    </row>
    <row r="2557" spans="1:1" s="200" customFormat="1" ht="12" hidden="1" customHeight="1">
      <c r="A2557" s="199"/>
    </row>
    <row r="2558" spans="1:1" s="200" customFormat="1" ht="12" hidden="1" customHeight="1">
      <c r="A2558" s="199"/>
    </row>
    <row r="2559" spans="1:1" s="200" customFormat="1" ht="12" hidden="1" customHeight="1">
      <c r="A2559" s="199"/>
    </row>
    <row r="2560" spans="1:1" s="200" customFormat="1" ht="12" hidden="1" customHeight="1">
      <c r="A2560" s="199"/>
    </row>
    <row r="2561" spans="1:1" s="200" customFormat="1" ht="12" hidden="1" customHeight="1">
      <c r="A2561" s="199"/>
    </row>
    <row r="2562" spans="1:1" s="200" customFormat="1" ht="12" hidden="1" customHeight="1">
      <c r="A2562" s="199"/>
    </row>
    <row r="2563" spans="1:1" s="200" customFormat="1" ht="12" hidden="1" customHeight="1">
      <c r="A2563" s="199"/>
    </row>
    <row r="2564" spans="1:1" s="200" customFormat="1" ht="12" hidden="1" customHeight="1">
      <c r="A2564" s="199"/>
    </row>
    <row r="2565" spans="1:1" s="200" customFormat="1" ht="12" hidden="1" customHeight="1">
      <c r="A2565" s="199"/>
    </row>
    <row r="2566" spans="1:1" s="200" customFormat="1" ht="12" hidden="1" customHeight="1">
      <c r="A2566" s="199"/>
    </row>
    <row r="2567" spans="1:1" s="200" customFormat="1" ht="12" hidden="1" customHeight="1">
      <c r="A2567" s="199"/>
    </row>
    <row r="2568" spans="1:1" s="200" customFormat="1" ht="12" hidden="1" customHeight="1">
      <c r="A2568" s="199"/>
    </row>
    <row r="2569" spans="1:1" s="200" customFormat="1" ht="12" hidden="1" customHeight="1">
      <c r="A2569" s="199"/>
    </row>
    <row r="2570" spans="1:1" s="200" customFormat="1" ht="12" hidden="1" customHeight="1">
      <c r="A2570" s="199"/>
    </row>
    <row r="2571" spans="1:1" s="200" customFormat="1" ht="12" hidden="1" customHeight="1">
      <c r="A2571" s="199"/>
    </row>
    <row r="2572" spans="1:1" s="200" customFormat="1" ht="12" hidden="1" customHeight="1">
      <c r="A2572" s="199"/>
    </row>
    <row r="2573" spans="1:1" s="200" customFormat="1" ht="12" hidden="1" customHeight="1">
      <c r="A2573" s="199"/>
    </row>
    <row r="2574" spans="1:1" s="200" customFormat="1" ht="12" hidden="1" customHeight="1">
      <c r="A2574" s="199"/>
    </row>
    <row r="2575" spans="1:1" s="200" customFormat="1" ht="12" hidden="1" customHeight="1">
      <c r="A2575" s="199"/>
    </row>
    <row r="2576" spans="1:1" s="200" customFormat="1" ht="12" hidden="1" customHeight="1">
      <c r="A2576" s="199"/>
    </row>
    <row r="2577" spans="1:1" s="200" customFormat="1" ht="12" hidden="1" customHeight="1">
      <c r="A2577" s="199"/>
    </row>
    <row r="2578" spans="1:1" s="200" customFormat="1" ht="12" hidden="1" customHeight="1">
      <c r="A2578" s="199"/>
    </row>
    <row r="2579" spans="1:1" s="200" customFormat="1" ht="12" hidden="1" customHeight="1">
      <c r="A2579" s="199"/>
    </row>
    <row r="2580" spans="1:1" s="200" customFormat="1" ht="12" hidden="1" customHeight="1">
      <c r="A2580" s="199"/>
    </row>
    <row r="2581" spans="1:1" s="200" customFormat="1" ht="12" hidden="1" customHeight="1">
      <c r="A2581" s="199"/>
    </row>
    <row r="2582" spans="1:1" s="200" customFormat="1" ht="12" hidden="1" customHeight="1">
      <c r="A2582" s="199"/>
    </row>
    <row r="2583" spans="1:1" s="200" customFormat="1" ht="12" hidden="1" customHeight="1">
      <c r="A2583" s="199"/>
    </row>
    <row r="2584" spans="1:1" s="200" customFormat="1" ht="12" hidden="1" customHeight="1">
      <c r="A2584" s="199"/>
    </row>
    <row r="2585" spans="1:1" s="200" customFormat="1" ht="12" hidden="1" customHeight="1">
      <c r="A2585" s="199"/>
    </row>
    <row r="2586" spans="1:1" s="200" customFormat="1" ht="12" hidden="1" customHeight="1">
      <c r="A2586" s="199"/>
    </row>
    <row r="2587" spans="1:1" s="200" customFormat="1" ht="12" hidden="1" customHeight="1">
      <c r="A2587" s="199"/>
    </row>
    <row r="2588" spans="1:1" s="200" customFormat="1" ht="12" hidden="1" customHeight="1">
      <c r="A2588" s="199"/>
    </row>
    <row r="2589" spans="1:1" s="200" customFormat="1" ht="12" hidden="1" customHeight="1">
      <c r="A2589" s="199"/>
    </row>
    <row r="2590" spans="1:1" s="200" customFormat="1" ht="12" hidden="1" customHeight="1">
      <c r="A2590" s="199"/>
    </row>
    <row r="2591" spans="1:1" s="200" customFormat="1" ht="12" hidden="1" customHeight="1">
      <c r="A2591" s="199"/>
    </row>
    <row r="2592" spans="1:1" s="200" customFormat="1" ht="12" hidden="1" customHeight="1">
      <c r="A2592" s="199"/>
    </row>
    <row r="2593" spans="1:1" s="200" customFormat="1" ht="12" hidden="1" customHeight="1">
      <c r="A2593" s="199"/>
    </row>
    <row r="2594" spans="1:1" s="200" customFormat="1" ht="12" hidden="1" customHeight="1">
      <c r="A2594" s="199"/>
    </row>
    <row r="2595" spans="1:1" s="200" customFormat="1" ht="12" hidden="1" customHeight="1">
      <c r="A2595" s="199"/>
    </row>
    <row r="2596" spans="1:1" s="200" customFormat="1" ht="12" hidden="1" customHeight="1">
      <c r="A2596" s="199"/>
    </row>
    <row r="2597" spans="1:1" s="200" customFormat="1" ht="12" hidden="1" customHeight="1">
      <c r="A2597" s="199"/>
    </row>
    <row r="2598" spans="1:1" s="200" customFormat="1" ht="12" hidden="1" customHeight="1">
      <c r="A2598" s="199"/>
    </row>
    <row r="2599" spans="1:1" s="200" customFormat="1" ht="12" hidden="1" customHeight="1">
      <c r="A2599" s="199"/>
    </row>
    <row r="2600" spans="1:1" s="200" customFormat="1" ht="12" hidden="1" customHeight="1">
      <c r="A2600" s="199"/>
    </row>
    <row r="2601" spans="1:1" s="200" customFormat="1" ht="12" hidden="1" customHeight="1">
      <c r="A2601" s="199"/>
    </row>
    <row r="2602" spans="1:1" s="200" customFormat="1" ht="12" hidden="1" customHeight="1">
      <c r="A2602" s="199"/>
    </row>
    <row r="2603" spans="1:1" s="200" customFormat="1" ht="12" hidden="1" customHeight="1">
      <c r="A2603" s="199"/>
    </row>
    <row r="2604" spans="1:1" s="200" customFormat="1" ht="12" hidden="1" customHeight="1">
      <c r="A2604" s="199"/>
    </row>
    <row r="2605" spans="1:1" s="200" customFormat="1" ht="12" hidden="1" customHeight="1">
      <c r="A2605" s="199"/>
    </row>
    <row r="2606" spans="1:1" s="200" customFormat="1" ht="12" hidden="1" customHeight="1">
      <c r="A2606" s="199"/>
    </row>
    <row r="2607" spans="1:1" s="200" customFormat="1" ht="12" hidden="1" customHeight="1">
      <c r="A2607" s="199"/>
    </row>
    <row r="2608" spans="1:1" s="200" customFormat="1" ht="12" hidden="1" customHeight="1">
      <c r="A2608" s="199"/>
    </row>
    <row r="2609" spans="1:1" s="200" customFormat="1" ht="12" hidden="1" customHeight="1">
      <c r="A2609" s="199"/>
    </row>
    <row r="2610" spans="1:1" s="200" customFormat="1" ht="12" hidden="1" customHeight="1">
      <c r="A2610" s="199"/>
    </row>
    <row r="2611" spans="1:1" s="200" customFormat="1" ht="12" hidden="1" customHeight="1">
      <c r="A2611" s="199"/>
    </row>
    <row r="2612" spans="1:1" s="200" customFormat="1" ht="12" hidden="1" customHeight="1">
      <c r="A2612" s="199"/>
    </row>
    <row r="2613" spans="1:1" s="200" customFormat="1" ht="12" hidden="1" customHeight="1">
      <c r="A2613" s="199"/>
    </row>
    <row r="2614" spans="1:1" s="200" customFormat="1" ht="12" hidden="1" customHeight="1">
      <c r="A2614" s="199"/>
    </row>
    <row r="2615" spans="1:1" s="200" customFormat="1" ht="12" hidden="1" customHeight="1">
      <c r="A2615" s="199"/>
    </row>
    <row r="2616" spans="1:1" s="200" customFormat="1" ht="12" hidden="1" customHeight="1">
      <c r="A2616" s="199"/>
    </row>
    <row r="2617" spans="1:1" s="200" customFormat="1" ht="12" hidden="1" customHeight="1">
      <c r="A2617" s="199"/>
    </row>
    <row r="2618" spans="1:1" s="200" customFormat="1" ht="12" hidden="1" customHeight="1">
      <c r="A2618" s="199"/>
    </row>
    <row r="2619" spans="1:1" s="200" customFormat="1" ht="12" hidden="1" customHeight="1">
      <c r="A2619" s="199"/>
    </row>
    <row r="2620" spans="1:1" s="200" customFormat="1" ht="12" hidden="1" customHeight="1">
      <c r="A2620" s="199"/>
    </row>
    <row r="2621" spans="1:1" s="200" customFormat="1" ht="12" hidden="1" customHeight="1">
      <c r="A2621" s="199"/>
    </row>
    <row r="2622" spans="1:1" s="200" customFormat="1" ht="12" hidden="1" customHeight="1">
      <c r="A2622" s="199"/>
    </row>
    <row r="2623" spans="1:1" s="200" customFormat="1" ht="12" hidden="1" customHeight="1">
      <c r="A2623" s="199"/>
    </row>
    <row r="2624" spans="1:1" s="200" customFormat="1" ht="12" hidden="1" customHeight="1">
      <c r="A2624" s="199"/>
    </row>
    <row r="2625" spans="1:1" s="200" customFormat="1" ht="12" hidden="1" customHeight="1">
      <c r="A2625" s="199"/>
    </row>
    <row r="2626" spans="1:1" s="200" customFormat="1" ht="12" hidden="1" customHeight="1">
      <c r="A2626" s="199"/>
    </row>
    <row r="2627" spans="1:1" s="200" customFormat="1" ht="12" hidden="1" customHeight="1">
      <c r="A2627" s="199"/>
    </row>
    <row r="2628" spans="1:1" s="200" customFormat="1" ht="12" hidden="1" customHeight="1">
      <c r="A2628" s="199"/>
    </row>
    <row r="2629" spans="1:1" s="200" customFormat="1" ht="12" hidden="1" customHeight="1">
      <c r="A2629" s="199"/>
    </row>
    <row r="2630" spans="1:1" s="200" customFormat="1" ht="12" hidden="1" customHeight="1">
      <c r="A2630" s="199"/>
    </row>
    <row r="2631" spans="1:1" s="200" customFormat="1" ht="12" hidden="1" customHeight="1">
      <c r="A2631" s="199"/>
    </row>
    <row r="2632" spans="1:1" s="200" customFormat="1" ht="12" hidden="1" customHeight="1">
      <c r="A2632" s="199"/>
    </row>
    <row r="2633" spans="1:1" s="200" customFormat="1" ht="12" hidden="1" customHeight="1">
      <c r="A2633" s="199"/>
    </row>
    <row r="2634" spans="1:1" s="200" customFormat="1" ht="12" hidden="1" customHeight="1">
      <c r="A2634" s="199"/>
    </row>
    <row r="2635" spans="1:1" s="200" customFormat="1" ht="12" hidden="1" customHeight="1">
      <c r="A2635" s="199"/>
    </row>
    <row r="2636" spans="1:1" s="200" customFormat="1" ht="12" hidden="1" customHeight="1">
      <c r="A2636" s="199"/>
    </row>
    <row r="2637" spans="1:1" s="200" customFormat="1" ht="12" hidden="1" customHeight="1">
      <c r="A2637" s="199"/>
    </row>
    <row r="2638" spans="1:1" s="200" customFormat="1" ht="12" hidden="1" customHeight="1">
      <c r="A2638" s="199"/>
    </row>
    <row r="2639" spans="1:1" s="200" customFormat="1" ht="12" hidden="1" customHeight="1">
      <c r="A2639" s="199"/>
    </row>
    <row r="2640" spans="1:1" s="200" customFormat="1" ht="12" hidden="1" customHeight="1">
      <c r="A2640" s="199"/>
    </row>
    <row r="2641" spans="1:1" s="200" customFormat="1" ht="12" hidden="1" customHeight="1">
      <c r="A2641" s="199"/>
    </row>
    <row r="2642" spans="1:1" s="200" customFormat="1" ht="12" hidden="1" customHeight="1">
      <c r="A2642" s="199"/>
    </row>
    <row r="2643" spans="1:1" s="200" customFormat="1" ht="12" hidden="1" customHeight="1">
      <c r="A2643" s="199"/>
    </row>
    <row r="2644" spans="1:1" s="200" customFormat="1" ht="12" hidden="1" customHeight="1">
      <c r="A2644" s="199"/>
    </row>
    <row r="2645" spans="1:1" s="200" customFormat="1" ht="12" hidden="1" customHeight="1">
      <c r="A2645" s="199"/>
    </row>
    <row r="2646" spans="1:1" s="200" customFormat="1" ht="12" hidden="1" customHeight="1">
      <c r="A2646" s="199"/>
    </row>
    <row r="2647" spans="1:1" s="200" customFormat="1" ht="12" hidden="1" customHeight="1">
      <c r="A2647" s="199"/>
    </row>
    <row r="2648" spans="1:1" s="200" customFormat="1" ht="12" hidden="1" customHeight="1">
      <c r="A2648" s="199"/>
    </row>
    <row r="2649" spans="1:1" s="200" customFormat="1" ht="12" hidden="1" customHeight="1">
      <c r="A2649" s="199"/>
    </row>
    <row r="2650" spans="1:1" s="200" customFormat="1" ht="12" hidden="1" customHeight="1">
      <c r="A2650" s="199"/>
    </row>
    <row r="2651" spans="1:1" s="200" customFormat="1" ht="12" hidden="1" customHeight="1">
      <c r="A2651" s="199"/>
    </row>
    <row r="2652" spans="1:1" s="200" customFormat="1" ht="12" hidden="1" customHeight="1">
      <c r="A2652" s="199"/>
    </row>
    <row r="2653" spans="1:1" s="200" customFormat="1" ht="12" hidden="1" customHeight="1">
      <c r="A2653" s="199"/>
    </row>
    <row r="2654" spans="1:1" s="200" customFormat="1" ht="12" hidden="1" customHeight="1">
      <c r="A2654" s="199"/>
    </row>
    <row r="2655" spans="1:1" s="200" customFormat="1" ht="12" hidden="1" customHeight="1">
      <c r="A2655" s="199"/>
    </row>
    <row r="2656" spans="1:1" s="200" customFormat="1" ht="12" hidden="1" customHeight="1">
      <c r="A2656" s="199"/>
    </row>
    <row r="2657" spans="1:1" s="200" customFormat="1" ht="12" hidden="1" customHeight="1">
      <c r="A2657" s="199"/>
    </row>
    <row r="2658" spans="1:1" s="200" customFormat="1" ht="12" hidden="1" customHeight="1">
      <c r="A2658" s="199"/>
    </row>
    <row r="2659" spans="1:1" s="200" customFormat="1" ht="12" hidden="1" customHeight="1">
      <c r="A2659" s="199"/>
    </row>
    <row r="2660" spans="1:1" s="200" customFormat="1" ht="12" hidden="1" customHeight="1">
      <c r="A2660" s="199"/>
    </row>
    <row r="2661" spans="1:1" s="200" customFormat="1" ht="12" hidden="1" customHeight="1">
      <c r="A2661" s="199"/>
    </row>
    <row r="2662" spans="1:1" s="200" customFormat="1" ht="12" hidden="1" customHeight="1">
      <c r="A2662" s="199"/>
    </row>
    <row r="2663" spans="1:1" s="200" customFormat="1" ht="12" hidden="1" customHeight="1">
      <c r="A2663" s="199"/>
    </row>
    <row r="2664" spans="1:1" s="200" customFormat="1" ht="12" hidden="1" customHeight="1">
      <c r="A2664" s="199"/>
    </row>
    <row r="2665" spans="1:1" s="200" customFormat="1" ht="12" hidden="1" customHeight="1">
      <c r="A2665" s="199"/>
    </row>
    <row r="2666" spans="1:1" s="200" customFormat="1" ht="12" hidden="1" customHeight="1">
      <c r="A2666" s="199"/>
    </row>
    <row r="2667" spans="1:1" s="200" customFormat="1" ht="12" hidden="1" customHeight="1">
      <c r="A2667" s="199"/>
    </row>
    <row r="2668" spans="1:1" s="200" customFormat="1" ht="12" hidden="1" customHeight="1">
      <c r="A2668" s="199"/>
    </row>
    <row r="2669" spans="1:1" s="200" customFormat="1" ht="12" hidden="1" customHeight="1">
      <c r="A2669" s="199"/>
    </row>
    <row r="2670" spans="1:1" s="200" customFormat="1" ht="12" hidden="1" customHeight="1">
      <c r="A2670" s="199"/>
    </row>
    <row r="2671" spans="1:1" s="200" customFormat="1" ht="12" hidden="1" customHeight="1">
      <c r="A2671" s="199"/>
    </row>
    <row r="2672" spans="1:1" s="200" customFormat="1" ht="12" hidden="1" customHeight="1">
      <c r="A2672" s="199"/>
    </row>
    <row r="2673" spans="1:1" s="200" customFormat="1" ht="12" hidden="1" customHeight="1">
      <c r="A2673" s="199"/>
    </row>
    <row r="2674" spans="1:1" s="200" customFormat="1" ht="12" hidden="1" customHeight="1">
      <c r="A2674" s="199"/>
    </row>
    <row r="2675" spans="1:1" s="200" customFormat="1" ht="12" hidden="1" customHeight="1">
      <c r="A2675" s="199"/>
    </row>
    <row r="2676" spans="1:1" s="200" customFormat="1" ht="12" hidden="1" customHeight="1">
      <c r="A2676" s="199"/>
    </row>
    <row r="2677" spans="1:1" s="200" customFormat="1" ht="12" hidden="1" customHeight="1">
      <c r="A2677" s="199"/>
    </row>
    <row r="2678" spans="1:1" s="200" customFormat="1" ht="12" hidden="1" customHeight="1">
      <c r="A2678" s="199"/>
    </row>
    <row r="2679" spans="1:1" s="200" customFormat="1" ht="12" hidden="1" customHeight="1">
      <c r="A2679" s="199"/>
    </row>
    <row r="2680" spans="1:1" s="200" customFormat="1" ht="12" hidden="1" customHeight="1">
      <c r="A2680" s="199"/>
    </row>
    <row r="2681" spans="1:1" s="200" customFormat="1" ht="12" hidden="1" customHeight="1">
      <c r="A2681" s="199"/>
    </row>
    <row r="2682" spans="1:1" s="200" customFormat="1" ht="12" hidden="1" customHeight="1">
      <c r="A2682" s="199"/>
    </row>
    <row r="2683" spans="1:1" s="200" customFormat="1" ht="12" hidden="1" customHeight="1">
      <c r="A2683" s="199"/>
    </row>
    <row r="2684" spans="1:1" s="200" customFormat="1" ht="12" hidden="1" customHeight="1">
      <c r="A2684" s="199"/>
    </row>
    <row r="2685" spans="1:1" s="200" customFormat="1" ht="12" hidden="1" customHeight="1">
      <c r="A2685" s="199"/>
    </row>
    <row r="2686" spans="1:1" s="200" customFormat="1" ht="12" hidden="1" customHeight="1">
      <c r="A2686" s="199"/>
    </row>
    <row r="2687" spans="1:1" s="200" customFormat="1" ht="12" hidden="1" customHeight="1">
      <c r="A2687" s="199"/>
    </row>
    <row r="2688" spans="1:1" s="200" customFormat="1" ht="12" hidden="1" customHeight="1">
      <c r="A2688" s="199"/>
    </row>
    <row r="2689" spans="1:1" s="200" customFormat="1" ht="12" hidden="1" customHeight="1">
      <c r="A2689" s="199"/>
    </row>
    <row r="2690" spans="1:1" s="200" customFormat="1" ht="12" hidden="1" customHeight="1">
      <c r="A2690" s="199"/>
    </row>
    <row r="2691" spans="1:1" s="200" customFormat="1" ht="12" hidden="1" customHeight="1">
      <c r="A2691" s="199"/>
    </row>
    <row r="2692" spans="1:1" s="200" customFormat="1" ht="12" hidden="1" customHeight="1">
      <c r="A2692" s="199"/>
    </row>
    <row r="2693" spans="1:1" s="200" customFormat="1" ht="12" hidden="1" customHeight="1">
      <c r="A2693" s="199"/>
    </row>
    <row r="2694" spans="1:1" s="200" customFormat="1" ht="12" hidden="1" customHeight="1">
      <c r="A2694" s="199"/>
    </row>
    <row r="2695" spans="1:1" s="200" customFormat="1" ht="12" hidden="1" customHeight="1">
      <c r="A2695" s="199"/>
    </row>
    <row r="2696" spans="1:1" s="200" customFormat="1" ht="12" hidden="1" customHeight="1">
      <c r="A2696" s="199"/>
    </row>
    <row r="2697" spans="1:1" s="200" customFormat="1" ht="12" hidden="1" customHeight="1">
      <c r="A2697" s="199"/>
    </row>
    <row r="2698" spans="1:1" s="200" customFormat="1" ht="12" hidden="1" customHeight="1">
      <c r="A2698" s="199"/>
    </row>
    <row r="2699" spans="1:1" s="200" customFormat="1" ht="12" hidden="1" customHeight="1">
      <c r="A2699" s="199"/>
    </row>
    <row r="2700" spans="1:1" s="200" customFormat="1" ht="12" hidden="1" customHeight="1">
      <c r="A2700" s="199"/>
    </row>
    <row r="2701" spans="1:1" s="200" customFormat="1" ht="12" hidden="1" customHeight="1">
      <c r="A2701" s="199"/>
    </row>
    <row r="2702" spans="1:1" s="200" customFormat="1" ht="12" hidden="1" customHeight="1">
      <c r="A2702" s="199"/>
    </row>
    <row r="2703" spans="1:1" s="200" customFormat="1" ht="12" hidden="1" customHeight="1">
      <c r="A2703" s="199"/>
    </row>
    <row r="2704" spans="1:1" s="200" customFormat="1" ht="12" hidden="1" customHeight="1">
      <c r="A2704" s="199"/>
    </row>
    <row r="2705" spans="1:1" s="200" customFormat="1" ht="12" hidden="1" customHeight="1">
      <c r="A2705" s="199"/>
    </row>
    <row r="2706" spans="1:1" s="200" customFormat="1" ht="12" hidden="1" customHeight="1">
      <c r="A2706" s="199"/>
    </row>
    <row r="2707" spans="1:1" s="200" customFormat="1" ht="12" hidden="1" customHeight="1">
      <c r="A2707" s="199"/>
    </row>
    <row r="2708" spans="1:1" s="200" customFormat="1" ht="12" hidden="1" customHeight="1">
      <c r="A2708" s="199"/>
    </row>
    <row r="2709" spans="1:1" s="200" customFormat="1" ht="12" hidden="1" customHeight="1">
      <c r="A2709" s="199"/>
    </row>
    <row r="2710" spans="1:1" s="200" customFormat="1" ht="12" hidden="1" customHeight="1">
      <c r="A2710" s="199"/>
    </row>
    <row r="2711" spans="1:1" s="200" customFormat="1" ht="12" hidden="1" customHeight="1">
      <c r="A2711" s="199"/>
    </row>
    <row r="2712" spans="1:1" s="200" customFormat="1" ht="12" hidden="1" customHeight="1">
      <c r="A2712" s="199"/>
    </row>
    <row r="2713" spans="1:1" s="200" customFormat="1" ht="12" hidden="1" customHeight="1">
      <c r="A2713" s="199"/>
    </row>
    <row r="2714" spans="1:1" s="200" customFormat="1" ht="12" hidden="1" customHeight="1">
      <c r="A2714" s="199"/>
    </row>
    <row r="2715" spans="1:1" s="200" customFormat="1" ht="12" hidden="1" customHeight="1">
      <c r="A2715" s="199"/>
    </row>
    <row r="2716" spans="1:1" s="200" customFormat="1" ht="12" hidden="1" customHeight="1">
      <c r="A2716" s="199"/>
    </row>
    <row r="2717" spans="1:1" s="200" customFormat="1" ht="12" hidden="1" customHeight="1">
      <c r="A2717" s="199"/>
    </row>
    <row r="2718" spans="1:1" s="200" customFormat="1" ht="12" hidden="1" customHeight="1">
      <c r="A2718" s="199"/>
    </row>
    <row r="2719" spans="1:1" s="200" customFormat="1" ht="12" hidden="1" customHeight="1">
      <c r="A2719" s="199"/>
    </row>
    <row r="2720" spans="1:1" s="200" customFormat="1" ht="12" hidden="1" customHeight="1">
      <c r="A2720" s="199"/>
    </row>
    <row r="2721" spans="1:1" s="200" customFormat="1" ht="12" hidden="1" customHeight="1">
      <c r="A2721" s="199"/>
    </row>
    <row r="2722" spans="1:1" s="200" customFormat="1" ht="12" hidden="1" customHeight="1">
      <c r="A2722" s="199"/>
    </row>
    <row r="2723" spans="1:1" s="200" customFormat="1" ht="12" hidden="1" customHeight="1">
      <c r="A2723" s="199"/>
    </row>
    <row r="2724" spans="1:1" s="200" customFormat="1" ht="12" hidden="1" customHeight="1">
      <c r="A2724" s="199"/>
    </row>
    <row r="2725" spans="1:1" s="200" customFormat="1" ht="12" hidden="1" customHeight="1">
      <c r="A2725" s="199"/>
    </row>
    <row r="2726" spans="1:1" s="200" customFormat="1" ht="12" hidden="1" customHeight="1">
      <c r="A2726" s="199"/>
    </row>
    <row r="2727" spans="1:1" s="200" customFormat="1" ht="12" hidden="1" customHeight="1">
      <c r="A2727" s="199"/>
    </row>
    <row r="2728" spans="1:1" s="200" customFormat="1" ht="12" hidden="1" customHeight="1">
      <c r="A2728" s="199"/>
    </row>
    <row r="2729" spans="1:1" s="200" customFormat="1" ht="12" hidden="1" customHeight="1">
      <c r="A2729" s="199"/>
    </row>
    <row r="2730" spans="1:1" s="200" customFormat="1" ht="12" hidden="1" customHeight="1">
      <c r="A2730" s="199"/>
    </row>
    <row r="2731" spans="1:1" s="200" customFormat="1" ht="12" hidden="1" customHeight="1">
      <c r="A2731" s="199"/>
    </row>
    <row r="2732" spans="1:1" s="200" customFormat="1" ht="12" hidden="1" customHeight="1">
      <c r="A2732" s="199"/>
    </row>
    <row r="2733" spans="1:1" s="200" customFormat="1" ht="12" hidden="1" customHeight="1">
      <c r="A2733" s="199"/>
    </row>
    <row r="2734" spans="1:1" s="200" customFormat="1" ht="12" hidden="1" customHeight="1">
      <c r="A2734" s="199"/>
    </row>
    <row r="2735" spans="1:1" s="200" customFormat="1" ht="12" hidden="1" customHeight="1">
      <c r="A2735" s="199"/>
    </row>
    <row r="2736" spans="1:1" s="200" customFormat="1" ht="12" hidden="1" customHeight="1">
      <c r="A2736" s="199"/>
    </row>
    <row r="2737" spans="1:1" s="200" customFormat="1" ht="12" hidden="1" customHeight="1">
      <c r="A2737" s="199"/>
    </row>
    <row r="2738" spans="1:1" s="200" customFormat="1" ht="12" hidden="1" customHeight="1">
      <c r="A2738" s="199"/>
    </row>
    <row r="2739" spans="1:1" s="200" customFormat="1" ht="12" hidden="1" customHeight="1">
      <c r="A2739" s="199"/>
    </row>
    <row r="2740" spans="1:1" s="200" customFormat="1" ht="12" hidden="1" customHeight="1">
      <c r="A2740" s="199"/>
    </row>
    <row r="2741" spans="1:1" s="200" customFormat="1" ht="12" hidden="1" customHeight="1">
      <c r="A2741" s="199"/>
    </row>
    <row r="2742" spans="1:1" s="200" customFormat="1" ht="12" hidden="1" customHeight="1">
      <c r="A2742" s="199"/>
    </row>
    <row r="2743" spans="1:1" s="200" customFormat="1" ht="12" hidden="1" customHeight="1">
      <c r="A2743" s="199"/>
    </row>
    <row r="2744" spans="1:1" s="200" customFormat="1" ht="12" hidden="1" customHeight="1">
      <c r="A2744" s="199"/>
    </row>
    <row r="2745" spans="1:1" s="200" customFormat="1" ht="12" hidden="1" customHeight="1">
      <c r="A2745" s="199"/>
    </row>
    <row r="2746" spans="1:1" s="200" customFormat="1" ht="12" hidden="1" customHeight="1">
      <c r="A2746" s="199"/>
    </row>
    <row r="2747" spans="1:1" s="200" customFormat="1" ht="12" hidden="1" customHeight="1">
      <c r="A2747" s="199"/>
    </row>
    <row r="2748" spans="1:1" s="200" customFormat="1" ht="12" hidden="1" customHeight="1">
      <c r="A2748" s="199"/>
    </row>
    <row r="2749" spans="1:1" s="200" customFormat="1" ht="12" hidden="1" customHeight="1">
      <c r="A2749" s="199"/>
    </row>
    <row r="2750" spans="1:1" s="200" customFormat="1" ht="12" hidden="1" customHeight="1">
      <c r="A2750" s="199"/>
    </row>
    <row r="2751" spans="1:1" s="200" customFormat="1" ht="12" hidden="1" customHeight="1">
      <c r="A2751" s="199"/>
    </row>
    <row r="2752" spans="1:1" s="200" customFormat="1" ht="12" hidden="1" customHeight="1">
      <c r="A2752" s="199"/>
    </row>
    <row r="2753" spans="1:1" s="200" customFormat="1" ht="12" hidden="1" customHeight="1">
      <c r="A2753" s="199"/>
    </row>
    <row r="2754" spans="1:1" s="200" customFormat="1" ht="12" hidden="1" customHeight="1">
      <c r="A2754" s="199"/>
    </row>
    <row r="2755" spans="1:1" s="200" customFormat="1" ht="12" hidden="1" customHeight="1">
      <c r="A2755" s="199"/>
    </row>
    <row r="2756" spans="1:1" s="200" customFormat="1" ht="12" hidden="1" customHeight="1">
      <c r="A2756" s="199"/>
    </row>
    <row r="2757" spans="1:1" s="200" customFormat="1" ht="12" hidden="1" customHeight="1">
      <c r="A2757" s="199"/>
    </row>
    <row r="2758" spans="1:1" s="200" customFormat="1" ht="12" hidden="1" customHeight="1">
      <c r="A2758" s="199"/>
    </row>
    <row r="2759" spans="1:1" s="200" customFormat="1" ht="12" hidden="1" customHeight="1">
      <c r="A2759" s="199"/>
    </row>
    <row r="2760" spans="1:1" s="200" customFormat="1" ht="12" hidden="1" customHeight="1">
      <c r="A2760" s="199"/>
    </row>
    <row r="2761" spans="1:1" s="200" customFormat="1" ht="12" hidden="1" customHeight="1">
      <c r="A2761" s="199"/>
    </row>
    <row r="2762" spans="1:1" s="200" customFormat="1" ht="12" hidden="1" customHeight="1">
      <c r="A2762" s="199"/>
    </row>
    <row r="2763" spans="1:1" s="200" customFormat="1" ht="12" hidden="1" customHeight="1">
      <c r="A2763" s="199"/>
    </row>
    <row r="2764" spans="1:1" s="200" customFormat="1" ht="12" hidden="1" customHeight="1">
      <c r="A2764" s="199"/>
    </row>
    <row r="2765" spans="1:1" s="200" customFormat="1" ht="12" hidden="1" customHeight="1">
      <c r="A2765" s="199"/>
    </row>
    <row r="2766" spans="1:1" s="200" customFormat="1" ht="12" hidden="1" customHeight="1">
      <c r="A2766" s="199"/>
    </row>
    <row r="2767" spans="1:1" s="200" customFormat="1" ht="12" hidden="1" customHeight="1">
      <c r="A2767" s="199"/>
    </row>
    <row r="2768" spans="1:1" s="200" customFormat="1" ht="12" hidden="1" customHeight="1">
      <c r="A2768" s="199"/>
    </row>
    <row r="2769" spans="1:1" s="200" customFormat="1" ht="12" hidden="1" customHeight="1">
      <c r="A2769" s="199"/>
    </row>
    <row r="2770" spans="1:1" s="200" customFormat="1" ht="12" hidden="1" customHeight="1">
      <c r="A2770" s="199"/>
    </row>
    <row r="2771" spans="1:1" s="200" customFormat="1" ht="12" hidden="1" customHeight="1">
      <c r="A2771" s="199"/>
    </row>
    <row r="2772" spans="1:1" s="200" customFormat="1" ht="12" hidden="1" customHeight="1">
      <c r="A2772" s="199"/>
    </row>
    <row r="2773" spans="1:1" s="200" customFormat="1" ht="12" hidden="1" customHeight="1">
      <c r="A2773" s="199"/>
    </row>
    <row r="2774" spans="1:1" s="200" customFormat="1" ht="12" hidden="1" customHeight="1">
      <c r="A2774" s="199"/>
    </row>
    <row r="2775" spans="1:1" s="200" customFormat="1" ht="12" hidden="1" customHeight="1">
      <c r="A2775" s="199"/>
    </row>
    <row r="2776" spans="1:1" s="200" customFormat="1" ht="12" hidden="1" customHeight="1">
      <c r="A2776" s="199"/>
    </row>
    <row r="2777" spans="1:1" s="200" customFormat="1" ht="12" hidden="1" customHeight="1">
      <c r="A2777" s="199"/>
    </row>
    <row r="2778" spans="1:1" s="200" customFormat="1" ht="12" hidden="1" customHeight="1">
      <c r="A2778" s="199"/>
    </row>
    <row r="2779" spans="1:1" s="200" customFormat="1" ht="12" hidden="1" customHeight="1">
      <c r="A2779" s="199"/>
    </row>
    <row r="2780" spans="1:1" s="200" customFormat="1" ht="12" hidden="1" customHeight="1">
      <c r="A2780" s="199"/>
    </row>
    <row r="2781" spans="1:1" s="200" customFormat="1" ht="12" hidden="1" customHeight="1">
      <c r="A2781" s="199"/>
    </row>
    <row r="2782" spans="1:1" s="200" customFormat="1" ht="12" hidden="1" customHeight="1">
      <c r="A2782" s="199"/>
    </row>
    <row r="2783" spans="1:1" s="200" customFormat="1" ht="12" hidden="1" customHeight="1">
      <c r="A2783" s="199"/>
    </row>
    <row r="2784" spans="1:1" s="200" customFormat="1" ht="12" hidden="1" customHeight="1">
      <c r="A2784" s="199"/>
    </row>
    <row r="2785" spans="1:1" s="200" customFormat="1" ht="12" hidden="1" customHeight="1">
      <c r="A2785" s="199"/>
    </row>
    <row r="2786" spans="1:1" s="200" customFormat="1" ht="12" hidden="1" customHeight="1">
      <c r="A2786" s="199"/>
    </row>
    <row r="2787" spans="1:1" s="200" customFormat="1" ht="12" hidden="1" customHeight="1">
      <c r="A2787" s="199"/>
    </row>
    <row r="2788" spans="1:1" s="200" customFormat="1" ht="12" hidden="1" customHeight="1">
      <c r="A2788" s="199"/>
    </row>
    <row r="2789" spans="1:1" s="200" customFormat="1" ht="12" hidden="1" customHeight="1">
      <c r="A2789" s="199"/>
    </row>
    <row r="2790" spans="1:1" s="200" customFormat="1" ht="12" hidden="1" customHeight="1">
      <c r="A2790" s="199"/>
    </row>
    <row r="2791" spans="1:1" s="200" customFormat="1" ht="12" hidden="1" customHeight="1">
      <c r="A2791" s="199"/>
    </row>
    <row r="2792" spans="1:1" s="200" customFormat="1" ht="12" hidden="1" customHeight="1">
      <c r="A2792" s="199"/>
    </row>
    <row r="2793" spans="1:1" s="200" customFormat="1" ht="12" hidden="1" customHeight="1">
      <c r="A2793" s="199"/>
    </row>
    <row r="2794" spans="1:1" s="200" customFormat="1" ht="12" hidden="1" customHeight="1">
      <c r="A2794" s="199"/>
    </row>
    <row r="2795" spans="1:1" s="200" customFormat="1" ht="12" hidden="1" customHeight="1">
      <c r="A2795" s="199"/>
    </row>
    <row r="2796" spans="1:1" s="200" customFormat="1" ht="12" hidden="1" customHeight="1">
      <c r="A2796" s="199"/>
    </row>
    <row r="2797" spans="1:1" s="200" customFormat="1" ht="12" hidden="1" customHeight="1">
      <c r="A2797" s="199"/>
    </row>
    <row r="2798" spans="1:1" s="200" customFormat="1" ht="12" hidden="1" customHeight="1">
      <c r="A2798" s="199"/>
    </row>
    <row r="2799" spans="1:1" s="200" customFormat="1" ht="12" hidden="1" customHeight="1">
      <c r="A2799" s="199"/>
    </row>
    <row r="2800" spans="1:1" s="200" customFormat="1" ht="12" hidden="1" customHeight="1">
      <c r="A2800" s="199"/>
    </row>
    <row r="2801" spans="1:1" s="200" customFormat="1" ht="12" hidden="1" customHeight="1">
      <c r="A2801" s="199"/>
    </row>
    <row r="2802" spans="1:1" s="200" customFormat="1" ht="12" hidden="1" customHeight="1">
      <c r="A2802" s="199"/>
    </row>
    <row r="2803" spans="1:1" s="200" customFormat="1" ht="12" hidden="1" customHeight="1">
      <c r="A2803" s="199"/>
    </row>
    <row r="2804" spans="1:1" s="200" customFormat="1" ht="12" hidden="1" customHeight="1">
      <c r="A2804" s="199"/>
    </row>
    <row r="2805" spans="1:1" s="200" customFormat="1" ht="12" hidden="1" customHeight="1">
      <c r="A2805" s="199"/>
    </row>
    <row r="2806" spans="1:1" s="200" customFormat="1" ht="12" hidden="1" customHeight="1">
      <c r="A2806" s="199"/>
    </row>
    <row r="2807" spans="1:1" s="200" customFormat="1" ht="12" hidden="1" customHeight="1">
      <c r="A2807" s="199"/>
    </row>
    <row r="2808" spans="1:1" s="200" customFormat="1" ht="12" hidden="1" customHeight="1">
      <c r="A2808" s="199"/>
    </row>
    <row r="2809" spans="1:1" s="200" customFormat="1" ht="12" hidden="1" customHeight="1">
      <c r="A2809" s="199"/>
    </row>
    <row r="2810" spans="1:1" s="200" customFormat="1" ht="12" hidden="1" customHeight="1">
      <c r="A2810" s="199"/>
    </row>
    <row r="2811" spans="1:1" s="200" customFormat="1" ht="12" hidden="1" customHeight="1">
      <c r="A2811" s="199"/>
    </row>
    <row r="2812" spans="1:1" s="200" customFormat="1" ht="12" hidden="1" customHeight="1">
      <c r="A2812" s="199"/>
    </row>
    <row r="2813" spans="1:1" s="200" customFormat="1" ht="12" hidden="1" customHeight="1">
      <c r="A2813" s="199"/>
    </row>
    <row r="2814" spans="1:1" s="200" customFormat="1" ht="12" hidden="1" customHeight="1">
      <c r="A2814" s="199"/>
    </row>
    <row r="2815" spans="1:1" s="200" customFormat="1" ht="12" hidden="1" customHeight="1">
      <c r="A2815" s="199"/>
    </row>
    <row r="2816" spans="1:1" s="200" customFormat="1" ht="12" hidden="1" customHeight="1">
      <c r="A2816" s="199"/>
    </row>
    <row r="2817" spans="1:1" s="200" customFormat="1" ht="12" hidden="1" customHeight="1">
      <c r="A2817" s="199"/>
    </row>
    <row r="2818" spans="1:1" s="200" customFormat="1" ht="12" hidden="1" customHeight="1">
      <c r="A2818" s="199"/>
    </row>
    <row r="2819" spans="1:1" s="200" customFormat="1" ht="12" hidden="1" customHeight="1">
      <c r="A2819" s="199"/>
    </row>
    <row r="2820" spans="1:1" s="200" customFormat="1" ht="12" hidden="1" customHeight="1">
      <c r="A2820" s="199"/>
    </row>
    <row r="2821" spans="1:1" s="200" customFormat="1" ht="12" hidden="1" customHeight="1">
      <c r="A2821" s="199"/>
    </row>
    <row r="2822" spans="1:1" s="200" customFormat="1" ht="12" hidden="1" customHeight="1">
      <c r="A2822" s="199"/>
    </row>
    <row r="2823" spans="1:1" s="200" customFormat="1" ht="12" hidden="1" customHeight="1">
      <c r="A2823" s="199"/>
    </row>
    <row r="2824" spans="1:1" s="200" customFormat="1" ht="12" hidden="1" customHeight="1">
      <c r="A2824" s="199"/>
    </row>
    <row r="2825" spans="1:1" s="200" customFormat="1" ht="12" hidden="1" customHeight="1">
      <c r="A2825" s="199"/>
    </row>
    <row r="2826" spans="1:1" s="200" customFormat="1" ht="12" hidden="1" customHeight="1">
      <c r="A2826" s="199"/>
    </row>
    <row r="2827" spans="1:1" s="200" customFormat="1" ht="12" hidden="1" customHeight="1">
      <c r="A2827" s="199"/>
    </row>
    <row r="2828" spans="1:1" s="200" customFormat="1" ht="12" hidden="1" customHeight="1">
      <c r="A2828" s="199"/>
    </row>
    <row r="2829" spans="1:1" s="200" customFormat="1" ht="12" hidden="1" customHeight="1">
      <c r="A2829" s="199"/>
    </row>
    <row r="2830" spans="1:1" s="200" customFormat="1" ht="12" hidden="1" customHeight="1">
      <c r="A2830" s="199"/>
    </row>
    <row r="2831" spans="1:1" s="200" customFormat="1" ht="12" hidden="1" customHeight="1">
      <c r="A2831" s="199"/>
    </row>
    <row r="2832" spans="1:1" s="200" customFormat="1" ht="12" hidden="1" customHeight="1">
      <c r="A2832" s="199"/>
    </row>
    <row r="2833" spans="1:1" s="200" customFormat="1" ht="12" hidden="1" customHeight="1">
      <c r="A2833" s="199"/>
    </row>
    <row r="2834" spans="1:1" s="200" customFormat="1" ht="12" hidden="1" customHeight="1">
      <c r="A2834" s="199"/>
    </row>
    <row r="2835" spans="1:1" s="200" customFormat="1" ht="12" hidden="1" customHeight="1">
      <c r="A2835" s="199"/>
    </row>
    <row r="2836" spans="1:1" s="200" customFormat="1" ht="12" hidden="1" customHeight="1">
      <c r="A2836" s="199"/>
    </row>
    <row r="2837" spans="1:1" s="200" customFormat="1" ht="12" hidden="1" customHeight="1">
      <c r="A2837" s="199"/>
    </row>
    <row r="2838" spans="1:1" s="200" customFormat="1" ht="12" hidden="1" customHeight="1">
      <c r="A2838" s="199"/>
    </row>
    <row r="2839" spans="1:1" s="200" customFormat="1" ht="12" hidden="1" customHeight="1">
      <c r="A2839" s="199"/>
    </row>
    <row r="2840" spans="1:1" s="200" customFormat="1" ht="12" hidden="1" customHeight="1">
      <c r="A2840" s="199"/>
    </row>
    <row r="2841" spans="1:1" s="200" customFormat="1" ht="12" hidden="1" customHeight="1">
      <c r="A2841" s="199"/>
    </row>
    <row r="2842" spans="1:1" s="200" customFormat="1" ht="12" hidden="1" customHeight="1">
      <c r="A2842" s="199"/>
    </row>
    <row r="2843" spans="1:1" s="200" customFormat="1" ht="12" hidden="1" customHeight="1">
      <c r="A2843" s="199"/>
    </row>
    <row r="2844" spans="1:1" s="200" customFormat="1" ht="12" hidden="1" customHeight="1">
      <c r="A2844" s="199"/>
    </row>
    <row r="2845" spans="1:1" s="200" customFormat="1" ht="12" hidden="1" customHeight="1">
      <c r="A2845" s="199"/>
    </row>
    <row r="2846" spans="1:1" s="200" customFormat="1" ht="12" hidden="1" customHeight="1">
      <c r="A2846" s="199"/>
    </row>
    <row r="2847" spans="1:1" s="200" customFormat="1" ht="12" hidden="1" customHeight="1">
      <c r="A2847" s="199"/>
    </row>
    <row r="2848" spans="1:1" s="200" customFormat="1" ht="12" hidden="1" customHeight="1">
      <c r="A2848" s="199"/>
    </row>
    <row r="2849" spans="1:1" s="200" customFormat="1" ht="12" hidden="1" customHeight="1">
      <c r="A2849" s="199"/>
    </row>
    <row r="2850" spans="1:1" s="200" customFormat="1" ht="12" hidden="1" customHeight="1">
      <c r="A2850" s="199"/>
    </row>
    <row r="2851" spans="1:1" s="200" customFormat="1" ht="12" hidden="1" customHeight="1">
      <c r="A2851" s="199"/>
    </row>
    <row r="2852" spans="1:1" s="200" customFormat="1" ht="12" hidden="1" customHeight="1">
      <c r="A2852" s="199"/>
    </row>
    <row r="2853" spans="1:1" s="200" customFormat="1" ht="12" hidden="1" customHeight="1">
      <c r="A2853" s="199"/>
    </row>
    <row r="2854" spans="1:1" s="200" customFormat="1" ht="12" hidden="1" customHeight="1">
      <c r="A2854" s="199"/>
    </row>
    <row r="2855" spans="1:1" s="200" customFormat="1" ht="12" hidden="1" customHeight="1">
      <c r="A2855" s="199"/>
    </row>
    <row r="2856" spans="1:1" s="200" customFormat="1" ht="12" hidden="1" customHeight="1">
      <c r="A2856" s="199"/>
    </row>
    <row r="2857" spans="1:1" s="200" customFormat="1" ht="12" hidden="1" customHeight="1">
      <c r="A2857" s="199"/>
    </row>
    <row r="2858" spans="1:1" s="200" customFormat="1" ht="12" hidden="1" customHeight="1">
      <c r="A2858" s="199"/>
    </row>
    <row r="2859" spans="1:1" s="200" customFormat="1" ht="12" hidden="1" customHeight="1">
      <c r="A2859" s="199"/>
    </row>
    <row r="2860" spans="1:1" s="200" customFormat="1" ht="12" hidden="1" customHeight="1">
      <c r="A2860" s="199"/>
    </row>
    <row r="2861" spans="1:1" s="200" customFormat="1" ht="12" hidden="1" customHeight="1">
      <c r="A2861" s="199"/>
    </row>
    <row r="2862" spans="1:1" s="200" customFormat="1" ht="12" hidden="1" customHeight="1">
      <c r="A2862" s="199"/>
    </row>
    <row r="2863" spans="1:1" s="200" customFormat="1" ht="12" hidden="1" customHeight="1">
      <c r="A2863" s="199"/>
    </row>
    <row r="2864" spans="1:1" s="200" customFormat="1" ht="12" hidden="1" customHeight="1">
      <c r="A2864" s="199"/>
    </row>
    <row r="2865" spans="1:1" s="200" customFormat="1" ht="12" hidden="1" customHeight="1">
      <c r="A2865" s="199"/>
    </row>
    <row r="2866" spans="1:1" s="200" customFormat="1" ht="12" hidden="1" customHeight="1">
      <c r="A2866" s="199"/>
    </row>
    <row r="2867" spans="1:1" s="200" customFormat="1" ht="12" hidden="1" customHeight="1">
      <c r="A2867" s="199"/>
    </row>
    <row r="2868" spans="1:1" s="200" customFormat="1" ht="12" hidden="1" customHeight="1">
      <c r="A2868" s="199"/>
    </row>
    <row r="2869" spans="1:1" s="200" customFormat="1" ht="12" hidden="1" customHeight="1">
      <c r="A2869" s="199"/>
    </row>
    <row r="2870" spans="1:1" s="200" customFormat="1" ht="12" hidden="1" customHeight="1">
      <c r="A2870" s="199"/>
    </row>
    <row r="2871" spans="1:1" s="200" customFormat="1" ht="12" hidden="1" customHeight="1">
      <c r="A2871" s="199"/>
    </row>
    <row r="2872" spans="1:1" s="200" customFormat="1" ht="12" hidden="1" customHeight="1">
      <c r="A2872" s="199"/>
    </row>
    <row r="2873" spans="1:1" s="200" customFormat="1" ht="12" hidden="1" customHeight="1">
      <c r="A2873" s="199"/>
    </row>
    <row r="2874" spans="1:1" s="200" customFormat="1" ht="12" hidden="1" customHeight="1">
      <c r="A2874" s="199"/>
    </row>
    <row r="2875" spans="1:1" s="200" customFormat="1" ht="12" hidden="1" customHeight="1">
      <c r="A2875" s="199"/>
    </row>
    <row r="2876" spans="1:1" s="200" customFormat="1" ht="12" hidden="1" customHeight="1">
      <c r="A2876" s="199"/>
    </row>
    <row r="2877" spans="1:1" s="200" customFormat="1" ht="12" hidden="1" customHeight="1">
      <c r="A2877" s="199"/>
    </row>
    <row r="2878" spans="1:1" s="200" customFormat="1" ht="12" hidden="1" customHeight="1">
      <c r="A2878" s="199"/>
    </row>
    <row r="2879" spans="1:1" s="200" customFormat="1" ht="12" hidden="1" customHeight="1">
      <c r="A2879" s="199"/>
    </row>
    <row r="2880" spans="1:1" s="200" customFormat="1" ht="12" hidden="1" customHeight="1">
      <c r="A2880" s="199"/>
    </row>
    <row r="2881" spans="1:1" s="200" customFormat="1" ht="12" hidden="1" customHeight="1">
      <c r="A2881" s="199"/>
    </row>
    <row r="2882" spans="1:1" s="200" customFormat="1" ht="12" hidden="1" customHeight="1">
      <c r="A2882" s="199"/>
    </row>
    <row r="2883" spans="1:1" s="200" customFormat="1" ht="12" hidden="1" customHeight="1">
      <c r="A2883" s="199"/>
    </row>
    <row r="2884" spans="1:1" s="200" customFormat="1" ht="12" hidden="1" customHeight="1">
      <c r="A2884" s="199"/>
    </row>
    <row r="2885" spans="1:1" s="200" customFormat="1" ht="12" hidden="1" customHeight="1">
      <c r="A2885" s="199"/>
    </row>
    <row r="2886" spans="1:1" s="200" customFormat="1" ht="12" hidden="1" customHeight="1">
      <c r="A2886" s="199"/>
    </row>
    <row r="2887" spans="1:1" s="200" customFormat="1" ht="12" hidden="1" customHeight="1">
      <c r="A2887" s="199"/>
    </row>
    <row r="2888" spans="1:1" s="200" customFormat="1" ht="12" hidden="1" customHeight="1">
      <c r="A2888" s="199"/>
    </row>
    <row r="2889" spans="1:1" s="200" customFormat="1" ht="12" hidden="1" customHeight="1">
      <c r="A2889" s="199"/>
    </row>
    <row r="2890" spans="1:1" s="200" customFormat="1" ht="12" hidden="1" customHeight="1">
      <c r="A2890" s="199"/>
    </row>
    <row r="2891" spans="1:1" s="200" customFormat="1" ht="12" hidden="1" customHeight="1">
      <c r="A2891" s="199"/>
    </row>
    <row r="2892" spans="1:1" s="200" customFormat="1" ht="12" hidden="1" customHeight="1">
      <c r="A2892" s="199"/>
    </row>
    <row r="2893" spans="1:1" s="200" customFormat="1" ht="12" hidden="1" customHeight="1">
      <c r="A2893" s="199"/>
    </row>
    <row r="2894" spans="1:1" s="200" customFormat="1" ht="12" hidden="1" customHeight="1">
      <c r="A2894" s="199"/>
    </row>
    <row r="2895" spans="1:1" s="200" customFormat="1" ht="12" hidden="1" customHeight="1">
      <c r="A2895" s="199"/>
    </row>
    <row r="2896" spans="1:1" s="200" customFormat="1" ht="12" hidden="1" customHeight="1">
      <c r="A2896" s="199"/>
    </row>
    <row r="2897" spans="1:1" s="200" customFormat="1" ht="12" hidden="1" customHeight="1">
      <c r="A2897" s="199"/>
    </row>
    <row r="2898" spans="1:1" s="200" customFormat="1" ht="12" hidden="1" customHeight="1">
      <c r="A2898" s="199"/>
    </row>
    <row r="2899" spans="1:1" s="200" customFormat="1" ht="12" hidden="1" customHeight="1">
      <c r="A2899" s="199"/>
    </row>
    <row r="2900" spans="1:1" s="200" customFormat="1" ht="12" hidden="1" customHeight="1">
      <c r="A2900" s="199"/>
    </row>
    <row r="2901" spans="1:1" s="200" customFormat="1" ht="12" hidden="1" customHeight="1">
      <c r="A2901" s="199"/>
    </row>
    <row r="2902" spans="1:1" s="200" customFormat="1" ht="12" hidden="1" customHeight="1">
      <c r="A2902" s="199"/>
    </row>
    <row r="2903" spans="1:1" s="200" customFormat="1" ht="12" hidden="1" customHeight="1">
      <c r="A2903" s="199"/>
    </row>
    <row r="2904" spans="1:1" s="200" customFormat="1" ht="12" hidden="1" customHeight="1">
      <c r="A2904" s="199"/>
    </row>
    <row r="2905" spans="1:1" s="200" customFormat="1" ht="12" hidden="1" customHeight="1">
      <c r="A2905" s="199"/>
    </row>
    <row r="2906" spans="1:1" s="200" customFormat="1" ht="12" hidden="1" customHeight="1">
      <c r="A2906" s="199"/>
    </row>
    <row r="2907" spans="1:1" s="200" customFormat="1" ht="12" hidden="1" customHeight="1">
      <c r="A2907" s="199"/>
    </row>
    <row r="2908" spans="1:1" s="200" customFormat="1" ht="12" hidden="1" customHeight="1">
      <c r="A2908" s="199"/>
    </row>
    <row r="2909" spans="1:1" s="200" customFormat="1" ht="12" hidden="1" customHeight="1">
      <c r="A2909" s="199"/>
    </row>
    <row r="2910" spans="1:1" s="200" customFormat="1" ht="12" hidden="1" customHeight="1">
      <c r="A2910" s="199"/>
    </row>
    <row r="2911" spans="1:1" s="200" customFormat="1" ht="12" hidden="1" customHeight="1">
      <c r="A2911" s="199"/>
    </row>
    <row r="2912" spans="1:1" s="200" customFormat="1" ht="12" hidden="1" customHeight="1">
      <c r="A2912" s="199"/>
    </row>
    <row r="2913" spans="1:1" s="200" customFormat="1" ht="12" hidden="1" customHeight="1">
      <c r="A2913" s="199"/>
    </row>
    <row r="2914" spans="1:1" s="200" customFormat="1" ht="12" hidden="1" customHeight="1">
      <c r="A2914" s="199"/>
    </row>
    <row r="2915" spans="1:1" s="200" customFormat="1" ht="12" hidden="1" customHeight="1">
      <c r="A2915" s="199"/>
    </row>
    <row r="2916" spans="1:1" s="200" customFormat="1" ht="12" hidden="1" customHeight="1">
      <c r="A2916" s="199"/>
    </row>
    <row r="2917" spans="1:1" s="200" customFormat="1" ht="12" hidden="1" customHeight="1">
      <c r="A2917" s="199"/>
    </row>
    <row r="2918" spans="1:1" s="200" customFormat="1" ht="12" hidden="1" customHeight="1">
      <c r="A2918" s="199"/>
    </row>
    <row r="2919" spans="1:1" s="200" customFormat="1" ht="12" hidden="1" customHeight="1">
      <c r="A2919" s="199"/>
    </row>
    <row r="2920" spans="1:1" s="200" customFormat="1" ht="12" hidden="1" customHeight="1">
      <c r="A2920" s="199"/>
    </row>
    <row r="2921" spans="1:1" s="200" customFormat="1" ht="12" hidden="1" customHeight="1">
      <c r="A2921" s="199"/>
    </row>
    <row r="2922" spans="1:1" s="200" customFormat="1" ht="12" hidden="1" customHeight="1">
      <c r="A2922" s="199"/>
    </row>
    <row r="2923" spans="1:1" s="200" customFormat="1" ht="12" hidden="1" customHeight="1">
      <c r="A2923" s="199"/>
    </row>
    <row r="2924" spans="1:1" s="200" customFormat="1" ht="12" hidden="1" customHeight="1">
      <c r="A2924" s="199"/>
    </row>
    <row r="2925" spans="1:1" s="200" customFormat="1" ht="12" hidden="1" customHeight="1">
      <c r="A2925" s="199"/>
    </row>
    <row r="2926" spans="1:1" s="200" customFormat="1" ht="12" hidden="1" customHeight="1">
      <c r="A2926" s="199"/>
    </row>
    <row r="2927" spans="1:1" s="200" customFormat="1" ht="12" hidden="1" customHeight="1">
      <c r="A2927" s="199"/>
    </row>
    <row r="2928" spans="1:1" s="200" customFormat="1" ht="12" hidden="1" customHeight="1">
      <c r="A2928" s="199"/>
    </row>
    <row r="2929" spans="1:1" s="200" customFormat="1" ht="12" hidden="1" customHeight="1">
      <c r="A2929" s="199"/>
    </row>
    <row r="2930" spans="1:1" s="200" customFormat="1" ht="12" hidden="1" customHeight="1">
      <c r="A2930" s="199"/>
    </row>
    <row r="2931" spans="1:1" s="200" customFormat="1" ht="12" hidden="1" customHeight="1">
      <c r="A2931" s="199"/>
    </row>
    <row r="2932" spans="1:1" s="200" customFormat="1" ht="12" hidden="1" customHeight="1">
      <c r="A2932" s="199"/>
    </row>
    <row r="2933" spans="1:1" s="200" customFormat="1" ht="12" hidden="1" customHeight="1">
      <c r="A2933" s="199"/>
    </row>
    <row r="2934" spans="1:1" s="200" customFormat="1" ht="12" hidden="1" customHeight="1">
      <c r="A2934" s="199"/>
    </row>
    <row r="2935" spans="1:1" s="200" customFormat="1" ht="12" hidden="1" customHeight="1">
      <c r="A2935" s="199"/>
    </row>
    <row r="2936" spans="1:1" s="200" customFormat="1" ht="12" hidden="1" customHeight="1">
      <c r="A2936" s="199"/>
    </row>
    <row r="2937" spans="1:1" s="200" customFormat="1" ht="12" hidden="1" customHeight="1">
      <c r="A2937" s="199"/>
    </row>
    <row r="2938" spans="1:1" s="200" customFormat="1" ht="12" hidden="1" customHeight="1">
      <c r="A2938" s="199"/>
    </row>
    <row r="2939" spans="1:1" s="200" customFormat="1" ht="12" hidden="1" customHeight="1">
      <c r="A2939" s="199"/>
    </row>
    <row r="2940" spans="1:1" s="200" customFormat="1" ht="12" hidden="1" customHeight="1">
      <c r="A2940" s="199"/>
    </row>
    <row r="2941" spans="1:1" s="200" customFormat="1" ht="12" hidden="1" customHeight="1">
      <c r="A2941" s="199"/>
    </row>
    <row r="2942" spans="1:1" s="200" customFormat="1" ht="12" hidden="1" customHeight="1">
      <c r="A2942" s="199"/>
    </row>
    <row r="2943" spans="1:1" s="200" customFormat="1" ht="12" hidden="1" customHeight="1">
      <c r="A2943" s="199"/>
    </row>
    <row r="2944" spans="1:1" s="200" customFormat="1" ht="12" hidden="1" customHeight="1">
      <c r="A2944" s="199"/>
    </row>
    <row r="2945" spans="1:1" s="200" customFormat="1" ht="12" hidden="1" customHeight="1">
      <c r="A2945" s="199"/>
    </row>
    <row r="2946" spans="1:1" s="200" customFormat="1" ht="12" hidden="1" customHeight="1">
      <c r="A2946" s="199"/>
    </row>
    <row r="2947" spans="1:1" s="200" customFormat="1" ht="12" hidden="1" customHeight="1">
      <c r="A2947" s="199"/>
    </row>
    <row r="2948" spans="1:1" s="200" customFormat="1" ht="12" hidden="1" customHeight="1">
      <c r="A2948" s="199"/>
    </row>
    <row r="2949" spans="1:1" s="200" customFormat="1" ht="12" hidden="1" customHeight="1">
      <c r="A2949" s="199"/>
    </row>
    <row r="2950" spans="1:1" s="200" customFormat="1" ht="12" hidden="1" customHeight="1">
      <c r="A2950" s="199"/>
    </row>
    <row r="2951" spans="1:1" s="200" customFormat="1" ht="12" hidden="1" customHeight="1">
      <c r="A2951" s="199"/>
    </row>
    <row r="2952" spans="1:1" s="200" customFormat="1" ht="12" hidden="1" customHeight="1">
      <c r="A2952" s="199"/>
    </row>
    <row r="2953" spans="1:1" s="200" customFormat="1" ht="12" hidden="1" customHeight="1">
      <c r="A2953" s="199"/>
    </row>
    <row r="2954" spans="1:1" s="200" customFormat="1" ht="12" hidden="1" customHeight="1">
      <c r="A2954" s="199"/>
    </row>
    <row r="2955" spans="1:1" s="200" customFormat="1" ht="12" hidden="1" customHeight="1">
      <c r="A2955" s="199"/>
    </row>
    <row r="2956" spans="1:1" s="200" customFormat="1" ht="12" hidden="1" customHeight="1">
      <c r="A2956" s="199"/>
    </row>
    <row r="2957" spans="1:1" s="200" customFormat="1" ht="12" hidden="1" customHeight="1">
      <c r="A2957" s="199"/>
    </row>
    <row r="2958" spans="1:1" s="200" customFormat="1" ht="12" hidden="1" customHeight="1">
      <c r="A2958" s="199"/>
    </row>
    <row r="2959" spans="1:1" s="200" customFormat="1" ht="12" hidden="1" customHeight="1">
      <c r="A2959" s="199"/>
    </row>
    <row r="2960" spans="1:1" s="200" customFormat="1" ht="12" hidden="1" customHeight="1">
      <c r="A2960" s="199"/>
    </row>
    <row r="2961" spans="1:1" s="200" customFormat="1" ht="12" hidden="1" customHeight="1">
      <c r="A2961" s="199"/>
    </row>
    <row r="2962" spans="1:1" s="200" customFormat="1" ht="12" hidden="1" customHeight="1">
      <c r="A2962" s="199"/>
    </row>
    <row r="2963" spans="1:1" s="200" customFormat="1" ht="12" hidden="1" customHeight="1">
      <c r="A2963" s="199"/>
    </row>
    <row r="2964" spans="1:1" s="200" customFormat="1" ht="12" hidden="1" customHeight="1">
      <c r="A2964" s="199"/>
    </row>
    <row r="2965" spans="1:1" s="200" customFormat="1" ht="12" hidden="1" customHeight="1">
      <c r="A2965" s="199"/>
    </row>
    <row r="2966" spans="1:1" s="200" customFormat="1" ht="12" hidden="1" customHeight="1">
      <c r="A2966" s="199"/>
    </row>
    <row r="2967" spans="1:1" s="200" customFormat="1" ht="12" hidden="1" customHeight="1">
      <c r="A2967" s="199"/>
    </row>
    <row r="2968" spans="1:1" s="200" customFormat="1" ht="12" hidden="1" customHeight="1">
      <c r="A2968" s="199"/>
    </row>
    <row r="2969" spans="1:1" s="200" customFormat="1" ht="12" hidden="1" customHeight="1">
      <c r="A2969" s="199"/>
    </row>
    <row r="2970" spans="1:1" s="200" customFormat="1" ht="12" hidden="1" customHeight="1">
      <c r="A2970" s="199"/>
    </row>
    <row r="2971" spans="1:1" s="200" customFormat="1" ht="12" hidden="1" customHeight="1">
      <c r="A2971" s="199"/>
    </row>
    <row r="2972" spans="1:1" s="200" customFormat="1" ht="12" hidden="1" customHeight="1">
      <c r="A2972" s="199"/>
    </row>
    <row r="2973" spans="1:1" s="200" customFormat="1" ht="12" hidden="1" customHeight="1">
      <c r="A2973" s="199"/>
    </row>
    <row r="2974" spans="1:1" s="200" customFormat="1" ht="12" hidden="1" customHeight="1">
      <c r="A2974" s="199"/>
    </row>
    <row r="2975" spans="1:1" s="200" customFormat="1" ht="12" hidden="1" customHeight="1">
      <c r="A2975" s="199"/>
    </row>
    <row r="2976" spans="1:1" s="200" customFormat="1" ht="12" hidden="1" customHeight="1">
      <c r="A2976" s="199"/>
    </row>
    <row r="2977" spans="1:1" s="200" customFormat="1" ht="12" hidden="1" customHeight="1">
      <c r="A2977" s="199"/>
    </row>
    <row r="2978" spans="1:1" s="200" customFormat="1" ht="12" hidden="1" customHeight="1">
      <c r="A2978" s="199"/>
    </row>
    <row r="2979" spans="1:1" s="200" customFormat="1" ht="12" hidden="1" customHeight="1">
      <c r="A2979" s="199"/>
    </row>
    <row r="2980" spans="1:1" s="200" customFormat="1" ht="12" hidden="1" customHeight="1">
      <c r="A2980" s="199"/>
    </row>
    <row r="2981" spans="1:1" s="200" customFormat="1" ht="12" hidden="1" customHeight="1">
      <c r="A2981" s="199"/>
    </row>
    <row r="2982" spans="1:1" s="200" customFormat="1" ht="12" hidden="1" customHeight="1">
      <c r="A2982" s="199"/>
    </row>
    <row r="2983" spans="1:1" s="200" customFormat="1" ht="12" hidden="1" customHeight="1">
      <c r="A2983" s="199"/>
    </row>
    <row r="2984" spans="1:1" s="200" customFormat="1" ht="12" hidden="1" customHeight="1">
      <c r="A2984" s="199"/>
    </row>
    <row r="2985" spans="1:1" s="200" customFormat="1" ht="12" hidden="1" customHeight="1">
      <c r="A2985" s="199"/>
    </row>
    <row r="2986" spans="1:1" s="200" customFormat="1" ht="12" hidden="1" customHeight="1">
      <c r="A2986" s="199"/>
    </row>
    <row r="2987" spans="1:1" s="200" customFormat="1" ht="12" hidden="1" customHeight="1">
      <c r="A2987" s="199"/>
    </row>
    <row r="2988" spans="1:1" s="200" customFormat="1" ht="12" hidden="1" customHeight="1">
      <c r="A2988" s="199"/>
    </row>
    <row r="2989" spans="1:1" s="200" customFormat="1" ht="12" hidden="1" customHeight="1">
      <c r="A2989" s="199"/>
    </row>
    <row r="2990" spans="1:1" s="200" customFormat="1" ht="12" hidden="1" customHeight="1">
      <c r="A2990" s="199"/>
    </row>
    <row r="2991" spans="1:1" s="200" customFormat="1" ht="12" hidden="1" customHeight="1">
      <c r="A2991" s="199"/>
    </row>
    <row r="2992" spans="1:1" s="200" customFormat="1" ht="12" hidden="1" customHeight="1">
      <c r="A2992" s="199"/>
    </row>
    <row r="2993" spans="1:1" s="200" customFormat="1" ht="12" hidden="1" customHeight="1">
      <c r="A2993" s="199"/>
    </row>
    <row r="2994" spans="1:1" s="200" customFormat="1" ht="12" hidden="1" customHeight="1">
      <c r="A2994" s="199"/>
    </row>
    <row r="2995" spans="1:1" s="200" customFormat="1" ht="12" hidden="1" customHeight="1">
      <c r="A2995" s="199"/>
    </row>
    <row r="2996" spans="1:1" s="200" customFormat="1" ht="12" hidden="1" customHeight="1">
      <c r="A2996" s="199"/>
    </row>
    <row r="2997" spans="1:1" s="200" customFormat="1" ht="12" hidden="1" customHeight="1">
      <c r="A2997" s="199"/>
    </row>
    <row r="2998" spans="1:1" s="200" customFormat="1" ht="12" hidden="1" customHeight="1">
      <c r="A2998" s="199"/>
    </row>
    <row r="2999" spans="1:1" s="200" customFormat="1" ht="12" hidden="1" customHeight="1">
      <c r="A2999" s="199"/>
    </row>
    <row r="3000" spans="1:1" s="200" customFormat="1" ht="12" hidden="1" customHeight="1">
      <c r="A3000" s="199"/>
    </row>
    <row r="3001" spans="1:1" s="200" customFormat="1" ht="12" hidden="1" customHeight="1">
      <c r="A3001" s="199"/>
    </row>
    <row r="3002" spans="1:1" s="200" customFormat="1" ht="12" hidden="1" customHeight="1">
      <c r="A3002" s="199"/>
    </row>
    <row r="3003" spans="1:1" s="200" customFormat="1" ht="12" hidden="1" customHeight="1">
      <c r="A3003" s="199"/>
    </row>
    <row r="3004" spans="1:1" s="200" customFormat="1" ht="12" hidden="1" customHeight="1">
      <c r="A3004" s="199"/>
    </row>
    <row r="3005" spans="1:1" s="200" customFormat="1" ht="12" hidden="1" customHeight="1">
      <c r="A3005" s="199"/>
    </row>
    <row r="3006" spans="1:1" s="200" customFormat="1" ht="12" hidden="1" customHeight="1">
      <c r="A3006" s="199"/>
    </row>
    <row r="3007" spans="1:1" s="200" customFormat="1" ht="12" hidden="1" customHeight="1">
      <c r="A3007" s="199"/>
    </row>
    <row r="3008" spans="1:1" s="200" customFormat="1" ht="12" hidden="1" customHeight="1">
      <c r="A3008" s="199"/>
    </row>
    <row r="3009" spans="1:1" s="200" customFormat="1" ht="12" hidden="1" customHeight="1">
      <c r="A3009" s="199"/>
    </row>
    <row r="3010" spans="1:1" s="200" customFormat="1" ht="12" hidden="1" customHeight="1">
      <c r="A3010" s="199"/>
    </row>
    <row r="3011" spans="1:1" s="200" customFormat="1" ht="12" hidden="1" customHeight="1">
      <c r="A3011" s="199"/>
    </row>
    <row r="3012" spans="1:1" s="200" customFormat="1" ht="12" hidden="1" customHeight="1">
      <c r="A3012" s="199"/>
    </row>
    <row r="3013" spans="1:1" s="200" customFormat="1" ht="12" hidden="1" customHeight="1">
      <c r="A3013" s="199"/>
    </row>
    <row r="3014" spans="1:1" s="200" customFormat="1" ht="12" hidden="1" customHeight="1">
      <c r="A3014" s="199"/>
    </row>
    <row r="3015" spans="1:1" s="200" customFormat="1" ht="12" hidden="1" customHeight="1">
      <c r="A3015" s="199"/>
    </row>
    <row r="3016" spans="1:1" s="200" customFormat="1" ht="12" hidden="1" customHeight="1">
      <c r="A3016" s="199"/>
    </row>
    <row r="3017" spans="1:1" s="200" customFormat="1" ht="12" hidden="1" customHeight="1">
      <c r="A3017" s="199"/>
    </row>
    <row r="3018" spans="1:1" s="200" customFormat="1" ht="12" hidden="1" customHeight="1">
      <c r="A3018" s="199"/>
    </row>
    <row r="3019" spans="1:1" s="200" customFormat="1" ht="12" hidden="1" customHeight="1">
      <c r="A3019" s="199"/>
    </row>
    <row r="3020" spans="1:1" s="200" customFormat="1" ht="12" hidden="1" customHeight="1">
      <c r="A3020" s="199"/>
    </row>
    <row r="3021" spans="1:1" s="200" customFormat="1" ht="12" hidden="1" customHeight="1">
      <c r="A3021" s="199"/>
    </row>
    <row r="3022" spans="1:1" s="200" customFormat="1" ht="12" hidden="1" customHeight="1">
      <c r="A3022" s="199"/>
    </row>
    <row r="3023" spans="1:1" s="200" customFormat="1" ht="12" hidden="1" customHeight="1">
      <c r="A3023" s="199"/>
    </row>
    <row r="3024" spans="1:1" s="200" customFormat="1" ht="12" hidden="1" customHeight="1">
      <c r="A3024" s="199"/>
    </row>
    <row r="3025" spans="1:1" s="200" customFormat="1" ht="12" hidden="1" customHeight="1">
      <c r="A3025" s="199"/>
    </row>
    <row r="3026" spans="1:1" s="200" customFormat="1" ht="12" hidden="1" customHeight="1">
      <c r="A3026" s="199"/>
    </row>
    <row r="3027" spans="1:1" s="200" customFormat="1" ht="12" hidden="1" customHeight="1">
      <c r="A3027" s="199"/>
    </row>
    <row r="3028" spans="1:1" s="200" customFormat="1" ht="12" hidden="1" customHeight="1">
      <c r="A3028" s="199"/>
    </row>
    <row r="3029" spans="1:1" s="200" customFormat="1" ht="12" hidden="1" customHeight="1">
      <c r="A3029" s="199"/>
    </row>
    <row r="3030" spans="1:1" s="200" customFormat="1" ht="12" hidden="1" customHeight="1">
      <c r="A3030" s="199"/>
    </row>
    <row r="3031" spans="1:1" s="200" customFormat="1" ht="12" hidden="1" customHeight="1">
      <c r="A3031" s="199"/>
    </row>
    <row r="3032" spans="1:1" s="200" customFormat="1" ht="12" hidden="1" customHeight="1">
      <c r="A3032" s="199"/>
    </row>
    <row r="3033" spans="1:1" s="200" customFormat="1" ht="12" hidden="1" customHeight="1">
      <c r="A3033" s="199"/>
    </row>
    <row r="3034" spans="1:1" s="200" customFormat="1" ht="12" hidden="1" customHeight="1">
      <c r="A3034" s="199"/>
    </row>
    <row r="3035" spans="1:1" s="200" customFormat="1" ht="12" hidden="1" customHeight="1">
      <c r="A3035" s="199"/>
    </row>
    <row r="3036" spans="1:1" s="200" customFormat="1" ht="12" hidden="1" customHeight="1">
      <c r="A3036" s="199"/>
    </row>
    <row r="3037" spans="1:1" s="200" customFormat="1" ht="12" hidden="1" customHeight="1">
      <c r="A3037" s="199"/>
    </row>
    <row r="3038" spans="1:1" s="200" customFormat="1" ht="12" hidden="1" customHeight="1">
      <c r="A3038" s="199"/>
    </row>
    <row r="3039" spans="1:1" s="200" customFormat="1" ht="12" hidden="1" customHeight="1">
      <c r="A3039" s="199"/>
    </row>
    <row r="3040" spans="1:1" s="200" customFormat="1" ht="12" hidden="1" customHeight="1">
      <c r="A3040" s="199"/>
    </row>
    <row r="3041" spans="1:1" s="200" customFormat="1" ht="12" hidden="1" customHeight="1">
      <c r="A3041" s="199"/>
    </row>
    <row r="3042" spans="1:1" s="200" customFormat="1" ht="12" hidden="1" customHeight="1">
      <c r="A3042" s="199"/>
    </row>
    <row r="3043" spans="1:1" s="200" customFormat="1" ht="12" hidden="1" customHeight="1">
      <c r="A3043" s="199"/>
    </row>
    <row r="3044" spans="1:1" s="200" customFormat="1" ht="12" hidden="1" customHeight="1">
      <c r="A3044" s="199"/>
    </row>
    <row r="3045" spans="1:1" s="200" customFormat="1" ht="12" hidden="1" customHeight="1">
      <c r="A3045" s="199"/>
    </row>
    <row r="3046" spans="1:1" s="200" customFormat="1" ht="12" hidden="1" customHeight="1">
      <c r="A3046" s="199"/>
    </row>
    <row r="3047" spans="1:1" s="200" customFormat="1" ht="12" hidden="1" customHeight="1">
      <c r="A3047" s="199"/>
    </row>
    <row r="3048" spans="1:1" s="200" customFormat="1" ht="12" hidden="1" customHeight="1">
      <c r="A3048" s="199"/>
    </row>
    <row r="3049" spans="1:1" s="200" customFormat="1" ht="12" hidden="1" customHeight="1">
      <c r="A3049" s="199"/>
    </row>
    <row r="3050" spans="1:1" s="200" customFormat="1" ht="12" hidden="1" customHeight="1">
      <c r="A3050" s="199"/>
    </row>
    <row r="3051" spans="1:1" s="200" customFormat="1" ht="12" hidden="1" customHeight="1">
      <c r="A3051" s="199"/>
    </row>
    <row r="3052" spans="1:1" s="200" customFormat="1" ht="12" hidden="1" customHeight="1">
      <c r="A3052" s="199"/>
    </row>
    <row r="3053" spans="1:1" s="200" customFormat="1" ht="12" hidden="1" customHeight="1">
      <c r="A3053" s="199"/>
    </row>
    <row r="3054" spans="1:1" s="200" customFormat="1" ht="12" hidden="1" customHeight="1">
      <c r="A3054" s="199"/>
    </row>
    <row r="3055" spans="1:1" s="200" customFormat="1" ht="12" hidden="1" customHeight="1">
      <c r="A3055" s="199"/>
    </row>
    <row r="3056" spans="1:1" s="200" customFormat="1" ht="12" hidden="1" customHeight="1">
      <c r="A3056" s="199"/>
    </row>
    <row r="3057" spans="1:1" s="200" customFormat="1" ht="12" hidden="1" customHeight="1">
      <c r="A3057" s="199"/>
    </row>
    <row r="3058" spans="1:1" s="200" customFormat="1" ht="12" hidden="1" customHeight="1">
      <c r="A3058" s="199"/>
    </row>
    <row r="3059" spans="1:1" s="200" customFormat="1" ht="12" hidden="1" customHeight="1">
      <c r="A3059" s="199"/>
    </row>
    <row r="3060" spans="1:1" s="200" customFormat="1" ht="12" hidden="1" customHeight="1">
      <c r="A3060" s="199"/>
    </row>
    <row r="3061" spans="1:1" s="200" customFormat="1" ht="12" hidden="1" customHeight="1">
      <c r="A3061" s="199"/>
    </row>
    <row r="3062" spans="1:1" s="200" customFormat="1" ht="12" hidden="1" customHeight="1">
      <c r="A3062" s="199"/>
    </row>
    <row r="3063" spans="1:1" s="200" customFormat="1" ht="12" hidden="1" customHeight="1">
      <c r="A3063" s="199"/>
    </row>
    <row r="3064" spans="1:1" s="200" customFormat="1" ht="12" hidden="1" customHeight="1">
      <c r="A3064" s="199"/>
    </row>
    <row r="3065" spans="1:1" s="200" customFormat="1" ht="12" hidden="1" customHeight="1">
      <c r="A3065" s="199"/>
    </row>
    <row r="3066" spans="1:1" s="200" customFormat="1" ht="12" hidden="1" customHeight="1">
      <c r="A3066" s="199"/>
    </row>
    <row r="3067" spans="1:1" s="200" customFormat="1" ht="12" hidden="1" customHeight="1">
      <c r="A3067" s="199"/>
    </row>
    <row r="3068" spans="1:1" s="200" customFormat="1" ht="12" hidden="1" customHeight="1">
      <c r="A3068" s="199"/>
    </row>
    <row r="3069" spans="1:1" s="200" customFormat="1" ht="12" hidden="1" customHeight="1">
      <c r="A3069" s="199"/>
    </row>
    <row r="3070" spans="1:1" s="200" customFormat="1" ht="12" hidden="1" customHeight="1">
      <c r="A3070" s="199"/>
    </row>
    <row r="3071" spans="1:1" s="200" customFormat="1" ht="12" hidden="1" customHeight="1">
      <c r="A3071" s="199"/>
    </row>
    <row r="3072" spans="1:1" s="200" customFormat="1" ht="12" hidden="1" customHeight="1">
      <c r="A3072" s="199"/>
    </row>
    <row r="3073" spans="1:1" s="200" customFormat="1" ht="12" hidden="1" customHeight="1">
      <c r="A3073" s="199"/>
    </row>
    <row r="3074" spans="1:1" s="200" customFormat="1" ht="12" hidden="1" customHeight="1">
      <c r="A3074" s="199"/>
    </row>
    <row r="3075" spans="1:1" s="200" customFormat="1" ht="12" hidden="1" customHeight="1">
      <c r="A3075" s="199"/>
    </row>
    <row r="3076" spans="1:1" s="200" customFormat="1" ht="12" hidden="1" customHeight="1">
      <c r="A3076" s="199"/>
    </row>
    <row r="3077" spans="1:1" s="200" customFormat="1" ht="12" hidden="1" customHeight="1">
      <c r="A3077" s="199"/>
    </row>
    <row r="3078" spans="1:1" s="200" customFormat="1" ht="12" hidden="1" customHeight="1">
      <c r="A3078" s="199"/>
    </row>
    <row r="3079" spans="1:1" s="200" customFormat="1" ht="12" hidden="1" customHeight="1">
      <c r="A3079" s="199"/>
    </row>
    <row r="3080" spans="1:1" s="200" customFormat="1" ht="12" hidden="1" customHeight="1">
      <c r="A3080" s="199"/>
    </row>
    <row r="3081" spans="1:1" s="200" customFormat="1" ht="12" hidden="1" customHeight="1">
      <c r="A3081" s="199"/>
    </row>
    <row r="3082" spans="1:1" s="200" customFormat="1" ht="12" hidden="1" customHeight="1">
      <c r="A3082" s="199"/>
    </row>
    <row r="3083" spans="1:1" s="200" customFormat="1" ht="12" hidden="1" customHeight="1">
      <c r="A3083" s="199"/>
    </row>
    <row r="3084" spans="1:1" s="200" customFormat="1" ht="12" hidden="1" customHeight="1">
      <c r="A3084" s="199"/>
    </row>
    <row r="3085" spans="1:1" s="200" customFormat="1" ht="12" hidden="1" customHeight="1">
      <c r="A3085" s="199"/>
    </row>
    <row r="3086" spans="1:1" s="200" customFormat="1" ht="12" hidden="1" customHeight="1">
      <c r="A3086" s="199"/>
    </row>
    <row r="3087" spans="1:1" s="200" customFormat="1" ht="12" hidden="1" customHeight="1">
      <c r="A3087" s="199"/>
    </row>
    <row r="3088" spans="1:1" s="200" customFormat="1" ht="12" hidden="1" customHeight="1">
      <c r="A3088" s="199"/>
    </row>
    <row r="3089" spans="1:1" s="200" customFormat="1" ht="12" hidden="1" customHeight="1">
      <c r="A3089" s="199"/>
    </row>
    <row r="3090" spans="1:1" s="200" customFormat="1" ht="12" hidden="1" customHeight="1">
      <c r="A3090" s="199"/>
    </row>
    <row r="3091" spans="1:1" s="200" customFormat="1" ht="12" hidden="1" customHeight="1">
      <c r="A3091" s="199"/>
    </row>
    <row r="3092" spans="1:1" s="200" customFormat="1" ht="12" hidden="1" customHeight="1">
      <c r="A3092" s="199"/>
    </row>
    <row r="3093" spans="1:1" s="200" customFormat="1" ht="12" hidden="1" customHeight="1">
      <c r="A3093" s="199"/>
    </row>
    <row r="3094" spans="1:1" s="200" customFormat="1" ht="12" hidden="1" customHeight="1">
      <c r="A3094" s="199"/>
    </row>
    <row r="3095" spans="1:1" s="200" customFormat="1" ht="12" hidden="1" customHeight="1">
      <c r="A3095" s="199"/>
    </row>
    <row r="3096" spans="1:1" s="200" customFormat="1" ht="12" hidden="1" customHeight="1">
      <c r="A3096" s="199"/>
    </row>
    <row r="3097" spans="1:1" s="200" customFormat="1" ht="12" hidden="1" customHeight="1">
      <c r="A3097" s="199"/>
    </row>
    <row r="3098" spans="1:1" s="200" customFormat="1" ht="12" hidden="1" customHeight="1">
      <c r="A3098" s="199"/>
    </row>
    <row r="3099" spans="1:1" s="200" customFormat="1" ht="12" hidden="1" customHeight="1">
      <c r="A3099" s="199"/>
    </row>
    <row r="3100" spans="1:1" s="200" customFormat="1" ht="12" hidden="1" customHeight="1">
      <c r="A3100" s="199"/>
    </row>
    <row r="3101" spans="1:1" s="200" customFormat="1" ht="12" hidden="1" customHeight="1">
      <c r="A3101" s="199"/>
    </row>
    <row r="3102" spans="1:1" s="200" customFormat="1" ht="12" hidden="1" customHeight="1">
      <c r="A3102" s="199"/>
    </row>
    <row r="3103" spans="1:1" s="200" customFormat="1" ht="12" hidden="1" customHeight="1">
      <c r="A3103" s="199"/>
    </row>
    <row r="3104" spans="1:1" s="200" customFormat="1" ht="12" hidden="1" customHeight="1">
      <c r="A3104" s="199"/>
    </row>
    <row r="3105" spans="1:1" s="200" customFormat="1" ht="12" hidden="1" customHeight="1">
      <c r="A3105" s="199"/>
    </row>
    <row r="3106" spans="1:1" s="200" customFormat="1" ht="12" hidden="1" customHeight="1">
      <c r="A3106" s="199"/>
    </row>
    <row r="3107" spans="1:1" s="200" customFormat="1" ht="12" hidden="1" customHeight="1">
      <c r="A3107" s="199"/>
    </row>
    <row r="3108" spans="1:1" s="200" customFormat="1" ht="12" hidden="1" customHeight="1">
      <c r="A3108" s="199"/>
    </row>
    <row r="3109" spans="1:1" s="200" customFormat="1" ht="12" hidden="1" customHeight="1">
      <c r="A3109" s="199"/>
    </row>
    <row r="3110" spans="1:1" s="200" customFormat="1" ht="12" hidden="1" customHeight="1">
      <c r="A3110" s="199"/>
    </row>
    <row r="3111" spans="1:1" s="200" customFormat="1" ht="12" hidden="1" customHeight="1">
      <c r="A3111" s="199"/>
    </row>
    <row r="3112" spans="1:1" s="200" customFormat="1" ht="12" hidden="1" customHeight="1">
      <c r="A3112" s="199"/>
    </row>
    <row r="3113" spans="1:1" s="200" customFormat="1" ht="12" hidden="1" customHeight="1">
      <c r="A3113" s="199"/>
    </row>
    <row r="3114" spans="1:1" s="200" customFormat="1" ht="12" hidden="1" customHeight="1">
      <c r="A3114" s="199"/>
    </row>
    <row r="3115" spans="1:1" s="200" customFormat="1" ht="12" hidden="1" customHeight="1">
      <c r="A3115" s="199"/>
    </row>
    <row r="3116" spans="1:1" s="200" customFormat="1" ht="12" hidden="1" customHeight="1">
      <c r="A3116" s="199"/>
    </row>
    <row r="3117" spans="1:1" s="200" customFormat="1" ht="12" hidden="1" customHeight="1">
      <c r="A3117" s="199"/>
    </row>
    <row r="3118" spans="1:1" s="200" customFormat="1" ht="12" hidden="1" customHeight="1">
      <c r="A3118" s="199"/>
    </row>
    <row r="3119" spans="1:1" s="200" customFormat="1" ht="12" hidden="1" customHeight="1">
      <c r="A3119" s="199"/>
    </row>
    <row r="3120" spans="1:1" s="200" customFormat="1" ht="12" hidden="1" customHeight="1">
      <c r="A3120" s="199"/>
    </row>
    <row r="3121" spans="1:1" s="200" customFormat="1" ht="12" hidden="1" customHeight="1">
      <c r="A3121" s="199"/>
    </row>
    <row r="3122" spans="1:1" s="200" customFormat="1" ht="12" hidden="1" customHeight="1">
      <c r="A3122" s="199"/>
    </row>
    <row r="3123" spans="1:1" s="200" customFormat="1" ht="12" hidden="1" customHeight="1">
      <c r="A3123" s="199"/>
    </row>
    <row r="3124" spans="1:1" s="200" customFormat="1" ht="12" hidden="1" customHeight="1">
      <c r="A3124" s="199"/>
    </row>
    <row r="3125" spans="1:1" s="200" customFormat="1" ht="12" hidden="1" customHeight="1">
      <c r="A3125" s="199"/>
    </row>
    <row r="3126" spans="1:1" s="200" customFormat="1" ht="12" hidden="1" customHeight="1">
      <c r="A3126" s="199"/>
    </row>
    <row r="3127" spans="1:1" s="200" customFormat="1" ht="12" hidden="1" customHeight="1">
      <c r="A3127" s="199"/>
    </row>
    <row r="3128" spans="1:1" s="200" customFormat="1" ht="12" hidden="1" customHeight="1">
      <c r="A3128" s="199"/>
    </row>
    <row r="3129" spans="1:1" s="200" customFormat="1" ht="12" hidden="1" customHeight="1">
      <c r="A3129" s="199"/>
    </row>
    <row r="3130" spans="1:1" s="200" customFormat="1" ht="12" hidden="1" customHeight="1">
      <c r="A3130" s="199"/>
    </row>
    <row r="3131" spans="1:1" s="200" customFormat="1" ht="12" hidden="1" customHeight="1">
      <c r="A3131" s="199"/>
    </row>
    <row r="3132" spans="1:1" s="200" customFormat="1" ht="12" hidden="1" customHeight="1">
      <c r="A3132" s="199"/>
    </row>
    <row r="3133" spans="1:1" s="200" customFormat="1" ht="12" hidden="1" customHeight="1">
      <c r="A3133" s="199"/>
    </row>
    <row r="3134" spans="1:1" s="200" customFormat="1" ht="12" hidden="1" customHeight="1">
      <c r="A3134" s="199"/>
    </row>
    <row r="3135" spans="1:1" s="200" customFormat="1" ht="12" hidden="1" customHeight="1">
      <c r="A3135" s="199"/>
    </row>
    <row r="3136" spans="1:1" s="200" customFormat="1" ht="12" hidden="1" customHeight="1">
      <c r="A3136" s="199"/>
    </row>
    <row r="3137" spans="1:1" s="200" customFormat="1" ht="12" hidden="1" customHeight="1">
      <c r="A3137" s="199"/>
    </row>
    <row r="3138" spans="1:1" s="200" customFormat="1" ht="12" hidden="1" customHeight="1">
      <c r="A3138" s="199"/>
    </row>
    <row r="3139" spans="1:1" s="200" customFormat="1" ht="12" hidden="1" customHeight="1">
      <c r="A3139" s="199"/>
    </row>
    <row r="3140" spans="1:1" s="200" customFormat="1" ht="12" hidden="1" customHeight="1">
      <c r="A3140" s="199"/>
    </row>
    <row r="3141" spans="1:1" s="200" customFormat="1" ht="12" hidden="1" customHeight="1">
      <c r="A3141" s="199"/>
    </row>
    <row r="3142" spans="1:1" s="200" customFormat="1" ht="12" hidden="1" customHeight="1">
      <c r="A3142" s="199"/>
    </row>
    <row r="3143" spans="1:1" s="200" customFormat="1" ht="12" hidden="1" customHeight="1">
      <c r="A3143" s="199"/>
    </row>
    <row r="3144" spans="1:1" s="200" customFormat="1" ht="12" hidden="1" customHeight="1">
      <c r="A3144" s="199"/>
    </row>
    <row r="3145" spans="1:1" s="200" customFormat="1" ht="12" hidden="1" customHeight="1">
      <c r="A3145" s="199"/>
    </row>
    <row r="3146" spans="1:1" s="200" customFormat="1" ht="12" hidden="1" customHeight="1">
      <c r="A3146" s="199"/>
    </row>
    <row r="3147" spans="1:1" s="200" customFormat="1" ht="12" hidden="1" customHeight="1">
      <c r="A3147" s="199"/>
    </row>
    <row r="3148" spans="1:1" s="200" customFormat="1" ht="12" hidden="1" customHeight="1">
      <c r="A3148" s="199"/>
    </row>
    <row r="3149" spans="1:1" s="200" customFormat="1" ht="12" hidden="1" customHeight="1">
      <c r="A3149" s="199"/>
    </row>
    <row r="3150" spans="1:1" s="200" customFormat="1" ht="12" hidden="1" customHeight="1">
      <c r="A3150" s="199"/>
    </row>
    <row r="3151" spans="1:1" s="200" customFormat="1" ht="12" hidden="1" customHeight="1">
      <c r="A3151" s="199"/>
    </row>
    <row r="3152" spans="1:1" s="200" customFormat="1" ht="12" hidden="1" customHeight="1">
      <c r="A3152" s="199"/>
    </row>
    <row r="3153" spans="1:1" s="200" customFormat="1" ht="12" hidden="1" customHeight="1">
      <c r="A3153" s="199"/>
    </row>
    <row r="3154" spans="1:1" s="200" customFormat="1" ht="12" hidden="1" customHeight="1">
      <c r="A3154" s="199"/>
    </row>
    <row r="3155" spans="1:1" s="200" customFormat="1" ht="12" hidden="1" customHeight="1">
      <c r="A3155" s="199"/>
    </row>
    <row r="3156" spans="1:1" s="200" customFormat="1" ht="12" hidden="1" customHeight="1">
      <c r="A3156" s="199"/>
    </row>
    <row r="3157" spans="1:1" s="200" customFormat="1" ht="12" hidden="1" customHeight="1">
      <c r="A3157" s="199"/>
    </row>
    <row r="3158" spans="1:1" s="200" customFormat="1" ht="12" hidden="1" customHeight="1">
      <c r="A3158" s="199"/>
    </row>
    <row r="3159" spans="1:1" s="200" customFormat="1" ht="12" hidden="1" customHeight="1">
      <c r="A3159" s="199"/>
    </row>
    <row r="3160" spans="1:1" s="200" customFormat="1" ht="12" hidden="1" customHeight="1">
      <c r="A3160" s="199"/>
    </row>
    <row r="3161" spans="1:1" s="200" customFormat="1" ht="12" hidden="1" customHeight="1">
      <c r="A3161" s="199"/>
    </row>
    <row r="3162" spans="1:1" s="200" customFormat="1" ht="12" hidden="1" customHeight="1">
      <c r="A3162" s="199"/>
    </row>
    <row r="3163" spans="1:1" s="200" customFormat="1" ht="12" hidden="1" customHeight="1">
      <c r="A3163" s="199"/>
    </row>
    <row r="3164" spans="1:1" s="200" customFormat="1" ht="12" hidden="1" customHeight="1">
      <c r="A3164" s="199"/>
    </row>
    <row r="3165" spans="1:1" s="200" customFormat="1" ht="12" hidden="1" customHeight="1">
      <c r="A3165" s="199"/>
    </row>
    <row r="3166" spans="1:1" s="200" customFormat="1" ht="12" hidden="1" customHeight="1">
      <c r="A3166" s="199"/>
    </row>
    <row r="3167" spans="1:1" s="200" customFormat="1" ht="12" hidden="1" customHeight="1">
      <c r="A3167" s="199"/>
    </row>
    <row r="3168" spans="1:1" s="200" customFormat="1" ht="12" hidden="1" customHeight="1">
      <c r="A3168" s="199"/>
    </row>
    <row r="3169" spans="1:1" s="200" customFormat="1" ht="12" hidden="1" customHeight="1">
      <c r="A3169" s="199"/>
    </row>
    <row r="3170" spans="1:1" s="200" customFormat="1" ht="12" hidden="1" customHeight="1">
      <c r="A3170" s="199"/>
    </row>
    <row r="3171" spans="1:1" s="200" customFormat="1" ht="12" hidden="1" customHeight="1">
      <c r="A3171" s="199"/>
    </row>
    <row r="3172" spans="1:1" s="200" customFormat="1" ht="12" hidden="1" customHeight="1">
      <c r="A3172" s="199"/>
    </row>
    <row r="3173" spans="1:1" s="200" customFormat="1" ht="12" hidden="1" customHeight="1">
      <c r="A3173" s="199"/>
    </row>
    <row r="3174" spans="1:1" s="200" customFormat="1" ht="12" hidden="1" customHeight="1">
      <c r="A3174" s="199"/>
    </row>
    <row r="3175" spans="1:1" s="200" customFormat="1" ht="12" hidden="1" customHeight="1">
      <c r="A3175" s="199"/>
    </row>
    <row r="3176" spans="1:1" s="200" customFormat="1" ht="12" hidden="1" customHeight="1">
      <c r="A3176" s="199"/>
    </row>
    <row r="3177" spans="1:1" s="200" customFormat="1" ht="12" hidden="1" customHeight="1">
      <c r="A3177" s="199"/>
    </row>
    <row r="3178" spans="1:1" s="200" customFormat="1" ht="12" hidden="1" customHeight="1">
      <c r="A3178" s="199"/>
    </row>
    <row r="3179" spans="1:1" s="200" customFormat="1" ht="12" hidden="1" customHeight="1">
      <c r="A3179" s="199"/>
    </row>
    <row r="3180" spans="1:1" s="200" customFormat="1" ht="12" hidden="1" customHeight="1">
      <c r="A3180" s="199"/>
    </row>
    <row r="3181" spans="1:1" s="200" customFormat="1" ht="12" hidden="1" customHeight="1">
      <c r="A3181" s="199"/>
    </row>
    <row r="3182" spans="1:1" s="200" customFormat="1" ht="12" hidden="1" customHeight="1">
      <c r="A3182" s="199"/>
    </row>
    <row r="3183" spans="1:1" s="200" customFormat="1" ht="12" hidden="1" customHeight="1">
      <c r="A3183" s="199"/>
    </row>
    <row r="3184" spans="1:1" s="200" customFormat="1" ht="12" hidden="1" customHeight="1">
      <c r="A3184" s="199"/>
    </row>
    <row r="3185" spans="1:1" s="200" customFormat="1" ht="12" hidden="1" customHeight="1">
      <c r="A3185" s="199"/>
    </row>
    <row r="3186" spans="1:1" s="200" customFormat="1" ht="12" hidden="1" customHeight="1">
      <c r="A3186" s="199"/>
    </row>
    <row r="3187" spans="1:1" s="200" customFormat="1" ht="12" hidden="1" customHeight="1">
      <c r="A3187" s="199"/>
    </row>
    <row r="3188" spans="1:1" s="200" customFormat="1" ht="12" hidden="1" customHeight="1">
      <c r="A3188" s="199"/>
    </row>
    <row r="3189" spans="1:1" s="200" customFormat="1" ht="12" hidden="1" customHeight="1">
      <c r="A3189" s="199"/>
    </row>
    <row r="3190" spans="1:1" s="200" customFormat="1" ht="12" hidden="1" customHeight="1">
      <c r="A3190" s="199"/>
    </row>
    <row r="3191" spans="1:1" s="200" customFormat="1" ht="12" hidden="1" customHeight="1">
      <c r="A3191" s="199"/>
    </row>
    <row r="3192" spans="1:1" s="200" customFormat="1" ht="12" hidden="1" customHeight="1">
      <c r="A3192" s="199"/>
    </row>
    <row r="3193" spans="1:1" s="200" customFormat="1" ht="12" hidden="1" customHeight="1">
      <c r="A3193" s="199"/>
    </row>
    <row r="3194" spans="1:1" s="200" customFormat="1" ht="12" hidden="1" customHeight="1">
      <c r="A3194" s="199"/>
    </row>
    <row r="3195" spans="1:1" s="200" customFormat="1" ht="12" hidden="1" customHeight="1">
      <c r="A3195" s="199"/>
    </row>
    <row r="3196" spans="1:1" s="200" customFormat="1" ht="12" hidden="1" customHeight="1">
      <c r="A3196" s="199"/>
    </row>
    <row r="3197" spans="1:1" s="200" customFormat="1" ht="12" hidden="1" customHeight="1">
      <c r="A3197" s="199"/>
    </row>
    <row r="3198" spans="1:1" s="200" customFormat="1" ht="12" hidden="1" customHeight="1">
      <c r="A3198" s="199"/>
    </row>
    <row r="3199" spans="1:1" s="200" customFormat="1" ht="12" hidden="1" customHeight="1">
      <c r="A3199" s="199"/>
    </row>
    <row r="3200" spans="1:1" s="200" customFormat="1" ht="12" hidden="1" customHeight="1">
      <c r="A3200" s="199"/>
    </row>
    <row r="3201" spans="1:1" s="200" customFormat="1" ht="12" hidden="1" customHeight="1">
      <c r="A3201" s="199"/>
    </row>
    <row r="3202" spans="1:1" s="200" customFormat="1" ht="12" hidden="1" customHeight="1">
      <c r="A3202" s="199"/>
    </row>
    <row r="3203" spans="1:1" s="200" customFormat="1" ht="12" hidden="1" customHeight="1">
      <c r="A3203" s="199"/>
    </row>
    <row r="3204" spans="1:1" s="200" customFormat="1" ht="12" hidden="1" customHeight="1">
      <c r="A3204" s="199"/>
    </row>
    <row r="3205" spans="1:1" s="200" customFormat="1" ht="12" hidden="1" customHeight="1">
      <c r="A3205" s="199"/>
    </row>
    <row r="3206" spans="1:1" s="200" customFormat="1" ht="12" hidden="1" customHeight="1">
      <c r="A3206" s="199"/>
    </row>
    <row r="3207" spans="1:1" s="200" customFormat="1" ht="12" hidden="1" customHeight="1">
      <c r="A3207" s="199"/>
    </row>
    <row r="3208" spans="1:1" s="200" customFormat="1" ht="12" hidden="1" customHeight="1">
      <c r="A3208" s="199"/>
    </row>
    <row r="3209" spans="1:1" s="200" customFormat="1" ht="12" hidden="1" customHeight="1">
      <c r="A3209" s="199"/>
    </row>
    <row r="3210" spans="1:1" s="200" customFormat="1" ht="12" hidden="1" customHeight="1">
      <c r="A3210" s="199"/>
    </row>
    <row r="3211" spans="1:1" s="200" customFormat="1" ht="12" hidden="1" customHeight="1">
      <c r="A3211" s="199"/>
    </row>
    <row r="3212" spans="1:1" s="200" customFormat="1" ht="12" hidden="1" customHeight="1">
      <c r="A3212" s="199"/>
    </row>
    <row r="3213" spans="1:1" s="200" customFormat="1" ht="12" hidden="1" customHeight="1">
      <c r="A3213" s="199"/>
    </row>
    <row r="3214" spans="1:1" s="200" customFormat="1" ht="12" hidden="1" customHeight="1">
      <c r="A3214" s="199"/>
    </row>
    <row r="3215" spans="1:1" s="200" customFormat="1" ht="12" hidden="1" customHeight="1">
      <c r="A3215" s="199"/>
    </row>
    <row r="3216" spans="1:1" s="200" customFormat="1" ht="12" hidden="1" customHeight="1">
      <c r="A3216" s="199"/>
    </row>
    <row r="3217" spans="1:1" s="200" customFormat="1" ht="12" hidden="1" customHeight="1">
      <c r="A3217" s="199"/>
    </row>
    <row r="3218" spans="1:1" s="200" customFormat="1" ht="12" hidden="1" customHeight="1">
      <c r="A3218" s="199"/>
    </row>
    <row r="3219" spans="1:1" s="200" customFormat="1" ht="12" hidden="1" customHeight="1">
      <c r="A3219" s="199"/>
    </row>
    <row r="3220" spans="1:1" s="200" customFormat="1" ht="12" hidden="1" customHeight="1">
      <c r="A3220" s="199"/>
    </row>
    <row r="3221" spans="1:1" s="200" customFormat="1" ht="12" hidden="1" customHeight="1">
      <c r="A3221" s="199"/>
    </row>
    <row r="3222" spans="1:1" s="200" customFormat="1" ht="12" hidden="1" customHeight="1">
      <c r="A3222" s="199"/>
    </row>
    <row r="3223" spans="1:1" s="200" customFormat="1" ht="12" hidden="1" customHeight="1">
      <c r="A3223" s="199"/>
    </row>
    <row r="3224" spans="1:1" s="200" customFormat="1" ht="12" hidden="1" customHeight="1">
      <c r="A3224" s="199"/>
    </row>
    <row r="3225" spans="1:1" s="200" customFormat="1" ht="12" hidden="1" customHeight="1">
      <c r="A3225" s="199"/>
    </row>
    <row r="3226" spans="1:1" s="200" customFormat="1" ht="12" hidden="1" customHeight="1">
      <c r="A3226" s="199"/>
    </row>
    <row r="3227" spans="1:1" s="200" customFormat="1" ht="12" hidden="1" customHeight="1">
      <c r="A3227" s="199"/>
    </row>
    <row r="3228" spans="1:1" s="200" customFormat="1" ht="12" hidden="1" customHeight="1">
      <c r="A3228" s="199"/>
    </row>
    <row r="3229" spans="1:1" s="200" customFormat="1" ht="12" hidden="1" customHeight="1">
      <c r="A3229" s="199"/>
    </row>
    <row r="3230" spans="1:1" s="200" customFormat="1" ht="12" hidden="1" customHeight="1">
      <c r="A3230" s="199"/>
    </row>
    <row r="3231" spans="1:1" s="200" customFormat="1" ht="12" hidden="1" customHeight="1">
      <c r="A3231" s="199"/>
    </row>
    <row r="3232" spans="1:1" s="200" customFormat="1" ht="12" hidden="1" customHeight="1">
      <c r="A3232" s="199"/>
    </row>
    <row r="3233" spans="1:1" s="200" customFormat="1" ht="12" hidden="1" customHeight="1">
      <c r="A3233" s="199"/>
    </row>
    <row r="3234" spans="1:1" s="200" customFormat="1" ht="12" hidden="1" customHeight="1">
      <c r="A3234" s="199"/>
    </row>
    <row r="3235" spans="1:1" s="200" customFormat="1" ht="12" hidden="1" customHeight="1">
      <c r="A3235" s="199"/>
    </row>
    <row r="3236" spans="1:1" s="200" customFormat="1" ht="12" hidden="1" customHeight="1">
      <c r="A3236" s="199"/>
    </row>
    <row r="3237" spans="1:1" s="200" customFormat="1" ht="12" hidden="1" customHeight="1">
      <c r="A3237" s="199"/>
    </row>
    <row r="3238" spans="1:1" s="200" customFormat="1" ht="12" hidden="1" customHeight="1">
      <c r="A3238" s="199"/>
    </row>
    <row r="3239" spans="1:1" s="200" customFormat="1" ht="12" hidden="1" customHeight="1">
      <c r="A3239" s="199"/>
    </row>
    <row r="3240" spans="1:1" s="200" customFormat="1" ht="12" hidden="1" customHeight="1">
      <c r="A3240" s="199"/>
    </row>
    <row r="3241" spans="1:1" s="200" customFormat="1" ht="12" hidden="1" customHeight="1">
      <c r="A3241" s="199"/>
    </row>
    <row r="3242" spans="1:1" s="200" customFormat="1" ht="12" hidden="1" customHeight="1">
      <c r="A3242" s="199"/>
    </row>
    <row r="3243" spans="1:1" s="200" customFormat="1" ht="12" hidden="1" customHeight="1">
      <c r="A3243" s="199"/>
    </row>
    <row r="3244" spans="1:1" s="200" customFormat="1" ht="12" hidden="1" customHeight="1">
      <c r="A3244" s="199"/>
    </row>
    <row r="3245" spans="1:1" s="200" customFormat="1" ht="12" hidden="1" customHeight="1">
      <c r="A3245" s="199"/>
    </row>
    <row r="3246" spans="1:1" s="200" customFormat="1" ht="12" hidden="1" customHeight="1">
      <c r="A3246" s="199"/>
    </row>
    <row r="3247" spans="1:1" s="200" customFormat="1" ht="12" hidden="1" customHeight="1">
      <c r="A3247" s="199"/>
    </row>
    <row r="3248" spans="1:1" s="200" customFormat="1" ht="12" hidden="1" customHeight="1">
      <c r="A3248" s="199"/>
    </row>
    <row r="3249" spans="1:1" s="200" customFormat="1" ht="12" hidden="1" customHeight="1">
      <c r="A3249" s="199"/>
    </row>
    <row r="3250" spans="1:1" s="200" customFormat="1" ht="12" hidden="1" customHeight="1">
      <c r="A3250" s="199"/>
    </row>
    <row r="3251" spans="1:1" s="200" customFormat="1" ht="12" hidden="1" customHeight="1">
      <c r="A3251" s="199"/>
    </row>
    <row r="3252" spans="1:1" s="200" customFormat="1" ht="12" hidden="1" customHeight="1">
      <c r="A3252" s="199"/>
    </row>
    <row r="3253" spans="1:1" s="200" customFormat="1" ht="12" hidden="1" customHeight="1">
      <c r="A3253" s="199"/>
    </row>
    <row r="3254" spans="1:1" s="200" customFormat="1" ht="12" hidden="1" customHeight="1">
      <c r="A3254" s="199"/>
    </row>
    <row r="3255" spans="1:1" s="200" customFormat="1" ht="12" hidden="1" customHeight="1">
      <c r="A3255" s="199"/>
    </row>
    <row r="3256" spans="1:1" s="200" customFormat="1" ht="12" hidden="1" customHeight="1">
      <c r="A3256" s="199"/>
    </row>
    <row r="3257" spans="1:1" s="200" customFormat="1" ht="12" hidden="1" customHeight="1">
      <c r="A3257" s="199"/>
    </row>
    <row r="3258" spans="1:1" s="200" customFormat="1" ht="12" hidden="1" customHeight="1">
      <c r="A3258" s="199"/>
    </row>
    <row r="3259" spans="1:1" s="200" customFormat="1" ht="12" hidden="1" customHeight="1">
      <c r="A3259" s="199"/>
    </row>
    <row r="3260" spans="1:1" s="200" customFormat="1" ht="12" hidden="1" customHeight="1">
      <c r="A3260" s="199"/>
    </row>
    <row r="3261" spans="1:1" s="200" customFormat="1" ht="12" hidden="1" customHeight="1">
      <c r="A3261" s="199"/>
    </row>
    <row r="3262" spans="1:1" s="200" customFormat="1" ht="12" hidden="1" customHeight="1">
      <c r="A3262" s="199"/>
    </row>
    <row r="3263" spans="1:1" s="200" customFormat="1" ht="12" hidden="1" customHeight="1">
      <c r="A3263" s="199"/>
    </row>
    <row r="3264" spans="1:1" s="200" customFormat="1" ht="12" hidden="1" customHeight="1">
      <c r="A3264" s="199"/>
    </row>
    <row r="3265" spans="1:1" s="200" customFormat="1" ht="12" hidden="1" customHeight="1">
      <c r="A3265" s="199"/>
    </row>
    <row r="3266" spans="1:1" s="200" customFormat="1" ht="12" hidden="1" customHeight="1">
      <c r="A3266" s="199"/>
    </row>
    <row r="3267" spans="1:1" s="200" customFormat="1" ht="12" hidden="1" customHeight="1">
      <c r="A3267" s="199"/>
    </row>
    <row r="3268" spans="1:1" s="200" customFormat="1" ht="12" hidden="1" customHeight="1">
      <c r="A3268" s="199"/>
    </row>
    <row r="3269" spans="1:1" s="200" customFormat="1" ht="12" hidden="1" customHeight="1">
      <c r="A3269" s="199"/>
    </row>
    <row r="3270" spans="1:1" s="200" customFormat="1" ht="12" hidden="1" customHeight="1">
      <c r="A3270" s="199"/>
    </row>
    <row r="3271" spans="1:1" s="200" customFormat="1" ht="12" hidden="1" customHeight="1">
      <c r="A3271" s="199"/>
    </row>
    <row r="3272" spans="1:1" s="200" customFormat="1" ht="12" hidden="1" customHeight="1">
      <c r="A3272" s="199"/>
    </row>
    <row r="3273" spans="1:1" s="200" customFormat="1" ht="12" hidden="1" customHeight="1">
      <c r="A3273" s="199"/>
    </row>
    <row r="3274" spans="1:1" s="200" customFormat="1" ht="12" hidden="1" customHeight="1">
      <c r="A3274" s="199"/>
    </row>
    <row r="3275" spans="1:1" s="200" customFormat="1" ht="12" hidden="1" customHeight="1">
      <c r="A3275" s="199"/>
    </row>
    <row r="3276" spans="1:1" s="200" customFormat="1" ht="12" hidden="1" customHeight="1">
      <c r="A3276" s="199"/>
    </row>
    <row r="3277" spans="1:1" s="200" customFormat="1" ht="12" hidden="1" customHeight="1">
      <c r="A3277" s="199"/>
    </row>
    <row r="3278" spans="1:1" s="200" customFormat="1" ht="12" hidden="1" customHeight="1">
      <c r="A3278" s="199"/>
    </row>
    <row r="3279" spans="1:1" s="200" customFormat="1" ht="12" hidden="1" customHeight="1">
      <c r="A3279" s="199"/>
    </row>
    <row r="3280" spans="1:1" s="200" customFormat="1" ht="12" hidden="1" customHeight="1">
      <c r="A3280" s="199"/>
    </row>
    <row r="3281" spans="1:1" s="200" customFormat="1" ht="12" hidden="1" customHeight="1">
      <c r="A3281" s="199"/>
    </row>
    <row r="3282" spans="1:1" s="200" customFormat="1" ht="12" hidden="1" customHeight="1">
      <c r="A3282" s="199"/>
    </row>
    <row r="3283" spans="1:1" s="200" customFormat="1" ht="12" hidden="1" customHeight="1">
      <c r="A3283" s="199"/>
    </row>
    <row r="3284" spans="1:1" s="200" customFormat="1" ht="12" hidden="1" customHeight="1">
      <c r="A3284" s="199"/>
    </row>
    <row r="3285" spans="1:1" s="200" customFormat="1" ht="12" hidden="1" customHeight="1">
      <c r="A3285" s="199"/>
    </row>
    <row r="3286" spans="1:1" s="200" customFormat="1" ht="12" hidden="1" customHeight="1">
      <c r="A3286" s="199"/>
    </row>
    <row r="3287" spans="1:1" s="200" customFormat="1" ht="12" hidden="1" customHeight="1">
      <c r="A3287" s="199"/>
    </row>
    <row r="3288" spans="1:1" s="200" customFormat="1" ht="12" hidden="1" customHeight="1">
      <c r="A3288" s="199"/>
    </row>
    <row r="3289" spans="1:1" s="200" customFormat="1" ht="12" hidden="1" customHeight="1">
      <c r="A3289" s="199"/>
    </row>
    <row r="3290" spans="1:1" s="200" customFormat="1" ht="12" hidden="1" customHeight="1">
      <c r="A3290" s="199"/>
    </row>
    <row r="3291" spans="1:1" s="200" customFormat="1" ht="12" hidden="1" customHeight="1">
      <c r="A3291" s="199"/>
    </row>
    <row r="3292" spans="1:1" s="200" customFormat="1" ht="12" hidden="1" customHeight="1">
      <c r="A3292" s="199"/>
    </row>
    <row r="3293" spans="1:1" s="200" customFormat="1" ht="12" hidden="1" customHeight="1">
      <c r="A3293" s="199"/>
    </row>
    <row r="3294" spans="1:1" s="200" customFormat="1" ht="12" hidden="1" customHeight="1">
      <c r="A3294" s="199"/>
    </row>
    <row r="3295" spans="1:1" s="200" customFormat="1" ht="12" hidden="1" customHeight="1">
      <c r="A3295" s="199"/>
    </row>
    <row r="3296" spans="1:1" s="200" customFormat="1" ht="12" hidden="1" customHeight="1">
      <c r="A3296" s="199"/>
    </row>
    <row r="3297" spans="1:1" s="200" customFormat="1" ht="12" hidden="1" customHeight="1">
      <c r="A3297" s="199"/>
    </row>
    <row r="3298" spans="1:1" s="200" customFormat="1" ht="12" hidden="1" customHeight="1">
      <c r="A3298" s="199"/>
    </row>
    <row r="3299" spans="1:1" s="200" customFormat="1" ht="12" hidden="1" customHeight="1">
      <c r="A3299" s="199"/>
    </row>
    <row r="3300" spans="1:1" s="200" customFormat="1" ht="12" hidden="1" customHeight="1">
      <c r="A3300" s="199"/>
    </row>
    <row r="3301" spans="1:1" s="200" customFormat="1" ht="12" hidden="1" customHeight="1">
      <c r="A3301" s="199"/>
    </row>
    <row r="3302" spans="1:1" s="200" customFormat="1" ht="12" hidden="1" customHeight="1">
      <c r="A3302" s="199"/>
    </row>
    <row r="3303" spans="1:1" s="200" customFormat="1" ht="12" hidden="1" customHeight="1">
      <c r="A3303" s="199"/>
    </row>
    <row r="3304" spans="1:1" s="200" customFormat="1" ht="12" hidden="1" customHeight="1">
      <c r="A3304" s="199"/>
    </row>
    <row r="3305" spans="1:1" s="200" customFormat="1" ht="12" hidden="1" customHeight="1">
      <c r="A3305" s="199"/>
    </row>
    <row r="3306" spans="1:1" s="200" customFormat="1" ht="12" hidden="1" customHeight="1">
      <c r="A3306" s="199"/>
    </row>
    <row r="3307" spans="1:1" s="200" customFormat="1" ht="12" hidden="1" customHeight="1">
      <c r="A3307" s="199"/>
    </row>
    <row r="3308" spans="1:1" s="200" customFormat="1" ht="12" hidden="1" customHeight="1">
      <c r="A3308" s="199"/>
    </row>
    <row r="3309" spans="1:1" s="200" customFormat="1" ht="12" hidden="1" customHeight="1">
      <c r="A3309" s="199"/>
    </row>
    <row r="3310" spans="1:1" s="200" customFormat="1" ht="12" hidden="1" customHeight="1">
      <c r="A3310" s="199"/>
    </row>
    <row r="3311" spans="1:1" s="200" customFormat="1" ht="12" hidden="1" customHeight="1">
      <c r="A3311" s="199"/>
    </row>
    <row r="3312" spans="1:1" s="200" customFormat="1" ht="12" hidden="1" customHeight="1">
      <c r="A3312" s="199"/>
    </row>
    <row r="3313" spans="1:1" s="200" customFormat="1" ht="12" hidden="1" customHeight="1">
      <c r="A3313" s="199"/>
    </row>
    <row r="3314" spans="1:1" s="200" customFormat="1" ht="12" hidden="1" customHeight="1">
      <c r="A3314" s="199"/>
    </row>
    <row r="3315" spans="1:1" s="200" customFormat="1" ht="12" hidden="1" customHeight="1">
      <c r="A3315" s="199"/>
    </row>
    <row r="3316" spans="1:1" s="200" customFormat="1" ht="12" hidden="1" customHeight="1">
      <c r="A3316" s="199"/>
    </row>
    <row r="3317" spans="1:1" s="200" customFormat="1" ht="12" hidden="1" customHeight="1">
      <c r="A3317" s="199"/>
    </row>
    <row r="3318" spans="1:1" s="200" customFormat="1" ht="12" hidden="1" customHeight="1">
      <c r="A3318" s="199"/>
    </row>
    <row r="3319" spans="1:1" s="200" customFormat="1" ht="12" hidden="1" customHeight="1">
      <c r="A3319" s="199"/>
    </row>
    <row r="3320" spans="1:1" s="200" customFormat="1" ht="12" hidden="1" customHeight="1">
      <c r="A3320" s="199"/>
    </row>
    <row r="3321" spans="1:1" s="200" customFormat="1" ht="12" hidden="1" customHeight="1">
      <c r="A3321" s="199"/>
    </row>
    <row r="3322" spans="1:1" s="200" customFormat="1" ht="12" hidden="1" customHeight="1">
      <c r="A3322" s="199"/>
    </row>
    <row r="3323" spans="1:1" s="200" customFormat="1" ht="12" hidden="1" customHeight="1">
      <c r="A3323" s="199"/>
    </row>
    <row r="3324" spans="1:1" s="200" customFormat="1" ht="12" hidden="1" customHeight="1">
      <c r="A3324" s="199"/>
    </row>
    <row r="3325" spans="1:1" s="200" customFormat="1" ht="12" hidden="1" customHeight="1">
      <c r="A3325" s="199"/>
    </row>
    <row r="3326" spans="1:1" s="200" customFormat="1" ht="12" hidden="1" customHeight="1">
      <c r="A3326" s="199"/>
    </row>
    <row r="3327" spans="1:1" s="200" customFormat="1" ht="12" hidden="1" customHeight="1">
      <c r="A3327" s="199"/>
    </row>
    <row r="3328" spans="1:1" s="200" customFormat="1" ht="12" hidden="1" customHeight="1">
      <c r="A3328" s="199"/>
    </row>
    <row r="3329" spans="1:1" s="200" customFormat="1" ht="12" hidden="1" customHeight="1">
      <c r="A3329" s="199"/>
    </row>
    <row r="3330" spans="1:1" s="200" customFormat="1" ht="12" hidden="1" customHeight="1">
      <c r="A3330" s="199"/>
    </row>
    <row r="3331" spans="1:1" s="200" customFormat="1" ht="12" hidden="1" customHeight="1">
      <c r="A3331" s="199"/>
    </row>
    <row r="3332" spans="1:1" s="200" customFormat="1" ht="12" hidden="1" customHeight="1">
      <c r="A3332" s="199"/>
    </row>
    <row r="3333" spans="1:1" s="200" customFormat="1" ht="12" hidden="1" customHeight="1">
      <c r="A3333" s="199"/>
    </row>
    <row r="3334" spans="1:1" s="200" customFormat="1" ht="12" hidden="1" customHeight="1">
      <c r="A3334" s="199"/>
    </row>
    <row r="3335" spans="1:1" s="200" customFormat="1" ht="12" hidden="1" customHeight="1">
      <c r="A3335" s="199"/>
    </row>
    <row r="3336" spans="1:1" s="200" customFormat="1" ht="12" hidden="1" customHeight="1">
      <c r="A3336" s="199"/>
    </row>
    <row r="3337" spans="1:1" s="200" customFormat="1" ht="12" hidden="1" customHeight="1">
      <c r="A3337" s="199"/>
    </row>
    <row r="3338" spans="1:1" s="200" customFormat="1" ht="12" hidden="1" customHeight="1">
      <c r="A3338" s="199"/>
    </row>
    <row r="3339" spans="1:1" s="200" customFormat="1" ht="12" hidden="1" customHeight="1">
      <c r="A3339" s="199"/>
    </row>
    <row r="3340" spans="1:1" s="200" customFormat="1" ht="12" hidden="1" customHeight="1">
      <c r="A3340" s="199"/>
    </row>
    <row r="3341" spans="1:1" s="200" customFormat="1" ht="12" hidden="1" customHeight="1">
      <c r="A3341" s="199"/>
    </row>
    <row r="3342" spans="1:1" s="200" customFormat="1" ht="12" hidden="1" customHeight="1">
      <c r="A3342" s="199"/>
    </row>
    <row r="3343" spans="1:1" s="200" customFormat="1" ht="12" hidden="1" customHeight="1">
      <c r="A3343" s="199"/>
    </row>
    <row r="3344" spans="1:1" s="200" customFormat="1" ht="12" hidden="1" customHeight="1">
      <c r="A3344" s="199"/>
    </row>
    <row r="3345" spans="1:1" s="200" customFormat="1" ht="12" hidden="1" customHeight="1">
      <c r="A3345" s="199"/>
    </row>
    <row r="3346" spans="1:1" s="200" customFormat="1" ht="12" hidden="1" customHeight="1">
      <c r="A3346" s="199"/>
    </row>
    <row r="3347" spans="1:1" s="200" customFormat="1" ht="12" hidden="1" customHeight="1">
      <c r="A3347" s="199"/>
    </row>
    <row r="3348" spans="1:1" s="200" customFormat="1" ht="12" hidden="1" customHeight="1">
      <c r="A3348" s="199"/>
    </row>
    <row r="3349" spans="1:1" s="200" customFormat="1" ht="12" hidden="1" customHeight="1">
      <c r="A3349" s="199"/>
    </row>
    <row r="3350" spans="1:1" s="200" customFormat="1" ht="12" hidden="1" customHeight="1">
      <c r="A3350" s="199"/>
    </row>
    <row r="3351" spans="1:1" s="200" customFormat="1" ht="12" hidden="1" customHeight="1">
      <c r="A3351" s="199"/>
    </row>
    <row r="3352" spans="1:1" s="200" customFormat="1" ht="12" hidden="1" customHeight="1">
      <c r="A3352" s="199"/>
    </row>
    <row r="3353" spans="1:1" s="200" customFormat="1" ht="12" hidden="1" customHeight="1">
      <c r="A3353" s="199"/>
    </row>
    <row r="3354" spans="1:1" s="200" customFormat="1" ht="12" hidden="1" customHeight="1">
      <c r="A3354" s="199"/>
    </row>
    <row r="3355" spans="1:1" s="200" customFormat="1" ht="12" hidden="1" customHeight="1">
      <c r="A3355" s="199"/>
    </row>
    <row r="3356" spans="1:1" s="200" customFormat="1" ht="12" hidden="1" customHeight="1">
      <c r="A3356" s="199"/>
    </row>
    <row r="3357" spans="1:1" s="200" customFormat="1" ht="12" hidden="1" customHeight="1">
      <c r="A3357" s="199"/>
    </row>
    <row r="3358" spans="1:1" s="200" customFormat="1" ht="12" hidden="1" customHeight="1">
      <c r="A3358" s="199"/>
    </row>
    <row r="3359" spans="1:1" s="200" customFormat="1" ht="12" hidden="1" customHeight="1">
      <c r="A3359" s="199"/>
    </row>
    <row r="3360" spans="1:1" s="200" customFormat="1" ht="12" hidden="1" customHeight="1">
      <c r="A3360" s="199"/>
    </row>
    <row r="3361" spans="1:1" s="200" customFormat="1" ht="12" hidden="1" customHeight="1">
      <c r="A3361" s="199"/>
    </row>
    <row r="3362" spans="1:1" s="200" customFormat="1" ht="12" hidden="1" customHeight="1">
      <c r="A3362" s="199"/>
    </row>
    <row r="3363" spans="1:1" s="200" customFormat="1" ht="12" hidden="1" customHeight="1">
      <c r="A3363" s="199"/>
    </row>
    <row r="3364" spans="1:1" s="200" customFormat="1" ht="12" hidden="1" customHeight="1">
      <c r="A3364" s="199"/>
    </row>
    <row r="3365" spans="1:1" s="200" customFormat="1" ht="12" hidden="1" customHeight="1">
      <c r="A3365" s="199"/>
    </row>
    <row r="3366" spans="1:1" s="200" customFormat="1" ht="12" hidden="1" customHeight="1">
      <c r="A3366" s="199"/>
    </row>
    <row r="3367" spans="1:1" s="200" customFormat="1" ht="12" hidden="1" customHeight="1">
      <c r="A3367" s="199"/>
    </row>
    <row r="3368" spans="1:1" s="200" customFormat="1" ht="12" hidden="1" customHeight="1">
      <c r="A3368" s="199"/>
    </row>
    <row r="3369" spans="1:1" s="200" customFormat="1" ht="12" hidden="1" customHeight="1">
      <c r="A3369" s="199"/>
    </row>
    <row r="3370" spans="1:1" s="200" customFormat="1" ht="12" hidden="1" customHeight="1">
      <c r="A3370" s="199"/>
    </row>
    <row r="3371" spans="1:1" s="200" customFormat="1" ht="12" hidden="1" customHeight="1">
      <c r="A3371" s="199"/>
    </row>
    <row r="3372" spans="1:1" s="200" customFormat="1" ht="12" hidden="1" customHeight="1">
      <c r="A3372" s="199"/>
    </row>
    <row r="3373" spans="1:1" s="200" customFormat="1" ht="12" hidden="1" customHeight="1">
      <c r="A3373" s="199"/>
    </row>
    <row r="3374" spans="1:1" s="200" customFormat="1" ht="12" hidden="1" customHeight="1">
      <c r="A3374" s="199"/>
    </row>
    <row r="3375" spans="1:1" s="200" customFormat="1" ht="12" hidden="1" customHeight="1">
      <c r="A3375" s="199"/>
    </row>
    <row r="3376" spans="1:1" s="200" customFormat="1" ht="12" hidden="1" customHeight="1">
      <c r="A3376" s="199"/>
    </row>
    <row r="3377" spans="1:1" s="200" customFormat="1" ht="12" hidden="1" customHeight="1">
      <c r="A3377" s="199"/>
    </row>
    <row r="3378" spans="1:1" s="200" customFormat="1" ht="12" hidden="1" customHeight="1">
      <c r="A3378" s="199"/>
    </row>
    <row r="3379" spans="1:1" s="200" customFormat="1" ht="12" hidden="1" customHeight="1">
      <c r="A3379" s="199"/>
    </row>
    <row r="3380" spans="1:1" s="200" customFormat="1" ht="12" hidden="1" customHeight="1">
      <c r="A3380" s="199"/>
    </row>
    <row r="3381" spans="1:1" s="200" customFormat="1" ht="12" hidden="1" customHeight="1">
      <c r="A3381" s="199"/>
    </row>
    <row r="3382" spans="1:1" s="200" customFormat="1" ht="12" hidden="1" customHeight="1">
      <c r="A3382" s="199"/>
    </row>
    <row r="3383" spans="1:1" s="200" customFormat="1" ht="12" hidden="1" customHeight="1">
      <c r="A3383" s="199"/>
    </row>
    <row r="3384" spans="1:1" s="200" customFormat="1" ht="12" hidden="1" customHeight="1">
      <c r="A3384" s="199"/>
    </row>
    <row r="3385" spans="1:1" s="200" customFormat="1" ht="12" hidden="1" customHeight="1">
      <c r="A3385" s="199"/>
    </row>
    <row r="3386" spans="1:1" s="200" customFormat="1" ht="12" hidden="1" customHeight="1">
      <c r="A3386" s="199"/>
    </row>
    <row r="3387" spans="1:1" s="200" customFormat="1" ht="12" hidden="1" customHeight="1">
      <c r="A3387" s="199"/>
    </row>
    <row r="3388" spans="1:1" s="200" customFormat="1" ht="12" hidden="1" customHeight="1">
      <c r="A3388" s="199"/>
    </row>
    <row r="3389" spans="1:1" s="200" customFormat="1" ht="12" hidden="1" customHeight="1">
      <c r="A3389" s="199"/>
    </row>
    <row r="3390" spans="1:1" s="200" customFormat="1" ht="12" hidden="1" customHeight="1">
      <c r="A3390" s="199"/>
    </row>
    <row r="3391" spans="1:1" s="200" customFormat="1" ht="12" hidden="1" customHeight="1">
      <c r="A3391" s="199"/>
    </row>
    <row r="3392" spans="1:1" s="200" customFormat="1" ht="12" hidden="1" customHeight="1">
      <c r="A3392" s="199"/>
    </row>
    <row r="3393" spans="1:1" s="200" customFormat="1" ht="12" hidden="1" customHeight="1">
      <c r="A3393" s="199"/>
    </row>
    <row r="3394" spans="1:1" s="200" customFormat="1" ht="12" hidden="1" customHeight="1">
      <c r="A3394" s="199"/>
    </row>
    <row r="3395" spans="1:1" s="200" customFormat="1" ht="12" hidden="1" customHeight="1">
      <c r="A3395" s="199"/>
    </row>
    <row r="3396" spans="1:1" s="200" customFormat="1" ht="12" hidden="1" customHeight="1">
      <c r="A3396" s="199"/>
    </row>
    <row r="3397" spans="1:1" s="200" customFormat="1" ht="12" hidden="1" customHeight="1">
      <c r="A3397" s="199"/>
    </row>
    <row r="3398" spans="1:1" s="200" customFormat="1" ht="12" hidden="1" customHeight="1">
      <c r="A3398" s="199"/>
    </row>
    <row r="3399" spans="1:1" s="200" customFormat="1" ht="12" hidden="1" customHeight="1">
      <c r="A3399" s="199"/>
    </row>
    <row r="3400" spans="1:1" s="200" customFormat="1" ht="12" hidden="1" customHeight="1">
      <c r="A3400" s="199"/>
    </row>
    <row r="3401" spans="1:1" s="200" customFormat="1" ht="12" hidden="1" customHeight="1">
      <c r="A3401" s="199"/>
    </row>
    <row r="3402" spans="1:1" s="200" customFormat="1" ht="12" hidden="1" customHeight="1">
      <c r="A3402" s="199"/>
    </row>
    <row r="3403" spans="1:1" s="200" customFormat="1" ht="12" hidden="1" customHeight="1">
      <c r="A3403" s="199"/>
    </row>
    <row r="3404" spans="1:1" s="200" customFormat="1" ht="12" hidden="1" customHeight="1">
      <c r="A3404" s="199"/>
    </row>
    <row r="3405" spans="1:1" s="200" customFormat="1" ht="12" hidden="1" customHeight="1">
      <c r="A3405" s="199"/>
    </row>
    <row r="3406" spans="1:1" s="200" customFormat="1" ht="12" hidden="1" customHeight="1">
      <c r="A3406" s="199"/>
    </row>
    <row r="3407" spans="1:1" s="200" customFormat="1" ht="12" hidden="1" customHeight="1">
      <c r="A3407" s="199"/>
    </row>
    <row r="3408" spans="1:1" s="200" customFormat="1" ht="12" hidden="1" customHeight="1">
      <c r="A3408" s="199"/>
    </row>
    <row r="3409" spans="1:1" s="200" customFormat="1" ht="12" hidden="1" customHeight="1">
      <c r="A3409" s="199"/>
    </row>
    <row r="3410" spans="1:1" s="200" customFormat="1" ht="12" hidden="1" customHeight="1">
      <c r="A3410" s="199"/>
    </row>
    <row r="3411" spans="1:1" s="200" customFormat="1" ht="12" hidden="1" customHeight="1">
      <c r="A3411" s="199"/>
    </row>
    <row r="3412" spans="1:1" s="200" customFormat="1" ht="12" hidden="1" customHeight="1">
      <c r="A3412" s="199"/>
    </row>
    <row r="3413" spans="1:1" s="200" customFormat="1" ht="12" hidden="1" customHeight="1">
      <c r="A3413" s="199"/>
    </row>
    <row r="3414" spans="1:1" s="200" customFormat="1" ht="12" hidden="1" customHeight="1">
      <c r="A3414" s="199"/>
    </row>
    <row r="3415" spans="1:1" s="200" customFormat="1" ht="12" hidden="1" customHeight="1">
      <c r="A3415" s="199"/>
    </row>
    <row r="3416" spans="1:1" s="200" customFormat="1" ht="12" hidden="1" customHeight="1">
      <c r="A3416" s="199"/>
    </row>
    <row r="3417" spans="1:1" s="200" customFormat="1" ht="12" hidden="1" customHeight="1">
      <c r="A3417" s="199"/>
    </row>
    <row r="3418" spans="1:1" s="200" customFormat="1" ht="12" hidden="1" customHeight="1">
      <c r="A3418" s="199"/>
    </row>
    <row r="3419" spans="1:1" s="200" customFormat="1" ht="12" hidden="1" customHeight="1">
      <c r="A3419" s="199"/>
    </row>
    <row r="3420" spans="1:1" s="200" customFormat="1" ht="12" hidden="1" customHeight="1">
      <c r="A3420" s="199"/>
    </row>
    <row r="3421" spans="1:1" s="200" customFormat="1" ht="12" hidden="1" customHeight="1">
      <c r="A3421" s="199"/>
    </row>
    <row r="3422" spans="1:1" s="200" customFormat="1" ht="12" hidden="1" customHeight="1">
      <c r="A3422" s="199"/>
    </row>
    <row r="3423" spans="1:1" s="200" customFormat="1" ht="12" hidden="1" customHeight="1">
      <c r="A3423" s="199"/>
    </row>
    <row r="3424" spans="1:1" s="200" customFormat="1" ht="12" hidden="1" customHeight="1">
      <c r="A3424" s="199"/>
    </row>
    <row r="3425" spans="1:1" s="200" customFormat="1" ht="12" hidden="1" customHeight="1">
      <c r="A3425" s="199"/>
    </row>
    <row r="3426" spans="1:1" s="200" customFormat="1" ht="12" hidden="1" customHeight="1">
      <c r="A3426" s="199"/>
    </row>
    <row r="3427" spans="1:1" s="200" customFormat="1" ht="12" hidden="1" customHeight="1">
      <c r="A3427" s="199"/>
    </row>
    <row r="3428" spans="1:1" s="200" customFormat="1" ht="12" hidden="1" customHeight="1">
      <c r="A3428" s="199"/>
    </row>
    <row r="3429" spans="1:1" s="200" customFormat="1" ht="12" hidden="1" customHeight="1">
      <c r="A3429" s="199"/>
    </row>
    <row r="3430" spans="1:1" s="200" customFormat="1" ht="12" hidden="1" customHeight="1">
      <c r="A3430" s="199"/>
    </row>
    <row r="3431" spans="1:1" s="200" customFormat="1" ht="12" hidden="1" customHeight="1">
      <c r="A3431" s="199"/>
    </row>
    <row r="3432" spans="1:1" s="200" customFormat="1" ht="12" hidden="1" customHeight="1">
      <c r="A3432" s="199"/>
    </row>
    <row r="3433" spans="1:1" s="200" customFormat="1" ht="12" hidden="1" customHeight="1">
      <c r="A3433" s="199"/>
    </row>
    <row r="3434" spans="1:1" s="200" customFormat="1" ht="12" hidden="1" customHeight="1">
      <c r="A3434" s="199"/>
    </row>
    <row r="3435" spans="1:1" s="200" customFormat="1" ht="12" hidden="1" customHeight="1">
      <c r="A3435" s="199"/>
    </row>
    <row r="3436" spans="1:1" s="200" customFormat="1" ht="12" hidden="1" customHeight="1">
      <c r="A3436" s="199"/>
    </row>
    <row r="3437" spans="1:1" s="200" customFormat="1" ht="12" hidden="1" customHeight="1">
      <c r="A3437" s="199"/>
    </row>
    <row r="3438" spans="1:1" s="200" customFormat="1" ht="12" hidden="1" customHeight="1">
      <c r="A3438" s="199"/>
    </row>
    <row r="3439" spans="1:1" s="200" customFormat="1" ht="12" hidden="1" customHeight="1">
      <c r="A3439" s="199"/>
    </row>
    <row r="3440" spans="1:1" s="200" customFormat="1" ht="12" hidden="1" customHeight="1">
      <c r="A3440" s="199"/>
    </row>
    <row r="3441" spans="1:1" s="200" customFormat="1" ht="12" hidden="1" customHeight="1">
      <c r="A3441" s="199"/>
    </row>
    <row r="3442" spans="1:1" s="200" customFormat="1" ht="12" hidden="1" customHeight="1">
      <c r="A3442" s="199"/>
    </row>
    <row r="3443" spans="1:1" s="200" customFormat="1" ht="12" hidden="1" customHeight="1">
      <c r="A3443" s="199"/>
    </row>
    <row r="3444" spans="1:1" s="200" customFormat="1" ht="12" hidden="1" customHeight="1">
      <c r="A3444" s="199"/>
    </row>
    <row r="3445" spans="1:1" s="200" customFormat="1" ht="12" hidden="1" customHeight="1">
      <c r="A3445" s="199"/>
    </row>
    <row r="3446" spans="1:1" s="200" customFormat="1" ht="12" hidden="1" customHeight="1">
      <c r="A3446" s="199"/>
    </row>
    <row r="3447" spans="1:1" s="200" customFormat="1" ht="12" hidden="1" customHeight="1">
      <c r="A3447" s="199"/>
    </row>
    <row r="3448" spans="1:1" s="200" customFormat="1" ht="12" hidden="1" customHeight="1">
      <c r="A3448" s="199"/>
    </row>
    <row r="3449" spans="1:1" s="200" customFormat="1" ht="12" hidden="1" customHeight="1">
      <c r="A3449" s="199"/>
    </row>
    <row r="3450" spans="1:1" s="200" customFormat="1" ht="12" hidden="1" customHeight="1">
      <c r="A3450" s="199"/>
    </row>
    <row r="3451" spans="1:1" s="200" customFormat="1" ht="12" hidden="1" customHeight="1">
      <c r="A3451" s="199"/>
    </row>
    <row r="3452" spans="1:1" s="200" customFormat="1" ht="12" hidden="1" customHeight="1">
      <c r="A3452" s="199"/>
    </row>
    <row r="3453" spans="1:1" s="200" customFormat="1" ht="12" hidden="1" customHeight="1">
      <c r="A3453" s="199"/>
    </row>
    <row r="3454" spans="1:1" s="200" customFormat="1" ht="12" hidden="1" customHeight="1">
      <c r="A3454" s="199"/>
    </row>
    <row r="3455" spans="1:1" s="200" customFormat="1" ht="12" hidden="1" customHeight="1">
      <c r="A3455" s="199"/>
    </row>
    <row r="3456" spans="1:1" s="200" customFormat="1" ht="12" hidden="1" customHeight="1">
      <c r="A3456" s="199"/>
    </row>
    <row r="3457" spans="1:1" s="200" customFormat="1" ht="12" hidden="1" customHeight="1">
      <c r="A3457" s="199"/>
    </row>
    <row r="3458" spans="1:1" s="200" customFormat="1" ht="12" hidden="1" customHeight="1">
      <c r="A3458" s="199"/>
    </row>
    <row r="3459" spans="1:1" s="200" customFormat="1" ht="12" hidden="1" customHeight="1">
      <c r="A3459" s="199"/>
    </row>
    <row r="3460" spans="1:1" s="200" customFormat="1" ht="12" hidden="1" customHeight="1">
      <c r="A3460" s="199"/>
    </row>
    <row r="3461" spans="1:1" s="200" customFormat="1" ht="12" hidden="1" customHeight="1">
      <c r="A3461" s="199"/>
    </row>
    <row r="3462" spans="1:1" s="200" customFormat="1" ht="12" hidden="1" customHeight="1">
      <c r="A3462" s="199"/>
    </row>
    <row r="3463" spans="1:1" s="200" customFormat="1" ht="12" hidden="1" customHeight="1">
      <c r="A3463" s="199"/>
    </row>
    <row r="3464" spans="1:1" s="200" customFormat="1" ht="12" hidden="1" customHeight="1">
      <c r="A3464" s="199"/>
    </row>
    <row r="3465" spans="1:1" s="200" customFormat="1" ht="12" hidden="1" customHeight="1">
      <c r="A3465" s="199"/>
    </row>
    <row r="3466" spans="1:1" s="200" customFormat="1" ht="12" hidden="1" customHeight="1">
      <c r="A3466" s="199"/>
    </row>
    <row r="3467" spans="1:1" s="200" customFormat="1" ht="12" hidden="1" customHeight="1">
      <c r="A3467" s="199"/>
    </row>
    <row r="3468" spans="1:1" s="200" customFormat="1" ht="12" hidden="1" customHeight="1">
      <c r="A3468" s="199"/>
    </row>
    <row r="3469" spans="1:1" s="200" customFormat="1" ht="12" hidden="1" customHeight="1">
      <c r="A3469" s="199"/>
    </row>
    <row r="3470" spans="1:1" s="200" customFormat="1" ht="12" hidden="1" customHeight="1">
      <c r="A3470" s="199"/>
    </row>
    <row r="3471" spans="1:1" s="200" customFormat="1" ht="12" hidden="1" customHeight="1">
      <c r="A3471" s="199"/>
    </row>
    <row r="3472" spans="1:1" s="200" customFormat="1" ht="12" hidden="1" customHeight="1">
      <c r="A3472" s="199"/>
    </row>
    <row r="3473" spans="1:1" s="200" customFormat="1" ht="12" hidden="1" customHeight="1">
      <c r="A3473" s="199"/>
    </row>
    <row r="3474" spans="1:1" s="200" customFormat="1" ht="12" hidden="1" customHeight="1">
      <c r="A3474" s="199"/>
    </row>
    <row r="3475" spans="1:1" s="200" customFormat="1" ht="12" hidden="1" customHeight="1">
      <c r="A3475" s="199"/>
    </row>
    <row r="3476" spans="1:1" s="200" customFormat="1" ht="12" hidden="1" customHeight="1">
      <c r="A3476" s="199"/>
    </row>
    <row r="3477" spans="1:1" s="200" customFormat="1" ht="12" hidden="1" customHeight="1">
      <c r="A3477" s="199"/>
    </row>
    <row r="3478" spans="1:1" s="200" customFormat="1" ht="12" hidden="1" customHeight="1">
      <c r="A3478" s="199"/>
    </row>
    <row r="3479" spans="1:1" s="200" customFormat="1" ht="12" hidden="1" customHeight="1">
      <c r="A3479" s="199"/>
    </row>
    <row r="3480" spans="1:1" s="200" customFormat="1" ht="12" hidden="1" customHeight="1">
      <c r="A3480" s="199"/>
    </row>
    <row r="3481" spans="1:1" s="200" customFormat="1" ht="12" hidden="1" customHeight="1">
      <c r="A3481" s="199"/>
    </row>
    <row r="3482" spans="1:1" s="200" customFormat="1" ht="12" hidden="1" customHeight="1">
      <c r="A3482" s="199"/>
    </row>
    <row r="3483" spans="1:1" s="200" customFormat="1" ht="12" hidden="1" customHeight="1">
      <c r="A3483" s="199"/>
    </row>
    <row r="3484" spans="1:1" s="200" customFormat="1" ht="12" hidden="1" customHeight="1">
      <c r="A3484" s="199"/>
    </row>
    <row r="3485" spans="1:1" s="200" customFormat="1" ht="12" hidden="1" customHeight="1">
      <c r="A3485" s="199"/>
    </row>
    <row r="3486" spans="1:1" s="200" customFormat="1" ht="12" hidden="1" customHeight="1">
      <c r="A3486" s="199"/>
    </row>
    <row r="3487" spans="1:1" s="200" customFormat="1" ht="12" hidden="1" customHeight="1">
      <c r="A3487" s="199"/>
    </row>
    <row r="3488" spans="1:1" s="200" customFormat="1" ht="12" hidden="1" customHeight="1">
      <c r="A3488" s="199"/>
    </row>
    <row r="3489" spans="1:1" s="200" customFormat="1" ht="12" hidden="1" customHeight="1">
      <c r="A3489" s="199"/>
    </row>
    <row r="3490" spans="1:1" s="200" customFormat="1" ht="12" hidden="1" customHeight="1">
      <c r="A3490" s="199"/>
    </row>
    <row r="3491" spans="1:1" s="200" customFormat="1" ht="12" hidden="1" customHeight="1">
      <c r="A3491" s="199"/>
    </row>
    <row r="3492" spans="1:1" s="200" customFormat="1" ht="12" hidden="1" customHeight="1">
      <c r="A3492" s="199"/>
    </row>
    <row r="3493" spans="1:1" s="200" customFormat="1" ht="12" hidden="1" customHeight="1">
      <c r="A3493" s="199"/>
    </row>
    <row r="3494" spans="1:1" s="200" customFormat="1" ht="12" hidden="1" customHeight="1">
      <c r="A3494" s="199"/>
    </row>
    <row r="3495" spans="1:1" s="200" customFormat="1" ht="12" hidden="1" customHeight="1">
      <c r="A3495" s="199"/>
    </row>
    <row r="3496" spans="1:1" s="200" customFormat="1" ht="12" hidden="1" customHeight="1">
      <c r="A3496" s="199"/>
    </row>
    <row r="3497" spans="1:1" s="200" customFormat="1" ht="12" hidden="1" customHeight="1">
      <c r="A3497" s="199"/>
    </row>
    <row r="3498" spans="1:1" s="200" customFormat="1" ht="12" hidden="1" customHeight="1">
      <c r="A3498" s="199"/>
    </row>
    <row r="3499" spans="1:1" s="200" customFormat="1" ht="12" hidden="1" customHeight="1">
      <c r="A3499" s="199"/>
    </row>
    <row r="3500" spans="1:1" s="200" customFormat="1" ht="12" hidden="1" customHeight="1">
      <c r="A3500" s="199"/>
    </row>
    <row r="3501" spans="1:1" s="200" customFormat="1" ht="12" hidden="1" customHeight="1">
      <c r="A3501" s="199"/>
    </row>
    <row r="3502" spans="1:1" s="200" customFormat="1" ht="12" hidden="1" customHeight="1">
      <c r="A3502" s="199"/>
    </row>
    <row r="3503" spans="1:1" s="200" customFormat="1" ht="12" hidden="1" customHeight="1">
      <c r="A3503" s="199"/>
    </row>
    <row r="3504" spans="1:1" s="200" customFormat="1" ht="12" hidden="1" customHeight="1">
      <c r="A3504" s="199"/>
    </row>
    <row r="3505" spans="1:1" s="200" customFormat="1" ht="12" hidden="1" customHeight="1">
      <c r="A3505" s="199"/>
    </row>
    <row r="3506" spans="1:1" s="200" customFormat="1" ht="12" hidden="1" customHeight="1">
      <c r="A3506" s="199"/>
    </row>
    <row r="3507" spans="1:1" s="200" customFormat="1" ht="12" hidden="1" customHeight="1">
      <c r="A3507" s="199"/>
    </row>
    <row r="3508" spans="1:1" s="200" customFormat="1" ht="12" hidden="1" customHeight="1">
      <c r="A3508" s="199"/>
    </row>
    <row r="3509" spans="1:1" s="200" customFormat="1" ht="12" hidden="1" customHeight="1">
      <c r="A3509" s="199"/>
    </row>
    <row r="3510" spans="1:1" s="200" customFormat="1" ht="12" hidden="1" customHeight="1">
      <c r="A3510" s="199"/>
    </row>
    <row r="3511" spans="1:1" s="200" customFormat="1" ht="12" hidden="1" customHeight="1">
      <c r="A3511" s="199"/>
    </row>
    <row r="3512" spans="1:1" s="200" customFormat="1" ht="12" hidden="1" customHeight="1">
      <c r="A3512" s="199"/>
    </row>
    <row r="3513" spans="1:1" s="200" customFormat="1" ht="12" hidden="1" customHeight="1">
      <c r="A3513" s="199"/>
    </row>
    <row r="3514" spans="1:1" s="200" customFormat="1" ht="12" hidden="1" customHeight="1">
      <c r="A3514" s="199"/>
    </row>
    <row r="3515" spans="1:1" s="200" customFormat="1" ht="12" hidden="1" customHeight="1">
      <c r="A3515" s="199"/>
    </row>
    <row r="3516" spans="1:1" s="200" customFormat="1" ht="12" hidden="1" customHeight="1">
      <c r="A3516" s="199"/>
    </row>
    <row r="3517" spans="1:1" s="200" customFormat="1" ht="12" hidden="1" customHeight="1">
      <c r="A3517" s="199"/>
    </row>
    <row r="3518" spans="1:1" s="200" customFormat="1" ht="12" hidden="1" customHeight="1">
      <c r="A3518" s="199"/>
    </row>
    <row r="3519" spans="1:1" s="200" customFormat="1" ht="12" hidden="1" customHeight="1">
      <c r="A3519" s="199"/>
    </row>
    <row r="3520" spans="1:1" s="200" customFormat="1" ht="12" hidden="1" customHeight="1">
      <c r="A3520" s="199"/>
    </row>
    <row r="3521" spans="1:1" s="200" customFormat="1" ht="12" hidden="1" customHeight="1">
      <c r="A3521" s="199"/>
    </row>
    <row r="3522" spans="1:1" s="200" customFormat="1" ht="12" hidden="1" customHeight="1">
      <c r="A3522" s="199"/>
    </row>
    <row r="3523" spans="1:1" s="200" customFormat="1" ht="12" hidden="1" customHeight="1">
      <c r="A3523" s="199"/>
    </row>
    <row r="3524" spans="1:1" s="200" customFormat="1" ht="12" hidden="1" customHeight="1">
      <c r="A3524" s="199"/>
    </row>
    <row r="3525" spans="1:1" s="200" customFormat="1" ht="12" hidden="1" customHeight="1">
      <c r="A3525" s="199"/>
    </row>
    <row r="3526" spans="1:1" s="200" customFormat="1" ht="12" hidden="1" customHeight="1">
      <c r="A3526" s="199"/>
    </row>
    <row r="3527" spans="1:1" s="200" customFormat="1" ht="12" hidden="1" customHeight="1">
      <c r="A3527" s="199"/>
    </row>
    <row r="3528" spans="1:1" s="200" customFormat="1" ht="12" hidden="1" customHeight="1">
      <c r="A3528" s="199"/>
    </row>
    <row r="3529" spans="1:1" s="200" customFormat="1" ht="12" hidden="1" customHeight="1">
      <c r="A3529" s="199"/>
    </row>
    <row r="3530" spans="1:1" s="200" customFormat="1" ht="12" hidden="1" customHeight="1">
      <c r="A3530" s="199"/>
    </row>
    <row r="3531" spans="1:1" s="200" customFormat="1" ht="12" hidden="1" customHeight="1">
      <c r="A3531" s="199"/>
    </row>
    <row r="3532" spans="1:1" s="200" customFormat="1" ht="12" hidden="1" customHeight="1">
      <c r="A3532" s="199"/>
    </row>
    <row r="3533" spans="1:1" s="200" customFormat="1" ht="12" hidden="1" customHeight="1">
      <c r="A3533" s="199"/>
    </row>
    <row r="3534" spans="1:1" s="200" customFormat="1" ht="12" hidden="1" customHeight="1">
      <c r="A3534" s="199"/>
    </row>
    <row r="3535" spans="1:1" s="200" customFormat="1" ht="12" hidden="1" customHeight="1">
      <c r="A3535" s="199"/>
    </row>
    <row r="3536" spans="1:1" s="200" customFormat="1" ht="12" hidden="1" customHeight="1">
      <c r="A3536" s="199"/>
    </row>
    <row r="3537" spans="1:1" s="200" customFormat="1" ht="12" hidden="1" customHeight="1">
      <c r="A3537" s="199"/>
    </row>
    <row r="3538" spans="1:1" s="200" customFormat="1" ht="12" hidden="1" customHeight="1">
      <c r="A3538" s="199"/>
    </row>
    <row r="3539" spans="1:1" s="200" customFormat="1" ht="12" hidden="1" customHeight="1">
      <c r="A3539" s="199"/>
    </row>
    <row r="3540" spans="1:1" s="200" customFormat="1" ht="12" hidden="1" customHeight="1">
      <c r="A3540" s="199"/>
    </row>
    <row r="3541" spans="1:1" s="200" customFormat="1" ht="12" hidden="1" customHeight="1">
      <c r="A3541" s="199"/>
    </row>
    <row r="3542" spans="1:1" s="200" customFormat="1" ht="12" hidden="1" customHeight="1">
      <c r="A3542" s="199"/>
    </row>
    <row r="3543" spans="1:1" s="200" customFormat="1" ht="12" hidden="1" customHeight="1">
      <c r="A3543" s="199"/>
    </row>
    <row r="3544" spans="1:1" s="200" customFormat="1" ht="12" hidden="1" customHeight="1">
      <c r="A3544" s="199"/>
    </row>
    <row r="3545" spans="1:1" s="200" customFormat="1" ht="12" hidden="1" customHeight="1">
      <c r="A3545" s="199"/>
    </row>
    <row r="3546" spans="1:1" s="200" customFormat="1" ht="12" hidden="1" customHeight="1">
      <c r="A3546" s="199"/>
    </row>
    <row r="3547" spans="1:1" s="200" customFormat="1" ht="12" hidden="1" customHeight="1">
      <c r="A3547" s="199"/>
    </row>
    <row r="3548" spans="1:1" s="200" customFormat="1" ht="12" hidden="1" customHeight="1">
      <c r="A3548" s="199"/>
    </row>
    <row r="3549" spans="1:1" s="200" customFormat="1" ht="12" hidden="1" customHeight="1">
      <c r="A3549" s="199"/>
    </row>
    <row r="3550" spans="1:1" s="200" customFormat="1" ht="12" hidden="1" customHeight="1">
      <c r="A3550" s="199"/>
    </row>
    <row r="3551" spans="1:1" s="200" customFormat="1" ht="12" hidden="1" customHeight="1">
      <c r="A3551" s="199"/>
    </row>
    <row r="3552" spans="1:1" s="200" customFormat="1" ht="12" hidden="1" customHeight="1">
      <c r="A3552" s="199"/>
    </row>
    <row r="3553" spans="1:1" s="200" customFormat="1" ht="12" hidden="1" customHeight="1">
      <c r="A3553" s="199"/>
    </row>
    <row r="3554" spans="1:1" s="200" customFormat="1" ht="12" hidden="1" customHeight="1">
      <c r="A3554" s="199"/>
    </row>
    <row r="3555" spans="1:1" s="200" customFormat="1" ht="12" hidden="1" customHeight="1">
      <c r="A3555" s="199"/>
    </row>
    <row r="3556" spans="1:1" s="200" customFormat="1" ht="12" hidden="1" customHeight="1">
      <c r="A3556" s="199"/>
    </row>
    <row r="3557" spans="1:1" s="200" customFormat="1" ht="12" hidden="1" customHeight="1">
      <c r="A3557" s="199"/>
    </row>
    <row r="3558" spans="1:1" s="200" customFormat="1" ht="12" hidden="1" customHeight="1">
      <c r="A3558" s="199"/>
    </row>
    <row r="3559" spans="1:1" s="200" customFormat="1" ht="12" hidden="1" customHeight="1">
      <c r="A3559" s="199"/>
    </row>
    <row r="3560" spans="1:1" s="200" customFormat="1" ht="12" hidden="1" customHeight="1">
      <c r="A3560" s="199"/>
    </row>
    <row r="3561" spans="1:1" s="200" customFormat="1" ht="12" hidden="1" customHeight="1">
      <c r="A3561" s="199"/>
    </row>
    <row r="3562" spans="1:1" s="200" customFormat="1" ht="12" hidden="1" customHeight="1">
      <c r="A3562" s="199"/>
    </row>
    <row r="3563" spans="1:1" s="200" customFormat="1" ht="12" hidden="1" customHeight="1">
      <c r="A3563" s="199"/>
    </row>
    <row r="3564" spans="1:1" s="200" customFormat="1" ht="12" hidden="1" customHeight="1">
      <c r="A3564" s="199"/>
    </row>
    <row r="3565" spans="1:1" s="200" customFormat="1" ht="12" hidden="1" customHeight="1">
      <c r="A3565" s="199"/>
    </row>
    <row r="3566" spans="1:1" s="200" customFormat="1" ht="12" hidden="1" customHeight="1">
      <c r="A3566" s="199"/>
    </row>
    <row r="3567" spans="1:1" s="200" customFormat="1" ht="12" hidden="1" customHeight="1">
      <c r="A3567" s="199"/>
    </row>
    <row r="3568" spans="1:1" s="200" customFormat="1" ht="12" hidden="1" customHeight="1">
      <c r="A3568" s="199"/>
    </row>
    <row r="3569" spans="1:1" s="200" customFormat="1" ht="12" hidden="1" customHeight="1">
      <c r="A3569" s="199"/>
    </row>
    <row r="3570" spans="1:1" s="200" customFormat="1" ht="12" hidden="1" customHeight="1">
      <c r="A3570" s="199"/>
    </row>
    <row r="3571" spans="1:1" s="200" customFormat="1" ht="12" hidden="1" customHeight="1">
      <c r="A3571" s="199"/>
    </row>
    <row r="3572" spans="1:1" s="200" customFormat="1" ht="12" hidden="1" customHeight="1">
      <c r="A3572" s="199"/>
    </row>
    <row r="3573" spans="1:1" s="200" customFormat="1" ht="12" hidden="1" customHeight="1">
      <c r="A3573" s="199"/>
    </row>
    <row r="3574" spans="1:1" s="200" customFormat="1" ht="12" hidden="1" customHeight="1">
      <c r="A3574" s="199"/>
    </row>
    <row r="3575" spans="1:1" s="200" customFormat="1" ht="12" hidden="1" customHeight="1">
      <c r="A3575" s="199"/>
    </row>
    <row r="3576" spans="1:1" s="200" customFormat="1" ht="12" hidden="1" customHeight="1">
      <c r="A3576" s="199"/>
    </row>
    <row r="3577" spans="1:1" s="200" customFormat="1" ht="12" hidden="1" customHeight="1">
      <c r="A3577" s="199"/>
    </row>
    <row r="3578" spans="1:1" s="200" customFormat="1" ht="12" hidden="1" customHeight="1">
      <c r="A3578" s="199"/>
    </row>
    <row r="3579" spans="1:1" s="200" customFormat="1" ht="12" hidden="1" customHeight="1">
      <c r="A3579" s="199"/>
    </row>
    <row r="3580" spans="1:1" s="200" customFormat="1" ht="12" hidden="1" customHeight="1">
      <c r="A3580" s="199"/>
    </row>
    <row r="3581" spans="1:1" s="200" customFormat="1" ht="12" hidden="1" customHeight="1">
      <c r="A3581" s="199"/>
    </row>
    <row r="3582" spans="1:1" s="200" customFormat="1" ht="12" hidden="1" customHeight="1">
      <c r="A3582" s="199"/>
    </row>
    <row r="3583" spans="1:1" s="200" customFormat="1" ht="12" hidden="1" customHeight="1">
      <c r="A3583" s="199"/>
    </row>
    <row r="3584" spans="1:1" s="200" customFormat="1" ht="12" hidden="1" customHeight="1">
      <c r="A3584" s="199"/>
    </row>
    <row r="3585" spans="1:1" s="200" customFormat="1" ht="12" hidden="1" customHeight="1">
      <c r="A3585" s="199"/>
    </row>
    <row r="3586" spans="1:1" s="200" customFormat="1" ht="12" hidden="1" customHeight="1">
      <c r="A3586" s="199"/>
    </row>
    <row r="3587" spans="1:1" s="200" customFormat="1" ht="12" hidden="1" customHeight="1">
      <c r="A3587" s="199"/>
    </row>
    <row r="3588" spans="1:1" s="200" customFormat="1" ht="12" hidden="1" customHeight="1">
      <c r="A3588" s="199"/>
    </row>
    <row r="3589" spans="1:1" s="200" customFormat="1" ht="12" hidden="1" customHeight="1">
      <c r="A3589" s="199"/>
    </row>
    <row r="3590" spans="1:1" s="200" customFormat="1" ht="12" hidden="1" customHeight="1">
      <c r="A3590" s="199"/>
    </row>
    <row r="3591" spans="1:1" s="200" customFormat="1" ht="12" hidden="1" customHeight="1">
      <c r="A3591" s="199"/>
    </row>
    <row r="3592" spans="1:1" s="200" customFormat="1" ht="12" hidden="1" customHeight="1">
      <c r="A3592" s="199"/>
    </row>
    <row r="3593" spans="1:1" s="200" customFormat="1" ht="12" hidden="1" customHeight="1">
      <c r="A3593" s="199"/>
    </row>
    <row r="3594" spans="1:1" s="200" customFormat="1" ht="12" hidden="1" customHeight="1">
      <c r="A3594" s="199"/>
    </row>
    <row r="3595" spans="1:1" s="200" customFormat="1" ht="12" hidden="1" customHeight="1">
      <c r="A3595" s="199"/>
    </row>
    <row r="3596" spans="1:1" s="200" customFormat="1" ht="12" hidden="1" customHeight="1">
      <c r="A3596" s="199"/>
    </row>
    <row r="3597" spans="1:1" s="200" customFormat="1" ht="12" hidden="1" customHeight="1">
      <c r="A3597" s="199"/>
    </row>
    <row r="3598" spans="1:1" s="200" customFormat="1" ht="12" hidden="1" customHeight="1">
      <c r="A3598" s="199"/>
    </row>
    <row r="3599" spans="1:1" s="200" customFormat="1" ht="12" hidden="1" customHeight="1">
      <c r="A3599" s="199"/>
    </row>
    <row r="3600" spans="1:1" s="200" customFormat="1" ht="12" hidden="1" customHeight="1">
      <c r="A3600" s="199"/>
    </row>
    <row r="3601" spans="1:1" s="200" customFormat="1" ht="12" hidden="1" customHeight="1">
      <c r="A3601" s="199"/>
    </row>
    <row r="3602" spans="1:1" s="200" customFormat="1" ht="12" hidden="1" customHeight="1">
      <c r="A3602" s="199"/>
    </row>
    <row r="3603" spans="1:1" s="200" customFormat="1" ht="12" hidden="1" customHeight="1">
      <c r="A3603" s="199"/>
    </row>
    <row r="3604" spans="1:1" s="200" customFormat="1" ht="12" hidden="1" customHeight="1">
      <c r="A3604" s="199"/>
    </row>
    <row r="3605" spans="1:1" s="200" customFormat="1" ht="12" hidden="1" customHeight="1">
      <c r="A3605" s="199"/>
    </row>
    <row r="3606" spans="1:1" s="200" customFormat="1" ht="12" hidden="1" customHeight="1">
      <c r="A3606" s="199"/>
    </row>
    <row r="3607" spans="1:1" s="200" customFormat="1" ht="12" hidden="1" customHeight="1">
      <c r="A3607" s="199"/>
    </row>
    <row r="3608" spans="1:1" s="200" customFormat="1" ht="12" hidden="1" customHeight="1">
      <c r="A3608" s="199"/>
    </row>
    <row r="3609" spans="1:1" s="200" customFormat="1" ht="12" hidden="1" customHeight="1">
      <c r="A3609" s="199"/>
    </row>
    <row r="3610" spans="1:1" s="200" customFormat="1" ht="12" hidden="1" customHeight="1">
      <c r="A3610" s="199"/>
    </row>
    <row r="3611" spans="1:1" s="200" customFormat="1" ht="12" hidden="1" customHeight="1">
      <c r="A3611" s="199"/>
    </row>
    <row r="3612" spans="1:1" s="200" customFormat="1" ht="12" hidden="1" customHeight="1">
      <c r="A3612" s="199"/>
    </row>
    <row r="3613" spans="1:1" s="200" customFormat="1" ht="12" hidden="1" customHeight="1">
      <c r="A3613" s="199"/>
    </row>
    <row r="3614" spans="1:1" s="200" customFormat="1" ht="12" hidden="1" customHeight="1">
      <c r="A3614" s="199"/>
    </row>
    <row r="3615" spans="1:1" s="200" customFormat="1" ht="12" hidden="1" customHeight="1">
      <c r="A3615" s="199"/>
    </row>
    <row r="3616" spans="1:1" s="200" customFormat="1" ht="12" hidden="1" customHeight="1">
      <c r="A3616" s="199"/>
    </row>
    <row r="3617" spans="1:1" s="200" customFormat="1" ht="12" hidden="1" customHeight="1">
      <c r="A3617" s="199"/>
    </row>
    <row r="3618" spans="1:1" s="200" customFormat="1" ht="12" hidden="1" customHeight="1">
      <c r="A3618" s="199"/>
    </row>
    <row r="3619" spans="1:1" s="200" customFormat="1" ht="12" hidden="1" customHeight="1">
      <c r="A3619" s="199"/>
    </row>
    <row r="3620" spans="1:1" s="200" customFormat="1" ht="12" hidden="1" customHeight="1">
      <c r="A3620" s="199"/>
    </row>
    <row r="3621" spans="1:1" s="200" customFormat="1" ht="12" hidden="1" customHeight="1">
      <c r="A3621" s="199"/>
    </row>
    <row r="3622" spans="1:1" s="200" customFormat="1" ht="12" hidden="1" customHeight="1">
      <c r="A3622" s="199"/>
    </row>
    <row r="3623" spans="1:1" s="200" customFormat="1" ht="12" hidden="1" customHeight="1">
      <c r="A3623" s="199"/>
    </row>
    <row r="3624" spans="1:1" s="200" customFormat="1" ht="12" hidden="1" customHeight="1">
      <c r="A3624" s="199"/>
    </row>
    <row r="3625" spans="1:1" s="200" customFormat="1" ht="12" hidden="1" customHeight="1">
      <c r="A3625" s="199"/>
    </row>
    <row r="3626" spans="1:1" s="200" customFormat="1" ht="12" hidden="1" customHeight="1">
      <c r="A3626" s="199"/>
    </row>
    <row r="3627" spans="1:1" s="200" customFormat="1" ht="12" hidden="1" customHeight="1">
      <c r="A3627" s="199"/>
    </row>
    <row r="3628" spans="1:1" s="200" customFormat="1" ht="12" hidden="1" customHeight="1">
      <c r="A3628" s="199"/>
    </row>
    <row r="3629" spans="1:1" s="200" customFormat="1" ht="12" hidden="1" customHeight="1">
      <c r="A3629" s="199"/>
    </row>
    <row r="3630" spans="1:1" s="200" customFormat="1" ht="12" hidden="1" customHeight="1">
      <c r="A3630" s="199"/>
    </row>
    <row r="3631" spans="1:1" s="200" customFormat="1" ht="12" hidden="1" customHeight="1">
      <c r="A3631" s="199"/>
    </row>
    <row r="3632" spans="1:1" s="200" customFormat="1" ht="12" hidden="1" customHeight="1">
      <c r="A3632" s="199"/>
    </row>
    <row r="3633" spans="1:1" s="200" customFormat="1" ht="12" hidden="1" customHeight="1">
      <c r="A3633" s="199"/>
    </row>
    <row r="3634" spans="1:1" s="200" customFormat="1" ht="12" hidden="1" customHeight="1">
      <c r="A3634" s="199"/>
    </row>
    <row r="3635" spans="1:1" s="200" customFormat="1" ht="12" hidden="1" customHeight="1">
      <c r="A3635" s="199"/>
    </row>
    <row r="3636" spans="1:1" s="200" customFormat="1" ht="12" hidden="1" customHeight="1">
      <c r="A3636" s="199"/>
    </row>
    <row r="3637" spans="1:1" s="200" customFormat="1" ht="12" hidden="1" customHeight="1">
      <c r="A3637" s="199"/>
    </row>
    <row r="3638" spans="1:1" s="200" customFormat="1" ht="12" hidden="1" customHeight="1">
      <c r="A3638" s="199"/>
    </row>
    <row r="3639" spans="1:1" s="200" customFormat="1" ht="12" hidden="1" customHeight="1">
      <c r="A3639" s="199"/>
    </row>
    <row r="3640" spans="1:1" s="200" customFormat="1" ht="12" hidden="1" customHeight="1">
      <c r="A3640" s="199"/>
    </row>
    <row r="3641" spans="1:1" s="200" customFormat="1" ht="12" hidden="1" customHeight="1">
      <c r="A3641" s="199"/>
    </row>
    <row r="3642" spans="1:1" s="200" customFormat="1" ht="12" hidden="1" customHeight="1">
      <c r="A3642" s="199"/>
    </row>
    <row r="3643" spans="1:1" s="200" customFormat="1" ht="12" hidden="1" customHeight="1">
      <c r="A3643" s="199"/>
    </row>
    <row r="3644" spans="1:1" s="200" customFormat="1" ht="12" hidden="1" customHeight="1">
      <c r="A3644" s="199"/>
    </row>
    <row r="3645" spans="1:1" s="200" customFormat="1" ht="12" hidden="1" customHeight="1">
      <c r="A3645" s="199"/>
    </row>
    <row r="3646" spans="1:1" s="200" customFormat="1" ht="12" hidden="1" customHeight="1">
      <c r="A3646" s="199"/>
    </row>
    <row r="3647" spans="1:1" s="200" customFormat="1" ht="12" hidden="1" customHeight="1">
      <c r="A3647" s="199"/>
    </row>
    <row r="3648" spans="1:1" s="200" customFormat="1" ht="12" hidden="1" customHeight="1">
      <c r="A3648" s="199"/>
    </row>
    <row r="3649" spans="1:1" s="200" customFormat="1" ht="12" hidden="1" customHeight="1">
      <c r="A3649" s="199"/>
    </row>
    <row r="3650" spans="1:1" s="200" customFormat="1" ht="12" hidden="1" customHeight="1">
      <c r="A3650" s="199"/>
    </row>
    <row r="3651" spans="1:1" s="200" customFormat="1" ht="12" hidden="1" customHeight="1">
      <c r="A3651" s="199"/>
    </row>
    <row r="3652" spans="1:1" s="200" customFormat="1" ht="12" hidden="1" customHeight="1">
      <c r="A3652" s="199"/>
    </row>
    <row r="3653" spans="1:1" s="200" customFormat="1" ht="12" hidden="1" customHeight="1">
      <c r="A3653" s="199"/>
    </row>
    <row r="3654" spans="1:1" s="200" customFormat="1" ht="12" hidden="1" customHeight="1">
      <c r="A3654" s="199"/>
    </row>
    <row r="3655" spans="1:1" s="200" customFormat="1" ht="12" hidden="1" customHeight="1">
      <c r="A3655" s="199"/>
    </row>
    <row r="3656" spans="1:1" s="200" customFormat="1" ht="12" hidden="1" customHeight="1">
      <c r="A3656" s="199"/>
    </row>
    <row r="3657" spans="1:1" s="200" customFormat="1" ht="12" hidden="1" customHeight="1">
      <c r="A3657" s="199"/>
    </row>
    <row r="3658" spans="1:1" s="200" customFormat="1" ht="12" hidden="1" customHeight="1">
      <c r="A3658" s="199"/>
    </row>
    <row r="3659" spans="1:1" s="200" customFormat="1" ht="12" hidden="1" customHeight="1">
      <c r="A3659" s="199"/>
    </row>
    <row r="3660" spans="1:1" s="200" customFormat="1" ht="12" hidden="1" customHeight="1">
      <c r="A3660" s="199"/>
    </row>
    <row r="3661" spans="1:1" s="200" customFormat="1" ht="12" hidden="1" customHeight="1">
      <c r="A3661" s="199"/>
    </row>
    <row r="3662" spans="1:1" s="200" customFormat="1" ht="12" hidden="1" customHeight="1">
      <c r="A3662" s="199"/>
    </row>
    <row r="3663" spans="1:1" s="200" customFormat="1" ht="12" hidden="1" customHeight="1">
      <c r="A3663" s="199"/>
    </row>
    <row r="3664" spans="1:1" s="200" customFormat="1" ht="12" hidden="1" customHeight="1">
      <c r="A3664" s="199"/>
    </row>
    <row r="3665" spans="1:1" s="200" customFormat="1" ht="12" hidden="1" customHeight="1">
      <c r="A3665" s="199"/>
    </row>
    <row r="3666" spans="1:1" s="200" customFormat="1" ht="12" hidden="1" customHeight="1">
      <c r="A3666" s="199"/>
    </row>
    <row r="3667" spans="1:1" s="200" customFormat="1" ht="12" hidden="1" customHeight="1">
      <c r="A3667" s="199"/>
    </row>
    <row r="3668" spans="1:1" s="200" customFormat="1" ht="12" hidden="1" customHeight="1">
      <c r="A3668" s="199"/>
    </row>
    <row r="3669" spans="1:1" s="200" customFormat="1" ht="12" hidden="1" customHeight="1">
      <c r="A3669" s="199"/>
    </row>
    <row r="3670" spans="1:1" s="200" customFormat="1" ht="12" hidden="1" customHeight="1">
      <c r="A3670" s="199"/>
    </row>
    <row r="3671" spans="1:1" s="200" customFormat="1" ht="12" hidden="1" customHeight="1">
      <c r="A3671" s="199"/>
    </row>
    <row r="3672" spans="1:1" s="200" customFormat="1" ht="12" hidden="1" customHeight="1">
      <c r="A3672" s="199"/>
    </row>
    <row r="3673" spans="1:1" s="200" customFormat="1" ht="12" hidden="1" customHeight="1">
      <c r="A3673" s="199"/>
    </row>
    <row r="3674" spans="1:1" s="200" customFormat="1" ht="12" hidden="1" customHeight="1">
      <c r="A3674" s="199"/>
    </row>
    <row r="3675" spans="1:1" s="200" customFormat="1" ht="12" hidden="1" customHeight="1">
      <c r="A3675" s="199"/>
    </row>
    <row r="3676" spans="1:1" s="200" customFormat="1" ht="12" hidden="1" customHeight="1">
      <c r="A3676" s="199"/>
    </row>
    <row r="3677" spans="1:1" s="200" customFormat="1" ht="12" hidden="1" customHeight="1">
      <c r="A3677" s="199"/>
    </row>
    <row r="3678" spans="1:1" s="200" customFormat="1" ht="12" hidden="1" customHeight="1">
      <c r="A3678" s="199"/>
    </row>
    <row r="3679" spans="1:1" s="200" customFormat="1" ht="12" hidden="1" customHeight="1">
      <c r="A3679" s="199"/>
    </row>
    <row r="3680" spans="1:1" s="200" customFormat="1" ht="12" hidden="1" customHeight="1">
      <c r="A3680" s="199"/>
    </row>
    <row r="3681" spans="1:1" s="200" customFormat="1" ht="12" hidden="1" customHeight="1">
      <c r="A3681" s="199"/>
    </row>
    <row r="3682" spans="1:1" s="200" customFormat="1" ht="12" hidden="1" customHeight="1">
      <c r="A3682" s="199"/>
    </row>
    <row r="3683" spans="1:1" s="200" customFormat="1" ht="12" hidden="1" customHeight="1">
      <c r="A3683" s="199"/>
    </row>
    <row r="3684" spans="1:1" s="200" customFormat="1" ht="12" hidden="1" customHeight="1">
      <c r="A3684" s="199"/>
    </row>
    <row r="3685" spans="1:1" s="200" customFormat="1" ht="12" hidden="1" customHeight="1">
      <c r="A3685" s="199"/>
    </row>
    <row r="3686" spans="1:1" s="200" customFormat="1" ht="12" hidden="1" customHeight="1">
      <c r="A3686" s="199"/>
    </row>
    <row r="3687" spans="1:1" s="200" customFormat="1" ht="12" hidden="1" customHeight="1">
      <c r="A3687" s="199"/>
    </row>
    <row r="3688" spans="1:1" s="200" customFormat="1" ht="12" hidden="1" customHeight="1">
      <c r="A3688" s="199"/>
    </row>
    <row r="3689" spans="1:1" s="200" customFormat="1" ht="12" hidden="1" customHeight="1">
      <c r="A3689" s="199"/>
    </row>
    <row r="3690" spans="1:1" s="200" customFormat="1" ht="12" hidden="1" customHeight="1">
      <c r="A3690" s="199"/>
    </row>
    <row r="3691" spans="1:1" s="200" customFormat="1" ht="12" hidden="1" customHeight="1">
      <c r="A3691" s="199"/>
    </row>
    <row r="3692" spans="1:1" s="200" customFormat="1" ht="12" hidden="1" customHeight="1">
      <c r="A3692" s="199"/>
    </row>
    <row r="3693" spans="1:1" s="200" customFormat="1" ht="12" hidden="1" customHeight="1">
      <c r="A3693" s="199"/>
    </row>
    <row r="3694" spans="1:1" s="200" customFormat="1" ht="12" hidden="1" customHeight="1">
      <c r="A3694" s="199"/>
    </row>
    <row r="3695" spans="1:1" s="200" customFormat="1" ht="12" hidden="1" customHeight="1">
      <c r="A3695" s="199"/>
    </row>
    <row r="3696" spans="1:1" s="200" customFormat="1" ht="12" hidden="1" customHeight="1">
      <c r="A3696" s="199"/>
    </row>
    <row r="3697" spans="1:1" s="200" customFormat="1" ht="12" hidden="1" customHeight="1">
      <c r="A3697" s="199"/>
    </row>
    <row r="3698" spans="1:1" s="200" customFormat="1" ht="12" hidden="1" customHeight="1">
      <c r="A3698" s="199"/>
    </row>
    <row r="3699" spans="1:1" s="200" customFormat="1" ht="12" hidden="1" customHeight="1">
      <c r="A3699" s="199"/>
    </row>
    <row r="3700" spans="1:1" s="200" customFormat="1" ht="12" hidden="1" customHeight="1">
      <c r="A3700" s="199"/>
    </row>
    <row r="3701" spans="1:1" s="200" customFormat="1" ht="12" hidden="1" customHeight="1">
      <c r="A3701" s="199"/>
    </row>
    <row r="3702" spans="1:1" s="200" customFormat="1" ht="12" hidden="1" customHeight="1">
      <c r="A3702" s="199"/>
    </row>
    <row r="3703" spans="1:1" s="200" customFormat="1" ht="12" hidden="1" customHeight="1">
      <c r="A3703" s="199"/>
    </row>
    <row r="3704" spans="1:1" s="200" customFormat="1" ht="12" hidden="1" customHeight="1">
      <c r="A3704" s="199"/>
    </row>
    <row r="3705" spans="1:1" s="200" customFormat="1" ht="12" hidden="1" customHeight="1">
      <c r="A3705" s="199"/>
    </row>
    <row r="3706" spans="1:1" s="200" customFormat="1" ht="12" hidden="1" customHeight="1">
      <c r="A3706" s="199"/>
    </row>
    <row r="3707" spans="1:1" s="200" customFormat="1" ht="12" hidden="1" customHeight="1">
      <c r="A3707" s="199"/>
    </row>
    <row r="3708" spans="1:1" s="200" customFormat="1" ht="12" hidden="1" customHeight="1">
      <c r="A3708" s="199"/>
    </row>
    <row r="3709" spans="1:1" s="200" customFormat="1" ht="12" hidden="1" customHeight="1">
      <c r="A3709" s="199"/>
    </row>
    <row r="3710" spans="1:1" s="200" customFormat="1" ht="12" hidden="1" customHeight="1">
      <c r="A3710" s="199"/>
    </row>
    <row r="3711" spans="1:1" s="200" customFormat="1" ht="12" hidden="1" customHeight="1">
      <c r="A3711" s="199"/>
    </row>
    <row r="3712" spans="1:1" s="200" customFormat="1" ht="12" hidden="1" customHeight="1">
      <c r="A3712" s="199"/>
    </row>
    <row r="3713" spans="1:1" s="200" customFormat="1" ht="12" hidden="1" customHeight="1">
      <c r="A3713" s="199"/>
    </row>
    <row r="3714" spans="1:1" s="200" customFormat="1" ht="12" hidden="1" customHeight="1">
      <c r="A3714" s="199"/>
    </row>
    <row r="3715" spans="1:1" s="200" customFormat="1" ht="12" hidden="1" customHeight="1">
      <c r="A3715" s="199"/>
    </row>
    <row r="3716" spans="1:1" s="200" customFormat="1" ht="12" hidden="1" customHeight="1">
      <c r="A3716" s="199"/>
    </row>
    <row r="3717" spans="1:1" s="200" customFormat="1" ht="12" hidden="1" customHeight="1">
      <c r="A3717" s="199"/>
    </row>
    <row r="3718" spans="1:1" s="200" customFormat="1" ht="12" hidden="1" customHeight="1">
      <c r="A3718" s="199"/>
    </row>
    <row r="3719" spans="1:1" s="200" customFormat="1" ht="12" hidden="1" customHeight="1">
      <c r="A3719" s="199"/>
    </row>
    <row r="3720" spans="1:1" s="200" customFormat="1" ht="12" hidden="1" customHeight="1">
      <c r="A3720" s="199"/>
    </row>
    <row r="3721" spans="1:1" s="200" customFormat="1" ht="12" hidden="1" customHeight="1">
      <c r="A3721" s="199"/>
    </row>
    <row r="3722" spans="1:1" s="200" customFormat="1" ht="12" hidden="1" customHeight="1">
      <c r="A3722" s="199"/>
    </row>
    <row r="3723" spans="1:1" s="200" customFormat="1" ht="12" hidden="1" customHeight="1">
      <c r="A3723" s="199"/>
    </row>
    <row r="3724" spans="1:1" s="200" customFormat="1" ht="12" hidden="1" customHeight="1">
      <c r="A3724" s="199"/>
    </row>
    <row r="3725" spans="1:1" s="200" customFormat="1" ht="12" hidden="1" customHeight="1">
      <c r="A3725" s="199"/>
    </row>
    <row r="3726" spans="1:1" s="200" customFormat="1" ht="12" hidden="1" customHeight="1">
      <c r="A3726" s="199"/>
    </row>
    <row r="3727" spans="1:1" s="200" customFormat="1" ht="12" hidden="1" customHeight="1">
      <c r="A3727" s="199"/>
    </row>
    <row r="3728" spans="1:1" s="200" customFormat="1" ht="12" hidden="1" customHeight="1">
      <c r="A3728" s="199"/>
    </row>
    <row r="3729" spans="1:1" s="200" customFormat="1" ht="12" hidden="1" customHeight="1">
      <c r="A3729" s="199"/>
    </row>
    <row r="3730" spans="1:1" s="200" customFormat="1" ht="12" hidden="1" customHeight="1">
      <c r="A3730" s="199"/>
    </row>
    <row r="3731" spans="1:1" s="200" customFormat="1" ht="12" hidden="1" customHeight="1">
      <c r="A3731" s="199"/>
    </row>
    <row r="3732" spans="1:1" s="200" customFormat="1" ht="12" hidden="1" customHeight="1">
      <c r="A3732" s="199"/>
    </row>
    <row r="3733" spans="1:1" s="200" customFormat="1" ht="12" hidden="1" customHeight="1">
      <c r="A3733" s="199"/>
    </row>
    <row r="3734" spans="1:1" s="200" customFormat="1" ht="12" hidden="1" customHeight="1">
      <c r="A3734" s="199"/>
    </row>
    <row r="3735" spans="1:1" s="200" customFormat="1" ht="12" hidden="1" customHeight="1">
      <c r="A3735" s="199"/>
    </row>
    <row r="3736" spans="1:1" s="200" customFormat="1" ht="12" hidden="1" customHeight="1">
      <c r="A3736" s="199"/>
    </row>
    <row r="3737" spans="1:1" s="200" customFormat="1" ht="12" hidden="1" customHeight="1">
      <c r="A3737" s="199"/>
    </row>
    <row r="3738" spans="1:1" s="200" customFormat="1" ht="12" hidden="1" customHeight="1">
      <c r="A3738" s="199"/>
    </row>
    <row r="3739" spans="1:1" s="200" customFormat="1" ht="12" hidden="1" customHeight="1">
      <c r="A3739" s="199"/>
    </row>
    <row r="3740" spans="1:1" s="200" customFormat="1" ht="12" hidden="1" customHeight="1">
      <c r="A3740" s="199"/>
    </row>
    <row r="3741" spans="1:1" s="200" customFormat="1" ht="12" hidden="1" customHeight="1">
      <c r="A3741" s="199"/>
    </row>
    <row r="3742" spans="1:1" s="200" customFormat="1" ht="12" hidden="1" customHeight="1">
      <c r="A3742" s="199"/>
    </row>
    <row r="3743" spans="1:1" s="200" customFormat="1" ht="12" hidden="1" customHeight="1">
      <c r="A3743" s="199"/>
    </row>
    <row r="3744" spans="1:1" s="200" customFormat="1" ht="12" hidden="1" customHeight="1">
      <c r="A3744" s="199"/>
    </row>
    <row r="3745" spans="1:1" s="200" customFormat="1" ht="12" hidden="1" customHeight="1">
      <c r="A3745" s="199"/>
    </row>
    <row r="3746" spans="1:1" s="200" customFormat="1" ht="12" hidden="1" customHeight="1">
      <c r="A3746" s="199"/>
    </row>
    <row r="3747" spans="1:1" s="200" customFormat="1" ht="12" hidden="1" customHeight="1">
      <c r="A3747" s="199"/>
    </row>
    <row r="3748" spans="1:1" s="200" customFormat="1" ht="12" hidden="1" customHeight="1">
      <c r="A3748" s="199"/>
    </row>
    <row r="3749" spans="1:1" s="200" customFormat="1" ht="12" hidden="1" customHeight="1">
      <c r="A3749" s="199"/>
    </row>
    <row r="3750" spans="1:1" s="200" customFormat="1" ht="12" hidden="1" customHeight="1">
      <c r="A3750" s="199"/>
    </row>
    <row r="3751" spans="1:1" s="200" customFormat="1" ht="12" hidden="1" customHeight="1">
      <c r="A3751" s="199"/>
    </row>
    <row r="3752" spans="1:1" s="200" customFormat="1" ht="12" hidden="1" customHeight="1">
      <c r="A3752" s="199"/>
    </row>
    <row r="3753" spans="1:1" s="200" customFormat="1" ht="12" hidden="1" customHeight="1">
      <c r="A3753" s="199"/>
    </row>
    <row r="3754" spans="1:1" s="200" customFormat="1" ht="12" hidden="1" customHeight="1">
      <c r="A3754" s="199"/>
    </row>
    <row r="3755" spans="1:1" s="200" customFormat="1" ht="12" hidden="1" customHeight="1">
      <c r="A3755" s="199"/>
    </row>
    <row r="3756" spans="1:1" s="200" customFormat="1" ht="12" hidden="1" customHeight="1">
      <c r="A3756" s="199"/>
    </row>
    <row r="3757" spans="1:1" s="200" customFormat="1" ht="12" hidden="1" customHeight="1">
      <c r="A3757" s="199"/>
    </row>
    <row r="3758" spans="1:1" s="200" customFormat="1" ht="12" hidden="1" customHeight="1">
      <c r="A3758" s="199"/>
    </row>
    <row r="3759" spans="1:1" s="200" customFormat="1" ht="12" hidden="1" customHeight="1">
      <c r="A3759" s="199"/>
    </row>
    <row r="3760" spans="1:1" s="200" customFormat="1" ht="12" hidden="1" customHeight="1">
      <c r="A3760" s="199"/>
    </row>
    <row r="3761" spans="1:1" s="200" customFormat="1" ht="12" hidden="1" customHeight="1">
      <c r="A3761" s="199"/>
    </row>
    <row r="3762" spans="1:1" s="200" customFormat="1" ht="12" hidden="1" customHeight="1">
      <c r="A3762" s="199"/>
    </row>
    <row r="3763" spans="1:1" s="200" customFormat="1" ht="12" hidden="1" customHeight="1">
      <c r="A3763" s="199"/>
    </row>
    <row r="3764" spans="1:1" s="200" customFormat="1" ht="12" hidden="1" customHeight="1">
      <c r="A3764" s="199"/>
    </row>
    <row r="3765" spans="1:1" s="200" customFormat="1" ht="12" hidden="1" customHeight="1">
      <c r="A3765" s="199"/>
    </row>
    <row r="3766" spans="1:1" s="200" customFormat="1" ht="12" hidden="1" customHeight="1">
      <c r="A3766" s="199"/>
    </row>
    <row r="3767" spans="1:1" s="200" customFormat="1" ht="12" hidden="1" customHeight="1">
      <c r="A3767" s="199"/>
    </row>
    <row r="3768" spans="1:1" s="200" customFormat="1" ht="12" hidden="1" customHeight="1">
      <c r="A3768" s="199"/>
    </row>
    <row r="3769" spans="1:1" s="200" customFormat="1" ht="12" hidden="1" customHeight="1">
      <c r="A3769" s="199"/>
    </row>
    <row r="3770" spans="1:1" s="200" customFormat="1" ht="12" hidden="1" customHeight="1">
      <c r="A3770" s="199"/>
    </row>
    <row r="3771" spans="1:1" s="200" customFormat="1" ht="12" hidden="1" customHeight="1">
      <c r="A3771" s="199"/>
    </row>
    <row r="3772" spans="1:1" s="200" customFormat="1" ht="12" hidden="1" customHeight="1">
      <c r="A3772" s="199"/>
    </row>
    <row r="3773" spans="1:1" s="200" customFormat="1" ht="12" hidden="1" customHeight="1">
      <c r="A3773" s="199"/>
    </row>
    <row r="3774" spans="1:1" s="200" customFormat="1" ht="12" hidden="1" customHeight="1">
      <c r="A3774" s="199"/>
    </row>
    <row r="3775" spans="1:1" s="200" customFormat="1" ht="12" hidden="1" customHeight="1">
      <c r="A3775" s="199"/>
    </row>
    <row r="3776" spans="1:1" s="200" customFormat="1" ht="12" hidden="1" customHeight="1">
      <c r="A3776" s="199"/>
    </row>
    <row r="3777" spans="1:1" s="200" customFormat="1" ht="12" hidden="1" customHeight="1">
      <c r="A3777" s="199"/>
    </row>
    <row r="3778" spans="1:1" s="200" customFormat="1" ht="12" hidden="1" customHeight="1">
      <c r="A3778" s="199"/>
    </row>
    <row r="3779" spans="1:1" s="200" customFormat="1" ht="12" hidden="1" customHeight="1">
      <c r="A3779" s="199"/>
    </row>
    <row r="3780" spans="1:1" s="200" customFormat="1" ht="12" hidden="1" customHeight="1">
      <c r="A3780" s="199"/>
    </row>
    <row r="3781" spans="1:1" s="200" customFormat="1" ht="12" hidden="1" customHeight="1">
      <c r="A3781" s="199"/>
    </row>
    <row r="3782" spans="1:1" s="200" customFormat="1" ht="12" hidden="1" customHeight="1">
      <c r="A3782" s="199"/>
    </row>
    <row r="3783" spans="1:1" s="200" customFormat="1" ht="12" hidden="1" customHeight="1">
      <c r="A3783" s="199"/>
    </row>
    <row r="3784" spans="1:1" s="200" customFormat="1" ht="12" hidden="1" customHeight="1">
      <c r="A3784" s="199"/>
    </row>
    <row r="3785" spans="1:1" s="200" customFormat="1" ht="12" hidden="1" customHeight="1">
      <c r="A3785" s="199"/>
    </row>
    <row r="3786" spans="1:1" s="200" customFormat="1" ht="12" hidden="1" customHeight="1">
      <c r="A3786" s="199"/>
    </row>
    <row r="3787" spans="1:1" s="200" customFormat="1" ht="12" hidden="1" customHeight="1">
      <c r="A3787" s="199"/>
    </row>
    <row r="3788" spans="1:1" s="200" customFormat="1" ht="12" hidden="1" customHeight="1">
      <c r="A3788" s="199"/>
    </row>
    <row r="3789" spans="1:1" s="200" customFormat="1" ht="12" hidden="1" customHeight="1">
      <c r="A3789" s="199"/>
    </row>
    <row r="3790" spans="1:1" s="200" customFormat="1" ht="12" hidden="1" customHeight="1">
      <c r="A3790" s="199"/>
    </row>
    <row r="3791" spans="1:1" s="200" customFormat="1" ht="12" hidden="1" customHeight="1">
      <c r="A3791" s="199"/>
    </row>
    <row r="3792" spans="1:1" s="200" customFormat="1" ht="12" hidden="1" customHeight="1">
      <c r="A3792" s="199"/>
    </row>
    <row r="3793" spans="1:1" s="200" customFormat="1" ht="12" hidden="1" customHeight="1">
      <c r="A3793" s="199"/>
    </row>
    <row r="3794" spans="1:1" s="200" customFormat="1" ht="12" hidden="1" customHeight="1">
      <c r="A3794" s="199"/>
    </row>
    <row r="3795" spans="1:1" s="200" customFormat="1" ht="12" hidden="1" customHeight="1">
      <c r="A3795" s="199"/>
    </row>
    <row r="3796" spans="1:1" s="200" customFormat="1" ht="12" hidden="1" customHeight="1">
      <c r="A3796" s="199"/>
    </row>
    <row r="3797" spans="1:1" s="200" customFormat="1" ht="12" hidden="1" customHeight="1">
      <c r="A3797" s="199"/>
    </row>
    <row r="3798" spans="1:1" s="200" customFormat="1" ht="12" hidden="1" customHeight="1">
      <c r="A3798" s="199"/>
    </row>
    <row r="3799" spans="1:1" s="200" customFormat="1" ht="12" hidden="1" customHeight="1">
      <c r="A3799" s="199"/>
    </row>
    <row r="3800" spans="1:1" s="200" customFormat="1" ht="12" hidden="1" customHeight="1">
      <c r="A3800" s="199"/>
    </row>
    <row r="3801" spans="1:1" s="200" customFormat="1" ht="12" hidden="1" customHeight="1">
      <c r="A3801" s="199"/>
    </row>
    <row r="3802" spans="1:1" s="200" customFormat="1" ht="12" hidden="1" customHeight="1">
      <c r="A3802" s="199"/>
    </row>
    <row r="3803" spans="1:1" s="200" customFormat="1" ht="12" hidden="1" customHeight="1">
      <c r="A3803" s="199"/>
    </row>
    <row r="3804" spans="1:1" s="200" customFormat="1" ht="12" hidden="1" customHeight="1">
      <c r="A3804" s="199"/>
    </row>
    <row r="3805" spans="1:1" s="200" customFormat="1" ht="12" hidden="1" customHeight="1">
      <c r="A3805" s="199"/>
    </row>
    <row r="3806" spans="1:1" s="200" customFormat="1" ht="12" hidden="1" customHeight="1">
      <c r="A3806" s="199"/>
    </row>
    <row r="3807" spans="1:1" s="200" customFormat="1" ht="12" hidden="1" customHeight="1">
      <c r="A3807" s="199"/>
    </row>
    <row r="3808" spans="1:1" s="200" customFormat="1" ht="12" hidden="1" customHeight="1">
      <c r="A3808" s="199"/>
    </row>
    <row r="3809" spans="1:1" s="200" customFormat="1" ht="12" hidden="1" customHeight="1">
      <c r="A3809" s="199"/>
    </row>
    <row r="3810" spans="1:1" s="200" customFormat="1" ht="12" hidden="1" customHeight="1">
      <c r="A3810" s="199"/>
    </row>
    <row r="3811" spans="1:1" s="200" customFormat="1" ht="12" hidden="1" customHeight="1">
      <c r="A3811" s="199"/>
    </row>
    <row r="3812" spans="1:1" s="200" customFormat="1" ht="12" hidden="1" customHeight="1">
      <c r="A3812" s="199"/>
    </row>
    <row r="3813" spans="1:1" s="200" customFormat="1" ht="12" hidden="1" customHeight="1">
      <c r="A3813" s="199"/>
    </row>
    <row r="3814" spans="1:1" s="200" customFormat="1" ht="12" hidden="1" customHeight="1">
      <c r="A3814" s="199"/>
    </row>
    <row r="3815" spans="1:1" s="200" customFormat="1" ht="12" hidden="1" customHeight="1">
      <c r="A3815" s="199"/>
    </row>
    <row r="3816" spans="1:1" s="200" customFormat="1" ht="12" hidden="1" customHeight="1">
      <c r="A3816" s="199"/>
    </row>
    <row r="3817" spans="1:1" s="200" customFormat="1" ht="12" hidden="1" customHeight="1">
      <c r="A3817" s="199"/>
    </row>
    <row r="3818" spans="1:1" s="200" customFormat="1" ht="12" hidden="1" customHeight="1">
      <c r="A3818" s="199"/>
    </row>
    <row r="3819" spans="1:1" s="200" customFormat="1" ht="12" hidden="1" customHeight="1">
      <c r="A3819" s="199"/>
    </row>
    <row r="3820" spans="1:1" s="200" customFormat="1" ht="12" hidden="1" customHeight="1">
      <c r="A3820" s="199"/>
    </row>
    <row r="3821" spans="1:1" s="200" customFormat="1" ht="12" hidden="1" customHeight="1">
      <c r="A3821" s="199"/>
    </row>
    <row r="3822" spans="1:1" s="200" customFormat="1" ht="12" hidden="1" customHeight="1">
      <c r="A3822" s="199"/>
    </row>
    <row r="3823" spans="1:1" s="200" customFormat="1" ht="12" hidden="1" customHeight="1">
      <c r="A3823" s="199"/>
    </row>
    <row r="3824" spans="1:1" s="200" customFormat="1" ht="12" hidden="1" customHeight="1">
      <c r="A3824" s="199"/>
    </row>
    <row r="3825" spans="1:1" s="200" customFormat="1" ht="12" hidden="1" customHeight="1">
      <c r="A3825" s="199"/>
    </row>
    <row r="3826" spans="1:1" s="200" customFormat="1" ht="12" hidden="1" customHeight="1">
      <c r="A3826" s="199"/>
    </row>
    <row r="3827" spans="1:1" s="200" customFormat="1" ht="12" hidden="1" customHeight="1">
      <c r="A3827" s="199"/>
    </row>
    <row r="3828" spans="1:1" s="200" customFormat="1" ht="12" hidden="1" customHeight="1">
      <c r="A3828" s="199"/>
    </row>
    <row r="3829" spans="1:1" s="200" customFormat="1" ht="12" hidden="1" customHeight="1">
      <c r="A3829" s="199"/>
    </row>
    <row r="3830" spans="1:1" s="200" customFormat="1" ht="12" hidden="1" customHeight="1">
      <c r="A3830" s="199"/>
    </row>
    <row r="3831" spans="1:1" s="200" customFormat="1" ht="12" hidden="1" customHeight="1">
      <c r="A3831" s="199"/>
    </row>
    <row r="3832" spans="1:1" s="200" customFormat="1" ht="12" hidden="1" customHeight="1">
      <c r="A3832" s="199"/>
    </row>
    <row r="3833" spans="1:1" s="200" customFormat="1" ht="12" hidden="1" customHeight="1">
      <c r="A3833" s="199"/>
    </row>
    <row r="3834" spans="1:1" s="200" customFormat="1" ht="12" hidden="1" customHeight="1">
      <c r="A3834" s="199"/>
    </row>
    <row r="3835" spans="1:1" s="200" customFormat="1" ht="12" hidden="1" customHeight="1">
      <c r="A3835" s="199"/>
    </row>
    <row r="3836" spans="1:1" s="200" customFormat="1" ht="12" hidden="1" customHeight="1">
      <c r="A3836" s="199"/>
    </row>
    <row r="3837" spans="1:1" s="200" customFormat="1" ht="12" hidden="1" customHeight="1">
      <c r="A3837" s="199"/>
    </row>
    <row r="3838" spans="1:1" s="200" customFormat="1" ht="12" hidden="1" customHeight="1">
      <c r="A3838" s="199"/>
    </row>
    <row r="3839" spans="1:1" s="200" customFormat="1" ht="12" hidden="1" customHeight="1">
      <c r="A3839" s="199"/>
    </row>
    <row r="3840" spans="1:1" s="200" customFormat="1" ht="12" hidden="1" customHeight="1">
      <c r="A3840" s="199"/>
    </row>
    <row r="3841" spans="1:1" s="200" customFormat="1" ht="12" hidden="1" customHeight="1">
      <c r="A3841" s="199"/>
    </row>
    <row r="3842" spans="1:1" s="200" customFormat="1" ht="12" hidden="1" customHeight="1">
      <c r="A3842" s="199"/>
    </row>
    <row r="3843" spans="1:1" s="200" customFormat="1" ht="12" hidden="1" customHeight="1">
      <c r="A3843" s="199"/>
    </row>
    <row r="3844" spans="1:1" s="200" customFormat="1" ht="12" hidden="1" customHeight="1">
      <c r="A3844" s="199"/>
    </row>
    <row r="3845" spans="1:1" s="200" customFormat="1" ht="12" hidden="1" customHeight="1">
      <c r="A3845" s="199"/>
    </row>
    <row r="3846" spans="1:1" s="200" customFormat="1" ht="12" hidden="1" customHeight="1">
      <c r="A3846" s="199"/>
    </row>
    <row r="3847" spans="1:1" s="200" customFormat="1" ht="12" hidden="1" customHeight="1">
      <c r="A3847" s="199"/>
    </row>
    <row r="3848" spans="1:1" s="200" customFormat="1" ht="12" hidden="1" customHeight="1">
      <c r="A3848" s="199"/>
    </row>
    <row r="3849" spans="1:1" s="200" customFormat="1" ht="12" hidden="1" customHeight="1">
      <c r="A3849" s="199"/>
    </row>
    <row r="3850" spans="1:1" s="200" customFormat="1" ht="12" hidden="1" customHeight="1">
      <c r="A3850" s="199"/>
    </row>
    <row r="3851" spans="1:1" s="200" customFormat="1" ht="12" hidden="1" customHeight="1">
      <c r="A3851" s="199"/>
    </row>
    <row r="3852" spans="1:1" s="200" customFormat="1" ht="12" hidden="1" customHeight="1">
      <c r="A3852" s="199"/>
    </row>
    <row r="3853" spans="1:1" s="200" customFormat="1" ht="12" hidden="1" customHeight="1">
      <c r="A3853" s="199"/>
    </row>
    <row r="3854" spans="1:1" s="200" customFormat="1" ht="12" hidden="1" customHeight="1">
      <c r="A3854" s="199"/>
    </row>
    <row r="3855" spans="1:1" s="200" customFormat="1" ht="12" hidden="1" customHeight="1">
      <c r="A3855" s="199"/>
    </row>
    <row r="3856" spans="1:1" s="200" customFormat="1" ht="12" hidden="1" customHeight="1">
      <c r="A3856" s="199"/>
    </row>
    <row r="3857" spans="1:1" s="200" customFormat="1" ht="12" hidden="1" customHeight="1">
      <c r="A3857" s="199"/>
    </row>
    <row r="3858" spans="1:1" s="200" customFormat="1" ht="12" hidden="1" customHeight="1">
      <c r="A3858" s="199"/>
    </row>
    <row r="3859" spans="1:1" s="200" customFormat="1" ht="12" hidden="1" customHeight="1">
      <c r="A3859" s="199"/>
    </row>
    <row r="3860" spans="1:1" s="200" customFormat="1" ht="12" hidden="1" customHeight="1">
      <c r="A3860" s="199"/>
    </row>
    <row r="3861" spans="1:1" s="200" customFormat="1" ht="12" hidden="1" customHeight="1">
      <c r="A3861" s="199"/>
    </row>
    <row r="3862" spans="1:1" s="200" customFormat="1" ht="12" hidden="1" customHeight="1">
      <c r="A3862" s="199"/>
    </row>
    <row r="3863" spans="1:1" s="200" customFormat="1" ht="12" hidden="1" customHeight="1">
      <c r="A3863" s="199"/>
    </row>
    <row r="3864" spans="1:1" s="200" customFormat="1" ht="12" hidden="1" customHeight="1">
      <c r="A3864" s="199"/>
    </row>
    <row r="3865" spans="1:1" s="200" customFormat="1" ht="12" hidden="1" customHeight="1">
      <c r="A3865" s="199"/>
    </row>
    <row r="3866" spans="1:1" s="200" customFormat="1" ht="12" hidden="1" customHeight="1">
      <c r="A3866" s="199"/>
    </row>
    <row r="3867" spans="1:1" s="200" customFormat="1" ht="12" hidden="1" customHeight="1">
      <c r="A3867" s="199"/>
    </row>
    <row r="3868" spans="1:1" s="200" customFormat="1" ht="12" hidden="1" customHeight="1">
      <c r="A3868" s="199"/>
    </row>
    <row r="3869" spans="1:1" s="200" customFormat="1" ht="12" hidden="1" customHeight="1">
      <c r="A3869" s="199"/>
    </row>
    <row r="3870" spans="1:1" s="200" customFormat="1" ht="12" hidden="1" customHeight="1">
      <c r="A3870" s="199"/>
    </row>
    <row r="3871" spans="1:1" s="200" customFormat="1" ht="12" hidden="1" customHeight="1">
      <c r="A3871" s="199"/>
    </row>
    <row r="3872" spans="1:1" s="200" customFormat="1" ht="12" hidden="1" customHeight="1">
      <c r="A3872" s="199"/>
    </row>
    <row r="3873" spans="1:1" s="200" customFormat="1" ht="12" hidden="1" customHeight="1">
      <c r="A3873" s="199"/>
    </row>
    <row r="3874" spans="1:1" s="200" customFormat="1" ht="12" hidden="1" customHeight="1">
      <c r="A3874" s="199"/>
    </row>
    <row r="3875" spans="1:1" s="200" customFormat="1" ht="12" hidden="1" customHeight="1">
      <c r="A3875" s="199"/>
    </row>
    <row r="3876" spans="1:1" s="200" customFormat="1" ht="12" hidden="1" customHeight="1">
      <c r="A3876" s="199"/>
    </row>
    <row r="3877" spans="1:1" s="200" customFormat="1" ht="12" hidden="1" customHeight="1">
      <c r="A3877" s="199"/>
    </row>
    <row r="3878" spans="1:1" s="200" customFormat="1" ht="12" hidden="1" customHeight="1">
      <c r="A3878" s="199"/>
    </row>
    <row r="3879" spans="1:1" s="200" customFormat="1" ht="12" hidden="1" customHeight="1">
      <c r="A3879" s="199"/>
    </row>
    <row r="3880" spans="1:1" s="200" customFormat="1" ht="12" hidden="1" customHeight="1">
      <c r="A3880" s="199"/>
    </row>
    <row r="3881" spans="1:1" s="200" customFormat="1" ht="12" hidden="1" customHeight="1">
      <c r="A3881" s="199"/>
    </row>
    <row r="3882" spans="1:1" s="200" customFormat="1" ht="12" hidden="1" customHeight="1">
      <c r="A3882" s="199"/>
    </row>
    <row r="3883" spans="1:1" s="200" customFormat="1" ht="12" hidden="1" customHeight="1">
      <c r="A3883" s="199"/>
    </row>
    <row r="3884" spans="1:1" s="200" customFormat="1" ht="12" hidden="1" customHeight="1">
      <c r="A3884" s="199"/>
    </row>
    <row r="3885" spans="1:1" s="200" customFormat="1" ht="12" hidden="1" customHeight="1">
      <c r="A3885" s="199"/>
    </row>
    <row r="3886" spans="1:1" s="200" customFormat="1" ht="12" hidden="1" customHeight="1">
      <c r="A3886" s="199"/>
    </row>
    <row r="3887" spans="1:1" s="200" customFormat="1" ht="12" hidden="1" customHeight="1">
      <c r="A3887" s="199"/>
    </row>
    <row r="3888" spans="1:1" s="200" customFormat="1" ht="12" hidden="1" customHeight="1">
      <c r="A3888" s="199"/>
    </row>
    <row r="3889" spans="1:1" s="200" customFormat="1" ht="12" hidden="1" customHeight="1">
      <c r="A3889" s="199"/>
    </row>
    <row r="3890" spans="1:1" s="200" customFormat="1" ht="12" hidden="1" customHeight="1">
      <c r="A3890" s="199"/>
    </row>
    <row r="3891" spans="1:1" s="200" customFormat="1" ht="12" hidden="1" customHeight="1">
      <c r="A3891" s="199"/>
    </row>
    <row r="3892" spans="1:1" s="200" customFormat="1" ht="12" hidden="1" customHeight="1">
      <c r="A3892" s="199"/>
    </row>
    <row r="3893" spans="1:1" s="200" customFormat="1" ht="12" hidden="1" customHeight="1">
      <c r="A3893" s="199"/>
    </row>
    <row r="3894" spans="1:1" s="200" customFormat="1" ht="12" hidden="1" customHeight="1">
      <c r="A3894" s="199"/>
    </row>
    <row r="3895" spans="1:1" s="200" customFormat="1" ht="12" hidden="1" customHeight="1">
      <c r="A3895" s="199"/>
    </row>
    <row r="3896" spans="1:1" s="200" customFormat="1" ht="12" hidden="1" customHeight="1">
      <c r="A3896" s="199"/>
    </row>
    <row r="3897" spans="1:1" s="200" customFormat="1" ht="12" hidden="1" customHeight="1">
      <c r="A3897" s="199"/>
    </row>
    <row r="3898" spans="1:1" s="200" customFormat="1" ht="12" hidden="1" customHeight="1">
      <c r="A3898" s="199"/>
    </row>
    <row r="3899" spans="1:1" s="200" customFormat="1" ht="12" hidden="1" customHeight="1">
      <c r="A3899" s="199"/>
    </row>
    <row r="3900" spans="1:1" s="200" customFormat="1" ht="12" hidden="1" customHeight="1">
      <c r="A3900" s="199"/>
    </row>
    <row r="3901" spans="1:1" s="200" customFormat="1" ht="12" hidden="1" customHeight="1">
      <c r="A3901" s="199"/>
    </row>
    <row r="3902" spans="1:1" s="200" customFormat="1" ht="12" hidden="1" customHeight="1">
      <c r="A3902" s="199"/>
    </row>
    <row r="3903" spans="1:1" s="200" customFormat="1" ht="12" hidden="1" customHeight="1">
      <c r="A3903" s="199"/>
    </row>
    <row r="3904" spans="1:1" s="200" customFormat="1" ht="12" hidden="1" customHeight="1">
      <c r="A3904" s="199"/>
    </row>
    <row r="3905" spans="1:1" s="200" customFormat="1" ht="12" hidden="1" customHeight="1">
      <c r="A3905" s="199"/>
    </row>
    <row r="3906" spans="1:1" s="200" customFormat="1" ht="12" hidden="1" customHeight="1">
      <c r="A3906" s="199"/>
    </row>
    <row r="3907" spans="1:1" s="200" customFormat="1" ht="12" hidden="1" customHeight="1">
      <c r="A3907" s="199"/>
    </row>
    <row r="3908" spans="1:1" s="200" customFormat="1" ht="12" hidden="1" customHeight="1">
      <c r="A3908" s="199"/>
    </row>
    <row r="3909" spans="1:1" s="200" customFormat="1" ht="12" hidden="1" customHeight="1">
      <c r="A3909" s="199"/>
    </row>
    <row r="3910" spans="1:1" s="200" customFormat="1" ht="12" hidden="1" customHeight="1">
      <c r="A3910" s="199"/>
    </row>
    <row r="3911" spans="1:1" s="200" customFormat="1" ht="12" hidden="1" customHeight="1">
      <c r="A3911" s="199"/>
    </row>
    <row r="3912" spans="1:1" s="200" customFormat="1" ht="12" hidden="1" customHeight="1">
      <c r="A3912" s="199"/>
    </row>
    <row r="3913" spans="1:1" s="200" customFormat="1" ht="12" hidden="1" customHeight="1">
      <c r="A3913" s="199"/>
    </row>
    <row r="3914" spans="1:1" s="200" customFormat="1" ht="12" hidden="1" customHeight="1">
      <c r="A3914" s="199"/>
    </row>
    <row r="3915" spans="1:1" s="200" customFormat="1" ht="12" hidden="1" customHeight="1">
      <c r="A3915" s="199"/>
    </row>
    <row r="3916" spans="1:1" s="200" customFormat="1" ht="12" hidden="1" customHeight="1">
      <c r="A3916" s="199"/>
    </row>
    <row r="3917" spans="1:1" s="200" customFormat="1" ht="12" hidden="1" customHeight="1">
      <c r="A3917" s="199"/>
    </row>
    <row r="3918" spans="1:1" s="200" customFormat="1" ht="12" hidden="1" customHeight="1">
      <c r="A3918" s="199"/>
    </row>
    <row r="3919" spans="1:1" s="200" customFormat="1" ht="12" hidden="1" customHeight="1">
      <c r="A3919" s="199"/>
    </row>
    <row r="3920" spans="1:1" s="200" customFormat="1" ht="12" hidden="1" customHeight="1">
      <c r="A3920" s="199"/>
    </row>
    <row r="3921" spans="1:1" s="200" customFormat="1" ht="12" hidden="1" customHeight="1">
      <c r="A3921" s="199"/>
    </row>
    <row r="3922" spans="1:1" s="200" customFormat="1" ht="12" hidden="1" customHeight="1">
      <c r="A3922" s="199"/>
    </row>
    <row r="3923" spans="1:1" s="200" customFormat="1" ht="12" hidden="1" customHeight="1">
      <c r="A3923" s="199"/>
    </row>
    <row r="3924" spans="1:1" s="200" customFormat="1" ht="12" hidden="1" customHeight="1">
      <c r="A3924" s="199"/>
    </row>
    <row r="3925" spans="1:1" s="200" customFormat="1" ht="12" hidden="1" customHeight="1">
      <c r="A3925" s="199"/>
    </row>
    <row r="3926" spans="1:1" s="200" customFormat="1" ht="12" hidden="1" customHeight="1">
      <c r="A3926" s="199"/>
    </row>
    <row r="3927" spans="1:1" s="200" customFormat="1" ht="12" hidden="1" customHeight="1">
      <c r="A3927" s="199"/>
    </row>
    <row r="3928" spans="1:1" s="200" customFormat="1" ht="12" hidden="1" customHeight="1">
      <c r="A3928" s="199"/>
    </row>
    <row r="3929" spans="1:1" s="200" customFormat="1" ht="12" hidden="1" customHeight="1">
      <c r="A3929" s="199"/>
    </row>
    <row r="3930" spans="1:1" s="200" customFormat="1" ht="12" hidden="1" customHeight="1">
      <c r="A3930" s="199"/>
    </row>
    <row r="3931" spans="1:1" s="200" customFormat="1" ht="12" hidden="1" customHeight="1">
      <c r="A3931" s="199"/>
    </row>
    <row r="3932" spans="1:1" s="200" customFormat="1" ht="12" hidden="1" customHeight="1">
      <c r="A3932" s="199"/>
    </row>
    <row r="3933" spans="1:1" s="200" customFormat="1" ht="12" hidden="1" customHeight="1">
      <c r="A3933" s="199"/>
    </row>
    <row r="3934" spans="1:1" s="200" customFormat="1" ht="12" hidden="1" customHeight="1">
      <c r="A3934" s="199"/>
    </row>
    <row r="3935" spans="1:1" s="200" customFormat="1" ht="12" hidden="1" customHeight="1">
      <c r="A3935" s="199"/>
    </row>
    <row r="3936" spans="1:1" s="200" customFormat="1" ht="12" hidden="1" customHeight="1">
      <c r="A3936" s="199"/>
    </row>
    <row r="3937" spans="1:1" s="200" customFormat="1" ht="12" hidden="1" customHeight="1">
      <c r="A3937" s="199"/>
    </row>
    <row r="3938" spans="1:1" s="200" customFormat="1" ht="12" hidden="1" customHeight="1">
      <c r="A3938" s="199"/>
    </row>
    <row r="3939" spans="1:1" s="200" customFormat="1" ht="12" hidden="1" customHeight="1">
      <c r="A3939" s="199"/>
    </row>
    <row r="3940" spans="1:1" s="200" customFormat="1" ht="12" hidden="1" customHeight="1">
      <c r="A3940" s="199"/>
    </row>
    <row r="3941" spans="1:1" s="200" customFormat="1" ht="12" hidden="1" customHeight="1">
      <c r="A3941" s="199"/>
    </row>
    <row r="3942" spans="1:1" s="200" customFormat="1" ht="12" hidden="1" customHeight="1">
      <c r="A3942" s="199"/>
    </row>
    <row r="3943" spans="1:1" s="200" customFormat="1" ht="12" hidden="1" customHeight="1">
      <c r="A3943" s="199"/>
    </row>
    <row r="3944" spans="1:1" s="200" customFormat="1" ht="12" hidden="1" customHeight="1">
      <c r="A3944" s="199"/>
    </row>
    <row r="3945" spans="1:1" s="200" customFormat="1" ht="12" hidden="1" customHeight="1">
      <c r="A3945" s="199"/>
    </row>
    <row r="3946" spans="1:1" s="200" customFormat="1" ht="12" hidden="1" customHeight="1">
      <c r="A3946" s="199"/>
    </row>
    <row r="3947" spans="1:1" s="200" customFormat="1" ht="12" hidden="1" customHeight="1">
      <c r="A3947" s="199"/>
    </row>
    <row r="3948" spans="1:1" s="200" customFormat="1" ht="12" hidden="1" customHeight="1">
      <c r="A3948" s="199"/>
    </row>
    <row r="3949" spans="1:1" s="200" customFormat="1" ht="12" hidden="1" customHeight="1">
      <c r="A3949" s="199"/>
    </row>
    <row r="3950" spans="1:1" s="200" customFormat="1" ht="12" hidden="1" customHeight="1">
      <c r="A3950" s="199"/>
    </row>
    <row r="3951" spans="1:1" s="200" customFormat="1" ht="12" hidden="1" customHeight="1">
      <c r="A3951" s="199"/>
    </row>
    <row r="3952" spans="1:1" s="200" customFormat="1" ht="12" hidden="1" customHeight="1">
      <c r="A3952" s="199"/>
    </row>
    <row r="3953" spans="1:1" s="200" customFormat="1" ht="12" hidden="1" customHeight="1">
      <c r="A3953" s="199"/>
    </row>
    <row r="3954" spans="1:1" s="200" customFormat="1" ht="12" hidden="1" customHeight="1">
      <c r="A3954" s="199"/>
    </row>
    <row r="3955" spans="1:1" s="200" customFormat="1" ht="12" hidden="1" customHeight="1">
      <c r="A3955" s="199"/>
    </row>
    <row r="3956" spans="1:1" s="200" customFormat="1" ht="12" hidden="1" customHeight="1">
      <c r="A3956" s="199"/>
    </row>
    <row r="3957" spans="1:1" s="200" customFormat="1" ht="12" hidden="1" customHeight="1">
      <c r="A3957" s="199"/>
    </row>
    <row r="3958" spans="1:1" s="200" customFormat="1" ht="12" hidden="1" customHeight="1">
      <c r="A3958" s="199"/>
    </row>
    <row r="3959" spans="1:1" s="200" customFormat="1" ht="12" hidden="1" customHeight="1">
      <c r="A3959" s="199"/>
    </row>
    <row r="3960" spans="1:1" s="200" customFormat="1" ht="12" hidden="1" customHeight="1">
      <c r="A3960" s="199"/>
    </row>
    <row r="3961" spans="1:1" s="200" customFormat="1" ht="12" hidden="1" customHeight="1">
      <c r="A3961" s="199"/>
    </row>
    <row r="3962" spans="1:1" s="200" customFormat="1" ht="12" hidden="1" customHeight="1">
      <c r="A3962" s="199"/>
    </row>
    <row r="3963" spans="1:1" s="200" customFormat="1" ht="12" hidden="1" customHeight="1">
      <c r="A3963" s="199"/>
    </row>
    <row r="3964" spans="1:1" s="200" customFormat="1" ht="12" hidden="1" customHeight="1">
      <c r="A3964" s="199"/>
    </row>
    <row r="3965" spans="1:1" s="200" customFormat="1" ht="12" hidden="1" customHeight="1">
      <c r="A3965" s="199"/>
    </row>
    <row r="3966" spans="1:1" s="200" customFormat="1" ht="12" hidden="1" customHeight="1">
      <c r="A3966" s="199"/>
    </row>
    <row r="3967" spans="1:1" s="200" customFormat="1" ht="12" hidden="1" customHeight="1">
      <c r="A3967" s="199"/>
    </row>
    <row r="3968" spans="1:1" s="200" customFormat="1" ht="12" hidden="1" customHeight="1">
      <c r="A3968" s="199"/>
    </row>
    <row r="3969" spans="1:1" s="200" customFormat="1" ht="12" hidden="1" customHeight="1">
      <c r="A3969" s="199"/>
    </row>
    <row r="3970" spans="1:1" s="200" customFormat="1" ht="12" hidden="1" customHeight="1">
      <c r="A3970" s="199"/>
    </row>
    <row r="3971" spans="1:1" s="200" customFormat="1" ht="12" hidden="1" customHeight="1">
      <c r="A3971" s="199"/>
    </row>
    <row r="3972" spans="1:1" s="200" customFormat="1" ht="12" hidden="1" customHeight="1">
      <c r="A3972" s="199"/>
    </row>
    <row r="3973" spans="1:1" s="200" customFormat="1" ht="12" hidden="1" customHeight="1">
      <c r="A3973" s="199"/>
    </row>
    <row r="3974" spans="1:1" s="200" customFormat="1" ht="12" hidden="1" customHeight="1">
      <c r="A3974" s="199"/>
    </row>
    <row r="3975" spans="1:1" s="200" customFormat="1" ht="12" hidden="1" customHeight="1">
      <c r="A3975" s="199"/>
    </row>
    <row r="3976" spans="1:1" s="200" customFormat="1" ht="12" hidden="1" customHeight="1">
      <c r="A3976" s="199"/>
    </row>
    <row r="3977" spans="1:1" s="200" customFormat="1" ht="12" hidden="1" customHeight="1">
      <c r="A3977" s="199"/>
    </row>
    <row r="3978" spans="1:1" s="200" customFormat="1" ht="12" hidden="1" customHeight="1">
      <c r="A3978" s="199"/>
    </row>
    <row r="3979" spans="1:1" s="200" customFormat="1" ht="12" hidden="1" customHeight="1">
      <c r="A3979" s="199"/>
    </row>
    <row r="3980" spans="1:1" s="200" customFormat="1" ht="12" hidden="1" customHeight="1">
      <c r="A3980" s="199"/>
    </row>
    <row r="3981" spans="1:1" s="200" customFormat="1" ht="12" hidden="1" customHeight="1">
      <c r="A3981" s="199"/>
    </row>
    <row r="3982" spans="1:1" s="200" customFormat="1" ht="12" hidden="1" customHeight="1">
      <c r="A3982" s="199"/>
    </row>
    <row r="3983" spans="1:1" s="200" customFormat="1" ht="12" hidden="1" customHeight="1">
      <c r="A3983" s="199"/>
    </row>
    <row r="3984" spans="1:1" s="200" customFormat="1" ht="12" hidden="1" customHeight="1">
      <c r="A3984" s="199"/>
    </row>
    <row r="3985" spans="1:1" s="200" customFormat="1" ht="12" hidden="1" customHeight="1">
      <c r="A3985" s="199"/>
    </row>
    <row r="3986" spans="1:1" s="200" customFormat="1" ht="12" hidden="1" customHeight="1">
      <c r="A3986" s="199"/>
    </row>
    <row r="3987" spans="1:1" s="200" customFormat="1" ht="12" hidden="1" customHeight="1">
      <c r="A3987" s="199"/>
    </row>
    <row r="3988" spans="1:1" s="200" customFormat="1" ht="12" hidden="1" customHeight="1">
      <c r="A3988" s="199"/>
    </row>
    <row r="3989" spans="1:1" s="200" customFormat="1" ht="12" hidden="1" customHeight="1">
      <c r="A3989" s="199"/>
    </row>
    <row r="3990" spans="1:1" s="200" customFormat="1" ht="12" hidden="1" customHeight="1">
      <c r="A3990" s="199"/>
    </row>
    <row r="3991" spans="1:1" s="200" customFormat="1" ht="12" hidden="1" customHeight="1">
      <c r="A3991" s="199"/>
    </row>
    <row r="3992" spans="1:1" s="200" customFormat="1" ht="12" hidden="1" customHeight="1">
      <c r="A3992" s="199"/>
    </row>
    <row r="3993" spans="1:1" s="200" customFormat="1" ht="12" hidden="1" customHeight="1">
      <c r="A3993" s="199"/>
    </row>
    <row r="3994" spans="1:1" s="200" customFormat="1" ht="12" hidden="1" customHeight="1">
      <c r="A3994" s="199"/>
    </row>
    <row r="3995" spans="1:1" s="200" customFormat="1" ht="12" hidden="1" customHeight="1">
      <c r="A3995" s="199"/>
    </row>
    <row r="3996" spans="1:1" s="200" customFormat="1" ht="12" hidden="1" customHeight="1">
      <c r="A3996" s="199"/>
    </row>
    <row r="3997" spans="1:1" s="200" customFormat="1" ht="12" hidden="1" customHeight="1">
      <c r="A3997" s="199"/>
    </row>
    <row r="3998" spans="1:1" s="200" customFormat="1" ht="12" hidden="1" customHeight="1">
      <c r="A3998" s="199"/>
    </row>
    <row r="3999" spans="1:1" s="200" customFormat="1" ht="12" hidden="1" customHeight="1">
      <c r="A3999" s="199"/>
    </row>
    <row r="4000" spans="1:1" s="200" customFormat="1" ht="12" hidden="1" customHeight="1">
      <c r="A4000" s="199"/>
    </row>
    <row r="4001" spans="1:1" s="200" customFormat="1" ht="12" hidden="1" customHeight="1">
      <c r="A4001" s="199"/>
    </row>
    <row r="4002" spans="1:1" s="200" customFormat="1" ht="12" hidden="1" customHeight="1">
      <c r="A4002" s="199"/>
    </row>
    <row r="4003" spans="1:1" s="200" customFormat="1" ht="12" hidden="1" customHeight="1">
      <c r="A4003" s="199"/>
    </row>
    <row r="4004" spans="1:1" s="200" customFormat="1" ht="12" hidden="1" customHeight="1">
      <c r="A4004" s="199"/>
    </row>
    <row r="4005" spans="1:1" s="200" customFormat="1" ht="12" hidden="1" customHeight="1">
      <c r="A4005" s="199"/>
    </row>
    <row r="4006" spans="1:1" s="200" customFormat="1" ht="12" hidden="1" customHeight="1">
      <c r="A4006" s="199"/>
    </row>
    <row r="4007" spans="1:1" s="200" customFormat="1" ht="12" hidden="1" customHeight="1">
      <c r="A4007" s="199"/>
    </row>
    <row r="4008" spans="1:1" s="200" customFormat="1" ht="12" hidden="1" customHeight="1">
      <c r="A4008" s="199"/>
    </row>
    <row r="4009" spans="1:1" s="200" customFormat="1" ht="12" hidden="1" customHeight="1">
      <c r="A4009" s="199"/>
    </row>
    <row r="4010" spans="1:1" s="200" customFormat="1" ht="12" hidden="1" customHeight="1">
      <c r="A4010" s="199"/>
    </row>
    <row r="4011" spans="1:1" s="200" customFormat="1" ht="12" hidden="1" customHeight="1">
      <c r="A4011" s="199"/>
    </row>
    <row r="4012" spans="1:1" s="200" customFormat="1" ht="12" hidden="1" customHeight="1">
      <c r="A4012" s="199"/>
    </row>
    <row r="4013" spans="1:1" s="200" customFormat="1" ht="12" hidden="1" customHeight="1">
      <c r="A4013" s="199"/>
    </row>
    <row r="4014" spans="1:1" s="200" customFormat="1" ht="12" hidden="1" customHeight="1">
      <c r="A4014" s="199"/>
    </row>
    <row r="4015" spans="1:1" s="200" customFormat="1" ht="12" hidden="1" customHeight="1">
      <c r="A4015" s="199"/>
    </row>
    <row r="4016" spans="1:1" s="200" customFormat="1" ht="12" hidden="1" customHeight="1">
      <c r="A4016" s="199"/>
    </row>
    <row r="4017" spans="1:1" s="200" customFormat="1" ht="12" hidden="1" customHeight="1">
      <c r="A4017" s="199"/>
    </row>
    <row r="4018" spans="1:1" s="200" customFormat="1" ht="12" hidden="1" customHeight="1">
      <c r="A4018" s="199"/>
    </row>
    <row r="4019" spans="1:1" s="200" customFormat="1" ht="12" hidden="1" customHeight="1">
      <c r="A4019" s="199"/>
    </row>
    <row r="4020" spans="1:1" s="200" customFormat="1" ht="12" hidden="1" customHeight="1">
      <c r="A4020" s="199"/>
    </row>
    <row r="4021" spans="1:1" s="200" customFormat="1" ht="12" hidden="1" customHeight="1">
      <c r="A4021" s="199"/>
    </row>
    <row r="4022" spans="1:1" s="200" customFormat="1" ht="12" hidden="1" customHeight="1">
      <c r="A4022" s="199"/>
    </row>
    <row r="4023" spans="1:1" s="200" customFormat="1" ht="12" hidden="1" customHeight="1">
      <c r="A4023" s="199"/>
    </row>
    <row r="4024" spans="1:1" s="200" customFormat="1" ht="12" hidden="1" customHeight="1">
      <c r="A4024" s="199"/>
    </row>
    <row r="4025" spans="1:1" s="200" customFormat="1" ht="12" hidden="1" customHeight="1">
      <c r="A4025" s="199"/>
    </row>
    <row r="4026" spans="1:1" s="200" customFormat="1" ht="12" hidden="1" customHeight="1">
      <c r="A4026" s="199"/>
    </row>
    <row r="4027" spans="1:1" s="200" customFormat="1" ht="12" hidden="1" customHeight="1">
      <c r="A4027" s="199"/>
    </row>
    <row r="4028" spans="1:1" s="200" customFormat="1" ht="12" hidden="1" customHeight="1">
      <c r="A4028" s="199"/>
    </row>
    <row r="4029" spans="1:1" s="200" customFormat="1" ht="12" hidden="1" customHeight="1">
      <c r="A4029" s="199"/>
    </row>
    <row r="4030" spans="1:1" s="200" customFormat="1" ht="12" hidden="1" customHeight="1">
      <c r="A4030" s="199"/>
    </row>
    <row r="4031" spans="1:1" s="200" customFormat="1" ht="12" hidden="1" customHeight="1">
      <c r="A4031" s="199"/>
    </row>
    <row r="4032" spans="1:1" s="200" customFormat="1" ht="12" hidden="1" customHeight="1">
      <c r="A4032" s="199"/>
    </row>
    <row r="4033" spans="1:1" s="200" customFormat="1" ht="12" hidden="1" customHeight="1">
      <c r="A4033" s="199"/>
    </row>
    <row r="4034" spans="1:1" s="200" customFormat="1" ht="12" hidden="1" customHeight="1">
      <c r="A4034" s="199"/>
    </row>
    <row r="4035" spans="1:1" s="200" customFormat="1" ht="12" hidden="1" customHeight="1">
      <c r="A4035" s="199"/>
    </row>
    <row r="4036" spans="1:1" s="200" customFormat="1" ht="12" hidden="1" customHeight="1">
      <c r="A4036" s="199"/>
    </row>
    <row r="4037" spans="1:1" s="200" customFormat="1" ht="12" hidden="1" customHeight="1">
      <c r="A4037" s="199"/>
    </row>
    <row r="4038" spans="1:1" s="200" customFormat="1" ht="12" hidden="1" customHeight="1">
      <c r="A4038" s="199"/>
    </row>
    <row r="4039" spans="1:1" s="200" customFormat="1" ht="12" hidden="1" customHeight="1">
      <c r="A4039" s="199"/>
    </row>
    <row r="4040" spans="1:1" s="200" customFormat="1" ht="12" hidden="1" customHeight="1">
      <c r="A4040" s="199"/>
    </row>
    <row r="4041" spans="1:1" s="200" customFormat="1" ht="12" hidden="1" customHeight="1">
      <c r="A4041" s="199"/>
    </row>
    <row r="4042" spans="1:1" s="200" customFormat="1" ht="12" hidden="1" customHeight="1">
      <c r="A4042" s="199"/>
    </row>
    <row r="4043" spans="1:1" s="200" customFormat="1" ht="12" hidden="1" customHeight="1">
      <c r="A4043" s="199"/>
    </row>
    <row r="4044" spans="1:1" s="200" customFormat="1" ht="12" hidden="1" customHeight="1">
      <c r="A4044" s="199"/>
    </row>
    <row r="4045" spans="1:1" s="200" customFormat="1" ht="12" hidden="1" customHeight="1">
      <c r="A4045" s="199"/>
    </row>
    <row r="4046" spans="1:1" s="200" customFormat="1" ht="12" hidden="1" customHeight="1">
      <c r="A4046" s="199"/>
    </row>
    <row r="4047" spans="1:1" s="200" customFormat="1" ht="12" hidden="1" customHeight="1">
      <c r="A4047" s="199"/>
    </row>
    <row r="4048" spans="1:1" s="200" customFormat="1" ht="12" hidden="1" customHeight="1">
      <c r="A4048" s="199"/>
    </row>
    <row r="4049" spans="1:1" s="200" customFormat="1" ht="12" hidden="1" customHeight="1">
      <c r="A4049" s="199"/>
    </row>
    <row r="4050" spans="1:1" s="200" customFormat="1" ht="12" hidden="1" customHeight="1">
      <c r="A4050" s="199"/>
    </row>
    <row r="4051" spans="1:1" s="200" customFormat="1" ht="12" hidden="1" customHeight="1">
      <c r="A4051" s="199"/>
    </row>
    <row r="4052" spans="1:1" s="200" customFormat="1" ht="12" hidden="1" customHeight="1">
      <c r="A4052" s="199"/>
    </row>
    <row r="4053" spans="1:1" s="200" customFormat="1" ht="12" hidden="1" customHeight="1">
      <c r="A4053" s="199"/>
    </row>
    <row r="4054" spans="1:1" s="200" customFormat="1" ht="12" hidden="1" customHeight="1">
      <c r="A4054" s="199"/>
    </row>
    <row r="4055" spans="1:1" s="200" customFormat="1" ht="12" hidden="1" customHeight="1">
      <c r="A4055" s="199"/>
    </row>
    <row r="4056" spans="1:1" s="200" customFormat="1" ht="12" hidden="1" customHeight="1">
      <c r="A4056" s="199"/>
    </row>
    <row r="4057" spans="1:1" s="200" customFormat="1" ht="12" hidden="1" customHeight="1">
      <c r="A4057" s="199"/>
    </row>
    <row r="4058" spans="1:1" s="200" customFormat="1" ht="12" hidden="1" customHeight="1">
      <c r="A4058" s="199"/>
    </row>
    <row r="4059" spans="1:1" s="200" customFormat="1" ht="12" hidden="1" customHeight="1">
      <c r="A4059" s="199"/>
    </row>
    <row r="4060" spans="1:1" s="200" customFormat="1" ht="12" hidden="1" customHeight="1">
      <c r="A4060" s="199"/>
    </row>
    <row r="4061" spans="1:1" s="200" customFormat="1" ht="12" hidden="1" customHeight="1">
      <c r="A4061" s="199"/>
    </row>
    <row r="4062" spans="1:1" s="200" customFormat="1" ht="12" hidden="1" customHeight="1">
      <c r="A4062" s="199"/>
    </row>
    <row r="4063" spans="1:1" s="200" customFormat="1" ht="12" hidden="1" customHeight="1">
      <c r="A4063" s="199"/>
    </row>
    <row r="4064" spans="1:1" s="200" customFormat="1" ht="12" hidden="1" customHeight="1">
      <c r="A4064" s="199"/>
    </row>
    <row r="4065" spans="1:1" s="200" customFormat="1" ht="12" hidden="1" customHeight="1">
      <c r="A4065" s="199"/>
    </row>
    <row r="4066" spans="1:1" s="200" customFormat="1" ht="12" hidden="1" customHeight="1">
      <c r="A4066" s="199"/>
    </row>
    <row r="4067" spans="1:1" s="200" customFormat="1" ht="12" hidden="1" customHeight="1">
      <c r="A4067" s="199"/>
    </row>
    <row r="4068" spans="1:1" s="200" customFormat="1" ht="12" hidden="1" customHeight="1">
      <c r="A4068" s="199"/>
    </row>
    <row r="4069" spans="1:1" s="200" customFormat="1" ht="12" hidden="1" customHeight="1">
      <c r="A4069" s="199"/>
    </row>
    <row r="4070" spans="1:1" s="200" customFormat="1" ht="12" hidden="1" customHeight="1">
      <c r="A4070" s="199"/>
    </row>
    <row r="4071" spans="1:1" s="200" customFormat="1" ht="12" hidden="1" customHeight="1">
      <c r="A4071" s="199"/>
    </row>
    <row r="4072" spans="1:1" s="200" customFormat="1" ht="12" hidden="1" customHeight="1">
      <c r="A4072" s="199"/>
    </row>
    <row r="4073" spans="1:1" s="200" customFormat="1" ht="12" hidden="1" customHeight="1">
      <c r="A4073" s="199"/>
    </row>
    <row r="4074" spans="1:1" s="200" customFormat="1" ht="12" hidden="1" customHeight="1">
      <c r="A4074" s="199"/>
    </row>
    <row r="4075" spans="1:1" s="200" customFormat="1" ht="12" hidden="1" customHeight="1">
      <c r="A4075" s="199"/>
    </row>
    <row r="4076" spans="1:1" s="200" customFormat="1" ht="12" hidden="1" customHeight="1">
      <c r="A4076" s="199"/>
    </row>
    <row r="4077" spans="1:1" s="200" customFormat="1" ht="12" hidden="1" customHeight="1">
      <c r="A4077" s="199"/>
    </row>
    <row r="4078" spans="1:1" s="200" customFormat="1" ht="12" hidden="1" customHeight="1">
      <c r="A4078" s="199"/>
    </row>
    <row r="4079" spans="1:1" s="200" customFormat="1" ht="12" hidden="1" customHeight="1">
      <c r="A4079" s="199"/>
    </row>
    <row r="4080" spans="1:1" s="200" customFormat="1" ht="12" hidden="1" customHeight="1">
      <c r="A4080" s="199"/>
    </row>
    <row r="4081" spans="1:1" s="200" customFormat="1" ht="12" hidden="1" customHeight="1">
      <c r="A4081" s="199"/>
    </row>
    <row r="4082" spans="1:1" s="200" customFormat="1" ht="12" hidden="1" customHeight="1">
      <c r="A4082" s="199"/>
    </row>
    <row r="4083" spans="1:1" s="200" customFormat="1" ht="12" hidden="1" customHeight="1">
      <c r="A4083" s="199"/>
    </row>
    <row r="4084" spans="1:1" s="200" customFormat="1" ht="12" hidden="1" customHeight="1">
      <c r="A4084" s="199"/>
    </row>
    <row r="4085" spans="1:1" s="200" customFormat="1" ht="12" hidden="1" customHeight="1">
      <c r="A4085" s="199"/>
    </row>
    <row r="4086" spans="1:1" s="200" customFormat="1" ht="12" hidden="1" customHeight="1">
      <c r="A4086" s="199"/>
    </row>
    <row r="4087" spans="1:1" s="200" customFormat="1" ht="12" hidden="1" customHeight="1">
      <c r="A4087" s="199"/>
    </row>
    <row r="4088" spans="1:1" s="200" customFormat="1" ht="12" hidden="1" customHeight="1">
      <c r="A4088" s="199"/>
    </row>
    <row r="4089" spans="1:1" s="200" customFormat="1" ht="12" hidden="1" customHeight="1">
      <c r="A4089" s="199"/>
    </row>
    <row r="4090" spans="1:1" s="200" customFormat="1" ht="12" hidden="1" customHeight="1">
      <c r="A4090" s="199"/>
    </row>
    <row r="4091" spans="1:1" s="200" customFormat="1" ht="12" hidden="1" customHeight="1">
      <c r="A4091" s="199"/>
    </row>
    <row r="4092" spans="1:1" s="200" customFormat="1" ht="12" hidden="1" customHeight="1">
      <c r="A4092" s="199"/>
    </row>
    <row r="4093" spans="1:1" s="200" customFormat="1" ht="12" hidden="1" customHeight="1">
      <c r="A4093" s="199"/>
    </row>
    <row r="4094" spans="1:1" s="200" customFormat="1" ht="12" hidden="1" customHeight="1">
      <c r="A4094" s="199"/>
    </row>
    <row r="4095" spans="1:1" s="200" customFormat="1" ht="12" hidden="1" customHeight="1">
      <c r="A4095" s="199"/>
    </row>
    <row r="4096" spans="1:1" s="200" customFormat="1" ht="12" hidden="1" customHeight="1">
      <c r="A4096" s="199"/>
    </row>
    <row r="4097" spans="1:1" s="200" customFormat="1" ht="12" hidden="1" customHeight="1">
      <c r="A4097" s="199"/>
    </row>
    <row r="4098" spans="1:1" s="200" customFormat="1" ht="12" hidden="1" customHeight="1">
      <c r="A4098" s="199"/>
    </row>
    <row r="4099" spans="1:1" s="200" customFormat="1" ht="12" hidden="1" customHeight="1">
      <c r="A4099" s="199"/>
    </row>
    <row r="4100" spans="1:1" s="200" customFormat="1" ht="12" hidden="1" customHeight="1">
      <c r="A4100" s="199"/>
    </row>
    <row r="4101" spans="1:1" s="200" customFormat="1" ht="12" hidden="1" customHeight="1">
      <c r="A4101" s="199"/>
    </row>
    <row r="4102" spans="1:1" s="200" customFormat="1" ht="12" hidden="1" customHeight="1">
      <c r="A4102" s="199"/>
    </row>
    <row r="4103" spans="1:1" s="200" customFormat="1" ht="12" hidden="1" customHeight="1">
      <c r="A4103" s="199"/>
    </row>
    <row r="4104" spans="1:1" s="200" customFormat="1" ht="12" hidden="1" customHeight="1">
      <c r="A4104" s="199"/>
    </row>
    <row r="4105" spans="1:1" s="200" customFormat="1" ht="12" hidden="1" customHeight="1">
      <c r="A4105" s="199"/>
    </row>
    <row r="4106" spans="1:1" s="200" customFormat="1" ht="12" hidden="1" customHeight="1">
      <c r="A4106" s="199"/>
    </row>
    <row r="4107" spans="1:1" s="200" customFormat="1" ht="12" hidden="1" customHeight="1">
      <c r="A4107" s="199"/>
    </row>
    <row r="4108" spans="1:1" s="200" customFormat="1" ht="12" hidden="1" customHeight="1">
      <c r="A4108" s="199"/>
    </row>
    <row r="4109" spans="1:1" s="200" customFormat="1" ht="12" hidden="1" customHeight="1">
      <c r="A4109" s="199"/>
    </row>
    <row r="4110" spans="1:1" s="200" customFormat="1" ht="12" hidden="1" customHeight="1">
      <c r="A4110" s="199"/>
    </row>
    <row r="4111" spans="1:1" s="200" customFormat="1" ht="12" hidden="1" customHeight="1">
      <c r="A4111" s="199"/>
    </row>
    <row r="4112" spans="1:1" s="200" customFormat="1" ht="12" hidden="1" customHeight="1">
      <c r="A4112" s="199"/>
    </row>
    <row r="4113" spans="1:1" s="200" customFormat="1" ht="12" hidden="1" customHeight="1">
      <c r="A4113" s="199"/>
    </row>
    <row r="4114" spans="1:1" s="200" customFormat="1" ht="12" hidden="1" customHeight="1">
      <c r="A4114" s="199"/>
    </row>
    <row r="4115" spans="1:1" s="200" customFormat="1" ht="12" hidden="1" customHeight="1">
      <c r="A4115" s="199"/>
    </row>
    <row r="4116" spans="1:1" s="200" customFormat="1" ht="12" hidden="1" customHeight="1">
      <c r="A4116" s="199"/>
    </row>
    <row r="4117" spans="1:1" s="200" customFormat="1" ht="12" hidden="1" customHeight="1">
      <c r="A4117" s="199"/>
    </row>
    <row r="4118" spans="1:1" s="200" customFormat="1" ht="12" hidden="1" customHeight="1">
      <c r="A4118" s="199"/>
    </row>
    <row r="4119" spans="1:1" s="200" customFormat="1" ht="12" hidden="1" customHeight="1">
      <c r="A4119" s="199"/>
    </row>
    <row r="4120" spans="1:1" s="200" customFormat="1" ht="12" hidden="1" customHeight="1">
      <c r="A4120" s="199"/>
    </row>
    <row r="4121" spans="1:1" s="200" customFormat="1" ht="12" hidden="1" customHeight="1">
      <c r="A4121" s="199"/>
    </row>
    <row r="4122" spans="1:1" s="200" customFormat="1" ht="12" hidden="1" customHeight="1">
      <c r="A4122" s="199"/>
    </row>
    <row r="4123" spans="1:1" s="200" customFormat="1" ht="12" hidden="1" customHeight="1">
      <c r="A4123" s="199"/>
    </row>
    <row r="4124" spans="1:1" s="200" customFormat="1" ht="12" hidden="1" customHeight="1">
      <c r="A4124" s="199"/>
    </row>
    <row r="4125" spans="1:1" s="200" customFormat="1" ht="12" hidden="1" customHeight="1">
      <c r="A4125" s="199"/>
    </row>
    <row r="4126" spans="1:1" s="200" customFormat="1" ht="12" hidden="1" customHeight="1">
      <c r="A4126" s="199"/>
    </row>
    <row r="4127" spans="1:1" s="200" customFormat="1" ht="12" hidden="1" customHeight="1">
      <c r="A4127" s="199"/>
    </row>
    <row r="4128" spans="1:1" s="200" customFormat="1" ht="12" hidden="1" customHeight="1">
      <c r="A4128" s="199"/>
    </row>
    <row r="4129" spans="1:1" s="200" customFormat="1" ht="12" hidden="1" customHeight="1">
      <c r="A4129" s="199"/>
    </row>
    <row r="4130" spans="1:1" s="200" customFormat="1" ht="12" hidden="1" customHeight="1">
      <c r="A4130" s="199"/>
    </row>
    <row r="4131" spans="1:1" s="200" customFormat="1" ht="12" hidden="1" customHeight="1">
      <c r="A4131" s="199"/>
    </row>
    <row r="4132" spans="1:1" s="200" customFormat="1" ht="12" hidden="1" customHeight="1">
      <c r="A4132" s="199"/>
    </row>
    <row r="4133" spans="1:1" s="200" customFormat="1" ht="12" hidden="1" customHeight="1">
      <c r="A4133" s="199"/>
    </row>
    <row r="4134" spans="1:1" s="200" customFormat="1" ht="12" hidden="1" customHeight="1">
      <c r="A4134" s="199"/>
    </row>
    <row r="4135" spans="1:1" s="200" customFormat="1" ht="12" hidden="1" customHeight="1">
      <c r="A4135" s="199"/>
    </row>
    <row r="4136" spans="1:1" s="200" customFormat="1" ht="12" hidden="1" customHeight="1">
      <c r="A4136" s="199"/>
    </row>
    <row r="4137" spans="1:1" s="200" customFormat="1" ht="12" hidden="1" customHeight="1">
      <c r="A4137" s="199"/>
    </row>
    <row r="4138" spans="1:1" s="200" customFormat="1" ht="12" hidden="1" customHeight="1">
      <c r="A4138" s="199"/>
    </row>
    <row r="4139" spans="1:1" s="200" customFormat="1" ht="12" hidden="1" customHeight="1">
      <c r="A4139" s="199"/>
    </row>
    <row r="4140" spans="1:1" s="200" customFormat="1" ht="12" hidden="1" customHeight="1">
      <c r="A4140" s="199"/>
    </row>
    <row r="4141" spans="1:1" s="200" customFormat="1" ht="12" hidden="1" customHeight="1">
      <c r="A4141" s="199"/>
    </row>
    <row r="4142" spans="1:1" s="200" customFormat="1" ht="12" hidden="1" customHeight="1">
      <c r="A4142" s="199"/>
    </row>
    <row r="4143" spans="1:1" s="200" customFormat="1" ht="12" hidden="1" customHeight="1">
      <c r="A4143" s="199"/>
    </row>
    <row r="4144" spans="1:1" s="200" customFormat="1" ht="12" hidden="1" customHeight="1">
      <c r="A4144" s="199"/>
    </row>
    <row r="4145" spans="1:1" s="200" customFormat="1" ht="12" hidden="1" customHeight="1">
      <c r="A4145" s="199"/>
    </row>
    <row r="4146" spans="1:1" s="200" customFormat="1" ht="12" hidden="1" customHeight="1">
      <c r="A4146" s="199"/>
    </row>
    <row r="4147" spans="1:1" s="200" customFormat="1" ht="12" hidden="1" customHeight="1">
      <c r="A4147" s="199"/>
    </row>
    <row r="4148" spans="1:1" s="200" customFormat="1" ht="12" hidden="1" customHeight="1">
      <c r="A4148" s="199"/>
    </row>
    <row r="4149" spans="1:1" s="200" customFormat="1" ht="12" hidden="1" customHeight="1">
      <c r="A4149" s="199"/>
    </row>
    <row r="4150" spans="1:1" s="200" customFormat="1" ht="12" hidden="1" customHeight="1">
      <c r="A4150" s="199"/>
    </row>
    <row r="4151" spans="1:1" s="200" customFormat="1" ht="12" hidden="1" customHeight="1">
      <c r="A4151" s="199"/>
    </row>
    <row r="4152" spans="1:1" s="200" customFormat="1" ht="12" hidden="1" customHeight="1">
      <c r="A4152" s="199"/>
    </row>
    <row r="4153" spans="1:1" s="200" customFormat="1" ht="12" hidden="1" customHeight="1">
      <c r="A4153" s="199"/>
    </row>
    <row r="4154" spans="1:1" s="200" customFormat="1" ht="12" hidden="1" customHeight="1">
      <c r="A4154" s="199"/>
    </row>
    <row r="4155" spans="1:1" s="200" customFormat="1" ht="12" hidden="1" customHeight="1">
      <c r="A4155" s="199"/>
    </row>
    <row r="4156" spans="1:1" s="200" customFormat="1" ht="12" hidden="1" customHeight="1">
      <c r="A4156" s="199"/>
    </row>
    <row r="4157" spans="1:1" s="200" customFormat="1" ht="12" hidden="1" customHeight="1">
      <c r="A4157" s="199"/>
    </row>
    <row r="4158" spans="1:1" s="200" customFormat="1" ht="12" hidden="1" customHeight="1">
      <c r="A4158" s="199"/>
    </row>
    <row r="4159" spans="1:1" s="200" customFormat="1" ht="12" hidden="1" customHeight="1">
      <c r="A4159" s="199"/>
    </row>
    <row r="4160" spans="1:1" s="200" customFormat="1" ht="12" hidden="1" customHeight="1">
      <c r="A4160" s="199"/>
    </row>
    <row r="4161" spans="1:1" s="200" customFormat="1" ht="12" hidden="1" customHeight="1">
      <c r="A4161" s="199"/>
    </row>
    <row r="4162" spans="1:1" s="200" customFormat="1" ht="12" hidden="1" customHeight="1">
      <c r="A4162" s="199"/>
    </row>
    <row r="4163" spans="1:1" s="200" customFormat="1" ht="12" hidden="1" customHeight="1">
      <c r="A4163" s="199"/>
    </row>
    <row r="4164" spans="1:1" s="200" customFormat="1" ht="12" hidden="1" customHeight="1">
      <c r="A4164" s="199"/>
    </row>
    <row r="4165" spans="1:1" s="200" customFormat="1" ht="12" hidden="1" customHeight="1">
      <c r="A4165" s="199"/>
    </row>
    <row r="4166" spans="1:1" s="200" customFormat="1" ht="12" hidden="1" customHeight="1">
      <c r="A4166" s="199"/>
    </row>
    <row r="4167" spans="1:1" s="200" customFormat="1" ht="12" hidden="1" customHeight="1">
      <c r="A4167" s="199"/>
    </row>
    <row r="4168" spans="1:1" s="200" customFormat="1" ht="12" hidden="1" customHeight="1">
      <c r="A4168" s="199"/>
    </row>
    <row r="4169" spans="1:1" s="200" customFormat="1" ht="12" hidden="1" customHeight="1">
      <c r="A4169" s="199"/>
    </row>
    <row r="4170" spans="1:1" s="200" customFormat="1" ht="12" hidden="1" customHeight="1">
      <c r="A4170" s="199"/>
    </row>
    <row r="4171" spans="1:1" s="200" customFormat="1" ht="12" hidden="1" customHeight="1">
      <c r="A4171" s="199"/>
    </row>
    <row r="4172" spans="1:1" s="200" customFormat="1" ht="12" hidden="1" customHeight="1">
      <c r="A4172" s="199"/>
    </row>
    <row r="4173" spans="1:1" s="200" customFormat="1" ht="12" hidden="1" customHeight="1">
      <c r="A4173" s="199"/>
    </row>
    <row r="4174" spans="1:1" s="200" customFormat="1" ht="12" hidden="1" customHeight="1">
      <c r="A4174" s="199"/>
    </row>
    <row r="4175" spans="1:1" s="200" customFormat="1" ht="12" hidden="1" customHeight="1">
      <c r="A4175" s="199"/>
    </row>
    <row r="4176" spans="1:1" s="200" customFormat="1" ht="12" hidden="1" customHeight="1">
      <c r="A4176" s="199"/>
    </row>
    <row r="4177" spans="1:1" s="200" customFormat="1" ht="12" hidden="1" customHeight="1">
      <c r="A4177" s="199"/>
    </row>
    <row r="4178" spans="1:1" s="200" customFormat="1" ht="12" hidden="1" customHeight="1">
      <c r="A4178" s="199"/>
    </row>
    <row r="4179" spans="1:1" s="200" customFormat="1" ht="12" hidden="1" customHeight="1">
      <c r="A4179" s="199"/>
    </row>
    <row r="4180" spans="1:1" s="200" customFormat="1" ht="12" hidden="1" customHeight="1">
      <c r="A4180" s="199"/>
    </row>
    <row r="4181" spans="1:1" s="200" customFormat="1" ht="12" hidden="1" customHeight="1">
      <c r="A4181" s="199"/>
    </row>
    <row r="4182" spans="1:1" s="200" customFormat="1" ht="12" hidden="1" customHeight="1">
      <c r="A4182" s="199"/>
    </row>
    <row r="4183" spans="1:1" s="200" customFormat="1" ht="12" hidden="1" customHeight="1">
      <c r="A4183" s="199"/>
    </row>
    <row r="4184" spans="1:1" s="200" customFormat="1" ht="12" hidden="1" customHeight="1">
      <c r="A4184" s="199"/>
    </row>
    <row r="4185" spans="1:1" s="200" customFormat="1" ht="12" hidden="1" customHeight="1">
      <c r="A4185" s="199"/>
    </row>
    <row r="4186" spans="1:1" s="200" customFormat="1" ht="12" hidden="1" customHeight="1">
      <c r="A4186" s="199"/>
    </row>
    <row r="4187" spans="1:1" s="200" customFormat="1" ht="12" hidden="1" customHeight="1">
      <c r="A4187" s="199"/>
    </row>
    <row r="4188" spans="1:1" s="200" customFormat="1" ht="12" hidden="1" customHeight="1">
      <c r="A4188" s="199"/>
    </row>
    <row r="4189" spans="1:1" s="200" customFormat="1" ht="12" hidden="1" customHeight="1">
      <c r="A4189" s="199"/>
    </row>
    <row r="4190" spans="1:1" s="200" customFormat="1" ht="12" hidden="1" customHeight="1">
      <c r="A4190" s="199"/>
    </row>
    <row r="4191" spans="1:1" s="200" customFormat="1" ht="12" hidden="1" customHeight="1">
      <c r="A4191" s="199"/>
    </row>
    <row r="4192" spans="1:1" s="200" customFormat="1" ht="12" hidden="1" customHeight="1">
      <c r="A4192" s="199"/>
    </row>
    <row r="4193" spans="1:1" s="200" customFormat="1" ht="12" hidden="1" customHeight="1">
      <c r="A4193" s="199"/>
    </row>
    <row r="4194" spans="1:1" s="200" customFormat="1" ht="12" hidden="1" customHeight="1">
      <c r="A4194" s="199"/>
    </row>
    <row r="4195" spans="1:1" s="200" customFormat="1" ht="12" hidden="1" customHeight="1">
      <c r="A4195" s="199"/>
    </row>
    <row r="4196" spans="1:1" s="200" customFormat="1" ht="12" hidden="1" customHeight="1">
      <c r="A4196" s="199"/>
    </row>
    <row r="4197" spans="1:1" s="200" customFormat="1" ht="12" hidden="1" customHeight="1">
      <c r="A4197" s="199"/>
    </row>
    <row r="4198" spans="1:1" s="200" customFormat="1" ht="12" hidden="1" customHeight="1">
      <c r="A4198" s="199"/>
    </row>
    <row r="4199" spans="1:1" s="200" customFormat="1" ht="12" hidden="1" customHeight="1">
      <c r="A4199" s="199"/>
    </row>
    <row r="4200" spans="1:1" s="200" customFormat="1" ht="12" hidden="1" customHeight="1">
      <c r="A4200" s="199"/>
    </row>
    <row r="4201" spans="1:1" s="200" customFormat="1" ht="12" hidden="1" customHeight="1">
      <c r="A4201" s="199"/>
    </row>
    <row r="4202" spans="1:1" s="200" customFormat="1" ht="12" hidden="1" customHeight="1">
      <c r="A4202" s="199"/>
    </row>
    <row r="4203" spans="1:1" s="200" customFormat="1" ht="12" hidden="1" customHeight="1">
      <c r="A4203" s="199"/>
    </row>
    <row r="4204" spans="1:1" s="200" customFormat="1" ht="12" hidden="1" customHeight="1">
      <c r="A4204" s="199"/>
    </row>
    <row r="4205" spans="1:1" s="200" customFormat="1" ht="12" hidden="1" customHeight="1">
      <c r="A4205" s="199"/>
    </row>
    <row r="4206" spans="1:1" s="200" customFormat="1" ht="12" hidden="1" customHeight="1">
      <c r="A4206" s="199"/>
    </row>
    <row r="4207" spans="1:1" s="200" customFormat="1" ht="12" hidden="1" customHeight="1">
      <c r="A4207" s="199"/>
    </row>
    <row r="4208" spans="1:1" s="200" customFormat="1" ht="12" hidden="1" customHeight="1">
      <c r="A4208" s="199"/>
    </row>
    <row r="4209" spans="1:1" s="200" customFormat="1" ht="12" hidden="1" customHeight="1">
      <c r="A4209" s="199"/>
    </row>
    <row r="4210" spans="1:1" s="200" customFormat="1" ht="12" hidden="1" customHeight="1">
      <c r="A4210" s="199"/>
    </row>
    <row r="4211" spans="1:1" s="200" customFormat="1" ht="12" hidden="1" customHeight="1">
      <c r="A4211" s="199"/>
    </row>
    <row r="4212" spans="1:1" s="200" customFormat="1" ht="12" hidden="1" customHeight="1">
      <c r="A4212" s="199"/>
    </row>
    <row r="4213" spans="1:1" s="200" customFormat="1" ht="12" hidden="1" customHeight="1">
      <c r="A4213" s="199"/>
    </row>
    <row r="4214" spans="1:1" s="200" customFormat="1" ht="12" hidden="1" customHeight="1">
      <c r="A4214" s="199"/>
    </row>
    <row r="4215" spans="1:1" s="200" customFormat="1" ht="12" hidden="1" customHeight="1">
      <c r="A4215" s="199"/>
    </row>
    <row r="4216" spans="1:1" s="200" customFormat="1" ht="12" hidden="1" customHeight="1">
      <c r="A4216" s="199"/>
    </row>
    <row r="4217" spans="1:1" s="200" customFormat="1" ht="12" hidden="1" customHeight="1">
      <c r="A4217" s="199"/>
    </row>
    <row r="4218" spans="1:1" s="200" customFormat="1" ht="12" hidden="1" customHeight="1">
      <c r="A4218" s="199"/>
    </row>
    <row r="4219" spans="1:1" s="200" customFormat="1" ht="12" hidden="1" customHeight="1">
      <c r="A4219" s="199"/>
    </row>
    <row r="4220" spans="1:1" s="200" customFormat="1" ht="12" hidden="1" customHeight="1">
      <c r="A4220" s="199"/>
    </row>
    <row r="4221" spans="1:1" s="200" customFormat="1" ht="12" hidden="1" customHeight="1">
      <c r="A4221" s="199"/>
    </row>
    <row r="4222" spans="1:1" s="200" customFormat="1" ht="12" hidden="1" customHeight="1">
      <c r="A4222" s="199"/>
    </row>
    <row r="4223" spans="1:1" s="200" customFormat="1" ht="12" hidden="1" customHeight="1">
      <c r="A4223" s="199"/>
    </row>
    <row r="4224" spans="1:1" s="200" customFormat="1" ht="12" hidden="1" customHeight="1">
      <c r="A4224" s="199"/>
    </row>
    <row r="4225" spans="1:1" s="200" customFormat="1" ht="12" hidden="1" customHeight="1">
      <c r="A4225" s="199"/>
    </row>
    <row r="4226" spans="1:1" s="200" customFormat="1" ht="12" hidden="1" customHeight="1">
      <c r="A4226" s="199"/>
    </row>
    <row r="4227" spans="1:1" s="200" customFormat="1" ht="12" hidden="1" customHeight="1">
      <c r="A4227" s="199"/>
    </row>
    <row r="4228" spans="1:1" s="200" customFormat="1" ht="12" hidden="1" customHeight="1">
      <c r="A4228" s="199"/>
    </row>
    <row r="4229" spans="1:1" s="200" customFormat="1" ht="12" hidden="1" customHeight="1">
      <c r="A4229" s="199"/>
    </row>
    <row r="4230" spans="1:1" s="200" customFormat="1" ht="12" hidden="1" customHeight="1">
      <c r="A4230" s="199"/>
    </row>
    <row r="4231" spans="1:1" s="200" customFormat="1" ht="12" hidden="1" customHeight="1">
      <c r="A4231" s="199"/>
    </row>
    <row r="4232" spans="1:1" s="200" customFormat="1" ht="12" hidden="1" customHeight="1">
      <c r="A4232" s="199"/>
    </row>
    <row r="4233" spans="1:1" s="200" customFormat="1" ht="12" hidden="1" customHeight="1">
      <c r="A4233" s="199"/>
    </row>
    <row r="4234" spans="1:1" s="200" customFormat="1" ht="12" hidden="1" customHeight="1">
      <c r="A4234" s="199"/>
    </row>
    <row r="4235" spans="1:1" s="200" customFormat="1" ht="12" hidden="1" customHeight="1">
      <c r="A4235" s="199"/>
    </row>
    <row r="4236" spans="1:1" s="200" customFormat="1" ht="12" hidden="1" customHeight="1">
      <c r="A4236" s="199"/>
    </row>
    <row r="4237" spans="1:1" s="200" customFormat="1" ht="12" hidden="1" customHeight="1">
      <c r="A4237" s="199"/>
    </row>
    <row r="4238" spans="1:1" s="200" customFormat="1" ht="12" hidden="1" customHeight="1">
      <c r="A4238" s="199"/>
    </row>
    <row r="4239" spans="1:1" s="200" customFormat="1" ht="12" hidden="1" customHeight="1">
      <c r="A4239" s="199"/>
    </row>
    <row r="4240" spans="1:1" s="200" customFormat="1" ht="12" hidden="1" customHeight="1">
      <c r="A4240" s="199"/>
    </row>
    <row r="4241" spans="1:1" s="200" customFormat="1" ht="12" hidden="1" customHeight="1">
      <c r="A4241" s="199"/>
    </row>
    <row r="4242" spans="1:1" s="200" customFormat="1" ht="12" hidden="1" customHeight="1">
      <c r="A4242" s="199"/>
    </row>
    <row r="4243" spans="1:1" s="200" customFormat="1" ht="12" hidden="1" customHeight="1">
      <c r="A4243" s="199"/>
    </row>
    <row r="4244" spans="1:1" s="200" customFormat="1" ht="12" hidden="1" customHeight="1">
      <c r="A4244" s="199"/>
    </row>
    <row r="4245" spans="1:1" s="200" customFormat="1" ht="12" hidden="1" customHeight="1">
      <c r="A4245" s="199"/>
    </row>
    <row r="4246" spans="1:1" s="200" customFormat="1" ht="12" hidden="1" customHeight="1">
      <c r="A4246" s="199"/>
    </row>
    <row r="4247" spans="1:1" s="200" customFormat="1" ht="12" hidden="1" customHeight="1">
      <c r="A4247" s="199"/>
    </row>
    <row r="4248" spans="1:1" s="200" customFormat="1" ht="12" hidden="1" customHeight="1">
      <c r="A4248" s="199"/>
    </row>
    <row r="4249" spans="1:1" s="200" customFormat="1" ht="12" hidden="1" customHeight="1">
      <c r="A4249" s="199"/>
    </row>
    <row r="4250" spans="1:1" s="200" customFormat="1" ht="12" hidden="1" customHeight="1">
      <c r="A4250" s="199"/>
    </row>
    <row r="4251" spans="1:1" s="200" customFormat="1" ht="12" hidden="1" customHeight="1">
      <c r="A4251" s="199"/>
    </row>
    <row r="4252" spans="1:1" s="200" customFormat="1" ht="12" hidden="1" customHeight="1">
      <c r="A4252" s="199"/>
    </row>
    <row r="4253" spans="1:1" s="200" customFormat="1" ht="12" hidden="1" customHeight="1">
      <c r="A4253" s="199"/>
    </row>
    <row r="4254" spans="1:1" s="200" customFormat="1" ht="12" hidden="1" customHeight="1">
      <c r="A4254" s="199"/>
    </row>
    <row r="4255" spans="1:1" s="200" customFormat="1" ht="12" hidden="1" customHeight="1">
      <c r="A4255" s="199"/>
    </row>
    <row r="4256" spans="1:1" s="200" customFormat="1" ht="12" hidden="1" customHeight="1">
      <c r="A4256" s="199"/>
    </row>
    <row r="4257" spans="1:1" s="200" customFormat="1" ht="12" hidden="1" customHeight="1">
      <c r="A4257" s="199"/>
    </row>
    <row r="4258" spans="1:1" s="200" customFormat="1" ht="12" hidden="1" customHeight="1">
      <c r="A4258" s="199"/>
    </row>
    <row r="4259" spans="1:1" s="200" customFormat="1" ht="12" hidden="1" customHeight="1">
      <c r="A4259" s="199"/>
    </row>
    <row r="4260" spans="1:1" s="200" customFormat="1" ht="12" hidden="1" customHeight="1">
      <c r="A4260" s="199"/>
    </row>
    <row r="4261" spans="1:1" s="200" customFormat="1" ht="12" hidden="1" customHeight="1">
      <c r="A4261" s="199"/>
    </row>
    <row r="4262" spans="1:1" s="200" customFormat="1" ht="12" hidden="1" customHeight="1">
      <c r="A4262" s="199"/>
    </row>
    <row r="4263" spans="1:1" s="200" customFormat="1" ht="12" hidden="1" customHeight="1">
      <c r="A4263" s="199"/>
    </row>
    <row r="4264" spans="1:1" s="200" customFormat="1" ht="12" hidden="1" customHeight="1">
      <c r="A4264" s="199"/>
    </row>
    <row r="4265" spans="1:1" s="200" customFormat="1" ht="12" hidden="1" customHeight="1">
      <c r="A4265" s="199"/>
    </row>
    <row r="4266" spans="1:1" s="200" customFormat="1" ht="12" hidden="1" customHeight="1">
      <c r="A4266" s="199"/>
    </row>
    <row r="4267" spans="1:1" s="200" customFormat="1" ht="12" hidden="1" customHeight="1">
      <c r="A4267" s="199"/>
    </row>
    <row r="4268" spans="1:1" s="200" customFormat="1" ht="12" hidden="1" customHeight="1">
      <c r="A4268" s="199"/>
    </row>
    <row r="4269" spans="1:1" s="200" customFormat="1" ht="12" hidden="1" customHeight="1">
      <c r="A4269" s="199"/>
    </row>
    <row r="4270" spans="1:1" s="200" customFormat="1" ht="12" hidden="1" customHeight="1">
      <c r="A4270" s="199"/>
    </row>
    <row r="4271" spans="1:1" s="200" customFormat="1" ht="12" hidden="1" customHeight="1">
      <c r="A4271" s="199"/>
    </row>
    <row r="4272" spans="1:1" s="200" customFormat="1" ht="12" hidden="1" customHeight="1">
      <c r="A4272" s="199"/>
    </row>
    <row r="4273" spans="1:1" s="200" customFormat="1" ht="12" hidden="1" customHeight="1">
      <c r="A4273" s="199"/>
    </row>
    <row r="4274" spans="1:1" s="200" customFormat="1" ht="12" hidden="1" customHeight="1">
      <c r="A4274" s="199"/>
    </row>
    <row r="4275" spans="1:1" s="200" customFormat="1" ht="12" hidden="1" customHeight="1">
      <c r="A4275" s="199"/>
    </row>
    <row r="4276" spans="1:1" s="200" customFormat="1" ht="12" hidden="1" customHeight="1">
      <c r="A4276" s="199"/>
    </row>
    <row r="4277" spans="1:1" s="200" customFormat="1" ht="12" hidden="1" customHeight="1">
      <c r="A4277" s="199"/>
    </row>
    <row r="4278" spans="1:1" s="200" customFormat="1" ht="12" hidden="1" customHeight="1">
      <c r="A4278" s="199"/>
    </row>
    <row r="4279" spans="1:1" s="200" customFormat="1" ht="12" hidden="1" customHeight="1">
      <c r="A4279" s="199"/>
    </row>
    <row r="4280" spans="1:1" s="200" customFormat="1" ht="12" hidden="1" customHeight="1">
      <c r="A4280" s="199"/>
    </row>
    <row r="4281" spans="1:1" s="200" customFormat="1" ht="12" hidden="1" customHeight="1">
      <c r="A4281" s="199"/>
    </row>
    <row r="4282" spans="1:1" s="200" customFormat="1" ht="12" hidden="1" customHeight="1">
      <c r="A4282" s="199"/>
    </row>
    <row r="4283" spans="1:1" s="200" customFormat="1" ht="12" hidden="1" customHeight="1">
      <c r="A4283" s="199"/>
    </row>
    <row r="4284" spans="1:1" s="200" customFormat="1" ht="12" hidden="1" customHeight="1">
      <c r="A4284" s="199"/>
    </row>
    <row r="4285" spans="1:1" s="200" customFormat="1" ht="12" hidden="1" customHeight="1">
      <c r="A4285" s="199"/>
    </row>
    <row r="4286" spans="1:1" s="200" customFormat="1" ht="12" hidden="1" customHeight="1">
      <c r="A4286" s="199"/>
    </row>
    <row r="4287" spans="1:1" s="200" customFormat="1" ht="12" hidden="1" customHeight="1">
      <c r="A4287" s="199"/>
    </row>
    <row r="4288" spans="1:1" s="200" customFormat="1" ht="12" hidden="1" customHeight="1">
      <c r="A4288" s="199"/>
    </row>
    <row r="4289" spans="1:1" s="200" customFormat="1" ht="12" hidden="1" customHeight="1">
      <c r="A4289" s="199"/>
    </row>
    <row r="4290" spans="1:1" s="200" customFormat="1" ht="12" hidden="1" customHeight="1">
      <c r="A4290" s="199"/>
    </row>
    <row r="4291" spans="1:1" s="200" customFormat="1" ht="12" hidden="1" customHeight="1">
      <c r="A4291" s="199"/>
    </row>
    <row r="4292" spans="1:1" s="200" customFormat="1" ht="12" hidden="1" customHeight="1">
      <c r="A4292" s="199"/>
    </row>
    <row r="4293" spans="1:1" s="200" customFormat="1" ht="12" hidden="1" customHeight="1">
      <c r="A4293" s="199"/>
    </row>
    <row r="4294" spans="1:1" s="200" customFormat="1" ht="12" hidden="1" customHeight="1">
      <c r="A4294" s="199"/>
    </row>
    <row r="4295" spans="1:1" s="200" customFormat="1" ht="12" hidden="1" customHeight="1">
      <c r="A4295" s="199"/>
    </row>
    <row r="4296" spans="1:1" s="200" customFormat="1" ht="12" hidden="1" customHeight="1">
      <c r="A4296" s="199"/>
    </row>
    <row r="4297" spans="1:1" s="200" customFormat="1" ht="12" hidden="1" customHeight="1">
      <c r="A4297" s="199"/>
    </row>
    <row r="4298" spans="1:1" s="200" customFormat="1" ht="12" hidden="1" customHeight="1">
      <c r="A4298" s="199"/>
    </row>
    <row r="4299" spans="1:1" s="200" customFormat="1" ht="12" hidden="1" customHeight="1">
      <c r="A4299" s="199"/>
    </row>
    <row r="4300" spans="1:1" s="200" customFormat="1" ht="12" hidden="1" customHeight="1">
      <c r="A4300" s="199"/>
    </row>
    <row r="4301" spans="1:1" s="200" customFormat="1" ht="12" hidden="1" customHeight="1">
      <c r="A4301" s="199"/>
    </row>
    <row r="4302" spans="1:1" s="200" customFormat="1" ht="12" hidden="1" customHeight="1">
      <c r="A4302" s="199"/>
    </row>
    <row r="4303" spans="1:1" s="200" customFormat="1" ht="12" hidden="1" customHeight="1">
      <c r="A4303" s="199"/>
    </row>
    <row r="4304" spans="1:1" s="200" customFormat="1" ht="12" hidden="1" customHeight="1">
      <c r="A4304" s="199"/>
    </row>
    <row r="4305" spans="1:1" s="200" customFormat="1" ht="12" hidden="1" customHeight="1">
      <c r="A4305" s="199"/>
    </row>
    <row r="4306" spans="1:1" s="200" customFormat="1" ht="12" hidden="1" customHeight="1">
      <c r="A4306" s="199"/>
    </row>
    <row r="4307" spans="1:1" s="200" customFormat="1" ht="12" hidden="1" customHeight="1">
      <c r="A4307" s="199"/>
    </row>
    <row r="4308" spans="1:1" s="200" customFormat="1" ht="12" hidden="1" customHeight="1">
      <c r="A4308" s="199"/>
    </row>
    <row r="4309" spans="1:1" s="200" customFormat="1" ht="12" hidden="1" customHeight="1">
      <c r="A4309" s="199"/>
    </row>
    <row r="4310" spans="1:1" s="200" customFormat="1" ht="12" hidden="1" customHeight="1">
      <c r="A4310" s="199"/>
    </row>
    <row r="4311" spans="1:1" s="200" customFormat="1" ht="12" hidden="1" customHeight="1">
      <c r="A4311" s="199"/>
    </row>
    <row r="4312" spans="1:1" s="200" customFormat="1" ht="12" hidden="1" customHeight="1">
      <c r="A4312" s="199"/>
    </row>
    <row r="4313" spans="1:1" s="200" customFormat="1" ht="12" hidden="1" customHeight="1">
      <c r="A4313" s="199"/>
    </row>
    <row r="4314" spans="1:1" s="200" customFormat="1" ht="12" hidden="1" customHeight="1">
      <c r="A4314" s="199"/>
    </row>
    <row r="4315" spans="1:1" s="200" customFormat="1" ht="12" hidden="1" customHeight="1">
      <c r="A4315" s="199"/>
    </row>
    <row r="4316" spans="1:1" s="200" customFormat="1" ht="12" hidden="1" customHeight="1">
      <c r="A4316" s="199"/>
    </row>
    <row r="4317" spans="1:1" s="200" customFormat="1" ht="12" hidden="1" customHeight="1">
      <c r="A4317" s="199"/>
    </row>
    <row r="4318" spans="1:1" s="200" customFormat="1" ht="12" hidden="1" customHeight="1">
      <c r="A4318" s="199"/>
    </row>
    <row r="4319" spans="1:1" s="200" customFormat="1" ht="12" hidden="1" customHeight="1">
      <c r="A4319" s="199"/>
    </row>
    <row r="4320" spans="1:1" s="200" customFormat="1" ht="12" hidden="1" customHeight="1">
      <c r="A4320" s="199"/>
    </row>
    <row r="4321" spans="1:1" s="200" customFormat="1" ht="12" hidden="1" customHeight="1">
      <c r="A4321" s="199"/>
    </row>
    <row r="4322" spans="1:1" s="200" customFormat="1" ht="12" hidden="1" customHeight="1">
      <c r="A4322" s="199"/>
    </row>
    <row r="4323" spans="1:1" s="200" customFormat="1" ht="12" hidden="1" customHeight="1">
      <c r="A4323" s="199"/>
    </row>
    <row r="4324" spans="1:1" s="200" customFormat="1" ht="12" hidden="1" customHeight="1">
      <c r="A4324" s="199"/>
    </row>
    <row r="4325" spans="1:1" s="200" customFormat="1" ht="12" hidden="1" customHeight="1">
      <c r="A4325" s="199"/>
    </row>
    <row r="4326" spans="1:1" s="200" customFormat="1" ht="12" hidden="1" customHeight="1">
      <c r="A4326" s="199"/>
    </row>
    <row r="4327" spans="1:1" s="200" customFormat="1" ht="12" hidden="1" customHeight="1">
      <c r="A4327" s="199"/>
    </row>
    <row r="4328" spans="1:1" s="200" customFormat="1" ht="12" hidden="1" customHeight="1">
      <c r="A4328" s="199"/>
    </row>
    <row r="4329" spans="1:1" s="200" customFormat="1" ht="12" hidden="1" customHeight="1">
      <c r="A4329" s="199"/>
    </row>
    <row r="4330" spans="1:1" s="200" customFormat="1" ht="12" hidden="1" customHeight="1">
      <c r="A4330" s="199"/>
    </row>
    <row r="4331" spans="1:1" s="200" customFormat="1" ht="12" hidden="1" customHeight="1">
      <c r="A4331" s="199"/>
    </row>
    <row r="4332" spans="1:1" s="200" customFormat="1" ht="12" hidden="1" customHeight="1">
      <c r="A4332" s="199"/>
    </row>
    <row r="4333" spans="1:1" s="200" customFormat="1" ht="12" hidden="1" customHeight="1">
      <c r="A4333" s="199"/>
    </row>
    <row r="4334" spans="1:1" s="200" customFormat="1" ht="12" hidden="1" customHeight="1">
      <c r="A4334" s="199"/>
    </row>
    <row r="4335" spans="1:1" s="200" customFormat="1" ht="12" hidden="1" customHeight="1">
      <c r="A4335" s="199"/>
    </row>
    <row r="4336" spans="1:1" s="200" customFormat="1" ht="12" hidden="1" customHeight="1">
      <c r="A4336" s="199"/>
    </row>
    <row r="4337" spans="1:1" s="200" customFormat="1" ht="12" hidden="1" customHeight="1">
      <c r="A4337" s="199"/>
    </row>
    <row r="4338" spans="1:1" s="200" customFormat="1" ht="12" hidden="1" customHeight="1">
      <c r="A4338" s="199"/>
    </row>
    <row r="4339" spans="1:1" s="200" customFormat="1" ht="12" hidden="1" customHeight="1">
      <c r="A4339" s="199"/>
    </row>
    <row r="4340" spans="1:1" s="200" customFormat="1" ht="12" hidden="1" customHeight="1">
      <c r="A4340" s="199"/>
    </row>
    <row r="4341" spans="1:1" s="200" customFormat="1" ht="12" hidden="1" customHeight="1">
      <c r="A4341" s="199"/>
    </row>
    <row r="4342" spans="1:1" s="200" customFormat="1" ht="12" hidden="1" customHeight="1">
      <c r="A4342" s="199"/>
    </row>
    <row r="4343" spans="1:1" s="200" customFormat="1" ht="12" hidden="1" customHeight="1">
      <c r="A4343" s="199"/>
    </row>
    <row r="4344" spans="1:1" s="200" customFormat="1" ht="12" hidden="1" customHeight="1">
      <c r="A4344" s="199"/>
    </row>
    <row r="4345" spans="1:1" s="200" customFormat="1" ht="12" hidden="1" customHeight="1">
      <c r="A4345" s="199"/>
    </row>
    <row r="4346" spans="1:1" s="200" customFormat="1" ht="12" hidden="1" customHeight="1">
      <c r="A4346" s="199"/>
    </row>
    <row r="4347" spans="1:1" s="200" customFormat="1" ht="12" hidden="1" customHeight="1">
      <c r="A4347" s="199"/>
    </row>
    <row r="4348" spans="1:1" s="200" customFormat="1" ht="12" hidden="1" customHeight="1">
      <c r="A4348" s="199"/>
    </row>
    <row r="4349" spans="1:1" s="200" customFormat="1" ht="12" hidden="1" customHeight="1">
      <c r="A4349" s="199"/>
    </row>
    <row r="4350" spans="1:1" s="200" customFormat="1" ht="12" hidden="1" customHeight="1">
      <c r="A4350" s="199"/>
    </row>
    <row r="4351" spans="1:1" s="200" customFormat="1" ht="12" hidden="1" customHeight="1">
      <c r="A4351" s="199"/>
    </row>
    <row r="4352" spans="1:1" s="200" customFormat="1" ht="12" hidden="1" customHeight="1">
      <c r="A4352" s="199"/>
    </row>
    <row r="4353" spans="1:1" s="200" customFormat="1" ht="12" hidden="1" customHeight="1">
      <c r="A4353" s="199"/>
    </row>
    <row r="4354" spans="1:1" s="200" customFormat="1" ht="12" hidden="1" customHeight="1">
      <c r="A4354" s="199"/>
    </row>
    <row r="4355" spans="1:1" s="200" customFormat="1" ht="12" hidden="1" customHeight="1">
      <c r="A4355" s="199"/>
    </row>
    <row r="4356" spans="1:1" s="200" customFormat="1" ht="12" hidden="1" customHeight="1">
      <c r="A4356" s="199"/>
    </row>
    <row r="4357" spans="1:1" s="200" customFormat="1" ht="12" hidden="1" customHeight="1">
      <c r="A4357" s="199"/>
    </row>
    <row r="4358" spans="1:1" s="200" customFormat="1" ht="12" hidden="1" customHeight="1">
      <c r="A4358" s="199"/>
    </row>
    <row r="4359" spans="1:1" s="200" customFormat="1" ht="12" hidden="1" customHeight="1">
      <c r="A4359" s="199"/>
    </row>
    <row r="4360" spans="1:1" s="200" customFormat="1" ht="12" hidden="1" customHeight="1">
      <c r="A4360" s="199"/>
    </row>
    <row r="4361" spans="1:1" s="200" customFormat="1" ht="12" hidden="1" customHeight="1">
      <c r="A4361" s="199"/>
    </row>
    <row r="4362" spans="1:1" s="200" customFormat="1" ht="12" hidden="1" customHeight="1">
      <c r="A4362" s="199"/>
    </row>
    <row r="4363" spans="1:1" s="200" customFormat="1" ht="12" hidden="1" customHeight="1">
      <c r="A4363" s="199"/>
    </row>
    <row r="4364" spans="1:1" s="200" customFormat="1" ht="12" hidden="1" customHeight="1">
      <c r="A4364" s="199"/>
    </row>
    <row r="4365" spans="1:1" s="200" customFormat="1" ht="12" hidden="1" customHeight="1">
      <c r="A4365" s="199"/>
    </row>
    <row r="4366" spans="1:1" s="200" customFormat="1" ht="12" hidden="1" customHeight="1">
      <c r="A4366" s="199"/>
    </row>
    <row r="4367" spans="1:1" s="200" customFormat="1" ht="12" hidden="1" customHeight="1">
      <c r="A4367" s="199"/>
    </row>
    <row r="4368" spans="1:1" s="200" customFormat="1" ht="12" hidden="1" customHeight="1">
      <c r="A4368" s="199"/>
    </row>
    <row r="4369" spans="1:1" s="200" customFormat="1" ht="12" hidden="1" customHeight="1">
      <c r="A4369" s="199"/>
    </row>
    <row r="4370" spans="1:1" s="200" customFormat="1" ht="12" hidden="1" customHeight="1">
      <c r="A4370" s="199"/>
    </row>
    <row r="4371" spans="1:1" s="200" customFormat="1" ht="12" hidden="1" customHeight="1">
      <c r="A4371" s="199"/>
    </row>
    <row r="4372" spans="1:1" s="200" customFormat="1" ht="12" hidden="1" customHeight="1">
      <c r="A4372" s="199"/>
    </row>
    <row r="4373" spans="1:1" s="200" customFormat="1" ht="12" hidden="1" customHeight="1">
      <c r="A4373" s="199"/>
    </row>
    <row r="4374" spans="1:1" s="200" customFormat="1" ht="12" hidden="1" customHeight="1">
      <c r="A4374" s="199"/>
    </row>
    <row r="4375" spans="1:1" s="200" customFormat="1" ht="12" hidden="1" customHeight="1">
      <c r="A4375" s="199"/>
    </row>
    <row r="4376" spans="1:1" s="200" customFormat="1" ht="12" hidden="1" customHeight="1">
      <c r="A4376" s="199"/>
    </row>
    <row r="4377" spans="1:1" s="200" customFormat="1" ht="12" hidden="1" customHeight="1">
      <c r="A4377" s="199"/>
    </row>
    <row r="4378" spans="1:1" s="200" customFormat="1" ht="12" hidden="1" customHeight="1">
      <c r="A4378" s="199"/>
    </row>
    <row r="4379" spans="1:1" s="200" customFormat="1" ht="12" hidden="1" customHeight="1">
      <c r="A4379" s="199"/>
    </row>
    <row r="4380" spans="1:1" s="200" customFormat="1" ht="12" hidden="1" customHeight="1">
      <c r="A4380" s="199"/>
    </row>
    <row r="4381" spans="1:1" s="200" customFormat="1" ht="12" hidden="1" customHeight="1">
      <c r="A4381" s="199"/>
    </row>
    <row r="4382" spans="1:1" s="200" customFormat="1" ht="12" hidden="1" customHeight="1">
      <c r="A4382" s="199"/>
    </row>
    <row r="4383" spans="1:1" s="200" customFormat="1" ht="12" hidden="1" customHeight="1">
      <c r="A4383" s="199"/>
    </row>
    <row r="4384" spans="1:1" s="200" customFormat="1" ht="12" hidden="1" customHeight="1">
      <c r="A4384" s="199"/>
    </row>
    <row r="4385" spans="1:1" s="200" customFormat="1" ht="12" hidden="1" customHeight="1">
      <c r="A4385" s="199"/>
    </row>
    <row r="4386" spans="1:1" s="200" customFormat="1" ht="12" hidden="1" customHeight="1">
      <c r="A4386" s="199"/>
    </row>
    <row r="4387" spans="1:1" s="200" customFormat="1" ht="12" hidden="1" customHeight="1">
      <c r="A4387" s="199"/>
    </row>
    <row r="4388" spans="1:1" s="200" customFormat="1" ht="12" hidden="1" customHeight="1">
      <c r="A4388" s="199"/>
    </row>
    <row r="4389" spans="1:1" s="200" customFormat="1" ht="12" hidden="1" customHeight="1">
      <c r="A4389" s="199"/>
    </row>
    <row r="4390" spans="1:1" s="200" customFormat="1" ht="12" hidden="1" customHeight="1">
      <c r="A4390" s="199"/>
    </row>
    <row r="4391" spans="1:1" s="200" customFormat="1" ht="12" hidden="1" customHeight="1">
      <c r="A4391" s="199"/>
    </row>
    <row r="4392" spans="1:1" s="200" customFormat="1" ht="12" hidden="1" customHeight="1">
      <c r="A4392" s="199"/>
    </row>
    <row r="4393" spans="1:1" s="200" customFormat="1" ht="12" hidden="1" customHeight="1">
      <c r="A4393" s="199"/>
    </row>
    <row r="4394" spans="1:1" s="200" customFormat="1" ht="12" hidden="1" customHeight="1">
      <c r="A4394" s="199"/>
    </row>
    <row r="4395" spans="1:1" s="200" customFormat="1" ht="12" hidden="1" customHeight="1">
      <c r="A4395" s="199"/>
    </row>
    <row r="4396" spans="1:1" s="200" customFormat="1" ht="12" hidden="1" customHeight="1">
      <c r="A4396" s="199"/>
    </row>
    <row r="4397" spans="1:1" s="200" customFormat="1" ht="12" hidden="1" customHeight="1">
      <c r="A4397" s="199"/>
    </row>
    <row r="4398" spans="1:1" s="200" customFormat="1" ht="12" hidden="1" customHeight="1">
      <c r="A4398" s="199"/>
    </row>
    <row r="4399" spans="1:1" s="200" customFormat="1" ht="12" hidden="1" customHeight="1">
      <c r="A4399" s="199"/>
    </row>
    <row r="4400" spans="1:1" s="200" customFormat="1" ht="12" hidden="1" customHeight="1">
      <c r="A4400" s="199"/>
    </row>
    <row r="4401" spans="1:1" s="200" customFormat="1" ht="12" hidden="1" customHeight="1">
      <c r="A4401" s="199"/>
    </row>
    <row r="4402" spans="1:1" s="200" customFormat="1" ht="12" hidden="1" customHeight="1">
      <c r="A4402" s="199"/>
    </row>
    <row r="4403" spans="1:1" s="200" customFormat="1" ht="12" hidden="1" customHeight="1">
      <c r="A4403" s="199"/>
    </row>
    <row r="4404" spans="1:1" s="200" customFormat="1" ht="12" hidden="1" customHeight="1">
      <c r="A4404" s="199"/>
    </row>
    <row r="4405" spans="1:1" s="200" customFormat="1" ht="12" hidden="1" customHeight="1">
      <c r="A4405" s="199"/>
    </row>
    <row r="4406" spans="1:1" s="200" customFormat="1" ht="12" hidden="1" customHeight="1">
      <c r="A4406" s="199"/>
    </row>
    <row r="4407" spans="1:1" s="200" customFormat="1" ht="12" hidden="1" customHeight="1">
      <c r="A4407" s="199"/>
    </row>
    <row r="4408" spans="1:1" s="200" customFormat="1" ht="12" hidden="1" customHeight="1">
      <c r="A4408" s="199"/>
    </row>
    <row r="4409" spans="1:1" s="200" customFormat="1" ht="12" hidden="1" customHeight="1">
      <c r="A4409" s="199"/>
    </row>
    <row r="4410" spans="1:1" s="200" customFormat="1" ht="12" hidden="1" customHeight="1">
      <c r="A4410" s="199"/>
    </row>
    <row r="4411" spans="1:1" s="200" customFormat="1" ht="12" hidden="1" customHeight="1">
      <c r="A4411" s="199"/>
    </row>
    <row r="4412" spans="1:1" s="200" customFormat="1" ht="12" hidden="1" customHeight="1">
      <c r="A4412" s="199"/>
    </row>
    <row r="4413" spans="1:1" s="200" customFormat="1" ht="12" hidden="1" customHeight="1">
      <c r="A4413" s="199"/>
    </row>
    <row r="4414" spans="1:1" s="200" customFormat="1" ht="12" hidden="1" customHeight="1">
      <c r="A4414" s="199"/>
    </row>
    <row r="4415" spans="1:1" s="200" customFormat="1" ht="12" hidden="1" customHeight="1">
      <c r="A4415" s="199"/>
    </row>
    <row r="4416" spans="1:1" s="200" customFormat="1" ht="12" hidden="1" customHeight="1">
      <c r="A4416" s="199"/>
    </row>
    <row r="4417" spans="1:1" s="200" customFormat="1" ht="12" hidden="1" customHeight="1">
      <c r="A4417" s="199"/>
    </row>
    <row r="4418" spans="1:1" s="200" customFormat="1" ht="12" hidden="1" customHeight="1">
      <c r="A4418" s="199"/>
    </row>
    <row r="4419" spans="1:1" s="200" customFormat="1" ht="12" hidden="1" customHeight="1">
      <c r="A4419" s="199"/>
    </row>
    <row r="4420" spans="1:1" s="200" customFormat="1" ht="12" hidden="1" customHeight="1">
      <c r="A4420" s="199"/>
    </row>
    <row r="4421" spans="1:1" s="200" customFormat="1" ht="12" hidden="1" customHeight="1">
      <c r="A4421" s="199"/>
    </row>
    <row r="4422" spans="1:1" s="200" customFormat="1" ht="12" hidden="1" customHeight="1">
      <c r="A4422" s="199"/>
    </row>
    <row r="4423" spans="1:1" s="200" customFormat="1" ht="12" hidden="1" customHeight="1">
      <c r="A4423" s="199"/>
    </row>
    <row r="4424" spans="1:1" s="200" customFormat="1" ht="12" hidden="1" customHeight="1">
      <c r="A4424" s="199"/>
    </row>
    <row r="4425" spans="1:1" s="200" customFormat="1" ht="12" hidden="1" customHeight="1">
      <c r="A4425" s="199"/>
    </row>
    <row r="4426" spans="1:1" s="200" customFormat="1" ht="12" hidden="1" customHeight="1">
      <c r="A4426" s="199"/>
    </row>
    <row r="4427" spans="1:1" s="200" customFormat="1" ht="12" hidden="1" customHeight="1">
      <c r="A4427" s="199"/>
    </row>
    <row r="4428" spans="1:1" s="200" customFormat="1" ht="12" hidden="1" customHeight="1">
      <c r="A4428" s="199"/>
    </row>
    <row r="4429" spans="1:1" s="200" customFormat="1" ht="12" hidden="1" customHeight="1">
      <c r="A4429" s="199"/>
    </row>
    <row r="4430" spans="1:1" s="200" customFormat="1" ht="12" hidden="1" customHeight="1">
      <c r="A4430" s="199"/>
    </row>
    <row r="4431" spans="1:1" s="200" customFormat="1" ht="12" hidden="1" customHeight="1">
      <c r="A4431" s="199"/>
    </row>
    <row r="4432" spans="1:1" s="200" customFormat="1" ht="12" hidden="1" customHeight="1">
      <c r="A4432" s="199"/>
    </row>
    <row r="4433" spans="1:1" s="200" customFormat="1" ht="12" hidden="1" customHeight="1">
      <c r="A4433" s="199"/>
    </row>
    <row r="4434" spans="1:1" s="200" customFormat="1" ht="12" hidden="1" customHeight="1">
      <c r="A4434" s="199"/>
    </row>
    <row r="4435" spans="1:1" s="200" customFormat="1" ht="12" hidden="1" customHeight="1">
      <c r="A4435" s="199"/>
    </row>
    <row r="4436" spans="1:1" s="200" customFormat="1" ht="12" hidden="1" customHeight="1">
      <c r="A4436" s="199"/>
    </row>
    <row r="4437" spans="1:1" s="200" customFormat="1" ht="12" hidden="1" customHeight="1">
      <c r="A4437" s="199"/>
    </row>
    <row r="4438" spans="1:1" s="200" customFormat="1" ht="12" hidden="1" customHeight="1">
      <c r="A4438" s="199"/>
    </row>
    <row r="4439" spans="1:1" s="200" customFormat="1" ht="12" hidden="1" customHeight="1">
      <c r="A4439" s="199"/>
    </row>
    <row r="4440" spans="1:1" s="200" customFormat="1" ht="12" hidden="1" customHeight="1">
      <c r="A4440" s="199"/>
    </row>
    <row r="4441" spans="1:1" s="200" customFormat="1" ht="12" hidden="1" customHeight="1">
      <c r="A4441" s="199"/>
    </row>
    <row r="4442" spans="1:1" s="200" customFormat="1" ht="12" hidden="1" customHeight="1">
      <c r="A4442" s="199"/>
    </row>
    <row r="4443" spans="1:1" s="200" customFormat="1" ht="12" hidden="1" customHeight="1">
      <c r="A4443" s="199"/>
    </row>
    <row r="4444" spans="1:1" s="200" customFormat="1" ht="12" hidden="1" customHeight="1">
      <c r="A4444" s="199"/>
    </row>
    <row r="4445" spans="1:1" s="200" customFormat="1" ht="12" hidden="1" customHeight="1">
      <c r="A4445" s="199"/>
    </row>
    <row r="4446" spans="1:1" s="200" customFormat="1" ht="12" hidden="1" customHeight="1">
      <c r="A4446" s="199"/>
    </row>
    <row r="4447" spans="1:1" s="200" customFormat="1" ht="12" hidden="1" customHeight="1">
      <c r="A4447" s="199"/>
    </row>
    <row r="4448" spans="1:1" s="200" customFormat="1" ht="12" hidden="1" customHeight="1">
      <c r="A4448" s="199"/>
    </row>
    <row r="4449" spans="1:1" s="200" customFormat="1" ht="12" hidden="1" customHeight="1">
      <c r="A4449" s="199"/>
    </row>
    <row r="4450" spans="1:1" s="200" customFormat="1" ht="12" hidden="1" customHeight="1">
      <c r="A4450" s="199"/>
    </row>
    <row r="4451" spans="1:1" s="200" customFormat="1" ht="12" hidden="1" customHeight="1">
      <c r="A4451" s="199"/>
    </row>
    <row r="4452" spans="1:1" s="200" customFormat="1" ht="12" hidden="1" customHeight="1">
      <c r="A4452" s="199"/>
    </row>
    <row r="4453" spans="1:1" s="200" customFormat="1" ht="12" hidden="1" customHeight="1">
      <c r="A4453" s="199"/>
    </row>
    <row r="4454" spans="1:1" s="200" customFormat="1" ht="12" hidden="1" customHeight="1">
      <c r="A4454" s="199"/>
    </row>
    <row r="4455" spans="1:1" s="200" customFormat="1" ht="12" hidden="1" customHeight="1">
      <c r="A4455" s="199"/>
    </row>
    <row r="4456" spans="1:1" s="200" customFormat="1" ht="12" hidden="1" customHeight="1">
      <c r="A4456" s="199"/>
    </row>
    <row r="4457" spans="1:1" s="200" customFormat="1" ht="12" hidden="1" customHeight="1">
      <c r="A4457" s="199"/>
    </row>
    <row r="4458" spans="1:1" s="200" customFormat="1" ht="12" hidden="1" customHeight="1">
      <c r="A4458" s="199"/>
    </row>
    <row r="4459" spans="1:1" s="200" customFormat="1" ht="12" hidden="1" customHeight="1">
      <c r="A4459" s="199"/>
    </row>
    <row r="4460" spans="1:1" s="200" customFormat="1" ht="12" hidden="1" customHeight="1">
      <c r="A4460" s="199"/>
    </row>
    <row r="4461" spans="1:1" s="200" customFormat="1" ht="12" hidden="1" customHeight="1">
      <c r="A4461" s="199"/>
    </row>
    <row r="4462" spans="1:1" s="200" customFormat="1" ht="12" hidden="1" customHeight="1">
      <c r="A4462" s="199"/>
    </row>
    <row r="4463" spans="1:1" s="200" customFormat="1" ht="12" hidden="1" customHeight="1">
      <c r="A4463" s="199"/>
    </row>
    <row r="4464" spans="1:1" s="200" customFormat="1" ht="12" hidden="1" customHeight="1">
      <c r="A4464" s="199"/>
    </row>
    <row r="4465" spans="1:1" s="200" customFormat="1" ht="12" hidden="1" customHeight="1">
      <c r="A4465" s="199"/>
    </row>
    <row r="4466" spans="1:1" s="200" customFormat="1" ht="12" hidden="1" customHeight="1">
      <c r="A4466" s="199"/>
    </row>
    <row r="4467" spans="1:1" s="200" customFormat="1" ht="12" hidden="1" customHeight="1">
      <c r="A4467" s="199"/>
    </row>
    <row r="4468" spans="1:1" s="200" customFormat="1" ht="12" hidden="1" customHeight="1">
      <c r="A4468" s="199"/>
    </row>
    <row r="4469" spans="1:1" s="200" customFormat="1" ht="12" hidden="1" customHeight="1">
      <c r="A4469" s="199"/>
    </row>
    <row r="4470" spans="1:1" s="200" customFormat="1" ht="12" hidden="1" customHeight="1">
      <c r="A4470" s="199"/>
    </row>
    <row r="4471" spans="1:1" s="200" customFormat="1" ht="12" hidden="1" customHeight="1">
      <c r="A4471" s="199"/>
    </row>
    <row r="4472" spans="1:1" s="200" customFormat="1" ht="12" hidden="1" customHeight="1">
      <c r="A4472" s="199"/>
    </row>
    <row r="4473" spans="1:1" s="200" customFormat="1" ht="12" hidden="1" customHeight="1">
      <c r="A4473" s="199"/>
    </row>
    <row r="4474" spans="1:1" s="200" customFormat="1" ht="12" hidden="1" customHeight="1">
      <c r="A4474" s="199"/>
    </row>
    <row r="4475" spans="1:1" s="200" customFormat="1" ht="12" hidden="1" customHeight="1">
      <c r="A4475" s="199"/>
    </row>
    <row r="4476" spans="1:1" s="200" customFormat="1" ht="12" hidden="1" customHeight="1">
      <c r="A4476" s="199"/>
    </row>
    <row r="4477" spans="1:1" s="200" customFormat="1" ht="12" hidden="1" customHeight="1">
      <c r="A4477" s="199"/>
    </row>
    <row r="4478" spans="1:1" s="200" customFormat="1" ht="12" hidden="1" customHeight="1">
      <c r="A4478" s="199"/>
    </row>
    <row r="4479" spans="1:1" s="200" customFormat="1" ht="12" hidden="1" customHeight="1">
      <c r="A4479" s="199"/>
    </row>
    <row r="4480" spans="1:1" s="200" customFormat="1" ht="12" hidden="1" customHeight="1">
      <c r="A4480" s="199"/>
    </row>
    <row r="4481" spans="1:1" s="200" customFormat="1" ht="12" hidden="1" customHeight="1">
      <c r="A4481" s="199"/>
    </row>
    <row r="4482" spans="1:1" s="200" customFormat="1" ht="12" hidden="1" customHeight="1">
      <c r="A4482" s="199"/>
    </row>
    <row r="4483" spans="1:1" s="200" customFormat="1" ht="12" hidden="1" customHeight="1">
      <c r="A4483" s="199"/>
    </row>
    <row r="4484" spans="1:1" s="200" customFormat="1" ht="12" hidden="1" customHeight="1">
      <c r="A4484" s="199"/>
    </row>
    <row r="4485" spans="1:1" s="200" customFormat="1" ht="12" hidden="1" customHeight="1">
      <c r="A4485" s="199"/>
    </row>
    <row r="4486" spans="1:1" s="200" customFormat="1" ht="12" hidden="1" customHeight="1">
      <c r="A4486" s="199"/>
    </row>
    <row r="4487" spans="1:1" s="200" customFormat="1" ht="12" hidden="1" customHeight="1">
      <c r="A4487" s="199"/>
    </row>
    <row r="4488" spans="1:1" s="200" customFormat="1" ht="12" hidden="1" customHeight="1">
      <c r="A4488" s="199"/>
    </row>
    <row r="4489" spans="1:1" s="200" customFormat="1" ht="12" hidden="1" customHeight="1">
      <c r="A4489" s="199"/>
    </row>
    <row r="4490" spans="1:1" s="200" customFormat="1" ht="12" hidden="1" customHeight="1">
      <c r="A4490" s="199"/>
    </row>
    <row r="4491" spans="1:1" s="200" customFormat="1" ht="12" hidden="1" customHeight="1">
      <c r="A4491" s="199"/>
    </row>
    <row r="4492" spans="1:1" s="200" customFormat="1" ht="12" hidden="1" customHeight="1">
      <c r="A4492" s="199"/>
    </row>
    <row r="4493" spans="1:1" s="200" customFormat="1" ht="12" hidden="1" customHeight="1">
      <c r="A4493" s="199"/>
    </row>
    <row r="4494" spans="1:1" s="200" customFormat="1" ht="12" hidden="1" customHeight="1">
      <c r="A4494" s="199"/>
    </row>
    <row r="4495" spans="1:1" s="200" customFormat="1" ht="12" hidden="1" customHeight="1">
      <c r="A4495" s="199"/>
    </row>
    <row r="4496" spans="1:1" s="200" customFormat="1" ht="12" hidden="1" customHeight="1">
      <c r="A4496" s="199"/>
    </row>
    <row r="4497" spans="1:1" s="200" customFormat="1" ht="12" hidden="1" customHeight="1">
      <c r="A4497" s="199"/>
    </row>
    <row r="4498" spans="1:1" s="200" customFormat="1" ht="12" hidden="1" customHeight="1">
      <c r="A4498" s="199"/>
    </row>
    <row r="4499" spans="1:1" s="200" customFormat="1" ht="12" hidden="1" customHeight="1">
      <c r="A4499" s="199"/>
    </row>
    <row r="4500" spans="1:1" s="200" customFormat="1" ht="12" hidden="1" customHeight="1">
      <c r="A4500" s="199"/>
    </row>
    <row r="4501" spans="1:1" s="200" customFormat="1" ht="12" hidden="1" customHeight="1">
      <c r="A4501" s="199"/>
    </row>
    <row r="4502" spans="1:1" s="200" customFormat="1" ht="12" hidden="1" customHeight="1">
      <c r="A4502" s="199"/>
    </row>
    <row r="4503" spans="1:1" s="200" customFormat="1" ht="12" hidden="1" customHeight="1">
      <c r="A4503" s="199"/>
    </row>
    <row r="4504" spans="1:1" s="200" customFormat="1" ht="12" hidden="1" customHeight="1">
      <c r="A4504" s="199"/>
    </row>
    <row r="4505" spans="1:1" s="200" customFormat="1" ht="12" hidden="1" customHeight="1">
      <c r="A4505" s="199"/>
    </row>
    <row r="4506" spans="1:1" s="200" customFormat="1" ht="12" hidden="1" customHeight="1">
      <c r="A4506" s="199"/>
    </row>
    <row r="4507" spans="1:1" s="200" customFormat="1" ht="12" hidden="1" customHeight="1">
      <c r="A4507" s="199"/>
    </row>
    <row r="4508" spans="1:1" s="200" customFormat="1" ht="12" hidden="1" customHeight="1">
      <c r="A4508" s="199"/>
    </row>
    <row r="4509" spans="1:1" s="200" customFormat="1" ht="12" hidden="1" customHeight="1">
      <c r="A4509" s="199"/>
    </row>
    <row r="4510" spans="1:1" s="200" customFormat="1" ht="12" hidden="1" customHeight="1">
      <c r="A4510" s="199"/>
    </row>
    <row r="4511" spans="1:1" s="200" customFormat="1" ht="12" hidden="1" customHeight="1">
      <c r="A4511" s="199"/>
    </row>
    <row r="4512" spans="1:1" s="200" customFormat="1" ht="12" hidden="1" customHeight="1">
      <c r="A4512" s="199"/>
    </row>
    <row r="4513" spans="1:1" s="200" customFormat="1" ht="12" hidden="1" customHeight="1">
      <c r="A4513" s="199"/>
    </row>
    <row r="4514" spans="1:1" s="200" customFormat="1" ht="12" hidden="1" customHeight="1">
      <c r="A4514" s="199"/>
    </row>
    <row r="4515" spans="1:1" s="200" customFormat="1" ht="12" hidden="1" customHeight="1">
      <c r="A4515" s="199"/>
    </row>
    <row r="4516" spans="1:1" s="200" customFormat="1" ht="12" hidden="1" customHeight="1">
      <c r="A4516" s="199"/>
    </row>
    <row r="4517" spans="1:1" s="200" customFormat="1" ht="12" hidden="1" customHeight="1">
      <c r="A4517" s="199"/>
    </row>
    <row r="4518" spans="1:1" s="200" customFormat="1" ht="12" hidden="1" customHeight="1">
      <c r="A4518" s="199"/>
    </row>
    <row r="4519" spans="1:1" s="200" customFormat="1" ht="12" hidden="1" customHeight="1">
      <c r="A4519" s="199"/>
    </row>
    <row r="4520" spans="1:1" s="200" customFormat="1" ht="12" hidden="1" customHeight="1">
      <c r="A4520" s="199"/>
    </row>
    <row r="4521" spans="1:1" s="200" customFormat="1" ht="12" hidden="1" customHeight="1">
      <c r="A4521" s="199"/>
    </row>
    <row r="4522" spans="1:1" s="200" customFormat="1" ht="12" hidden="1" customHeight="1">
      <c r="A4522" s="199"/>
    </row>
    <row r="4523" spans="1:1" s="200" customFormat="1" ht="12" hidden="1" customHeight="1">
      <c r="A4523" s="199"/>
    </row>
    <row r="4524" spans="1:1" s="200" customFormat="1" ht="12" hidden="1" customHeight="1">
      <c r="A4524" s="199"/>
    </row>
    <row r="4525" spans="1:1" s="200" customFormat="1" ht="12" hidden="1" customHeight="1">
      <c r="A4525" s="199"/>
    </row>
    <row r="4526" spans="1:1" s="200" customFormat="1" ht="12" hidden="1" customHeight="1">
      <c r="A4526" s="199"/>
    </row>
    <row r="4527" spans="1:1" s="200" customFormat="1" ht="12" hidden="1" customHeight="1">
      <c r="A4527" s="199"/>
    </row>
    <row r="4528" spans="1:1" s="200" customFormat="1" ht="12" hidden="1" customHeight="1">
      <c r="A4528" s="199"/>
    </row>
    <row r="4529" spans="1:1" s="200" customFormat="1" ht="12" hidden="1" customHeight="1">
      <c r="A4529" s="199"/>
    </row>
    <row r="4530" spans="1:1" s="200" customFormat="1" ht="12" hidden="1" customHeight="1">
      <c r="A4530" s="199"/>
    </row>
    <row r="4531" spans="1:1" s="200" customFormat="1" ht="12" hidden="1" customHeight="1">
      <c r="A4531" s="199"/>
    </row>
    <row r="4532" spans="1:1" s="200" customFormat="1" ht="12" hidden="1" customHeight="1">
      <c r="A4532" s="199"/>
    </row>
    <row r="4533" spans="1:1" s="200" customFormat="1" ht="12" hidden="1" customHeight="1">
      <c r="A4533" s="199"/>
    </row>
    <row r="4534" spans="1:1" s="200" customFormat="1" ht="12" hidden="1" customHeight="1">
      <c r="A4534" s="199"/>
    </row>
    <row r="4535" spans="1:1" s="200" customFormat="1" ht="12" hidden="1" customHeight="1">
      <c r="A4535" s="199"/>
    </row>
    <row r="4536" spans="1:1" s="200" customFormat="1" ht="12" hidden="1" customHeight="1">
      <c r="A4536" s="199"/>
    </row>
    <row r="4537" spans="1:1" s="200" customFormat="1" ht="12" hidden="1" customHeight="1">
      <c r="A4537" s="199"/>
    </row>
    <row r="4538" spans="1:1" s="200" customFormat="1" ht="12" hidden="1" customHeight="1">
      <c r="A4538" s="199"/>
    </row>
    <row r="4539" spans="1:1" s="200" customFormat="1" ht="12" hidden="1" customHeight="1">
      <c r="A4539" s="199"/>
    </row>
    <row r="4540" spans="1:1" s="200" customFormat="1" ht="12" hidden="1" customHeight="1">
      <c r="A4540" s="199"/>
    </row>
    <row r="4541" spans="1:1" s="200" customFormat="1" ht="12" hidden="1" customHeight="1">
      <c r="A4541" s="199"/>
    </row>
    <row r="4542" spans="1:1" s="200" customFormat="1" ht="12" hidden="1" customHeight="1">
      <c r="A4542" s="199"/>
    </row>
    <row r="4543" spans="1:1" s="200" customFormat="1" ht="12" hidden="1" customHeight="1">
      <c r="A4543" s="199"/>
    </row>
    <row r="4544" spans="1:1" s="200" customFormat="1" ht="12" hidden="1" customHeight="1">
      <c r="A4544" s="199"/>
    </row>
    <row r="4545" spans="1:1" s="200" customFormat="1" ht="12" hidden="1" customHeight="1">
      <c r="A4545" s="199"/>
    </row>
    <row r="4546" spans="1:1" s="200" customFormat="1" ht="12" hidden="1" customHeight="1">
      <c r="A4546" s="199"/>
    </row>
    <row r="4547" spans="1:1" s="200" customFormat="1" ht="12" hidden="1" customHeight="1">
      <c r="A4547" s="199"/>
    </row>
    <row r="4548" spans="1:1" s="200" customFormat="1" ht="12" hidden="1" customHeight="1">
      <c r="A4548" s="199"/>
    </row>
    <row r="4549" spans="1:1" s="200" customFormat="1" ht="12" hidden="1" customHeight="1">
      <c r="A4549" s="199"/>
    </row>
    <row r="4550" spans="1:1" s="200" customFormat="1" ht="12" hidden="1" customHeight="1">
      <c r="A4550" s="199"/>
    </row>
    <row r="4551" spans="1:1" s="200" customFormat="1" ht="12" hidden="1" customHeight="1">
      <c r="A4551" s="199"/>
    </row>
    <row r="4552" spans="1:1" s="200" customFormat="1" ht="12" hidden="1" customHeight="1">
      <c r="A4552" s="199"/>
    </row>
    <row r="4553" spans="1:1" s="200" customFormat="1" ht="12" hidden="1" customHeight="1">
      <c r="A4553" s="199"/>
    </row>
    <row r="4554" spans="1:1" s="200" customFormat="1" ht="12" hidden="1" customHeight="1">
      <c r="A4554" s="199"/>
    </row>
    <row r="4555" spans="1:1" s="200" customFormat="1" ht="12" hidden="1" customHeight="1">
      <c r="A4555" s="199"/>
    </row>
    <row r="4556" spans="1:1" s="200" customFormat="1" ht="12" hidden="1" customHeight="1">
      <c r="A4556" s="199"/>
    </row>
    <row r="4557" spans="1:1" s="200" customFormat="1" ht="12" hidden="1" customHeight="1">
      <c r="A4557" s="199"/>
    </row>
    <row r="4558" spans="1:1" s="200" customFormat="1" ht="12" hidden="1" customHeight="1">
      <c r="A4558" s="199"/>
    </row>
    <row r="4559" spans="1:1" s="200" customFormat="1" ht="12" hidden="1" customHeight="1">
      <c r="A4559" s="199"/>
    </row>
    <row r="4560" spans="1:1" s="200" customFormat="1" ht="12" hidden="1" customHeight="1">
      <c r="A4560" s="199"/>
    </row>
    <row r="4561" spans="1:1" s="200" customFormat="1" ht="12" hidden="1" customHeight="1">
      <c r="A4561" s="199"/>
    </row>
    <row r="4562" spans="1:1" s="200" customFormat="1" ht="12" hidden="1" customHeight="1">
      <c r="A4562" s="199"/>
    </row>
    <row r="4563" spans="1:1" s="200" customFormat="1" ht="12" hidden="1" customHeight="1">
      <c r="A4563" s="199"/>
    </row>
    <row r="4564" spans="1:1" s="200" customFormat="1" ht="12" hidden="1" customHeight="1">
      <c r="A4564" s="199"/>
    </row>
    <row r="4565" spans="1:1" s="200" customFormat="1" ht="12" hidden="1" customHeight="1">
      <c r="A4565" s="199"/>
    </row>
    <row r="4566" spans="1:1" s="200" customFormat="1" ht="12" hidden="1" customHeight="1">
      <c r="A4566" s="199"/>
    </row>
    <row r="4567" spans="1:1" s="200" customFormat="1" ht="12" hidden="1" customHeight="1">
      <c r="A4567" s="199"/>
    </row>
    <row r="4568" spans="1:1" s="200" customFormat="1" ht="12" hidden="1" customHeight="1">
      <c r="A4568" s="199"/>
    </row>
    <row r="4569" spans="1:1" s="200" customFormat="1" ht="12" hidden="1" customHeight="1">
      <c r="A4569" s="199"/>
    </row>
    <row r="4570" spans="1:1" s="200" customFormat="1" ht="12" hidden="1" customHeight="1">
      <c r="A4570" s="199"/>
    </row>
    <row r="4571" spans="1:1" s="200" customFormat="1" ht="12" hidden="1" customHeight="1">
      <c r="A4571" s="199"/>
    </row>
    <row r="4572" spans="1:1" s="200" customFormat="1" ht="12" hidden="1" customHeight="1">
      <c r="A4572" s="199"/>
    </row>
    <row r="4573" spans="1:1" s="200" customFormat="1" ht="12" hidden="1" customHeight="1">
      <c r="A4573" s="199"/>
    </row>
    <row r="4574" spans="1:1" s="200" customFormat="1" ht="12" hidden="1" customHeight="1">
      <c r="A4574" s="199"/>
    </row>
    <row r="4575" spans="1:1" s="200" customFormat="1" ht="12" hidden="1" customHeight="1">
      <c r="A4575" s="199"/>
    </row>
    <row r="4576" spans="1:1" s="200" customFormat="1" ht="12" hidden="1" customHeight="1">
      <c r="A4576" s="199"/>
    </row>
    <row r="4577" spans="1:1" s="200" customFormat="1" ht="12" hidden="1" customHeight="1">
      <c r="A4577" s="199"/>
    </row>
    <row r="4578" spans="1:1" s="200" customFormat="1" ht="12" hidden="1" customHeight="1">
      <c r="A4578" s="199"/>
    </row>
    <row r="4579" spans="1:1" s="200" customFormat="1" ht="12" hidden="1" customHeight="1">
      <c r="A4579" s="199"/>
    </row>
    <row r="4580" spans="1:1" s="200" customFormat="1" ht="12" hidden="1" customHeight="1">
      <c r="A4580" s="199"/>
    </row>
    <row r="4581" spans="1:1" s="200" customFormat="1" ht="12" hidden="1" customHeight="1">
      <c r="A4581" s="199"/>
    </row>
    <row r="4582" spans="1:1" s="200" customFormat="1" ht="12" hidden="1" customHeight="1">
      <c r="A4582" s="199"/>
    </row>
    <row r="4583" spans="1:1" s="200" customFormat="1" ht="12" hidden="1" customHeight="1">
      <c r="A4583" s="199"/>
    </row>
    <row r="4584" spans="1:1" s="200" customFormat="1" ht="12" hidden="1" customHeight="1">
      <c r="A4584" s="199"/>
    </row>
    <row r="4585" spans="1:1" s="200" customFormat="1" ht="12" hidden="1" customHeight="1">
      <c r="A4585" s="199"/>
    </row>
    <row r="4586" spans="1:1" s="200" customFormat="1" ht="12" hidden="1" customHeight="1">
      <c r="A4586" s="199"/>
    </row>
    <row r="4587" spans="1:1" s="200" customFormat="1" ht="12" hidden="1" customHeight="1">
      <c r="A4587" s="199"/>
    </row>
    <row r="4588" spans="1:1" s="200" customFormat="1" ht="12" hidden="1" customHeight="1">
      <c r="A4588" s="199"/>
    </row>
    <row r="4589" spans="1:1" s="200" customFormat="1" ht="12" hidden="1" customHeight="1">
      <c r="A4589" s="199"/>
    </row>
    <row r="4590" spans="1:1" s="200" customFormat="1" ht="12" hidden="1" customHeight="1">
      <c r="A4590" s="199"/>
    </row>
    <row r="4591" spans="1:1" s="200" customFormat="1" ht="12" hidden="1" customHeight="1">
      <c r="A4591" s="199"/>
    </row>
    <row r="4592" spans="1:1" s="200" customFormat="1" ht="12" hidden="1" customHeight="1">
      <c r="A4592" s="199"/>
    </row>
    <row r="4593" spans="1:1" s="200" customFormat="1" ht="12" hidden="1" customHeight="1">
      <c r="A4593" s="199"/>
    </row>
    <row r="4594" spans="1:1" s="200" customFormat="1" ht="12" hidden="1" customHeight="1">
      <c r="A4594" s="199"/>
    </row>
    <row r="4595" spans="1:1" s="200" customFormat="1" ht="12" hidden="1" customHeight="1">
      <c r="A4595" s="199"/>
    </row>
    <row r="4596" spans="1:1" s="200" customFormat="1" ht="12" hidden="1" customHeight="1">
      <c r="A4596" s="199"/>
    </row>
    <row r="4597" spans="1:1" s="200" customFormat="1" ht="12" hidden="1" customHeight="1">
      <c r="A4597" s="199"/>
    </row>
    <row r="4598" spans="1:1" s="200" customFormat="1" ht="12" hidden="1" customHeight="1">
      <c r="A4598" s="199"/>
    </row>
    <row r="4599" spans="1:1" s="200" customFormat="1" ht="12" hidden="1" customHeight="1">
      <c r="A4599" s="199"/>
    </row>
    <row r="4600" spans="1:1" s="200" customFormat="1" ht="12" hidden="1" customHeight="1">
      <c r="A4600" s="199"/>
    </row>
    <row r="4601" spans="1:1" s="200" customFormat="1" ht="12" hidden="1" customHeight="1">
      <c r="A4601" s="199"/>
    </row>
    <row r="4602" spans="1:1" s="200" customFormat="1" ht="12" hidden="1" customHeight="1">
      <c r="A4602" s="199"/>
    </row>
    <row r="4603" spans="1:1" s="200" customFormat="1" ht="12" hidden="1" customHeight="1">
      <c r="A4603" s="199"/>
    </row>
    <row r="4604" spans="1:1" s="200" customFormat="1" ht="12" hidden="1" customHeight="1">
      <c r="A4604" s="199"/>
    </row>
    <row r="4605" spans="1:1" s="200" customFormat="1" ht="12" hidden="1" customHeight="1">
      <c r="A4605" s="199"/>
    </row>
    <row r="4606" spans="1:1" s="200" customFormat="1" ht="12" hidden="1" customHeight="1">
      <c r="A4606" s="199"/>
    </row>
    <row r="4607" spans="1:1" s="200" customFormat="1" ht="12" hidden="1" customHeight="1">
      <c r="A4607" s="199"/>
    </row>
    <row r="4608" spans="1:1" s="200" customFormat="1" ht="12" hidden="1" customHeight="1">
      <c r="A4608" s="199"/>
    </row>
    <row r="4609" spans="1:1" s="200" customFormat="1" ht="12" hidden="1" customHeight="1">
      <c r="A4609" s="199"/>
    </row>
    <row r="4610" spans="1:1" s="200" customFormat="1" ht="12" hidden="1" customHeight="1">
      <c r="A4610" s="199"/>
    </row>
    <row r="4611" spans="1:1" s="200" customFormat="1" ht="12" hidden="1" customHeight="1">
      <c r="A4611" s="199"/>
    </row>
    <row r="4612" spans="1:1" s="200" customFormat="1" ht="12" hidden="1" customHeight="1">
      <c r="A4612" s="199"/>
    </row>
    <row r="4613" spans="1:1" s="200" customFormat="1" ht="12" hidden="1" customHeight="1">
      <c r="A4613" s="199"/>
    </row>
    <row r="4614" spans="1:1" s="200" customFormat="1" ht="12" hidden="1" customHeight="1">
      <c r="A4614" s="199"/>
    </row>
    <row r="4615" spans="1:1" s="200" customFormat="1" ht="12" hidden="1" customHeight="1">
      <c r="A4615" s="199"/>
    </row>
    <row r="4616" spans="1:1" s="200" customFormat="1" ht="12" hidden="1" customHeight="1">
      <c r="A4616" s="199"/>
    </row>
    <row r="4617" spans="1:1" s="200" customFormat="1" ht="12" hidden="1" customHeight="1">
      <c r="A4617" s="199"/>
    </row>
    <row r="4618" spans="1:1" s="200" customFormat="1" ht="12" hidden="1" customHeight="1">
      <c r="A4618" s="199"/>
    </row>
    <row r="4619" spans="1:1" s="200" customFormat="1" ht="12" hidden="1" customHeight="1">
      <c r="A4619" s="199"/>
    </row>
    <row r="4620" spans="1:1" s="200" customFormat="1" ht="12" hidden="1" customHeight="1">
      <c r="A4620" s="199"/>
    </row>
    <row r="4621" spans="1:1" s="200" customFormat="1" ht="12" hidden="1" customHeight="1">
      <c r="A4621" s="199"/>
    </row>
    <row r="4622" spans="1:1" s="200" customFormat="1" ht="12" hidden="1" customHeight="1">
      <c r="A4622" s="199"/>
    </row>
    <row r="4623" spans="1:1" s="200" customFormat="1" ht="12" hidden="1" customHeight="1">
      <c r="A4623" s="199"/>
    </row>
    <row r="4624" spans="1:1" s="200" customFormat="1" ht="12" hidden="1" customHeight="1">
      <c r="A4624" s="199"/>
    </row>
    <row r="4625" spans="1:1" s="200" customFormat="1" ht="12" hidden="1" customHeight="1">
      <c r="A4625" s="199"/>
    </row>
    <row r="4626" spans="1:1" s="200" customFormat="1" ht="12" hidden="1" customHeight="1">
      <c r="A4626" s="199"/>
    </row>
    <row r="4627" spans="1:1" s="200" customFormat="1" ht="12" hidden="1" customHeight="1">
      <c r="A4627" s="199"/>
    </row>
    <row r="4628" spans="1:1" s="200" customFormat="1" ht="12" hidden="1" customHeight="1">
      <c r="A4628" s="199"/>
    </row>
    <row r="4629" spans="1:1" s="200" customFormat="1" ht="12" hidden="1" customHeight="1">
      <c r="A4629" s="199"/>
    </row>
    <row r="4630" spans="1:1" s="200" customFormat="1" ht="12" hidden="1" customHeight="1">
      <c r="A4630" s="199"/>
    </row>
    <row r="4631" spans="1:1" s="200" customFormat="1" ht="12" hidden="1" customHeight="1">
      <c r="A4631" s="199"/>
    </row>
    <row r="4632" spans="1:1" s="200" customFormat="1" ht="12" hidden="1" customHeight="1">
      <c r="A4632" s="199"/>
    </row>
    <row r="4633" spans="1:1" s="200" customFormat="1" ht="12" hidden="1" customHeight="1">
      <c r="A4633" s="199"/>
    </row>
    <row r="4634" spans="1:1" s="200" customFormat="1" ht="12" hidden="1" customHeight="1">
      <c r="A4634" s="199"/>
    </row>
    <row r="4635" spans="1:1" s="200" customFormat="1" ht="12" hidden="1" customHeight="1">
      <c r="A4635" s="199"/>
    </row>
    <row r="4636" spans="1:1" s="200" customFormat="1" ht="12" hidden="1" customHeight="1">
      <c r="A4636" s="199"/>
    </row>
    <row r="4637" spans="1:1" s="200" customFormat="1" ht="12" hidden="1" customHeight="1">
      <c r="A4637" s="199"/>
    </row>
    <row r="4638" spans="1:1" s="200" customFormat="1" ht="12" hidden="1" customHeight="1">
      <c r="A4638" s="199"/>
    </row>
    <row r="4639" spans="1:1" s="200" customFormat="1" ht="12" hidden="1" customHeight="1">
      <c r="A4639" s="199"/>
    </row>
    <row r="4640" spans="1:1" s="200" customFormat="1" ht="12" hidden="1" customHeight="1">
      <c r="A4640" s="199"/>
    </row>
    <row r="4641" spans="1:1" s="200" customFormat="1" ht="12" hidden="1" customHeight="1">
      <c r="A4641" s="199"/>
    </row>
    <row r="4642" spans="1:1" s="200" customFormat="1" ht="12" hidden="1" customHeight="1">
      <c r="A4642" s="199"/>
    </row>
    <row r="4643" spans="1:1" s="200" customFormat="1" ht="12" hidden="1" customHeight="1">
      <c r="A4643" s="199"/>
    </row>
    <row r="4644" spans="1:1" s="200" customFormat="1" ht="12" hidden="1" customHeight="1">
      <c r="A4644" s="199"/>
    </row>
    <row r="4645" spans="1:1" s="200" customFormat="1" ht="12" hidden="1" customHeight="1">
      <c r="A4645" s="199"/>
    </row>
    <row r="4646" spans="1:1" s="200" customFormat="1" ht="12" hidden="1" customHeight="1">
      <c r="A4646" s="199"/>
    </row>
    <row r="4647" spans="1:1" s="200" customFormat="1" ht="12" hidden="1" customHeight="1">
      <c r="A4647" s="199"/>
    </row>
    <row r="4648" spans="1:1" s="200" customFormat="1" ht="12" hidden="1" customHeight="1">
      <c r="A4648" s="199"/>
    </row>
    <row r="4649" spans="1:1" s="200" customFormat="1" ht="12" hidden="1" customHeight="1">
      <c r="A4649" s="199"/>
    </row>
    <row r="4650" spans="1:1" s="200" customFormat="1" ht="12" hidden="1" customHeight="1">
      <c r="A4650" s="199"/>
    </row>
    <row r="4651" spans="1:1" s="200" customFormat="1" ht="12" hidden="1" customHeight="1">
      <c r="A4651" s="199"/>
    </row>
    <row r="4652" spans="1:1" s="200" customFormat="1" ht="12" hidden="1" customHeight="1">
      <c r="A4652" s="199"/>
    </row>
    <row r="4653" spans="1:1" s="200" customFormat="1" ht="12" hidden="1" customHeight="1">
      <c r="A4653" s="199"/>
    </row>
    <row r="4654" spans="1:1" s="200" customFormat="1" ht="12" hidden="1" customHeight="1">
      <c r="A4654" s="199"/>
    </row>
    <row r="4655" spans="1:1" s="200" customFormat="1" ht="12" hidden="1" customHeight="1">
      <c r="A4655" s="199"/>
    </row>
    <row r="4656" spans="1:1" s="200" customFormat="1" ht="12" hidden="1" customHeight="1">
      <c r="A4656" s="199"/>
    </row>
    <row r="4657" spans="1:1" s="200" customFormat="1" ht="12" hidden="1" customHeight="1">
      <c r="A4657" s="199"/>
    </row>
    <row r="4658" spans="1:1" s="200" customFormat="1" ht="12" hidden="1" customHeight="1">
      <c r="A4658" s="199"/>
    </row>
    <row r="4659" spans="1:1" s="200" customFormat="1" ht="12" hidden="1" customHeight="1">
      <c r="A4659" s="199"/>
    </row>
    <row r="4660" spans="1:1" s="200" customFormat="1" ht="12" hidden="1" customHeight="1">
      <c r="A4660" s="199"/>
    </row>
    <row r="4661" spans="1:1" s="200" customFormat="1" ht="12" hidden="1" customHeight="1">
      <c r="A4661" s="199"/>
    </row>
    <row r="4662" spans="1:1" s="200" customFormat="1" ht="12" hidden="1" customHeight="1">
      <c r="A4662" s="199"/>
    </row>
    <row r="4663" spans="1:1" s="200" customFormat="1" ht="12" hidden="1" customHeight="1">
      <c r="A4663" s="199"/>
    </row>
    <row r="4664" spans="1:1" s="200" customFormat="1" ht="12" hidden="1" customHeight="1">
      <c r="A4664" s="199"/>
    </row>
    <row r="4665" spans="1:1" s="200" customFormat="1" ht="12" hidden="1" customHeight="1">
      <c r="A4665" s="199"/>
    </row>
    <row r="4666" spans="1:1" s="200" customFormat="1" ht="12" hidden="1" customHeight="1">
      <c r="A4666" s="199"/>
    </row>
    <row r="4667" spans="1:1" s="200" customFormat="1" ht="12" hidden="1" customHeight="1">
      <c r="A4667" s="199"/>
    </row>
    <row r="4668" spans="1:1" s="200" customFormat="1" ht="12" hidden="1" customHeight="1">
      <c r="A4668" s="199"/>
    </row>
    <row r="4669" spans="1:1" s="200" customFormat="1" ht="12" hidden="1" customHeight="1">
      <c r="A4669" s="199"/>
    </row>
    <row r="4670" spans="1:1" s="200" customFormat="1" ht="12" hidden="1" customHeight="1">
      <c r="A4670" s="199"/>
    </row>
    <row r="4671" spans="1:1" s="200" customFormat="1" ht="12" hidden="1" customHeight="1">
      <c r="A4671" s="199"/>
    </row>
    <row r="4672" spans="1:1" s="200" customFormat="1" ht="12" hidden="1" customHeight="1">
      <c r="A4672" s="199"/>
    </row>
    <row r="4673" spans="1:1" s="200" customFormat="1" ht="12" hidden="1" customHeight="1">
      <c r="A4673" s="199"/>
    </row>
    <row r="4674" spans="1:1" s="200" customFormat="1" ht="12" hidden="1" customHeight="1">
      <c r="A4674" s="199"/>
    </row>
    <row r="4675" spans="1:1" s="200" customFormat="1" ht="12" hidden="1" customHeight="1">
      <c r="A4675" s="199"/>
    </row>
    <row r="4676" spans="1:1" s="200" customFormat="1" ht="12" hidden="1" customHeight="1">
      <c r="A4676" s="199"/>
    </row>
    <row r="4677" spans="1:1" s="200" customFormat="1" ht="12" hidden="1" customHeight="1">
      <c r="A4677" s="199"/>
    </row>
    <row r="4678" spans="1:1" s="200" customFormat="1" ht="12" hidden="1" customHeight="1">
      <c r="A4678" s="199"/>
    </row>
    <row r="4679" spans="1:1" s="200" customFormat="1" ht="12" hidden="1" customHeight="1">
      <c r="A4679" s="199"/>
    </row>
    <row r="4680" spans="1:1" s="200" customFormat="1" ht="12" hidden="1" customHeight="1">
      <c r="A4680" s="199"/>
    </row>
    <row r="4681" spans="1:1" s="200" customFormat="1" ht="12" hidden="1" customHeight="1">
      <c r="A4681" s="199"/>
    </row>
    <row r="4682" spans="1:1" s="200" customFormat="1" ht="12" hidden="1" customHeight="1">
      <c r="A4682" s="199"/>
    </row>
    <row r="4683" spans="1:1" s="200" customFormat="1" ht="12" hidden="1" customHeight="1">
      <c r="A4683" s="199"/>
    </row>
    <row r="4684" spans="1:1" s="200" customFormat="1" ht="12" hidden="1" customHeight="1">
      <c r="A4684" s="199"/>
    </row>
    <row r="4685" spans="1:1" s="200" customFormat="1" ht="12" hidden="1" customHeight="1">
      <c r="A4685" s="199"/>
    </row>
    <row r="4686" spans="1:1" s="200" customFormat="1" ht="12" hidden="1" customHeight="1">
      <c r="A4686" s="199"/>
    </row>
    <row r="4687" spans="1:1" s="200" customFormat="1" ht="12" hidden="1" customHeight="1">
      <c r="A4687" s="199"/>
    </row>
    <row r="4688" spans="1:1" s="200" customFormat="1" ht="12" hidden="1" customHeight="1">
      <c r="A4688" s="199"/>
    </row>
    <row r="4689" spans="1:1" s="200" customFormat="1" ht="12" hidden="1" customHeight="1">
      <c r="A4689" s="199"/>
    </row>
    <row r="4690" spans="1:1" s="200" customFormat="1" ht="12" hidden="1" customHeight="1">
      <c r="A4690" s="199"/>
    </row>
    <row r="4691" spans="1:1" s="200" customFormat="1" ht="12" hidden="1" customHeight="1">
      <c r="A4691" s="199"/>
    </row>
    <row r="4692" spans="1:1" s="200" customFormat="1" ht="12" hidden="1" customHeight="1">
      <c r="A4692" s="199"/>
    </row>
    <row r="4693" spans="1:1" s="200" customFormat="1" ht="12" hidden="1" customHeight="1">
      <c r="A4693" s="199"/>
    </row>
    <row r="4694" spans="1:1" s="200" customFormat="1" ht="12" hidden="1" customHeight="1">
      <c r="A4694" s="199"/>
    </row>
    <row r="4695" spans="1:1" s="200" customFormat="1" ht="12" hidden="1" customHeight="1">
      <c r="A4695" s="199"/>
    </row>
    <row r="4696" spans="1:1" s="200" customFormat="1" ht="12" hidden="1" customHeight="1">
      <c r="A4696" s="199"/>
    </row>
    <row r="4697" spans="1:1" s="200" customFormat="1" ht="12" hidden="1" customHeight="1">
      <c r="A4697" s="199"/>
    </row>
    <row r="4698" spans="1:1" s="200" customFormat="1" ht="12" hidden="1" customHeight="1">
      <c r="A4698" s="199"/>
    </row>
    <row r="4699" spans="1:1" s="200" customFormat="1" ht="12" hidden="1" customHeight="1">
      <c r="A4699" s="199"/>
    </row>
    <row r="4700" spans="1:1" s="200" customFormat="1" ht="12" hidden="1" customHeight="1">
      <c r="A4700" s="199"/>
    </row>
    <row r="4701" spans="1:1" s="200" customFormat="1" ht="12" hidden="1" customHeight="1">
      <c r="A4701" s="199"/>
    </row>
    <row r="4702" spans="1:1" s="200" customFormat="1" ht="12" hidden="1" customHeight="1">
      <c r="A4702" s="199"/>
    </row>
    <row r="4703" spans="1:1" s="200" customFormat="1" ht="12" hidden="1" customHeight="1">
      <c r="A4703" s="199"/>
    </row>
    <row r="4704" spans="1:1" s="200" customFormat="1" ht="12" hidden="1" customHeight="1">
      <c r="A4704" s="199"/>
    </row>
    <row r="4705" spans="1:1" s="200" customFormat="1" ht="12" hidden="1" customHeight="1">
      <c r="A4705" s="199"/>
    </row>
    <row r="4706" spans="1:1" s="200" customFormat="1" ht="12" hidden="1" customHeight="1">
      <c r="A4706" s="199"/>
    </row>
    <row r="4707" spans="1:1" s="200" customFormat="1" ht="12" hidden="1" customHeight="1">
      <c r="A4707" s="199"/>
    </row>
    <row r="4708" spans="1:1" s="200" customFormat="1" ht="12" hidden="1" customHeight="1">
      <c r="A4708" s="199"/>
    </row>
    <row r="4709" spans="1:1" s="200" customFormat="1" ht="12" hidden="1" customHeight="1">
      <c r="A4709" s="199"/>
    </row>
    <row r="4710" spans="1:1" s="200" customFormat="1" ht="12" hidden="1" customHeight="1">
      <c r="A4710" s="199"/>
    </row>
    <row r="4711" spans="1:1" s="200" customFormat="1" ht="12" hidden="1" customHeight="1">
      <c r="A4711" s="199"/>
    </row>
    <row r="4712" spans="1:1" s="200" customFormat="1" ht="12" hidden="1" customHeight="1">
      <c r="A4712" s="199"/>
    </row>
    <row r="4713" spans="1:1" s="200" customFormat="1" ht="12" hidden="1" customHeight="1">
      <c r="A4713" s="199"/>
    </row>
    <row r="4714" spans="1:1" s="200" customFormat="1" ht="12" hidden="1" customHeight="1">
      <c r="A4714" s="199"/>
    </row>
    <row r="4715" spans="1:1" s="200" customFormat="1" ht="12" hidden="1" customHeight="1">
      <c r="A4715" s="199"/>
    </row>
    <row r="4716" spans="1:1" s="200" customFormat="1" ht="12" hidden="1" customHeight="1">
      <c r="A4716" s="199"/>
    </row>
    <row r="4717" spans="1:1" s="200" customFormat="1" ht="12" hidden="1" customHeight="1">
      <c r="A4717" s="199"/>
    </row>
    <row r="4718" spans="1:1" s="200" customFormat="1" ht="12" hidden="1" customHeight="1">
      <c r="A4718" s="199"/>
    </row>
    <row r="4719" spans="1:1" s="200" customFormat="1" ht="12" hidden="1" customHeight="1">
      <c r="A4719" s="199"/>
    </row>
    <row r="4720" spans="1:1" s="200" customFormat="1" ht="12" hidden="1" customHeight="1">
      <c r="A4720" s="199"/>
    </row>
    <row r="4721" spans="1:1" s="200" customFormat="1" ht="12" hidden="1" customHeight="1">
      <c r="A4721" s="199"/>
    </row>
    <row r="4722" spans="1:1" s="200" customFormat="1" ht="12" hidden="1" customHeight="1">
      <c r="A4722" s="199"/>
    </row>
    <row r="4723" spans="1:1" s="200" customFormat="1" ht="12" hidden="1" customHeight="1">
      <c r="A4723" s="199"/>
    </row>
    <row r="4724" spans="1:1" s="200" customFormat="1" ht="12" hidden="1" customHeight="1">
      <c r="A4724" s="199"/>
    </row>
    <row r="4725" spans="1:1" s="200" customFormat="1" ht="12" hidden="1" customHeight="1">
      <c r="A4725" s="199"/>
    </row>
    <row r="4726" spans="1:1" s="200" customFormat="1" ht="12" hidden="1" customHeight="1">
      <c r="A4726" s="199"/>
    </row>
    <row r="4727" spans="1:1" s="200" customFormat="1" ht="12" hidden="1" customHeight="1">
      <c r="A4727" s="199"/>
    </row>
    <row r="4728" spans="1:1" s="200" customFormat="1" ht="12" hidden="1" customHeight="1">
      <c r="A4728" s="199"/>
    </row>
    <row r="4729" spans="1:1" s="200" customFormat="1" ht="12" hidden="1" customHeight="1">
      <c r="A4729" s="199"/>
    </row>
    <row r="4730" spans="1:1" s="200" customFormat="1" ht="12" hidden="1" customHeight="1">
      <c r="A4730" s="199"/>
    </row>
    <row r="4731" spans="1:1" s="200" customFormat="1" ht="12" hidden="1" customHeight="1">
      <c r="A4731" s="199"/>
    </row>
    <row r="4732" spans="1:1" s="200" customFormat="1" ht="12" hidden="1" customHeight="1">
      <c r="A4732" s="199"/>
    </row>
    <row r="4733" spans="1:1" s="200" customFormat="1" ht="12" hidden="1" customHeight="1">
      <c r="A4733" s="199"/>
    </row>
    <row r="4734" spans="1:1" s="200" customFormat="1" ht="12" hidden="1" customHeight="1">
      <c r="A4734" s="199"/>
    </row>
    <row r="4735" spans="1:1" s="200" customFormat="1" ht="12" hidden="1" customHeight="1">
      <c r="A4735" s="199"/>
    </row>
    <row r="4736" spans="1:1" s="200" customFormat="1" ht="12" hidden="1" customHeight="1">
      <c r="A4736" s="199"/>
    </row>
    <row r="4737" spans="1:1" s="200" customFormat="1" ht="12" hidden="1" customHeight="1">
      <c r="A4737" s="199"/>
    </row>
    <row r="4738" spans="1:1" s="200" customFormat="1" ht="12" hidden="1" customHeight="1">
      <c r="A4738" s="199"/>
    </row>
    <row r="4739" spans="1:1" s="200" customFormat="1" ht="12" hidden="1" customHeight="1">
      <c r="A4739" s="199"/>
    </row>
    <row r="4740" spans="1:1" s="200" customFormat="1" ht="12" hidden="1" customHeight="1">
      <c r="A4740" s="199"/>
    </row>
    <row r="4741" spans="1:1" s="200" customFormat="1" ht="12" hidden="1" customHeight="1">
      <c r="A4741" s="199"/>
    </row>
    <row r="4742" spans="1:1" s="200" customFormat="1" ht="12" hidden="1" customHeight="1">
      <c r="A4742" s="199"/>
    </row>
    <row r="4743" spans="1:1" s="200" customFormat="1" ht="12" hidden="1" customHeight="1">
      <c r="A4743" s="199"/>
    </row>
    <row r="4744" spans="1:1" s="200" customFormat="1" ht="12" hidden="1" customHeight="1">
      <c r="A4744" s="199"/>
    </row>
    <row r="4745" spans="1:1" s="200" customFormat="1" ht="12" hidden="1" customHeight="1">
      <c r="A4745" s="199"/>
    </row>
    <row r="4746" spans="1:1" s="200" customFormat="1" ht="12" hidden="1" customHeight="1">
      <c r="A4746" s="199"/>
    </row>
    <row r="4747" spans="1:1" s="200" customFormat="1" ht="12" hidden="1" customHeight="1">
      <c r="A4747" s="199"/>
    </row>
    <row r="4748" spans="1:1" s="200" customFormat="1" ht="12" hidden="1" customHeight="1">
      <c r="A4748" s="199"/>
    </row>
    <row r="4749" spans="1:1" s="200" customFormat="1" ht="12" hidden="1" customHeight="1">
      <c r="A4749" s="199"/>
    </row>
    <row r="4750" spans="1:1" s="200" customFormat="1" ht="12" hidden="1" customHeight="1">
      <c r="A4750" s="199"/>
    </row>
    <row r="4751" spans="1:1" s="200" customFormat="1" ht="12" hidden="1" customHeight="1">
      <c r="A4751" s="199"/>
    </row>
    <row r="4752" spans="1:1" s="200" customFormat="1" ht="12" hidden="1" customHeight="1">
      <c r="A4752" s="199"/>
    </row>
    <row r="4753" spans="1:1" s="200" customFormat="1" ht="12" hidden="1" customHeight="1">
      <c r="A4753" s="199"/>
    </row>
    <row r="4754" spans="1:1" s="200" customFormat="1" ht="12" hidden="1" customHeight="1">
      <c r="A4754" s="199"/>
    </row>
    <row r="4755" spans="1:1" s="200" customFormat="1" ht="12" hidden="1" customHeight="1">
      <c r="A4755" s="199"/>
    </row>
    <row r="4756" spans="1:1" s="200" customFormat="1" ht="12" hidden="1" customHeight="1">
      <c r="A4756" s="199"/>
    </row>
    <row r="4757" spans="1:1" s="200" customFormat="1" ht="12" hidden="1" customHeight="1">
      <c r="A4757" s="199"/>
    </row>
    <row r="4758" spans="1:1" s="200" customFormat="1" ht="12" hidden="1" customHeight="1">
      <c r="A4758" s="199"/>
    </row>
    <row r="4759" spans="1:1" s="200" customFormat="1" ht="12" hidden="1" customHeight="1">
      <c r="A4759" s="199"/>
    </row>
    <row r="4760" spans="1:1" s="200" customFormat="1" ht="12" hidden="1" customHeight="1">
      <c r="A4760" s="199"/>
    </row>
    <row r="4761" spans="1:1" s="200" customFormat="1" ht="12" hidden="1" customHeight="1">
      <c r="A4761" s="199"/>
    </row>
    <row r="4762" spans="1:1" s="200" customFormat="1" ht="12" hidden="1" customHeight="1">
      <c r="A4762" s="199"/>
    </row>
    <row r="4763" spans="1:1" s="200" customFormat="1" ht="12" hidden="1" customHeight="1">
      <c r="A4763" s="199"/>
    </row>
    <row r="4764" spans="1:1" s="200" customFormat="1" ht="12" hidden="1" customHeight="1">
      <c r="A4764" s="199"/>
    </row>
    <row r="4765" spans="1:1" s="200" customFormat="1" ht="12" hidden="1" customHeight="1">
      <c r="A4765" s="199"/>
    </row>
    <row r="4766" spans="1:1" s="200" customFormat="1" ht="12" hidden="1" customHeight="1">
      <c r="A4766" s="199"/>
    </row>
    <row r="4767" spans="1:1" s="200" customFormat="1" ht="12" hidden="1" customHeight="1">
      <c r="A4767" s="199"/>
    </row>
    <row r="4768" spans="1:1" s="200" customFormat="1" ht="12" hidden="1" customHeight="1">
      <c r="A4768" s="199"/>
    </row>
    <row r="4769" spans="1:1" s="200" customFormat="1" ht="12" hidden="1" customHeight="1">
      <c r="A4769" s="199"/>
    </row>
    <row r="4770" spans="1:1" s="200" customFormat="1" ht="12" hidden="1" customHeight="1">
      <c r="A4770" s="199"/>
    </row>
    <row r="4771" spans="1:1" s="200" customFormat="1" ht="12" hidden="1" customHeight="1">
      <c r="A4771" s="199"/>
    </row>
    <row r="4772" spans="1:1" s="200" customFormat="1" ht="12" hidden="1" customHeight="1">
      <c r="A4772" s="199"/>
    </row>
    <row r="4773" spans="1:1" s="200" customFormat="1" ht="12" hidden="1" customHeight="1">
      <c r="A4773" s="199"/>
    </row>
    <row r="4774" spans="1:1" s="200" customFormat="1" ht="12" hidden="1" customHeight="1">
      <c r="A4774" s="199"/>
    </row>
    <row r="4775" spans="1:1" s="200" customFormat="1" ht="12" hidden="1" customHeight="1">
      <c r="A4775" s="199"/>
    </row>
    <row r="4776" spans="1:1" s="200" customFormat="1" ht="12" hidden="1" customHeight="1">
      <c r="A4776" s="199"/>
    </row>
    <row r="4777" spans="1:1" s="200" customFormat="1" ht="12" hidden="1" customHeight="1">
      <c r="A4777" s="199"/>
    </row>
    <row r="4778" spans="1:1" s="200" customFormat="1" ht="12" hidden="1" customHeight="1">
      <c r="A4778" s="199"/>
    </row>
    <row r="4779" spans="1:1" s="200" customFormat="1" ht="12" hidden="1" customHeight="1">
      <c r="A4779" s="199"/>
    </row>
    <row r="4780" spans="1:1" s="200" customFormat="1" ht="12" hidden="1" customHeight="1">
      <c r="A4780" s="199"/>
    </row>
    <row r="4781" spans="1:1" s="200" customFormat="1" ht="12" hidden="1" customHeight="1">
      <c r="A4781" s="199"/>
    </row>
    <row r="4782" spans="1:1" s="200" customFormat="1" ht="12" hidden="1" customHeight="1">
      <c r="A4782" s="199"/>
    </row>
    <row r="4783" spans="1:1" s="200" customFormat="1" ht="12" hidden="1" customHeight="1">
      <c r="A4783" s="199"/>
    </row>
    <row r="4784" spans="1:1" s="200" customFormat="1" ht="12" hidden="1" customHeight="1">
      <c r="A4784" s="199"/>
    </row>
    <row r="4785" spans="1:1" s="200" customFormat="1" ht="12" hidden="1" customHeight="1">
      <c r="A4785" s="199"/>
    </row>
    <row r="4786" spans="1:1" s="200" customFormat="1" ht="12" hidden="1" customHeight="1">
      <c r="A4786" s="199"/>
    </row>
    <row r="4787" spans="1:1" s="200" customFormat="1" ht="12" hidden="1" customHeight="1">
      <c r="A4787" s="199"/>
    </row>
    <row r="4788" spans="1:1" s="200" customFormat="1" ht="12" hidden="1" customHeight="1">
      <c r="A4788" s="199"/>
    </row>
    <row r="4789" spans="1:1" s="200" customFormat="1" ht="12" hidden="1" customHeight="1">
      <c r="A4789" s="199"/>
    </row>
    <row r="4790" spans="1:1" s="200" customFormat="1" ht="12" hidden="1" customHeight="1">
      <c r="A4790" s="199"/>
    </row>
    <row r="4791" spans="1:1" s="200" customFormat="1" ht="12" hidden="1" customHeight="1">
      <c r="A4791" s="199"/>
    </row>
    <row r="4792" spans="1:1" s="200" customFormat="1" ht="12" hidden="1" customHeight="1">
      <c r="A4792" s="199"/>
    </row>
    <row r="4793" spans="1:1" s="200" customFormat="1" ht="12" hidden="1" customHeight="1">
      <c r="A4793" s="199"/>
    </row>
    <row r="4794" spans="1:1" s="200" customFormat="1" ht="12" hidden="1" customHeight="1">
      <c r="A4794" s="199"/>
    </row>
    <row r="4795" spans="1:1" s="200" customFormat="1" ht="12" hidden="1" customHeight="1">
      <c r="A4795" s="199"/>
    </row>
    <row r="4796" spans="1:1" s="200" customFormat="1" ht="12" hidden="1" customHeight="1">
      <c r="A4796" s="199"/>
    </row>
    <row r="4797" spans="1:1" s="200" customFormat="1" ht="12" hidden="1" customHeight="1">
      <c r="A4797" s="199"/>
    </row>
    <row r="4798" spans="1:1" s="200" customFormat="1" ht="12" hidden="1" customHeight="1">
      <c r="A4798" s="199"/>
    </row>
    <row r="4799" spans="1:1" s="200" customFormat="1" ht="12" hidden="1" customHeight="1">
      <c r="A4799" s="199"/>
    </row>
    <row r="4800" spans="1:1" s="200" customFormat="1" ht="12" hidden="1" customHeight="1">
      <c r="A4800" s="199"/>
    </row>
    <row r="4801" spans="1:1" s="200" customFormat="1" ht="12" hidden="1" customHeight="1">
      <c r="A4801" s="199"/>
    </row>
    <row r="4802" spans="1:1" s="200" customFormat="1" ht="12" hidden="1" customHeight="1">
      <c r="A4802" s="199"/>
    </row>
    <row r="4803" spans="1:1" s="200" customFormat="1" ht="12" hidden="1" customHeight="1">
      <c r="A4803" s="199"/>
    </row>
    <row r="4804" spans="1:1" s="200" customFormat="1" ht="12" hidden="1" customHeight="1">
      <c r="A4804" s="199"/>
    </row>
    <row r="4805" spans="1:1" s="200" customFormat="1" ht="12" hidden="1" customHeight="1">
      <c r="A4805" s="199"/>
    </row>
    <row r="4806" spans="1:1" s="200" customFormat="1" ht="12" hidden="1" customHeight="1">
      <c r="A4806" s="199"/>
    </row>
    <row r="4807" spans="1:1" s="200" customFormat="1" ht="12" hidden="1" customHeight="1">
      <c r="A4807" s="199"/>
    </row>
    <row r="4808" spans="1:1" s="200" customFormat="1" ht="12" hidden="1" customHeight="1">
      <c r="A4808" s="199"/>
    </row>
    <row r="4809" spans="1:1" s="200" customFormat="1" ht="12" hidden="1" customHeight="1">
      <c r="A4809" s="199"/>
    </row>
    <row r="4810" spans="1:1" s="200" customFormat="1" ht="12" hidden="1" customHeight="1">
      <c r="A4810" s="199"/>
    </row>
    <row r="4811" spans="1:1" s="200" customFormat="1" ht="12" hidden="1" customHeight="1">
      <c r="A4811" s="199"/>
    </row>
    <row r="4812" spans="1:1" s="200" customFormat="1" ht="12" hidden="1" customHeight="1">
      <c r="A4812" s="199"/>
    </row>
    <row r="4813" spans="1:1" s="200" customFormat="1" ht="12" hidden="1" customHeight="1">
      <c r="A4813" s="199"/>
    </row>
    <row r="4814" spans="1:1" s="200" customFormat="1" ht="12" hidden="1" customHeight="1">
      <c r="A4814" s="199"/>
    </row>
    <row r="4815" spans="1:1" s="200" customFormat="1" ht="12" hidden="1" customHeight="1">
      <c r="A4815" s="199"/>
    </row>
    <row r="4816" spans="1:1" s="200" customFormat="1" ht="12" hidden="1" customHeight="1">
      <c r="A4816" s="199"/>
    </row>
    <row r="4817" spans="1:1" s="200" customFormat="1" ht="12" hidden="1" customHeight="1">
      <c r="A4817" s="199"/>
    </row>
    <row r="4818" spans="1:1" s="200" customFormat="1" ht="12" hidden="1" customHeight="1">
      <c r="A4818" s="199"/>
    </row>
    <row r="4819" spans="1:1" s="200" customFormat="1" ht="12" hidden="1" customHeight="1">
      <c r="A4819" s="199"/>
    </row>
    <row r="4820" spans="1:1" s="200" customFormat="1" ht="12" hidden="1" customHeight="1">
      <c r="A4820" s="199"/>
    </row>
    <row r="4821" spans="1:1" s="200" customFormat="1" ht="12" hidden="1" customHeight="1">
      <c r="A4821" s="199"/>
    </row>
    <row r="4822" spans="1:1" s="200" customFormat="1" ht="12" hidden="1" customHeight="1">
      <c r="A4822" s="199"/>
    </row>
    <row r="4823" spans="1:1" s="200" customFormat="1" ht="12" hidden="1" customHeight="1">
      <c r="A4823" s="199"/>
    </row>
    <row r="4824" spans="1:1" s="200" customFormat="1" ht="12" hidden="1" customHeight="1">
      <c r="A4824" s="199"/>
    </row>
    <row r="4825" spans="1:1" s="200" customFormat="1" ht="12" hidden="1" customHeight="1">
      <c r="A4825" s="199"/>
    </row>
    <row r="4826" spans="1:1" s="200" customFormat="1" ht="12" hidden="1" customHeight="1">
      <c r="A4826" s="199"/>
    </row>
    <row r="4827" spans="1:1" s="200" customFormat="1" ht="12" hidden="1" customHeight="1">
      <c r="A4827" s="199"/>
    </row>
    <row r="4828" spans="1:1" s="200" customFormat="1" ht="12" hidden="1" customHeight="1">
      <c r="A4828" s="199"/>
    </row>
    <row r="4829" spans="1:1" s="200" customFormat="1" ht="12" hidden="1" customHeight="1">
      <c r="A4829" s="199"/>
    </row>
    <row r="4830" spans="1:1" s="200" customFormat="1" ht="12" hidden="1" customHeight="1">
      <c r="A4830" s="199"/>
    </row>
    <row r="4831" spans="1:1" s="200" customFormat="1" ht="12" hidden="1" customHeight="1">
      <c r="A4831" s="199"/>
    </row>
    <row r="4832" spans="1:1" s="200" customFormat="1" ht="12" hidden="1" customHeight="1">
      <c r="A4832" s="199"/>
    </row>
    <row r="4833" spans="1:1" s="200" customFormat="1" ht="12" hidden="1" customHeight="1">
      <c r="A4833" s="199"/>
    </row>
    <row r="4834" spans="1:1" s="200" customFormat="1" ht="12" hidden="1" customHeight="1">
      <c r="A4834" s="199"/>
    </row>
    <row r="4835" spans="1:1" s="200" customFormat="1" ht="12" hidden="1" customHeight="1">
      <c r="A4835" s="199"/>
    </row>
    <row r="4836" spans="1:1" s="200" customFormat="1" ht="12" hidden="1" customHeight="1">
      <c r="A4836" s="199"/>
    </row>
    <row r="4837" spans="1:1" s="200" customFormat="1" ht="12" hidden="1" customHeight="1">
      <c r="A4837" s="199"/>
    </row>
    <row r="4838" spans="1:1" s="200" customFormat="1" ht="12" hidden="1" customHeight="1">
      <c r="A4838" s="199"/>
    </row>
    <row r="4839" spans="1:1" s="200" customFormat="1" ht="12" hidden="1" customHeight="1">
      <c r="A4839" s="199"/>
    </row>
    <row r="4840" spans="1:1" s="200" customFormat="1" ht="12" hidden="1" customHeight="1">
      <c r="A4840" s="199"/>
    </row>
    <row r="4841" spans="1:1" s="200" customFormat="1" ht="12" hidden="1" customHeight="1">
      <c r="A4841" s="199"/>
    </row>
    <row r="4842" spans="1:1" s="200" customFormat="1" ht="12" hidden="1" customHeight="1">
      <c r="A4842" s="199"/>
    </row>
    <row r="4843" spans="1:1" s="200" customFormat="1" ht="12" hidden="1" customHeight="1">
      <c r="A4843" s="199"/>
    </row>
    <row r="4844" spans="1:1" s="200" customFormat="1" ht="12" hidden="1" customHeight="1">
      <c r="A4844" s="199"/>
    </row>
    <row r="4845" spans="1:1" s="200" customFormat="1" ht="12" hidden="1" customHeight="1">
      <c r="A4845" s="199"/>
    </row>
    <row r="4846" spans="1:1" s="200" customFormat="1" ht="12" hidden="1" customHeight="1">
      <c r="A4846" s="199"/>
    </row>
    <row r="4847" spans="1:1" s="200" customFormat="1" ht="12" hidden="1" customHeight="1">
      <c r="A4847" s="199"/>
    </row>
    <row r="4848" spans="1:1" s="200" customFormat="1" ht="12" hidden="1" customHeight="1">
      <c r="A4848" s="199"/>
    </row>
    <row r="4849" spans="1:1" s="200" customFormat="1" ht="12" hidden="1" customHeight="1">
      <c r="A4849" s="199"/>
    </row>
    <row r="4850" spans="1:1" s="200" customFormat="1" ht="12" hidden="1" customHeight="1">
      <c r="A4850" s="199"/>
    </row>
    <row r="4851" spans="1:1" s="200" customFormat="1" ht="12" hidden="1" customHeight="1">
      <c r="A4851" s="199"/>
    </row>
    <row r="4852" spans="1:1" s="200" customFormat="1" ht="12" hidden="1" customHeight="1">
      <c r="A4852" s="199"/>
    </row>
    <row r="4853" spans="1:1" s="200" customFormat="1" ht="12" hidden="1" customHeight="1">
      <c r="A4853" s="199"/>
    </row>
    <row r="4854" spans="1:1" s="200" customFormat="1" ht="12" hidden="1" customHeight="1">
      <c r="A4854" s="199"/>
    </row>
    <row r="4855" spans="1:1" s="200" customFormat="1" ht="12" hidden="1" customHeight="1">
      <c r="A4855" s="199"/>
    </row>
    <row r="4856" spans="1:1" s="200" customFormat="1" ht="12" hidden="1" customHeight="1">
      <c r="A4856" s="199"/>
    </row>
    <row r="4857" spans="1:1" s="200" customFormat="1" ht="12" hidden="1" customHeight="1">
      <c r="A4857" s="199"/>
    </row>
    <row r="4858" spans="1:1" s="200" customFormat="1" ht="12" hidden="1" customHeight="1">
      <c r="A4858" s="199"/>
    </row>
    <row r="4859" spans="1:1" s="200" customFormat="1" ht="12" hidden="1" customHeight="1">
      <c r="A4859" s="199"/>
    </row>
    <row r="4860" spans="1:1" s="200" customFormat="1" ht="12" hidden="1" customHeight="1">
      <c r="A4860" s="199"/>
    </row>
    <row r="4861" spans="1:1" s="200" customFormat="1" ht="12" hidden="1" customHeight="1">
      <c r="A4861" s="199"/>
    </row>
    <row r="4862" spans="1:1" s="200" customFormat="1" ht="12" hidden="1" customHeight="1">
      <c r="A4862" s="199"/>
    </row>
    <row r="4863" spans="1:1" s="200" customFormat="1" ht="12" hidden="1" customHeight="1">
      <c r="A4863" s="199"/>
    </row>
    <row r="4864" spans="1:1" s="200" customFormat="1" ht="12" hidden="1" customHeight="1">
      <c r="A4864" s="199"/>
    </row>
    <row r="4865" spans="1:1" s="200" customFormat="1" ht="12" hidden="1" customHeight="1">
      <c r="A4865" s="199"/>
    </row>
    <row r="4866" spans="1:1" s="200" customFormat="1" ht="12" hidden="1" customHeight="1">
      <c r="A4866" s="199"/>
    </row>
    <row r="4867" spans="1:1" s="200" customFormat="1" ht="12" hidden="1" customHeight="1">
      <c r="A4867" s="199"/>
    </row>
    <row r="4868" spans="1:1" s="200" customFormat="1" ht="12" hidden="1" customHeight="1">
      <c r="A4868" s="199"/>
    </row>
    <row r="4869" spans="1:1" s="200" customFormat="1" ht="12" hidden="1" customHeight="1">
      <c r="A4869" s="199"/>
    </row>
    <row r="4870" spans="1:1" s="200" customFormat="1" ht="12" hidden="1" customHeight="1">
      <c r="A4870" s="199"/>
    </row>
    <row r="4871" spans="1:1" s="200" customFormat="1" ht="12" hidden="1" customHeight="1">
      <c r="A4871" s="199"/>
    </row>
    <row r="4872" spans="1:1" s="200" customFormat="1" ht="12" hidden="1" customHeight="1">
      <c r="A4872" s="199"/>
    </row>
    <row r="4873" spans="1:1" s="200" customFormat="1" ht="12" hidden="1" customHeight="1">
      <c r="A4873" s="199"/>
    </row>
    <row r="4874" spans="1:1" s="200" customFormat="1" ht="12" hidden="1" customHeight="1">
      <c r="A4874" s="199"/>
    </row>
    <row r="4875" spans="1:1" s="200" customFormat="1" ht="12" hidden="1" customHeight="1">
      <c r="A4875" s="199"/>
    </row>
    <row r="4876" spans="1:1" s="200" customFormat="1" ht="12" hidden="1" customHeight="1">
      <c r="A4876" s="199"/>
    </row>
    <row r="4877" spans="1:1" s="200" customFormat="1" ht="12" hidden="1" customHeight="1">
      <c r="A4877" s="199"/>
    </row>
    <row r="4878" spans="1:1" s="200" customFormat="1" ht="12" hidden="1" customHeight="1">
      <c r="A4878" s="199"/>
    </row>
    <row r="4879" spans="1:1" s="200" customFormat="1" ht="12" hidden="1" customHeight="1">
      <c r="A4879" s="199"/>
    </row>
    <row r="4880" spans="1:1" s="200" customFormat="1" ht="12" hidden="1" customHeight="1">
      <c r="A4880" s="199"/>
    </row>
    <row r="4881" spans="1:1" s="200" customFormat="1" ht="12" hidden="1" customHeight="1">
      <c r="A4881" s="199"/>
    </row>
    <row r="4882" spans="1:1" s="200" customFormat="1" ht="12" hidden="1" customHeight="1">
      <c r="A4882" s="199"/>
    </row>
    <row r="4883" spans="1:1" s="200" customFormat="1" ht="12" hidden="1" customHeight="1">
      <c r="A4883" s="199"/>
    </row>
    <row r="4884" spans="1:1" s="200" customFormat="1" ht="12" hidden="1" customHeight="1">
      <c r="A4884" s="199"/>
    </row>
    <row r="4885" spans="1:1" s="200" customFormat="1" ht="12" hidden="1" customHeight="1">
      <c r="A4885" s="199"/>
    </row>
    <row r="4886" spans="1:1" s="200" customFormat="1" ht="12" hidden="1" customHeight="1">
      <c r="A4886" s="199"/>
    </row>
    <row r="4887" spans="1:1" s="200" customFormat="1" ht="12" hidden="1" customHeight="1">
      <c r="A4887" s="199"/>
    </row>
    <row r="4888" spans="1:1" s="200" customFormat="1" ht="12" hidden="1" customHeight="1">
      <c r="A4888" s="199"/>
    </row>
    <row r="4889" spans="1:1" s="200" customFormat="1" ht="12" hidden="1" customHeight="1">
      <c r="A4889" s="199"/>
    </row>
    <row r="4890" spans="1:1" s="200" customFormat="1" ht="12" hidden="1" customHeight="1">
      <c r="A4890" s="199"/>
    </row>
    <row r="4891" spans="1:1" s="200" customFormat="1" ht="12" hidden="1" customHeight="1">
      <c r="A4891" s="199"/>
    </row>
    <row r="4892" spans="1:1" s="200" customFormat="1" ht="12" hidden="1" customHeight="1">
      <c r="A4892" s="199"/>
    </row>
    <row r="4893" spans="1:1" s="200" customFormat="1" ht="12" hidden="1" customHeight="1">
      <c r="A4893" s="199"/>
    </row>
    <row r="4894" spans="1:1" s="200" customFormat="1" ht="12" hidden="1" customHeight="1">
      <c r="A4894" s="199"/>
    </row>
    <row r="4895" spans="1:1" s="200" customFormat="1" ht="12" hidden="1" customHeight="1">
      <c r="A4895" s="199"/>
    </row>
    <row r="4896" spans="1:1" s="200" customFormat="1" ht="12" hidden="1" customHeight="1">
      <c r="A4896" s="199"/>
    </row>
    <row r="4897" spans="1:1" s="200" customFormat="1" ht="12" hidden="1" customHeight="1">
      <c r="A4897" s="199"/>
    </row>
    <row r="4898" spans="1:1" s="200" customFormat="1" ht="12" hidden="1" customHeight="1">
      <c r="A4898" s="199"/>
    </row>
    <row r="4899" spans="1:1" s="200" customFormat="1" ht="12" hidden="1" customHeight="1">
      <c r="A4899" s="199"/>
    </row>
    <row r="4900" spans="1:1" s="200" customFormat="1" ht="12" hidden="1" customHeight="1">
      <c r="A4900" s="199"/>
    </row>
    <row r="4901" spans="1:1" s="200" customFormat="1" ht="12" hidden="1" customHeight="1">
      <c r="A4901" s="199"/>
    </row>
    <row r="4902" spans="1:1" s="200" customFormat="1" ht="12" hidden="1" customHeight="1">
      <c r="A4902" s="199"/>
    </row>
    <row r="4903" spans="1:1" s="200" customFormat="1" ht="12" hidden="1" customHeight="1">
      <c r="A4903" s="199"/>
    </row>
    <row r="4904" spans="1:1" s="200" customFormat="1" ht="12" hidden="1" customHeight="1">
      <c r="A4904" s="199"/>
    </row>
    <row r="4905" spans="1:1" s="200" customFormat="1" ht="12" hidden="1" customHeight="1">
      <c r="A4905" s="199"/>
    </row>
    <row r="4906" spans="1:1" s="200" customFormat="1" ht="12" hidden="1" customHeight="1">
      <c r="A4906" s="199"/>
    </row>
    <row r="4907" spans="1:1" s="200" customFormat="1" ht="12" hidden="1" customHeight="1">
      <c r="A4907" s="199"/>
    </row>
    <row r="4908" spans="1:1" s="200" customFormat="1" ht="12" hidden="1" customHeight="1">
      <c r="A4908" s="199"/>
    </row>
    <row r="4909" spans="1:1" s="200" customFormat="1" ht="12" hidden="1" customHeight="1">
      <c r="A4909" s="199"/>
    </row>
    <row r="4910" spans="1:1" s="200" customFormat="1" ht="12" hidden="1" customHeight="1">
      <c r="A4910" s="199"/>
    </row>
    <row r="4911" spans="1:1" s="200" customFormat="1" ht="12" hidden="1" customHeight="1">
      <c r="A4911" s="199"/>
    </row>
    <row r="4912" spans="1:1" s="200" customFormat="1" ht="12" hidden="1" customHeight="1">
      <c r="A4912" s="199"/>
    </row>
    <row r="4913" spans="1:1" s="200" customFormat="1" ht="12" hidden="1" customHeight="1">
      <c r="A4913" s="199"/>
    </row>
    <row r="4914" spans="1:1" s="200" customFormat="1" ht="12" hidden="1" customHeight="1">
      <c r="A4914" s="199"/>
    </row>
    <row r="4915" spans="1:1" s="200" customFormat="1" ht="12" hidden="1" customHeight="1">
      <c r="A4915" s="199"/>
    </row>
    <row r="4916" spans="1:1" s="200" customFormat="1" ht="12" hidden="1" customHeight="1">
      <c r="A4916" s="199"/>
    </row>
    <row r="4917" spans="1:1" s="200" customFormat="1" ht="12" hidden="1" customHeight="1">
      <c r="A4917" s="199"/>
    </row>
    <row r="4918" spans="1:1" s="200" customFormat="1" ht="12" hidden="1" customHeight="1">
      <c r="A4918" s="199"/>
    </row>
    <row r="4919" spans="1:1" s="200" customFormat="1" ht="12" hidden="1" customHeight="1">
      <c r="A4919" s="199"/>
    </row>
    <row r="4920" spans="1:1" s="200" customFormat="1" ht="12" hidden="1" customHeight="1">
      <c r="A4920" s="199"/>
    </row>
    <row r="4921" spans="1:1" s="200" customFormat="1" ht="12" hidden="1" customHeight="1">
      <c r="A4921" s="199"/>
    </row>
    <row r="4922" spans="1:1" s="200" customFormat="1" ht="12" hidden="1" customHeight="1">
      <c r="A4922" s="199"/>
    </row>
    <row r="4923" spans="1:1" s="200" customFormat="1" ht="12" hidden="1" customHeight="1">
      <c r="A4923" s="199"/>
    </row>
    <row r="4924" spans="1:1" s="200" customFormat="1" ht="12" hidden="1" customHeight="1">
      <c r="A4924" s="199"/>
    </row>
    <row r="4925" spans="1:1" s="200" customFormat="1" ht="12" hidden="1" customHeight="1">
      <c r="A4925" s="199"/>
    </row>
    <row r="4926" spans="1:1" s="200" customFormat="1" ht="12" hidden="1" customHeight="1">
      <c r="A4926" s="199"/>
    </row>
    <row r="4927" spans="1:1" s="200" customFormat="1" ht="12" hidden="1" customHeight="1">
      <c r="A4927" s="199"/>
    </row>
    <row r="4928" spans="1:1" s="200" customFormat="1" ht="12" hidden="1" customHeight="1">
      <c r="A4928" s="199"/>
    </row>
    <row r="4929" spans="1:1" s="200" customFormat="1" ht="12" hidden="1" customHeight="1">
      <c r="A4929" s="199"/>
    </row>
    <row r="4930" spans="1:1" s="200" customFormat="1" ht="12" hidden="1" customHeight="1">
      <c r="A4930" s="199"/>
    </row>
    <row r="4931" spans="1:1" s="200" customFormat="1" ht="12" hidden="1" customHeight="1">
      <c r="A4931" s="199"/>
    </row>
    <row r="4932" spans="1:1" s="200" customFormat="1" ht="12" hidden="1" customHeight="1">
      <c r="A4932" s="199"/>
    </row>
    <row r="4933" spans="1:1" s="200" customFormat="1" ht="12" hidden="1" customHeight="1">
      <c r="A4933" s="199"/>
    </row>
    <row r="4934" spans="1:1" s="200" customFormat="1" ht="12" hidden="1" customHeight="1">
      <c r="A4934" s="199"/>
    </row>
    <row r="4935" spans="1:1" s="200" customFormat="1" ht="12" hidden="1" customHeight="1">
      <c r="A4935" s="199"/>
    </row>
    <row r="4936" spans="1:1" s="200" customFormat="1" ht="12" hidden="1" customHeight="1">
      <c r="A4936" s="199"/>
    </row>
    <row r="4937" spans="1:1" s="200" customFormat="1" ht="12" hidden="1" customHeight="1">
      <c r="A4937" s="199"/>
    </row>
    <row r="4938" spans="1:1" s="200" customFormat="1" ht="12" hidden="1" customHeight="1">
      <c r="A4938" s="199"/>
    </row>
    <row r="4939" spans="1:1" s="200" customFormat="1" ht="12" hidden="1" customHeight="1">
      <c r="A4939" s="199"/>
    </row>
    <row r="4940" spans="1:1" s="200" customFormat="1" ht="12" hidden="1" customHeight="1">
      <c r="A4940" s="199"/>
    </row>
    <row r="4941" spans="1:1" s="200" customFormat="1" ht="12" hidden="1" customHeight="1">
      <c r="A4941" s="199"/>
    </row>
    <row r="4942" spans="1:1" s="200" customFormat="1" ht="12" hidden="1" customHeight="1">
      <c r="A4942" s="199"/>
    </row>
    <row r="4943" spans="1:1" s="200" customFormat="1" ht="12" hidden="1" customHeight="1">
      <c r="A4943" s="199"/>
    </row>
    <row r="4944" spans="1:1" s="200" customFormat="1" ht="12" hidden="1" customHeight="1">
      <c r="A4944" s="199"/>
    </row>
    <row r="4945" spans="1:1" s="200" customFormat="1" ht="12" hidden="1" customHeight="1">
      <c r="A4945" s="199"/>
    </row>
    <row r="4946" spans="1:1" s="200" customFormat="1" ht="12" hidden="1" customHeight="1">
      <c r="A4946" s="199"/>
    </row>
    <row r="4947" spans="1:1" s="200" customFormat="1" ht="12" hidden="1" customHeight="1">
      <c r="A4947" s="199"/>
    </row>
    <row r="4948" spans="1:1" s="200" customFormat="1" ht="12" hidden="1" customHeight="1">
      <c r="A4948" s="199"/>
    </row>
    <row r="4949" spans="1:1" s="200" customFormat="1" ht="12" hidden="1" customHeight="1">
      <c r="A4949" s="199"/>
    </row>
    <row r="4950" spans="1:1" s="200" customFormat="1" ht="12" hidden="1" customHeight="1">
      <c r="A4950" s="199"/>
    </row>
    <row r="4951" spans="1:1" s="200" customFormat="1" ht="12" hidden="1" customHeight="1">
      <c r="A4951" s="199"/>
    </row>
    <row r="4952" spans="1:1" s="200" customFormat="1" ht="12" hidden="1" customHeight="1">
      <c r="A4952" s="199"/>
    </row>
    <row r="4953" spans="1:1" s="200" customFormat="1" ht="12" hidden="1" customHeight="1">
      <c r="A4953" s="199"/>
    </row>
    <row r="4954" spans="1:1" s="200" customFormat="1" ht="12" hidden="1" customHeight="1">
      <c r="A4954" s="199"/>
    </row>
    <row r="4955" spans="1:1" s="200" customFormat="1" ht="12" hidden="1" customHeight="1">
      <c r="A4955" s="199"/>
    </row>
    <row r="4956" spans="1:1" s="200" customFormat="1" ht="12" hidden="1" customHeight="1">
      <c r="A4956" s="199"/>
    </row>
    <row r="4957" spans="1:1" s="200" customFormat="1" ht="12" hidden="1" customHeight="1">
      <c r="A4957" s="199"/>
    </row>
    <row r="4958" spans="1:1" s="200" customFormat="1" ht="12" hidden="1" customHeight="1">
      <c r="A4958" s="199"/>
    </row>
    <row r="4959" spans="1:1" s="200" customFormat="1" ht="12" hidden="1" customHeight="1">
      <c r="A4959" s="199"/>
    </row>
    <row r="4960" spans="1:1" s="200" customFormat="1" ht="12" hidden="1" customHeight="1">
      <c r="A4960" s="199"/>
    </row>
    <row r="4961" spans="1:1" s="200" customFormat="1" ht="12" hidden="1" customHeight="1">
      <c r="A4961" s="199"/>
    </row>
    <row r="4962" spans="1:1" s="200" customFormat="1" ht="12" hidden="1" customHeight="1">
      <c r="A4962" s="199"/>
    </row>
    <row r="4963" spans="1:1" s="200" customFormat="1" ht="12" hidden="1" customHeight="1">
      <c r="A4963" s="199"/>
    </row>
    <row r="4964" spans="1:1" s="200" customFormat="1" ht="12" hidden="1" customHeight="1">
      <c r="A4964" s="199"/>
    </row>
    <row r="4965" spans="1:1" s="200" customFormat="1" ht="12" hidden="1" customHeight="1">
      <c r="A4965" s="199"/>
    </row>
    <row r="4966" spans="1:1" s="200" customFormat="1" ht="12" hidden="1" customHeight="1">
      <c r="A4966" s="199"/>
    </row>
    <row r="4967" spans="1:1" s="200" customFormat="1" ht="12" hidden="1" customHeight="1">
      <c r="A4967" s="199"/>
    </row>
    <row r="4968" spans="1:1" s="200" customFormat="1" ht="12" hidden="1" customHeight="1">
      <c r="A4968" s="199"/>
    </row>
    <row r="4969" spans="1:1" s="200" customFormat="1" ht="12" hidden="1" customHeight="1">
      <c r="A4969" s="199"/>
    </row>
    <row r="4970" spans="1:1" s="200" customFormat="1" ht="12" hidden="1" customHeight="1">
      <c r="A4970" s="199"/>
    </row>
    <row r="4971" spans="1:1" s="200" customFormat="1" ht="12" hidden="1" customHeight="1">
      <c r="A4971" s="199"/>
    </row>
    <row r="4972" spans="1:1" s="200" customFormat="1" ht="12" hidden="1" customHeight="1">
      <c r="A4972" s="199"/>
    </row>
    <row r="4973" spans="1:1" s="200" customFormat="1" ht="12" hidden="1" customHeight="1">
      <c r="A4973" s="199"/>
    </row>
    <row r="4974" spans="1:1" s="200" customFormat="1" ht="12" hidden="1" customHeight="1">
      <c r="A4974" s="199"/>
    </row>
    <row r="4975" spans="1:1" s="200" customFormat="1" ht="12" hidden="1" customHeight="1">
      <c r="A4975" s="199"/>
    </row>
    <row r="4976" spans="1:1" s="200" customFormat="1" ht="12" hidden="1" customHeight="1">
      <c r="A4976" s="199"/>
    </row>
    <row r="4977" spans="1:1" s="200" customFormat="1" ht="12" hidden="1" customHeight="1">
      <c r="A4977" s="199"/>
    </row>
    <row r="4978" spans="1:1" s="200" customFormat="1" ht="12" hidden="1" customHeight="1">
      <c r="A4978" s="199"/>
    </row>
    <row r="4979" spans="1:1" s="200" customFormat="1" ht="12" hidden="1" customHeight="1">
      <c r="A4979" s="199"/>
    </row>
    <row r="4980" spans="1:1" s="200" customFormat="1" ht="12" hidden="1" customHeight="1">
      <c r="A4980" s="199"/>
    </row>
    <row r="4981" spans="1:1" s="200" customFormat="1" ht="12" hidden="1" customHeight="1">
      <c r="A4981" s="199"/>
    </row>
    <row r="4982" spans="1:1" s="200" customFormat="1" ht="12" hidden="1" customHeight="1">
      <c r="A4982" s="199"/>
    </row>
    <row r="4983" spans="1:1" s="200" customFormat="1" ht="12" hidden="1" customHeight="1">
      <c r="A4983" s="199"/>
    </row>
    <row r="4984" spans="1:1" s="200" customFormat="1" ht="12" hidden="1" customHeight="1">
      <c r="A4984" s="199"/>
    </row>
    <row r="4985" spans="1:1" s="200" customFormat="1" ht="12" hidden="1" customHeight="1">
      <c r="A4985" s="199"/>
    </row>
    <row r="4986" spans="1:1" s="200" customFormat="1" ht="12" hidden="1" customHeight="1">
      <c r="A4986" s="199"/>
    </row>
    <row r="4987" spans="1:1" s="200" customFormat="1" ht="12" hidden="1" customHeight="1">
      <c r="A4987" s="199"/>
    </row>
    <row r="4988" spans="1:1" s="200" customFormat="1" ht="12" hidden="1" customHeight="1">
      <c r="A4988" s="199"/>
    </row>
    <row r="4989" spans="1:1" s="200" customFormat="1" ht="12" hidden="1" customHeight="1">
      <c r="A4989" s="199"/>
    </row>
    <row r="4990" spans="1:1" s="200" customFormat="1" ht="12" hidden="1" customHeight="1">
      <c r="A4990" s="199"/>
    </row>
    <row r="4991" spans="1:1" s="200" customFormat="1" ht="12" hidden="1" customHeight="1">
      <c r="A4991" s="199"/>
    </row>
    <row r="4992" spans="1:1" s="200" customFormat="1" ht="12" hidden="1" customHeight="1">
      <c r="A4992" s="199"/>
    </row>
    <row r="4993" spans="1:1" s="200" customFormat="1" ht="12" hidden="1" customHeight="1">
      <c r="A4993" s="199"/>
    </row>
    <row r="4994" spans="1:1" s="200" customFormat="1" ht="12" hidden="1" customHeight="1">
      <c r="A4994" s="199"/>
    </row>
    <row r="4995" spans="1:1" s="200" customFormat="1" ht="12" hidden="1" customHeight="1">
      <c r="A4995" s="199"/>
    </row>
    <row r="4996" spans="1:1" s="200" customFormat="1" ht="12" hidden="1" customHeight="1">
      <c r="A4996" s="199"/>
    </row>
    <row r="4997" spans="1:1" s="200" customFormat="1" ht="12" hidden="1" customHeight="1">
      <c r="A4997" s="199"/>
    </row>
    <row r="4998" spans="1:1" s="200" customFormat="1" ht="12" hidden="1" customHeight="1">
      <c r="A4998" s="199"/>
    </row>
    <row r="4999" spans="1:1" s="200" customFormat="1" ht="12" hidden="1" customHeight="1">
      <c r="A4999" s="199"/>
    </row>
    <row r="5000" spans="1:1" s="200" customFormat="1" ht="12" hidden="1" customHeight="1">
      <c r="A5000" s="199"/>
    </row>
    <row r="5001" spans="1:1" s="200" customFormat="1" ht="12" hidden="1" customHeight="1">
      <c r="A5001" s="199"/>
    </row>
    <row r="5002" spans="1:1" s="200" customFormat="1" ht="12" hidden="1" customHeight="1">
      <c r="A5002" s="199"/>
    </row>
    <row r="5003" spans="1:1" s="200" customFormat="1" ht="12" hidden="1" customHeight="1">
      <c r="A5003" s="199"/>
    </row>
    <row r="5004" spans="1:1" s="200" customFormat="1" ht="12" hidden="1" customHeight="1">
      <c r="A5004" s="199"/>
    </row>
    <row r="5005" spans="1:1" s="200" customFormat="1" ht="12" hidden="1" customHeight="1">
      <c r="A5005" s="199"/>
    </row>
    <row r="5006" spans="1:1" s="200" customFormat="1" ht="12" hidden="1" customHeight="1">
      <c r="A5006" s="199"/>
    </row>
    <row r="5007" spans="1:1" s="200" customFormat="1" ht="12" hidden="1" customHeight="1">
      <c r="A5007" s="199"/>
    </row>
    <row r="5008" spans="1:1" s="200" customFormat="1" ht="12" hidden="1" customHeight="1">
      <c r="A5008" s="199"/>
    </row>
    <row r="5009" spans="1:1" s="200" customFormat="1" ht="12" hidden="1" customHeight="1">
      <c r="A5009" s="199"/>
    </row>
    <row r="5010" spans="1:1" s="200" customFormat="1" ht="12" hidden="1" customHeight="1">
      <c r="A5010" s="199"/>
    </row>
    <row r="5011" spans="1:1" s="200" customFormat="1" ht="12" hidden="1" customHeight="1">
      <c r="A5011" s="199"/>
    </row>
    <row r="5012" spans="1:1" s="200" customFormat="1" ht="12" hidden="1" customHeight="1">
      <c r="A5012" s="199"/>
    </row>
    <row r="5013" spans="1:1" s="200" customFormat="1" ht="12" hidden="1" customHeight="1">
      <c r="A5013" s="199"/>
    </row>
    <row r="5014" spans="1:1" s="200" customFormat="1" ht="12" hidden="1" customHeight="1">
      <c r="A5014" s="199"/>
    </row>
    <row r="5015" spans="1:1" s="200" customFormat="1" ht="12" hidden="1" customHeight="1">
      <c r="A5015" s="199"/>
    </row>
    <row r="5016" spans="1:1" s="200" customFormat="1" ht="12" hidden="1" customHeight="1">
      <c r="A5016" s="199"/>
    </row>
    <row r="5017" spans="1:1" s="200" customFormat="1" ht="12" hidden="1" customHeight="1">
      <c r="A5017" s="199"/>
    </row>
    <row r="5018" spans="1:1" s="200" customFormat="1" ht="12" hidden="1" customHeight="1">
      <c r="A5018" s="199"/>
    </row>
    <row r="5019" spans="1:1" s="200" customFormat="1" ht="12" hidden="1" customHeight="1">
      <c r="A5019" s="199"/>
    </row>
    <row r="5020" spans="1:1" s="200" customFormat="1" ht="12" hidden="1" customHeight="1">
      <c r="A5020" s="199"/>
    </row>
    <row r="5021" spans="1:1" s="200" customFormat="1" ht="12" hidden="1" customHeight="1">
      <c r="A5021" s="199"/>
    </row>
    <row r="5022" spans="1:1" s="200" customFormat="1" ht="12" hidden="1" customHeight="1">
      <c r="A5022" s="199"/>
    </row>
    <row r="5023" spans="1:1" s="200" customFormat="1" ht="12" hidden="1" customHeight="1">
      <c r="A5023" s="199"/>
    </row>
    <row r="5024" spans="1:1" s="200" customFormat="1" ht="12" hidden="1" customHeight="1">
      <c r="A5024" s="199"/>
    </row>
    <row r="5025" spans="1:1" s="200" customFormat="1" ht="12" hidden="1" customHeight="1">
      <c r="A5025" s="199"/>
    </row>
    <row r="5026" spans="1:1" s="200" customFormat="1" ht="12" hidden="1" customHeight="1">
      <c r="A5026" s="199"/>
    </row>
    <row r="5027" spans="1:1" s="200" customFormat="1" ht="12" hidden="1" customHeight="1">
      <c r="A5027" s="199"/>
    </row>
    <row r="5028" spans="1:1" s="200" customFormat="1" ht="12" hidden="1" customHeight="1">
      <c r="A5028" s="199"/>
    </row>
    <row r="5029" spans="1:1" s="200" customFormat="1" ht="12" hidden="1" customHeight="1">
      <c r="A5029" s="199"/>
    </row>
    <row r="5030" spans="1:1" s="200" customFormat="1" ht="12" hidden="1" customHeight="1">
      <c r="A5030" s="199"/>
    </row>
    <row r="5031" spans="1:1" s="200" customFormat="1" ht="12" hidden="1" customHeight="1">
      <c r="A5031" s="199"/>
    </row>
    <row r="5032" spans="1:1" s="200" customFormat="1" ht="12" hidden="1" customHeight="1">
      <c r="A5032" s="199"/>
    </row>
    <row r="5033" spans="1:1" s="200" customFormat="1" ht="12" hidden="1" customHeight="1">
      <c r="A5033" s="199"/>
    </row>
    <row r="5034" spans="1:1" s="200" customFormat="1" ht="12" hidden="1" customHeight="1">
      <c r="A5034" s="199"/>
    </row>
    <row r="5035" spans="1:1" s="200" customFormat="1" ht="12" hidden="1" customHeight="1">
      <c r="A5035" s="199"/>
    </row>
    <row r="5036" spans="1:1" s="200" customFormat="1" ht="12" hidden="1" customHeight="1">
      <c r="A5036" s="199"/>
    </row>
    <row r="5037" spans="1:1" s="200" customFormat="1" ht="12" hidden="1" customHeight="1">
      <c r="A5037" s="199"/>
    </row>
    <row r="5038" spans="1:1" s="200" customFormat="1" ht="12" hidden="1" customHeight="1">
      <c r="A5038" s="199"/>
    </row>
    <row r="5039" spans="1:1" s="200" customFormat="1" ht="12" hidden="1" customHeight="1">
      <c r="A5039" s="199"/>
    </row>
    <row r="5040" spans="1:1" s="200" customFormat="1" ht="12" hidden="1" customHeight="1">
      <c r="A5040" s="199"/>
    </row>
    <row r="5041" spans="1:1" s="200" customFormat="1" ht="12" hidden="1" customHeight="1">
      <c r="A5041" s="199"/>
    </row>
    <row r="5042" spans="1:1" s="200" customFormat="1" ht="12" hidden="1" customHeight="1">
      <c r="A5042" s="199"/>
    </row>
    <row r="5043" spans="1:1" s="200" customFormat="1" ht="12" hidden="1" customHeight="1">
      <c r="A5043" s="199"/>
    </row>
    <row r="5044" spans="1:1" s="200" customFormat="1" ht="12" hidden="1" customHeight="1">
      <c r="A5044" s="199"/>
    </row>
    <row r="5045" spans="1:1" s="200" customFormat="1" ht="12" hidden="1" customHeight="1">
      <c r="A5045" s="199"/>
    </row>
    <row r="5046" spans="1:1" s="200" customFormat="1" ht="12" hidden="1" customHeight="1">
      <c r="A5046" s="199"/>
    </row>
    <row r="5047" spans="1:1" s="200" customFormat="1" ht="12" hidden="1" customHeight="1">
      <c r="A5047" s="199"/>
    </row>
    <row r="5048" spans="1:1" s="200" customFormat="1" ht="12" hidden="1" customHeight="1">
      <c r="A5048" s="199"/>
    </row>
    <row r="5049" spans="1:1" s="200" customFormat="1" ht="12" hidden="1" customHeight="1">
      <c r="A5049" s="199"/>
    </row>
    <row r="5050" spans="1:1" s="200" customFormat="1" ht="12" hidden="1" customHeight="1">
      <c r="A5050" s="199"/>
    </row>
    <row r="5051" spans="1:1" s="200" customFormat="1" ht="12" hidden="1" customHeight="1">
      <c r="A5051" s="199"/>
    </row>
    <row r="5052" spans="1:1" s="200" customFormat="1" ht="12" hidden="1" customHeight="1">
      <c r="A5052" s="199"/>
    </row>
    <row r="5053" spans="1:1" s="200" customFormat="1" ht="12" hidden="1" customHeight="1">
      <c r="A5053" s="199"/>
    </row>
    <row r="5054" spans="1:1" s="200" customFormat="1" ht="12" hidden="1" customHeight="1">
      <c r="A5054" s="199"/>
    </row>
    <row r="5055" spans="1:1" s="200" customFormat="1" ht="12" hidden="1" customHeight="1">
      <c r="A5055" s="199"/>
    </row>
    <row r="5056" spans="1:1" s="200" customFormat="1" ht="12" hidden="1" customHeight="1">
      <c r="A5056" s="199"/>
    </row>
    <row r="5057" spans="1:1" s="200" customFormat="1" ht="12" hidden="1" customHeight="1">
      <c r="A5057" s="199"/>
    </row>
    <row r="5058" spans="1:1" s="200" customFormat="1" ht="12" hidden="1" customHeight="1">
      <c r="A5058" s="199"/>
    </row>
    <row r="5059" spans="1:1" s="200" customFormat="1" ht="12" hidden="1" customHeight="1">
      <c r="A5059" s="199"/>
    </row>
    <row r="5060" spans="1:1" s="200" customFormat="1" ht="12" hidden="1" customHeight="1">
      <c r="A5060" s="199"/>
    </row>
    <row r="5061" spans="1:1" s="200" customFormat="1" ht="12" hidden="1" customHeight="1">
      <c r="A5061" s="199"/>
    </row>
    <row r="5062" spans="1:1" s="200" customFormat="1" ht="12" hidden="1" customHeight="1">
      <c r="A5062" s="199"/>
    </row>
    <row r="5063" spans="1:1" s="200" customFormat="1" ht="12" hidden="1" customHeight="1">
      <c r="A5063" s="199"/>
    </row>
    <row r="5064" spans="1:1" s="200" customFormat="1" ht="12" hidden="1" customHeight="1">
      <c r="A5064" s="199"/>
    </row>
    <row r="5065" spans="1:1" s="200" customFormat="1" ht="12" hidden="1" customHeight="1">
      <c r="A5065" s="199"/>
    </row>
    <row r="5066" spans="1:1" s="200" customFormat="1" ht="12" hidden="1" customHeight="1">
      <c r="A5066" s="199"/>
    </row>
    <row r="5067" spans="1:1" s="200" customFormat="1" ht="12" hidden="1" customHeight="1">
      <c r="A5067" s="199"/>
    </row>
    <row r="5068" spans="1:1" s="200" customFormat="1" ht="12" hidden="1" customHeight="1">
      <c r="A5068" s="199"/>
    </row>
    <row r="5069" spans="1:1" s="200" customFormat="1" ht="12" hidden="1" customHeight="1">
      <c r="A5069" s="199"/>
    </row>
    <row r="5070" spans="1:1" s="200" customFormat="1" ht="12" hidden="1" customHeight="1">
      <c r="A5070" s="199"/>
    </row>
    <row r="5071" spans="1:1" s="200" customFormat="1" ht="12" hidden="1" customHeight="1">
      <c r="A5071" s="199"/>
    </row>
    <row r="5072" spans="1:1" s="200" customFormat="1" ht="12" hidden="1" customHeight="1">
      <c r="A5072" s="199"/>
    </row>
    <row r="5073" spans="1:1" s="200" customFormat="1" ht="12" hidden="1" customHeight="1">
      <c r="A5073" s="199"/>
    </row>
    <row r="5074" spans="1:1" s="200" customFormat="1" ht="12" hidden="1" customHeight="1">
      <c r="A5074" s="199"/>
    </row>
    <row r="5075" spans="1:1" s="200" customFormat="1" ht="12" hidden="1" customHeight="1">
      <c r="A5075" s="199"/>
    </row>
    <row r="5076" spans="1:1" s="200" customFormat="1" ht="12" hidden="1" customHeight="1">
      <c r="A5076" s="199"/>
    </row>
    <row r="5077" spans="1:1" s="200" customFormat="1" ht="12" hidden="1" customHeight="1">
      <c r="A5077" s="199"/>
    </row>
    <row r="5078" spans="1:1" s="200" customFormat="1" ht="12" hidden="1" customHeight="1">
      <c r="A5078" s="199"/>
    </row>
    <row r="5079" spans="1:1" s="200" customFormat="1" ht="12" hidden="1" customHeight="1">
      <c r="A5079" s="199"/>
    </row>
    <row r="5080" spans="1:1" s="200" customFormat="1" ht="12" hidden="1" customHeight="1">
      <c r="A5080" s="199"/>
    </row>
    <row r="5081" spans="1:1" s="200" customFormat="1" ht="12" hidden="1" customHeight="1">
      <c r="A5081" s="199"/>
    </row>
    <row r="5082" spans="1:1" s="200" customFormat="1" ht="12" hidden="1" customHeight="1">
      <c r="A5082" s="199"/>
    </row>
    <row r="5083" spans="1:1" s="200" customFormat="1" ht="12" hidden="1" customHeight="1">
      <c r="A5083" s="199"/>
    </row>
    <row r="5084" spans="1:1" s="200" customFormat="1" ht="12" hidden="1" customHeight="1">
      <c r="A5084" s="199"/>
    </row>
    <row r="5085" spans="1:1" s="200" customFormat="1" ht="12" hidden="1" customHeight="1">
      <c r="A5085" s="199"/>
    </row>
    <row r="5086" spans="1:1" s="200" customFormat="1" ht="12" hidden="1" customHeight="1">
      <c r="A5086" s="199"/>
    </row>
    <row r="5087" spans="1:1" s="200" customFormat="1" ht="12" hidden="1" customHeight="1">
      <c r="A5087" s="199"/>
    </row>
    <row r="5088" spans="1:1" s="200" customFormat="1" ht="12" hidden="1" customHeight="1">
      <c r="A5088" s="199"/>
    </row>
    <row r="5089" spans="1:1" s="200" customFormat="1" ht="12" hidden="1" customHeight="1">
      <c r="A5089" s="199"/>
    </row>
    <row r="5090" spans="1:1" s="200" customFormat="1" ht="12" hidden="1" customHeight="1">
      <c r="A5090" s="199"/>
    </row>
    <row r="5091" spans="1:1" s="200" customFormat="1" ht="12" hidden="1" customHeight="1">
      <c r="A5091" s="199"/>
    </row>
    <row r="5092" spans="1:1" s="200" customFormat="1" ht="12" hidden="1" customHeight="1">
      <c r="A5092" s="199"/>
    </row>
    <row r="5093" spans="1:1" s="200" customFormat="1" ht="12" hidden="1" customHeight="1">
      <c r="A5093" s="199"/>
    </row>
    <row r="5094" spans="1:1" s="200" customFormat="1" ht="12" hidden="1" customHeight="1">
      <c r="A5094" s="199"/>
    </row>
    <row r="5095" spans="1:1" s="200" customFormat="1" ht="12" hidden="1" customHeight="1">
      <c r="A5095" s="199"/>
    </row>
    <row r="5096" spans="1:1" s="200" customFormat="1" ht="12" hidden="1" customHeight="1">
      <c r="A5096" s="199"/>
    </row>
    <row r="5097" spans="1:1" s="200" customFormat="1" ht="12" hidden="1" customHeight="1">
      <c r="A5097" s="199"/>
    </row>
    <row r="5098" spans="1:1" s="200" customFormat="1" ht="12" hidden="1" customHeight="1">
      <c r="A5098" s="199"/>
    </row>
    <row r="5099" spans="1:1" s="200" customFormat="1" ht="12" hidden="1" customHeight="1">
      <c r="A5099" s="199"/>
    </row>
    <row r="5100" spans="1:1" s="200" customFormat="1" ht="12" hidden="1" customHeight="1">
      <c r="A5100" s="199"/>
    </row>
    <row r="5101" spans="1:1" s="200" customFormat="1" ht="12" hidden="1" customHeight="1">
      <c r="A5101" s="199"/>
    </row>
    <row r="5102" spans="1:1" s="200" customFormat="1" ht="12" hidden="1" customHeight="1">
      <c r="A5102" s="199"/>
    </row>
    <row r="5103" spans="1:1" s="200" customFormat="1" ht="12" hidden="1" customHeight="1">
      <c r="A5103" s="199"/>
    </row>
    <row r="5104" spans="1:1" s="200" customFormat="1" ht="12" hidden="1" customHeight="1">
      <c r="A5104" s="199"/>
    </row>
    <row r="5105" spans="1:1" s="200" customFormat="1" ht="12" hidden="1" customHeight="1">
      <c r="A5105" s="199"/>
    </row>
    <row r="5106" spans="1:1" s="200" customFormat="1" ht="12" hidden="1" customHeight="1">
      <c r="A5106" s="199"/>
    </row>
    <row r="5107" spans="1:1" s="200" customFormat="1" ht="12" hidden="1" customHeight="1">
      <c r="A5107" s="199"/>
    </row>
    <row r="5108" spans="1:1" s="200" customFormat="1" ht="12" hidden="1" customHeight="1">
      <c r="A5108" s="199"/>
    </row>
    <row r="5109" spans="1:1" s="200" customFormat="1" ht="12" hidden="1" customHeight="1">
      <c r="A5109" s="199"/>
    </row>
    <row r="5110" spans="1:1" s="200" customFormat="1" ht="12" hidden="1" customHeight="1">
      <c r="A5110" s="199"/>
    </row>
    <row r="5111" spans="1:1" s="200" customFormat="1" ht="12" hidden="1" customHeight="1">
      <c r="A5111" s="199"/>
    </row>
    <row r="5112" spans="1:1" s="200" customFormat="1" ht="12" hidden="1" customHeight="1">
      <c r="A5112" s="199"/>
    </row>
    <row r="5113" spans="1:1" s="200" customFormat="1" ht="12" hidden="1" customHeight="1">
      <c r="A5113" s="199"/>
    </row>
    <row r="5114" spans="1:1" s="200" customFormat="1" ht="12" hidden="1" customHeight="1">
      <c r="A5114" s="199"/>
    </row>
    <row r="5115" spans="1:1" s="200" customFormat="1" ht="12" hidden="1" customHeight="1">
      <c r="A5115" s="199"/>
    </row>
    <row r="5116" spans="1:1" s="200" customFormat="1" ht="12" hidden="1" customHeight="1">
      <c r="A5116" s="199"/>
    </row>
    <row r="5117" spans="1:1" s="200" customFormat="1" ht="12" hidden="1" customHeight="1">
      <c r="A5117" s="199"/>
    </row>
    <row r="5118" spans="1:1" s="200" customFormat="1" ht="12" hidden="1" customHeight="1">
      <c r="A5118" s="199"/>
    </row>
    <row r="5119" spans="1:1" s="200" customFormat="1" ht="12" hidden="1" customHeight="1">
      <c r="A5119" s="199"/>
    </row>
    <row r="5120" spans="1:1" s="200" customFormat="1" ht="12" hidden="1" customHeight="1">
      <c r="A5120" s="199"/>
    </row>
    <row r="5121" spans="1:1" s="200" customFormat="1" ht="12" hidden="1" customHeight="1">
      <c r="A5121" s="199"/>
    </row>
    <row r="5122" spans="1:1" s="200" customFormat="1" ht="12" hidden="1" customHeight="1">
      <c r="A5122" s="199"/>
    </row>
    <row r="5123" spans="1:1" s="200" customFormat="1" ht="12" hidden="1" customHeight="1">
      <c r="A5123" s="199"/>
    </row>
    <row r="5124" spans="1:1" s="200" customFormat="1" ht="12" hidden="1" customHeight="1">
      <c r="A5124" s="199"/>
    </row>
    <row r="5125" spans="1:1" s="200" customFormat="1" ht="12" hidden="1" customHeight="1">
      <c r="A5125" s="199"/>
    </row>
    <row r="5126" spans="1:1" s="200" customFormat="1" ht="12" hidden="1" customHeight="1">
      <c r="A5126" s="199"/>
    </row>
    <row r="5127" spans="1:1" s="200" customFormat="1" ht="12" hidden="1" customHeight="1">
      <c r="A5127" s="199"/>
    </row>
    <row r="5128" spans="1:1" s="200" customFormat="1" ht="12" hidden="1" customHeight="1">
      <c r="A5128" s="199"/>
    </row>
    <row r="5129" spans="1:1" s="200" customFormat="1" ht="12" hidden="1" customHeight="1">
      <c r="A5129" s="199"/>
    </row>
    <row r="5130" spans="1:1" s="200" customFormat="1" ht="12" hidden="1" customHeight="1">
      <c r="A5130" s="199"/>
    </row>
    <row r="5131" spans="1:1" s="200" customFormat="1" ht="12" hidden="1" customHeight="1">
      <c r="A5131" s="199"/>
    </row>
    <row r="5132" spans="1:1" s="200" customFormat="1" ht="12" hidden="1" customHeight="1">
      <c r="A5132" s="199"/>
    </row>
    <row r="5133" spans="1:1" s="200" customFormat="1" ht="12" hidden="1" customHeight="1">
      <c r="A5133" s="199"/>
    </row>
    <row r="5134" spans="1:1" s="200" customFormat="1" ht="12" hidden="1" customHeight="1">
      <c r="A5134" s="199"/>
    </row>
    <row r="5135" spans="1:1" s="200" customFormat="1" ht="12" hidden="1" customHeight="1">
      <c r="A5135" s="199"/>
    </row>
    <row r="5136" spans="1:1" s="200" customFormat="1" ht="12" hidden="1" customHeight="1">
      <c r="A5136" s="199"/>
    </row>
    <row r="5137" spans="1:1" s="200" customFormat="1" ht="12" hidden="1" customHeight="1">
      <c r="A5137" s="199"/>
    </row>
    <row r="5138" spans="1:1" s="200" customFormat="1" ht="12" hidden="1" customHeight="1">
      <c r="A5138" s="199"/>
    </row>
    <row r="5139" spans="1:1" s="200" customFormat="1" ht="12" hidden="1" customHeight="1">
      <c r="A5139" s="199"/>
    </row>
    <row r="5140" spans="1:1" s="200" customFormat="1" ht="12" hidden="1" customHeight="1">
      <c r="A5140" s="199"/>
    </row>
    <row r="5141" spans="1:1" s="200" customFormat="1" ht="12" hidden="1" customHeight="1">
      <c r="A5141" s="199"/>
    </row>
    <row r="5142" spans="1:1" s="200" customFormat="1" ht="12" hidden="1" customHeight="1">
      <c r="A5142" s="199"/>
    </row>
    <row r="5143" spans="1:1" s="200" customFormat="1" ht="12" hidden="1" customHeight="1">
      <c r="A5143" s="199"/>
    </row>
    <row r="5144" spans="1:1" s="200" customFormat="1" ht="12" hidden="1" customHeight="1">
      <c r="A5144" s="199"/>
    </row>
    <row r="5145" spans="1:1" s="200" customFormat="1" ht="12" hidden="1" customHeight="1">
      <c r="A5145" s="199"/>
    </row>
    <row r="5146" spans="1:1" s="200" customFormat="1" ht="12" hidden="1" customHeight="1">
      <c r="A5146" s="199"/>
    </row>
    <row r="5147" spans="1:1" s="200" customFormat="1" ht="12" hidden="1" customHeight="1">
      <c r="A5147" s="199"/>
    </row>
    <row r="5148" spans="1:1" s="200" customFormat="1" ht="12" hidden="1" customHeight="1">
      <c r="A5148" s="199"/>
    </row>
    <row r="5149" spans="1:1" s="200" customFormat="1" ht="12" hidden="1" customHeight="1">
      <c r="A5149" s="199"/>
    </row>
    <row r="5150" spans="1:1" s="200" customFormat="1" ht="12" hidden="1" customHeight="1">
      <c r="A5150" s="199"/>
    </row>
    <row r="5151" spans="1:1" s="200" customFormat="1" ht="12" hidden="1" customHeight="1">
      <c r="A5151" s="199"/>
    </row>
    <row r="5152" spans="1:1" s="200" customFormat="1" ht="12" hidden="1" customHeight="1">
      <c r="A5152" s="199"/>
    </row>
    <row r="5153" spans="1:1" s="200" customFormat="1" ht="12" hidden="1" customHeight="1">
      <c r="A5153" s="199"/>
    </row>
    <row r="5154" spans="1:1" s="200" customFormat="1" ht="12" hidden="1" customHeight="1">
      <c r="A5154" s="199"/>
    </row>
    <row r="5155" spans="1:1" s="200" customFormat="1" ht="12" hidden="1" customHeight="1">
      <c r="A5155" s="199"/>
    </row>
    <row r="5156" spans="1:1" s="200" customFormat="1" ht="12" hidden="1" customHeight="1">
      <c r="A5156" s="199"/>
    </row>
    <row r="5157" spans="1:1" s="200" customFormat="1" ht="12" hidden="1" customHeight="1">
      <c r="A5157" s="199"/>
    </row>
    <row r="5158" spans="1:1" s="200" customFormat="1" ht="12" hidden="1" customHeight="1">
      <c r="A5158" s="199"/>
    </row>
    <row r="5159" spans="1:1" s="200" customFormat="1" ht="12" hidden="1" customHeight="1">
      <c r="A5159" s="199"/>
    </row>
    <row r="5160" spans="1:1" s="200" customFormat="1" ht="12" hidden="1" customHeight="1">
      <c r="A5160" s="199"/>
    </row>
    <row r="5161" spans="1:1" s="200" customFormat="1" ht="12" hidden="1" customHeight="1">
      <c r="A5161" s="199"/>
    </row>
    <row r="5162" spans="1:1" s="200" customFormat="1" ht="12" hidden="1" customHeight="1">
      <c r="A5162" s="199"/>
    </row>
    <row r="5163" spans="1:1" s="200" customFormat="1" ht="12" hidden="1" customHeight="1">
      <c r="A5163" s="199"/>
    </row>
    <row r="5164" spans="1:1" s="200" customFormat="1" ht="12" hidden="1" customHeight="1">
      <c r="A5164" s="199"/>
    </row>
    <row r="5165" spans="1:1" s="200" customFormat="1" ht="12" hidden="1" customHeight="1">
      <c r="A5165" s="199"/>
    </row>
    <row r="5166" spans="1:1" s="200" customFormat="1" ht="12" hidden="1" customHeight="1">
      <c r="A5166" s="199"/>
    </row>
    <row r="5167" spans="1:1" s="200" customFormat="1" ht="12" hidden="1" customHeight="1">
      <c r="A5167" s="199"/>
    </row>
    <row r="5168" spans="1:1" s="200" customFormat="1" ht="12" hidden="1" customHeight="1">
      <c r="A5168" s="199"/>
    </row>
    <row r="5169" spans="1:1" s="200" customFormat="1" ht="12" hidden="1" customHeight="1">
      <c r="A5169" s="199"/>
    </row>
    <row r="5170" spans="1:1" s="200" customFormat="1" ht="12" hidden="1" customHeight="1">
      <c r="A5170" s="199"/>
    </row>
    <row r="5171" spans="1:1" s="200" customFormat="1" ht="12" hidden="1" customHeight="1">
      <c r="A5171" s="199"/>
    </row>
    <row r="5172" spans="1:1" s="200" customFormat="1" ht="12" hidden="1" customHeight="1">
      <c r="A5172" s="199"/>
    </row>
    <row r="5173" spans="1:1" s="200" customFormat="1" ht="12" hidden="1" customHeight="1">
      <c r="A5173" s="199"/>
    </row>
    <row r="5174" spans="1:1" s="200" customFormat="1" ht="12" hidden="1" customHeight="1">
      <c r="A5174" s="199"/>
    </row>
    <row r="5175" spans="1:1" s="200" customFormat="1" ht="12" hidden="1" customHeight="1">
      <c r="A5175" s="199"/>
    </row>
    <row r="5176" spans="1:1" s="200" customFormat="1" ht="12" hidden="1" customHeight="1">
      <c r="A5176" s="199"/>
    </row>
    <row r="5177" spans="1:1" s="200" customFormat="1" ht="12" hidden="1" customHeight="1">
      <c r="A5177" s="199"/>
    </row>
    <row r="5178" spans="1:1" s="200" customFormat="1" ht="12" hidden="1" customHeight="1">
      <c r="A5178" s="199"/>
    </row>
    <row r="5179" spans="1:1" s="200" customFormat="1" ht="12" hidden="1" customHeight="1">
      <c r="A5179" s="199"/>
    </row>
    <row r="5180" spans="1:1" s="200" customFormat="1" ht="12" hidden="1" customHeight="1">
      <c r="A5180" s="199"/>
    </row>
    <row r="5181" spans="1:1" s="200" customFormat="1" ht="12" hidden="1" customHeight="1">
      <c r="A5181" s="199"/>
    </row>
    <row r="5182" spans="1:1" s="200" customFormat="1" ht="12" hidden="1" customHeight="1">
      <c r="A5182" s="199"/>
    </row>
    <row r="5183" spans="1:1" s="200" customFormat="1" ht="12" hidden="1" customHeight="1">
      <c r="A5183" s="199"/>
    </row>
    <row r="5184" spans="1:1" s="200" customFormat="1" ht="12" hidden="1" customHeight="1">
      <c r="A5184" s="199"/>
    </row>
    <row r="5185" spans="1:1" s="200" customFormat="1" ht="12" hidden="1" customHeight="1">
      <c r="A5185" s="199"/>
    </row>
    <row r="5186" spans="1:1" s="200" customFormat="1" ht="12" hidden="1" customHeight="1">
      <c r="A5186" s="199"/>
    </row>
    <row r="5187" spans="1:1" s="200" customFormat="1" ht="12" hidden="1" customHeight="1">
      <c r="A5187" s="199"/>
    </row>
    <row r="5188" spans="1:1" s="200" customFormat="1" ht="12" hidden="1" customHeight="1">
      <c r="A5188" s="199"/>
    </row>
    <row r="5189" spans="1:1" s="200" customFormat="1" ht="12" hidden="1" customHeight="1">
      <c r="A5189" s="199"/>
    </row>
    <row r="5190" spans="1:1" s="200" customFormat="1" ht="12" hidden="1" customHeight="1">
      <c r="A5190" s="199"/>
    </row>
    <row r="5191" spans="1:1" s="200" customFormat="1" ht="12" hidden="1" customHeight="1">
      <c r="A5191" s="199"/>
    </row>
    <row r="5192" spans="1:1" s="200" customFormat="1" ht="12" hidden="1" customHeight="1">
      <c r="A5192" s="199"/>
    </row>
    <row r="5193" spans="1:1" s="200" customFormat="1" ht="12" hidden="1" customHeight="1">
      <c r="A5193" s="199"/>
    </row>
    <row r="5194" spans="1:1" s="200" customFormat="1" ht="12" hidden="1" customHeight="1">
      <c r="A5194" s="199"/>
    </row>
    <row r="5195" spans="1:1" s="200" customFormat="1" ht="12" hidden="1" customHeight="1">
      <c r="A5195" s="199"/>
    </row>
    <row r="5196" spans="1:1" s="200" customFormat="1" ht="12" hidden="1" customHeight="1">
      <c r="A5196" s="199"/>
    </row>
    <row r="5197" spans="1:1" s="200" customFormat="1" ht="12" hidden="1" customHeight="1">
      <c r="A5197" s="199"/>
    </row>
    <row r="5198" spans="1:1" s="200" customFormat="1" ht="12" hidden="1" customHeight="1">
      <c r="A5198" s="199"/>
    </row>
    <row r="5199" spans="1:1" s="200" customFormat="1" ht="12" hidden="1" customHeight="1">
      <c r="A5199" s="199"/>
    </row>
    <row r="5200" spans="1:1" s="200" customFormat="1" ht="12" hidden="1" customHeight="1">
      <c r="A5200" s="199"/>
    </row>
    <row r="5201" spans="1:1" s="200" customFormat="1" ht="12" hidden="1" customHeight="1">
      <c r="A5201" s="199"/>
    </row>
    <row r="5202" spans="1:1" s="200" customFormat="1" ht="12" hidden="1" customHeight="1">
      <c r="A5202" s="199"/>
    </row>
    <row r="5203" spans="1:1" s="200" customFormat="1" ht="12" hidden="1" customHeight="1">
      <c r="A5203" s="199"/>
    </row>
    <row r="5204" spans="1:1" s="200" customFormat="1" ht="12" hidden="1" customHeight="1">
      <c r="A5204" s="199"/>
    </row>
    <row r="5205" spans="1:1" s="200" customFormat="1" ht="12" hidden="1" customHeight="1">
      <c r="A5205" s="199"/>
    </row>
    <row r="5206" spans="1:1" s="200" customFormat="1" ht="12" hidden="1" customHeight="1">
      <c r="A5206" s="199"/>
    </row>
    <row r="5207" spans="1:1" s="200" customFormat="1" ht="12" hidden="1" customHeight="1">
      <c r="A5207" s="199"/>
    </row>
    <row r="5208" spans="1:1" s="200" customFormat="1" ht="12" hidden="1" customHeight="1">
      <c r="A5208" s="199"/>
    </row>
    <row r="5209" spans="1:1" s="200" customFormat="1" ht="12" hidden="1" customHeight="1">
      <c r="A5209" s="199"/>
    </row>
    <row r="5210" spans="1:1" s="200" customFormat="1" ht="12" hidden="1" customHeight="1">
      <c r="A5210" s="199"/>
    </row>
    <row r="5211" spans="1:1" s="200" customFormat="1" ht="12" hidden="1" customHeight="1">
      <c r="A5211" s="199"/>
    </row>
    <row r="5212" spans="1:1" s="200" customFormat="1" ht="12" hidden="1" customHeight="1">
      <c r="A5212" s="199"/>
    </row>
    <row r="5213" spans="1:1" s="200" customFormat="1" ht="12" hidden="1" customHeight="1">
      <c r="A5213" s="199"/>
    </row>
    <row r="5214" spans="1:1" s="200" customFormat="1" ht="12" hidden="1" customHeight="1">
      <c r="A5214" s="199"/>
    </row>
    <row r="5215" spans="1:1" s="200" customFormat="1" ht="12" hidden="1" customHeight="1">
      <c r="A5215" s="199"/>
    </row>
    <row r="5216" spans="1:1" s="200" customFormat="1" ht="12" hidden="1" customHeight="1">
      <c r="A5216" s="199"/>
    </row>
    <row r="5217" spans="1:1" s="200" customFormat="1" ht="12" hidden="1" customHeight="1">
      <c r="A5217" s="199"/>
    </row>
    <row r="5218" spans="1:1" s="200" customFormat="1" ht="12" hidden="1" customHeight="1">
      <c r="A5218" s="199"/>
    </row>
    <row r="5219" spans="1:1" s="200" customFormat="1" ht="12" hidden="1" customHeight="1">
      <c r="A5219" s="199"/>
    </row>
    <row r="5220" spans="1:1" s="200" customFormat="1" ht="12" hidden="1" customHeight="1">
      <c r="A5220" s="199"/>
    </row>
    <row r="5221" spans="1:1" s="200" customFormat="1" ht="12" hidden="1" customHeight="1">
      <c r="A5221" s="199"/>
    </row>
    <row r="5222" spans="1:1" s="200" customFormat="1" ht="12" hidden="1" customHeight="1">
      <c r="A5222" s="199"/>
    </row>
    <row r="5223" spans="1:1" s="200" customFormat="1" ht="12" hidden="1" customHeight="1">
      <c r="A5223" s="199"/>
    </row>
    <row r="5224" spans="1:1" s="200" customFormat="1" ht="12" hidden="1" customHeight="1">
      <c r="A5224" s="199"/>
    </row>
    <row r="5225" spans="1:1" s="200" customFormat="1" ht="12" hidden="1" customHeight="1">
      <c r="A5225" s="199"/>
    </row>
    <row r="5226" spans="1:1" s="200" customFormat="1" ht="12" hidden="1" customHeight="1">
      <c r="A5226" s="199"/>
    </row>
    <row r="5227" spans="1:1" s="200" customFormat="1" ht="12" hidden="1" customHeight="1">
      <c r="A5227" s="199"/>
    </row>
    <row r="5228" spans="1:1" s="200" customFormat="1" ht="12" hidden="1" customHeight="1">
      <c r="A5228" s="199"/>
    </row>
    <row r="5229" spans="1:1" s="200" customFormat="1" ht="12" hidden="1" customHeight="1">
      <c r="A5229" s="199"/>
    </row>
    <row r="5230" spans="1:1" s="200" customFormat="1" ht="12" hidden="1" customHeight="1">
      <c r="A5230" s="199"/>
    </row>
    <row r="5231" spans="1:1" s="200" customFormat="1" ht="12" hidden="1" customHeight="1">
      <c r="A5231" s="199"/>
    </row>
    <row r="5232" spans="1:1" s="200" customFormat="1" ht="12" hidden="1" customHeight="1">
      <c r="A5232" s="199"/>
    </row>
    <row r="5233" spans="1:1" s="200" customFormat="1" ht="12" hidden="1" customHeight="1">
      <c r="A5233" s="199"/>
    </row>
    <row r="5234" spans="1:1" s="200" customFormat="1" ht="12" hidden="1" customHeight="1">
      <c r="A5234" s="199"/>
    </row>
    <row r="5235" spans="1:1" s="200" customFormat="1" ht="12" hidden="1" customHeight="1">
      <c r="A5235" s="199"/>
    </row>
    <row r="5236" spans="1:1" s="200" customFormat="1" ht="12" hidden="1" customHeight="1">
      <c r="A5236" s="199"/>
    </row>
    <row r="5237" spans="1:1" s="200" customFormat="1" ht="12" hidden="1" customHeight="1">
      <c r="A5237" s="199"/>
    </row>
    <row r="5238" spans="1:1" s="200" customFormat="1" ht="12" hidden="1" customHeight="1">
      <c r="A5238" s="199"/>
    </row>
    <row r="5239" spans="1:1" s="200" customFormat="1" ht="12" hidden="1" customHeight="1">
      <c r="A5239" s="199"/>
    </row>
    <row r="5240" spans="1:1" s="200" customFormat="1" ht="12" hidden="1" customHeight="1">
      <c r="A5240" s="199"/>
    </row>
    <row r="5241" spans="1:1" s="200" customFormat="1" ht="12" hidden="1" customHeight="1">
      <c r="A5241" s="199"/>
    </row>
    <row r="5242" spans="1:1" s="200" customFormat="1" ht="12" hidden="1" customHeight="1">
      <c r="A5242" s="199"/>
    </row>
    <row r="5243" spans="1:1" s="200" customFormat="1" ht="12" hidden="1" customHeight="1">
      <c r="A5243" s="199"/>
    </row>
    <row r="5244" spans="1:1" s="200" customFormat="1" ht="12" hidden="1" customHeight="1">
      <c r="A5244" s="199"/>
    </row>
    <row r="5245" spans="1:1" s="200" customFormat="1" ht="12" hidden="1" customHeight="1">
      <c r="A5245" s="199"/>
    </row>
    <row r="5246" spans="1:1" s="200" customFormat="1" ht="12" hidden="1" customHeight="1">
      <c r="A5246" s="199"/>
    </row>
    <row r="5247" spans="1:1" s="200" customFormat="1" ht="12" hidden="1" customHeight="1">
      <c r="A5247" s="199"/>
    </row>
    <row r="5248" spans="1:1" s="200" customFormat="1" ht="12" hidden="1" customHeight="1">
      <c r="A5248" s="199"/>
    </row>
    <row r="5249" spans="1:1" s="200" customFormat="1" ht="12" hidden="1" customHeight="1">
      <c r="A5249" s="199"/>
    </row>
    <row r="5250" spans="1:1" s="200" customFormat="1" ht="12" hidden="1" customHeight="1">
      <c r="A5250" s="199"/>
    </row>
    <row r="5251" spans="1:1" s="200" customFormat="1" ht="12" hidden="1" customHeight="1">
      <c r="A5251" s="199"/>
    </row>
    <row r="5252" spans="1:1" s="200" customFormat="1" ht="12" hidden="1" customHeight="1">
      <c r="A5252" s="199"/>
    </row>
    <row r="5253" spans="1:1" s="200" customFormat="1" ht="12" hidden="1" customHeight="1">
      <c r="A5253" s="199"/>
    </row>
    <row r="5254" spans="1:1" s="200" customFormat="1" ht="12" hidden="1" customHeight="1">
      <c r="A5254" s="199"/>
    </row>
    <row r="5255" spans="1:1" s="200" customFormat="1" ht="12" hidden="1" customHeight="1">
      <c r="A5255" s="199"/>
    </row>
    <row r="5256" spans="1:1" s="200" customFormat="1" ht="12" hidden="1" customHeight="1">
      <c r="A5256" s="199"/>
    </row>
    <row r="5257" spans="1:1" s="200" customFormat="1" ht="12" hidden="1" customHeight="1">
      <c r="A5257" s="199"/>
    </row>
    <row r="5258" spans="1:1" s="200" customFormat="1" ht="12" hidden="1" customHeight="1">
      <c r="A5258" s="199"/>
    </row>
    <row r="5259" spans="1:1" s="200" customFormat="1" ht="12" hidden="1" customHeight="1">
      <c r="A5259" s="199"/>
    </row>
    <row r="5260" spans="1:1" s="200" customFormat="1" ht="12" hidden="1" customHeight="1">
      <c r="A5260" s="199"/>
    </row>
    <row r="5261" spans="1:1" s="200" customFormat="1" ht="12" hidden="1" customHeight="1">
      <c r="A5261" s="199"/>
    </row>
    <row r="5262" spans="1:1" s="200" customFormat="1" ht="12" hidden="1" customHeight="1">
      <c r="A5262" s="199"/>
    </row>
    <row r="5263" spans="1:1" s="200" customFormat="1" ht="12" hidden="1" customHeight="1">
      <c r="A5263" s="199"/>
    </row>
    <row r="5264" spans="1:1" s="200" customFormat="1" ht="12" hidden="1" customHeight="1">
      <c r="A5264" s="199"/>
    </row>
    <row r="5265" spans="1:1" s="200" customFormat="1" ht="12" hidden="1" customHeight="1">
      <c r="A5265" s="199"/>
    </row>
    <row r="5266" spans="1:1" s="200" customFormat="1" ht="12" hidden="1" customHeight="1">
      <c r="A5266" s="199"/>
    </row>
    <row r="5267" spans="1:1" s="200" customFormat="1" ht="12" hidden="1" customHeight="1">
      <c r="A5267" s="199"/>
    </row>
    <row r="5268" spans="1:1" s="200" customFormat="1" ht="12" hidden="1" customHeight="1">
      <c r="A5268" s="199"/>
    </row>
    <row r="5269" spans="1:1" s="200" customFormat="1" ht="12" hidden="1" customHeight="1">
      <c r="A5269" s="199"/>
    </row>
    <row r="5270" spans="1:1" s="200" customFormat="1" ht="12" hidden="1" customHeight="1">
      <c r="A5270" s="199"/>
    </row>
    <row r="5271" spans="1:1" s="200" customFormat="1" ht="12" hidden="1" customHeight="1">
      <c r="A5271" s="199"/>
    </row>
    <row r="5272" spans="1:1" s="200" customFormat="1" ht="12" hidden="1" customHeight="1">
      <c r="A5272" s="199"/>
    </row>
    <row r="5273" spans="1:1" s="200" customFormat="1" ht="12" hidden="1" customHeight="1">
      <c r="A5273" s="199"/>
    </row>
    <row r="5274" spans="1:1" s="200" customFormat="1" ht="12" hidden="1" customHeight="1">
      <c r="A5274" s="199"/>
    </row>
    <row r="5275" spans="1:1" s="200" customFormat="1" ht="12" hidden="1" customHeight="1">
      <c r="A5275" s="199"/>
    </row>
    <row r="5276" spans="1:1" s="200" customFormat="1" ht="12" hidden="1" customHeight="1">
      <c r="A5276" s="199"/>
    </row>
    <row r="5277" spans="1:1" s="200" customFormat="1" ht="12" hidden="1" customHeight="1">
      <c r="A5277" s="199"/>
    </row>
    <row r="5278" spans="1:1" s="200" customFormat="1" ht="12" hidden="1" customHeight="1">
      <c r="A5278" s="199"/>
    </row>
    <row r="5279" spans="1:1" s="200" customFormat="1" ht="12" hidden="1" customHeight="1">
      <c r="A5279" s="199"/>
    </row>
    <row r="5280" spans="1:1" s="200" customFormat="1" ht="12" hidden="1" customHeight="1">
      <c r="A5280" s="199"/>
    </row>
    <row r="5281" spans="1:1" s="200" customFormat="1" ht="12" hidden="1" customHeight="1">
      <c r="A5281" s="199"/>
    </row>
    <row r="5282" spans="1:1" s="200" customFormat="1" ht="12" hidden="1" customHeight="1">
      <c r="A5282" s="199"/>
    </row>
    <row r="5283" spans="1:1" s="200" customFormat="1" ht="12" hidden="1" customHeight="1">
      <c r="A5283" s="199"/>
    </row>
    <row r="5284" spans="1:1" s="200" customFormat="1" ht="12" hidden="1" customHeight="1">
      <c r="A5284" s="199"/>
    </row>
    <row r="5285" spans="1:1" s="200" customFormat="1" ht="12" hidden="1" customHeight="1">
      <c r="A5285" s="199"/>
    </row>
    <row r="5286" spans="1:1" s="200" customFormat="1" ht="12" hidden="1" customHeight="1">
      <c r="A5286" s="199"/>
    </row>
    <row r="5287" spans="1:1" s="200" customFormat="1" ht="12" hidden="1" customHeight="1">
      <c r="A5287" s="199"/>
    </row>
    <row r="5288" spans="1:1" s="200" customFormat="1" ht="12" hidden="1" customHeight="1">
      <c r="A5288" s="199"/>
    </row>
    <row r="5289" spans="1:1" s="200" customFormat="1" ht="12" hidden="1" customHeight="1">
      <c r="A5289" s="199"/>
    </row>
    <row r="5290" spans="1:1" s="200" customFormat="1" ht="12" hidden="1" customHeight="1">
      <c r="A5290" s="199"/>
    </row>
    <row r="5291" spans="1:1" s="200" customFormat="1" ht="12" hidden="1" customHeight="1">
      <c r="A5291" s="199"/>
    </row>
    <row r="5292" spans="1:1" s="200" customFormat="1" ht="12" hidden="1" customHeight="1">
      <c r="A5292" s="199"/>
    </row>
    <row r="5293" spans="1:1" s="200" customFormat="1" ht="12" hidden="1" customHeight="1">
      <c r="A5293" s="199"/>
    </row>
    <row r="5294" spans="1:1" s="200" customFormat="1" ht="12" hidden="1" customHeight="1">
      <c r="A5294" s="199"/>
    </row>
    <row r="5295" spans="1:1" s="200" customFormat="1" ht="12" hidden="1" customHeight="1">
      <c r="A5295" s="199"/>
    </row>
    <row r="5296" spans="1:1" s="200" customFormat="1" ht="12" hidden="1" customHeight="1">
      <c r="A5296" s="199"/>
    </row>
    <row r="5297" spans="1:1" s="200" customFormat="1" ht="12" hidden="1" customHeight="1">
      <c r="A5297" s="199"/>
    </row>
    <row r="5298" spans="1:1" s="200" customFormat="1" ht="12" hidden="1" customHeight="1">
      <c r="A5298" s="199"/>
    </row>
    <row r="5299" spans="1:1" s="200" customFormat="1" ht="12" hidden="1" customHeight="1">
      <c r="A5299" s="199"/>
    </row>
    <row r="5300" spans="1:1" s="200" customFormat="1" ht="12" hidden="1" customHeight="1">
      <c r="A5300" s="199"/>
    </row>
    <row r="5301" spans="1:1" s="200" customFormat="1" ht="12" hidden="1" customHeight="1">
      <c r="A5301" s="199"/>
    </row>
    <row r="5302" spans="1:1" s="200" customFormat="1" ht="12" hidden="1" customHeight="1">
      <c r="A5302" s="199"/>
    </row>
    <row r="5303" spans="1:1" s="200" customFormat="1" ht="12" hidden="1" customHeight="1">
      <c r="A5303" s="199"/>
    </row>
    <row r="5304" spans="1:1" s="200" customFormat="1" ht="12" hidden="1" customHeight="1">
      <c r="A5304" s="199"/>
    </row>
    <row r="5305" spans="1:1" s="200" customFormat="1" ht="12" hidden="1" customHeight="1">
      <c r="A5305" s="199"/>
    </row>
    <row r="5306" spans="1:1" s="200" customFormat="1" ht="12" hidden="1" customHeight="1">
      <c r="A5306" s="199"/>
    </row>
    <row r="5307" spans="1:1" s="200" customFormat="1" ht="12" hidden="1" customHeight="1">
      <c r="A5307" s="199"/>
    </row>
    <row r="5308" spans="1:1" s="200" customFormat="1" ht="12" hidden="1" customHeight="1">
      <c r="A5308" s="199"/>
    </row>
    <row r="5309" spans="1:1" s="200" customFormat="1" ht="12" hidden="1" customHeight="1">
      <c r="A5309" s="199"/>
    </row>
    <row r="5310" spans="1:1" s="200" customFormat="1" ht="12" hidden="1" customHeight="1">
      <c r="A5310" s="199"/>
    </row>
    <row r="5311" spans="1:1" s="200" customFormat="1" ht="12" hidden="1" customHeight="1">
      <c r="A5311" s="199"/>
    </row>
    <row r="5312" spans="1:1" s="200" customFormat="1" ht="12" hidden="1" customHeight="1">
      <c r="A5312" s="199"/>
    </row>
    <row r="5313" spans="1:1" s="200" customFormat="1" ht="12" hidden="1" customHeight="1">
      <c r="A5313" s="199"/>
    </row>
    <row r="5314" spans="1:1" s="200" customFormat="1" ht="12" hidden="1" customHeight="1">
      <c r="A5314" s="199"/>
    </row>
    <row r="5315" spans="1:1" s="200" customFormat="1" ht="12" hidden="1" customHeight="1">
      <c r="A5315" s="199"/>
    </row>
    <row r="5316" spans="1:1" s="200" customFormat="1" ht="12" hidden="1" customHeight="1">
      <c r="A5316" s="199"/>
    </row>
    <row r="5317" spans="1:1" s="200" customFormat="1" ht="12" hidden="1" customHeight="1">
      <c r="A5317" s="199"/>
    </row>
    <row r="5318" spans="1:1" s="200" customFormat="1" ht="12" hidden="1" customHeight="1">
      <c r="A5318" s="199"/>
    </row>
    <row r="5319" spans="1:1" s="200" customFormat="1" ht="12" hidden="1" customHeight="1">
      <c r="A5319" s="199"/>
    </row>
    <row r="5320" spans="1:1" s="200" customFormat="1" ht="12" hidden="1" customHeight="1">
      <c r="A5320" s="199"/>
    </row>
    <row r="5321" spans="1:1" s="200" customFormat="1" ht="12" hidden="1" customHeight="1">
      <c r="A5321" s="199"/>
    </row>
    <row r="5322" spans="1:1" s="200" customFormat="1" ht="12" hidden="1" customHeight="1">
      <c r="A5322" s="199"/>
    </row>
    <row r="5323" spans="1:1" s="200" customFormat="1" ht="12" hidden="1" customHeight="1">
      <c r="A5323" s="199"/>
    </row>
    <row r="5324" spans="1:1" s="200" customFormat="1" ht="12" hidden="1" customHeight="1">
      <c r="A5324" s="199"/>
    </row>
    <row r="5325" spans="1:1" s="200" customFormat="1" ht="12" hidden="1" customHeight="1">
      <c r="A5325" s="199"/>
    </row>
    <row r="5326" spans="1:1" s="200" customFormat="1" ht="12" hidden="1" customHeight="1">
      <c r="A5326" s="199"/>
    </row>
    <row r="5327" spans="1:1" s="200" customFormat="1" ht="12" hidden="1" customHeight="1">
      <c r="A5327" s="199"/>
    </row>
    <row r="5328" spans="1:1" s="200" customFormat="1" ht="12" hidden="1" customHeight="1">
      <c r="A5328" s="199"/>
    </row>
    <row r="5329" spans="1:1" s="200" customFormat="1" ht="12" hidden="1" customHeight="1">
      <c r="A5329" s="199"/>
    </row>
    <row r="5330" spans="1:1" s="200" customFormat="1" ht="12" hidden="1" customHeight="1">
      <c r="A5330" s="199"/>
    </row>
    <row r="5331" spans="1:1" s="200" customFormat="1" ht="12" hidden="1" customHeight="1">
      <c r="A5331" s="199"/>
    </row>
    <row r="5332" spans="1:1" s="200" customFormat="1" ht="12" hidden="1" customHeight="1">
      <c r="A5332" s="199"/>
    </row>
    <row r="5333" spans="1:1" s="200" customFormat="1" ht="12" hidden="1" customHeight="1">
      <c r="A5333" s="199"/>
    </row>
    <row r="5334" spans="1:1" s="200" customFormat="1" ht="12" hidden="1" customHeight="1">
      <c r="A5334" s="199"/>
    </row>
    <row r="5335" spans="1:1" s="200" customFormat="1" ht="12" hidden="1" customHeight="1">
      <c r="A5335" s="199"/>
    </row>
    <row r="5336" spans="1:1" s="200" customFormat="1" ht="12" hidden="1" customHeight="1">
      <c r="A5336" s="199"/>
    </row>
    <row r="5337" spans="1:1" s="200" customFormat="1" ht="12" hidden="1" customHeight="1">
      <c r="A5337" s="199"/>
    </row>
    <row r="5338" spans="1:1" s="200" customFormat="1" ht="12" hidden="1" customHeight="1">
      <c r="A5338" s="199"/>
    </row>
    <row r="5339" spans="1:1" s="200" customFormat="1" ht="12" hidden="1" customHeight="1">
      <c r="A5339" s="199"/>
    </row>
    <row r="5340" spans="1:1" s="200" customFormat="1" ht="12" hidden="1" customHeight="1">
      <c r="A5340" s="199"/>
    </row>
    <row r="5341" spans="1:1" s="200" customFormat="1" ht="12" hidden="1" customHeight="1">
      <c r="A5341" s="199"/>
    </row>
    <row r="5342" spans="1:1" s="200" customFormat="1" ht="12" hidden="1" customHeight="1">
      <c r="A5342" s="199"/>
    </row>
    <row r="5343" spans="1:1" s="200" customFormat="1" ht="12" hidden="1" customHeight="1">
      <c r="A5343" s="199"/>
    </row>
    <row r="5344" spans="1:1" s="200" customFormat="1" ht="12" hidden="1" customHeight="1">
      <c r="A5344" s="199"/>
    </row>
    <row r="5345" spans="1:1" s="200" customFormat="1" ht="12" hidden="1" customHeight="1">
      <c r="A5345" s="199"/>
    </row>
    <row r="5346" spans="1:1" s="200" customFormat="1" ht="12" hidden="1" customHeight="1">
      <c r="A5346" s="199"/>
    </row>
    <row r="5347" spans="1:1" s="200" customFormat="1" ht="12" hidden="1" customHeight="1">
      <c r="A5347" s="199"/>
    </row>
    <row r="5348" spans="1:1" s="200" customFormat="1" ht="12" hidden="1" customHeight="1">
      <c r="A5348" s="199"/>
    </row>
    <row r="5349" spans="1:1" s="200" customFormat="1" ht="12" hidden="1" customHeight="1">
      <c r="A5349" s="199"/>
    </row>
    <row r="5350" spans="1:1" s="200" customFormat="1" ht="12" hidden="1" customHeight="1">
      <c r="A5350" s="199"/>
    </row>
    <row r="5351" spans="1:1" s="200" customFormat="1" ht="12" hidden="1" customHeight="1">
      <c r="A5351" s="199"/>
    </row>
    <row r="5352" spans="1:1" s="200" customFormat="1" ht="12" hidden="1" customHeight="1">
      <c r="A5352" s="199"/>
    </row>
    <row r="5353" spans="1:1" s="200" customFormat="1" ht="12" hidden="1" customHeight="1">
      <c r="A5353" s="199"/>
    </row>
    <row r="5354" spans="1:1" s="200" customFormat="1" ht="12" hidden="1" customHeight="1">
      <c r="A5354" s="199"/>
    </row>
    <row r="5355" spans="1:1" s="200" customFormat="1" ht="12" hidden="1" customHeight="1">
      <c r="A5355" s="199"/>
    </row>
    <row r="5356" spans="1:1" s="200" customFormat="1" ht="12" hidden="1" customHeight="1">
      <c r="A5356" s="199"/>
    </row>
    <row r="5357" spans="1:1" s="200" customFormat="1" ht="12" hidden="1" customHeight="1">
      <c r="A5357" s="199"/>
    </row>
    <row r="5358" spans="1:1" s="200" customFormat="1" ht="12" hidden="1" customHeight="1">
      <c r="A5358" s="199"/>
    </row>
    <row r="5359" spans="1:1" s="200" customFormat="1" ht="12" hidden="1" customHeight="1">
      <c r="A5359" s="199"/>
    </row>
    <row r="5360" spans="1:1" s="200" customFormat="1" ht="12" hidden="1" customHeight="1">
      <c r="A5360" s="199"/>
    </row>
    <row r="5361" spans="1:1" s="200" customFormat="1" ht="12" hidden="1" customHeight="1">
      <c r="A5361" s="199"/>
    </row>
    <row r="5362" spans="1:1" s="200" customFormat="1" ht="12" hidden="1" customHeight="1">
      <c r="A5362" s="199"/>
    </row>
    <row r="5363" spans="1:1" s="200" customFormat="1" ht="12" hidden="1" customHeight="1">
      <c r="A5363" s="199"/>
    </row>
    <row r="5364" spans="1:1" s="200" customFormat="1" ht="12" hidden="1" customHeight="1">
      <c r="A5364" s="199"/>
    </row>
    <row r="5365" spans="1:1" s="200" customFormat="1" ht="12" hidden="1" customHeight="1">
      <c r="A5365" s="199"/>
    </row>
    <row r="5366" spans="1:1" s="200" customFormat="1" ht="12" hidden="1" customHeight="1">
      <c r="A5366" s="199"/>
    </row>
    <row r="5367" spans="1:1" s="200" customFormat="1" ht="12" hidden="1" customHeight="1">
      <c r="A5367" s="199"/>
    </row>
    <row r="5368" spans="1:1" s="200" customFormat="1" ht="12" hidden="1" customHeight="1">
      <c r="A5368" s="199"/>
    </row>
    <row r="5369" spans="1:1" s="200" customFormat="1" ht="12" hidden="1" customHeight="1">
      <c r="A5369" s="199"/>
    </row>
    <row r="5370" spans="1:1" s="200" customFormat="1" ht="12" hidden="1" customHeight="1">
      <c r="A5370" s="199"/>
    </row>
    <row r="5371" spans="1:1" s="200" customFormat="1" ht="12" hidden="1" customHeight="1">
      <c r="A5371" s="199"/>
    </row>
    <row r="5372" spans="1:1" s="200" customFormat="1" ht="12" hidden="1" customHeight="1">
      <c r="A5372" s="199"/>
    </row>
    <row r="5373" spans="1:1" s="200" customFormat="1" ht="12" hidden="1" customHeight="1">
      <c r="A5373" s="199"/>
    </row>
    <row r="5374" spans="1:1" s="200" customFormat="1" ht="12" hidden="1" customHeight="1">
      <c r="A5374" s="199"/>
    </row>
    <row r="5375" spans="1:1" s="200" customFormat="1" ht="12" hidden="1" customHeight="1">
      <c r="A5375" s="199"/>
    </row>
    <row r="5376" spans="1:1" s="200" customFormat="1" ht="12" hidden="1" customHeight="1">
      <c r="A5376" s="199"/>
    </row>
    <row r="5377" spans="1:1" s="200" customFormat="1" ht="12" hidden="1" customHeight="1">
      <c r="A5377" s="199"/>
    </row>
    <row r="5378" spans="1:1" s="200" customFormat="1" ht="12" hidden="1" customHeight="1">
      <c r="A5378" s="199"/>
    </row>
    <row r="5379" spans="1:1" s="200" customFormat="1" ht="12" hidden="1" customHeight="1">
      <c r="A5379" s="199"/>
    </row>
    <row r="5380" spans="1:1" s="200" customFormat="1" ht="12" hidden="1" customHeight="1">
      <c r="A5380" s="199"/>
    </row>
    <row r="5381" spans="1:1" s="200" customFormat="1" ht="12" hidden="1" customHeight="1">
      <c r="A5381" s="199"/>
    </row>
    <row r="5382" spans="1:1" s="200" customFormat="1" ht="12" hidden="1" customHeight="1">
      <c r="A5382" s="199"/>
    </row>
    <row r="5383" spans="1:1" s="200" customFormat="1" ht="12" hidden="1" customHeight="1">
      <c r="A5383" s="199"/>
    </row>
    <row r="5384" spans="1:1" s="200" customFormat="1" ht="12" hidden="1" customHeight="1">
      <c r="A5384" s="199"/>
    </row>
    <row r="5385" spans="1:1" s="200" customFormat="1" ht="12" hidden="1" customHeight="1">
      <c r="A5385" s="199"/>
    </row>
    <row r="5386" spans="1:1" s="200" customFormat="1" ht="12" hidden="1" customHeight="1">
      <c r="A5386" s="199"/>
    </row>
    <row r="5387" spans="1:1" s="200" customFormat="1" ht="12" hidden="1" customHeight="1">
      <c r="A5387" s="199"/>
    </row>
    <row r="5388" spans="1:1" s="200" customFormat="1" ht="12" hidden="1" customHeight="1">
      <c r="A5388" s="199"/>
    </row>
    <row r="5389" spans="1:1" s="200" customFormat="1" ht="12" hidden="1" customHeight="1">
      <c r="A5389" s="199"/>
    </row>
    <row r="5390" spans="1:1" s="200" customFormat="1" ht="12" hidden="1" customHeight="1">
      <c r="A5390" s="199"/>
    </row>
    <row r="5391" spans="1:1" s="200" customFormat="1" ht="12" hidden="1" customHeight="1">
      <c r="A5391" s="199"/>
    </row>
    <row r="5392" spans="1:1" s="200" customFormat="1" ht="12" hidden="1" customHeight="1">
      <c r="A5392" s="199"/>
    </row>
    <row r="5393" spans="1:1" s="200" customFormat="1" ht="12" hidden="1" customHeight="1">
      <c r="A5393" s="199"/>
    </row>
    <row r="5394" spans="1:1" s="200" customFormat="1" ht="12" hidden="1" customHeight="1">
      <c r="A5394" s="199"/>
    </row>
    <row r="5395" spans="1:1" s="200" customFormat="1" ht="12" hidden="1" customHeight="1">
      <c r="A5395" s="199"/>
    </row>
    <row r="5396" spans="1:1" s="200" customFormat="1" ht="12" hidden="1" customHeight="1">
      <c r="A5396" s="199"/>
    </row>
    <row r="5397" spans="1:1" s="200" customFormat="1" ht="12" hidden="1" customHeight="1">
      <c r="A5397" s="199"/>
    </row>
    <row r="5398" spans="1:1" s="200" customFormat="1" ht="12" hidden="1" customHeight="1">
      <c r="A5398" s="199"/>
    </row>
    <row r="5399" spans="1:1" s="200" customFormat="1" ht="12" hidden="1" customHeight="1">
      <c r="A5399" s="199"/>
    </row>
    <row r="5400" spans="1:1" s="200" customFormat="1" ht="12" hidden="1" customHeight="1">
      <c r="A5400" s="199"/>
    </row>
    <row r="5401" spans="1:1" s="200" customFormat="1" ht="12" hidden="1" customHeight="1">
      <c r="A5401" s="199"/>
    </row>
    <row r="5402" spans="1:1" s="200" customFormat="1" ht="12" hidden="1" customHeight="1">
      <c r="A5402" s="199"/>
    </row>
    <row r="5403" spans="1:1" s="200" customFormat="1" ht="12" hidden="1" customHeight="1">
      <c r="A5403" s="199"/>
    </row>
    <row r="5404" spans="1:1" s="200" customFormat="1" ht="12" hidden="1" customHeight="1">
      <c r="A5404" s="199"/>
    </row>
    <row r="5405" spans="1:1" s="200" customFormat="1" ht="12" hidden="1" customHeight="1">
      <c r="A5405" s="199"/>
    </row>
    <row r="5406" spans="1:1" s="200" customFormat="1" ht="12" hidden="1" customHeight="1">
      <c r="A5406" s="199"/>
    </row>
    <row r="5407" spans="1:1" s="200" customFormat="1" ht="12" hidden="1" customHeight="1">
      <c r="A5407" s="199"/>
    </row>
    <row r="5408" spans="1:1" s="200" customFormat="1" ht="12" hidden="1" customHeight="1">
      <c r="A5408" s="199"/>
    </row>
    <row r="5409" spans="1:1" s="200" customFormat="1" ht="12" hidden="1" customHeight="1">
      <c r="A5409" s="199"/>
    </row>
    <row r="5410" spans="1:1" s="200" customFormat="1" ht="12" hidden="1" customHeight="1">
      <c r="A5410" s="199"/>
    </row>
    <row r="5411" spans="1:1" s="200" customFormat="1" ht="12" hidden="1" customHeight="1">
      <c r="A5411" s="199"/>
    </row>
    <row r="5412" spans="1:1" s="200" customFormat="1" ht="12" hidden="1" customHeight="1">
      <c r="A5412" s="199"/>
    </row>
    <row r="5413" spans="1:1" s="200" customFormat="1" ht="12" hidden="1" customHeight="1">
      <c r="A5413" s="199"/>
    </row>
    <row r="5414" spans="1:1" s="200" customFormat="1" ht="12" hidden="1" customHeight="1">
      <c r="A5414" s="199"/>
    </row>
    <row r="5415" spans="1:1" s="200" customFormat="1" ht="12" hidden="1" customHeight="1">
      <c r="A5415" s="199"/>
    </row>
    <row r="5416" spans="1:1" s="200" customFormat="1" ht="12" hidden="1" customHeight="1">
      <c r="A5416" s="199"/>
    </row>
    <row r="5417" spans="1:1" s="200" customFormat="1" ht="12" hidden="1" customHeight="1">
      <c r="A5417" s="199"/>
    </row>
    <row r="5418" spans="1:1" s="200" customFormat="1" ht="12" hidden="1" customHeight="1">
      <c r="A5418" s="199"/>
    </row>
    <row r="5419" spans="1:1" s="200" customFormat="1" ht="12" hidden="1" customHeight="1">
      <c r="A5419" s="199"/>
    </row>
    <row r="5420" spans="1:1" s="200" customFormat="1" ht="12" hidden="1" customHeight="1">
      <c r="A5420" s="199"/>
    </row>
    <row r="5421" spans="1:1" s="200" customFormat="1" ht="12" hidden="1" customHeight="1">
      <c r="A5421" s="199"/>
    </row>
    <row r="5422" spans="1:1" s="200" customFormat="1" ht="12" hidden="1" customHeight="1">
      <c r="A5422" s="199"/>
    </row>
    <row r="5423" spans="1:1" s="200" customFormat="1" ht="12" hidden="1" customHeight="1">
      <c r="A5423" s="199"/>
    </row>
    <row r="5424" spans="1:1" s="200" customFormat="1" ht="12" hidden="1" customHeight="1">
      <c r="A5424" s="199"/>
    </row>
    <row r="5425" spans="1:1" s="200" customFormat="1" ht="12" hidden="1" customHeight="1">
      <c r="A5425" s="199"/>
    </row>
    <row r="5426" spans="1:1" s="200" customFormat="1" ht="12" hidden="1" customHeight="1">
      <c r="A5426" s="199"/>
    </row>
    <row r="5427" spans="1:1" s="200" customFormat="1" ht="12" hidden="1" customHeight="1">
      <c r="A5427" s="199"/>
    </row>
    <row r="5428" spans="1:1" s="200" customFormat="1" ht="12" hidden="1" customHeight="1">
      <c r="A5428" s="199"/>
    </row>
    <row r="5429" spans="1:1" s="200" customFormat="1" ht="12" hidden="1" customHeight="1">
      <c r="A5429" s="199"/>
    </row>
    <row r="5430" spans="1:1" s="200" customFormat="1" ht="12" hidden="1" customHeight="1">
      <c r="A5430" s="199"/>
    </row>
    <row r="5431" spans="1:1" s="200" customFormat="1" ht="12" hidden="1" customHeight="1">
      <c r="A5431" s="199"/>
    </row>
    <row r="5432" spans="1:1" s="200" customFormat="1" ht="12" hidden="1" customHeight="1">
      <c r="A5432" s="199"/>
    </row>
    <row r="5433" spans="1:1" s="200" customFormat="1" ht="12" hidden="1" customHeight="1">
      <c r="A5433" s="199"/>
    </row>
    <row r="5434" spans="1:1" s="200" customFormat="1" ht="12" hidden="1" customHeight="1">
      <c r="A5434" s="199"/>
    </row>
    <row r="5435" spans="1:1" s="200" customFormat="1" ht="12" hidden="1" customHeight="1">
      <c r="A5435" s="199"/>
    </row>
    <row r="5436" spans="1:1" s="200" customFormat="1" ht="12" hidden="1" customHeight="1">
      <c r="A5436" s="199"/>
    </row>
    <row r="5437" spans="1:1" s="200" customFormat="1" ht="12" hidden="1" customHeight="1">
      <c r="A5437" s="199"/>
    </row>
    <row r="5438" spans="1:1" s="200" customFormat="1" ht="12" hidden="1" customHeight="1">
      <c r="A5438" s="199"/>
    </row>
    <row r="5439" spans="1:1" s="200" customFormat="1" ht="12" hidden="1" customHeight="1">
      <c r="A5439" s="199"/>
    </row>
    <row r="5440" spans="1:1" s="200" customFormat="1" ht="12" hidden="1" customHeight="1">
      <c r="A5440" s="199"/>
    </row>
    <row r="5441" spans="1:1" s="200" customFormat="1" ht="12" hidden="1" customHeight="1">
      <c r="A5441" s="199"/>
    </row>
    <row r="5442" spans="1:1" s="200" customFormat="1" ht="12" hidden="1" customHeight="1">
      <c r="A5442" s="199"/>
    </row>
    <row r="5443" spans="1:1" s="200" customFormat="1" ht="12" hidden="1" customHeight="1">
      <c r="A5443" s="199"/>
    </row>
    <row r="5444" spans="1:1" s="200" customFormat="1" ht="12" hidden="1" customHeight="1">
      <c r="A5444" s="199"/>
    </row>
    <row r="5445" spans="1:1" s="200" customFormat="1" ht="12" hidden="1" customHeight="1">
      <c r="A5445" s="199"/>
    </row>
    <row r="5446" spans="1:1" s="200" customFormat="1" ht="12" hidden="1" customHeight="1">
      <c r="A5446" s="199"/>
    </row>
    <row r="5447" spans="1:1" s="200" customFormat="1" ht="12" hidden="1" customHeight="1">
      <c r="A5447" s="199"/>
    </row>
    <row r="5448" spans="1:1" s="200" customFormat="1" ht="12" hidden="1" customHeight="1">
      <c r="A5448" s="199"/>
    </row>
    <row r="5449" spans="1:1" s="200" customFormat="1" ht="12" hidden="1" customHeight="1">
      <c r="A5449" s="199"/>
    </row>
    <row r="5450" spans="1:1" s="200" customFormat="1" ht="12" hidden="1" customHeight="1">
      <c r="A5450" s="199"/>
    </row>
    <row r="5451" spans="1:1" s="200" customFormat="1" ht="12" hidden="1" customHeight="1">
      <c r="A5451" s="199"/>
    </row>
    <row r="5452" spans="1:1" s="200" customFormat="1" ht="12" hidden="1" customHeight="1">
      <c r="A5452" s="199"/>
    </row>
    <row r="5453" spans="1:1" s="200" customFormat="1" ht="12" hidden="1" customHeight="1">
      <c r="A5453" s="199"/>
    </row>
    <row r="5454" spans="1:1" s="200" customFormat="1" ht="12" hidden="1" customHeight="1">
      <c r="A5454" s="199"/>
    </row>
    <row r="5455" spans="1:1" s="200" customFormat="1" ht="12" hidden="1" customHeight="1">
      <c r="A5455" s="199"/>
    </row>
    <row r="5456" spans="1:1" s="200" customFormat="1" ht="12" hidden="1" customHeight="1">
      <c r="A5456" s="199"/>
    </row>
    <row r="5457" spans="1:1" s="200" customFormat="1" ht="12" hidden="1" customHeight="1">
      <c r="A5457" s="199"/>
    </row>
    <row r="5458" spans="1:1" s="200" customFormat="1" ht="12" hidden="1" customHeight="1">
      <c r="A5458" s="199"/>
    </row>
    <row r="5459" spans="1:1" s="200" customFormat="1" ht="12" hidden="1" customHeight="1">
      <c r="A5459" s="199"/>
    </row>
    <row r="5460" spans="1:1" s="200" customFormat="1" ht="12" hidden="1" customHeight="1">
      <c r="A5460" s="199"/>
    </row>
    <row r="5461" spans="1:1" s="200" customFormat="1" ht="12" hidden="1" customHeight="1">
      <c r="A5461" s="199"/>
    </row>
    <row r="5462" spans="1:1" s="200" customFormat="1" ht="12" hidden="1" customHeight="1">
      <c r="A5462" s="199"/>
    </row>
    <row r="5463" spans="1:1" s="200" customFormat="1" ht="12" hidden="1" customHeight="1">
      <c r="A5463" s="199"/>
    </row>
    <row r="5464" spans="1:1" s="200" customFormat="1" ht="12" hidden="1" customHeight="1">
      <c r="A5464" s="199"/>
    </row>
    <row r="5465" spans="1:1" s="200" customFormat="1" ht="12" hidden="1" customHeight="1">
      <c r="A5465" s="199"/>
    </row>
    <row r="5466" spans="1:1" s="200" customFormat="1" ht="12" hidden="1" customHeight="1">
      <c r="A5466" s="199"/>
    </row>
    <row r="5467" spans="1:1" s="200" customFormat="1" ht="12" hidden="1" customHeight="1">
      <c r="A5467" s="199"/>
    </row>
    <row r="5468" spans="1:1" s="200" customFormat="1" ht="12" hidden="1" customHeight="1">
      <c r="A5468" s="199"/>
    </row>
    <row r="5469" spans="1:1" s="200" customFormat="1" ht="12" hidden="1" customHeight="1">
      <c r="A5469" s="199"/>
    </row>
    <row r="5470" spans="1:1" s="200" customFormat="1" ht="12" hidden="1" customHeight="1">
      <c r="A5470" s="199"/>
    </row>
    <row r="5471" spans="1:1" s="200" customFormat="1" ht="12" hidden="1" customHeight="1">
      <c r="A5471" s="199"/>
    </row>
    <row r="5472" spans="1:1" s="200" customFormat="1" ht="12" hidden="1" customHeight="1">
      <c r="A5472" s="199"/>
    </row>
    <row r="5473" spans="1:1" s="200" customFormat="1" ht="12" hidden="1" customHeight="1">
      <c r="A5473" s="199"/>
    </row>
    <row r="5474" spans="1:1" s="200" customFormat="1" ht="12" hidden="1" customHeight="1">
      <c r="A5474" s="199"/>
    </row>
    <row r="5475" spans="1:1" s="200" customFormat="1" ht="12" hidden="1" customHeight="1">
      <c r="A5475" s="199"/>
    </row>
    <row r="5476" spans="1:1" s="200" customFormat="1" ht="12" hidden="1" customHeight="1">
      <c r="A5476" s="199"/>
    </row>
    <row r="5477" spans="1:1" s="200" customFormat="1" ht="12" hidden="1" customHeight="1">
      <c r="A5477" s="199"/>
    </row>
    <row r="5478" spans="1:1" s="200" customFormat="1" ht="12" hidden="1" customHeight="1">
      <c r="A5478" s="199"/>
    </row>
    <row r="5479" spans="1:1" s="200" customFormat="1" ht="12" hidden="1" customHeight="1">
      <c r="A5479" s="199"/>
    </row>
    <row r="5480" spans="1:1" s="200" customFormat="1" ht="12" hidden="1" customHeight="1">
      <c r="A5480" s="199"/>
    </row>
    <row r="5481" spans="1:1" s="200" customFormat="1" ht="12" hidden="1" customHeight="1">
      <c r="A5481" s="199"/>
    </row>
    <row r="5482" spans="1:1" s="200" customFormat="1" ht="12" hidden="1" customHeight="1">
      <c r="A5482" s="199"/>
    </row>
    <row r="5483" spans="1:1" s="200" customFormat="1" ht="12" hidden="1" customHeight="1">
      <c r="A5483" s="199"/>
    </row>
    <row r="5484" spans="1:1" s="200" customFormat="1" ht="12" hidden="1" customHeight="1">
      <c r="A5484" s="199"/>
    </row>
    <row r="5485" spans="1:1" s="200" customFormat="1" ht="12" hidden="1" customHeight="1">
      <c r="A5485" s="199"/>
    </row>
    <row r="5486" spans="1:1" s="200" customFormat="1" ht="12" hidden="1" customHeight="1">
      <c r="A5486" s="199"/>
    </row>
    <row r="5487" spans="1:1" s="200" customFormat="1" ht="12" hidden="1" customHeight="1">
      <c r="A5487" s="199"/>
    </row>
    <row r="5488" spans="1:1" s="200" customFormat="1" ht="12" hidden="1" customHeight="1">
      <c r="A5488" s="199"/>
    </row>
    <row r="5489" spans="1:1" s="200" customFormat="1" ht="12" hidden="1" customHeight="1">
      <c r="A5489" s="199"/>
    </row>
    <row r="5490" spans="1:1" s="200" customFormat="1" ht="12" hidden="1" customHeight="1">
      <c r="A5490" s="199"/>
    </row>
    <row r="5491" spans="1:1" s="200" customFormat="1" ht="12" hidden="1" customHeight="1">
      <c r="A5491" s="199"/>
    </row>
    <row r="5492" spans="1:1" s="200" customFormat="1" ht="12" hidden="1" customHeight="1">
      <c r="A5492" s="199"/>
    </row>
    <row r="5493" spans="1:1" s="200" customFormat="1" ht="12" hidden="1" customHeight="1">
      <c r="A5493" s="199"/>
    </row>
    <row r="5494" spans="1:1" s="200" customFormat="1" ht="12" hidden="1" customHeight="1">
      <c r="A5494" s="199"/>
    </row>
    <row r="5495" spans="1:1" s="200" customFormat="1" ht="12" hidden="1" customHeight="1">
      <c r="A5495" s="199"/>
    </row>
    <row r="5496" spans="1:1" s="200" customFormat="1" ht="12" hidden="1" customHeight="1">
      <c r="A5496" s="199"/>
    </row>
    <row r="5497" spans="1:1" s="200" customFormat="1" ht="12" hidden="1" customHeight="1">
      <c r="A5497" s="199"/>
    </row>
    <row r="5498" spans="1:1" s="200" customFormat="1" ht="12" hidden="1" customHeight="1">
      <c r="A5498" s="199"/>
    </row>
    <row r="5499" spans="1:1" s="200" customFormat="1" ht="12" hidden="1" customHeight="1">
      <c r="A5499" s="199"/>
    </row>
    <row r="5500" spans="1:1" s="200" customFormat="1" ht="12" hidden="1" customHeight="1">
      <c r="A5500" s="199"/>
    </row>
    <row r="5501" spans="1:1" s="200" customFormat="1" ht="12" hidden="1" customHeight="1">
      <c r="A5501" s="199"/>
    </row>
    <row r="5502" spans="1:1" s="200" customFormat="1" ht="12" hidden="1" customHeight="1">
      <c r="A5502" s="199"/>
    </row>
    <row r="5503" spans="1:1" s="200" customFormat="1" ht="12" hidden="1" customHeight="1">
      <c r="A5503" s="199"/>
    </row>
    <row r="5504" spans="1:1" s="200" customFormat="1" ht="12" hidden="1" customHeight="1">
      <c r="A5504" s="199"/>
    </row>
    <row r="5505" spans="1:1" s="200" customFormat="1" ht="12" hidden="1" customHeight="1">
      <c r="A5505" s="199"/>
    </row>
    <row r="5506" spans="1:1" s="200" customFormat="1" ht="12" hidden="1" customHeight="1">
      <c r="A5506" s="199"/>
    </row>
    <row r="5507" spans="1:1" s="200" customFormat="1" ht="12" hidden="1" customHeight="1">
      <c r="A5507" s="199"/>
    </row>
    <row r="5508" spans="1:1" s="200" customFormat="1" ht="12" hidden="1" customHeight="1">
      <c r="A5508" s="199"/>
    </row>
    <row r="5509" spans="1:1" s="200" customFormat="1" ht="12" hidden="1" customHeight="1">
      <c r="A5509" s="199"/>
    </row>
    <row r="5510" spans="1:1" s="200" customFormat="1" ht="12" hidden="1" customHeight="1">
      <c r="A5510" s="199"/>
    </row>
    <row r="5511" spans="1:1" s="200" customFormat="1" ht="12" hidden="1" customHeight="1">
      <c r="A5511" s="199"/>
    </row>
    <row r="5512" spans="1:1" s="200" customFormat="1" ht="12" hidden="1" customHeight="1">
      <c r="A5512" s="199"/>
    </row>
    <row r="5513" spans="1:1" s="200" customFormat="1" ht="12" hidden="1" customHeight="1">
      <c r="A5513" s="199"/>
    </row>
    <row r="5514" spans="1:1" s="200" customFormat="1" ht="12" hidden="1" customHeight="1">
      <c r="A5514" s="199"/>
    </row>
    <row r="5515" spans="1:1" s="200" customFormat="1" ht="12" hidden="1" customHeight="1">
      <c r="A5515" s="199"/>
    </row>
    <row r="5516" spans="1:1" s="200" customFormat="1" ht="12" hidden="1" customHeight="1">
      <c r="A5516" s="199"/>
    </row>
    <row r="5517" spans="1:1" s="200" customFormat="1" ht="12" hidden="1" customHeight="1">
      <c r="A5517" s="199"/>
    </row>
    <row r="5518" spans="1:1" s="200" customFormat="1" ht="12" hidden="1" customHeight="1">
      <c r="A5518" s="199"/>
    </row>
    <row r="5519" spans="1:1" s="200" customFormat="1" ht="12" hidden="1" customHeight="1">
      <c r="A5519" s="199"/>
    </row>
    <row r="5520" spans="1:1" s="200" customFormat="1" ht="12" hidden="1" customHeight="1">
      <c r="A5520" s="199"/>
    </row>
    <row r="5521" spans="1:1" s="200" customFormat="1" ht="12" hidden="1" customHeight="1">
      <c r="A5521" s="199"/>
    </row>
    <row r="5522" spans="1:1" s="200" customFormat="1" ht="12" hidden="1" customHeight="1">
      <c r="A5522" s="199"/>
    </row>
    <row r="5523" spans="1:1" s="200" customFormat="1" ht="12" hidden="1" customHeight="1">
      <c r="A5523" s="199"/>
    </row>
    <row r="5524" spans="1:1" s="200" customFormat="1" ht="12" hidden="1" customHeight="1">
      <c r="A5524" s="199"/>
    </row>
    <row r="5525" spans="1:1" s="200" customFormat="1" ht="12" hidden="1" customHeight="1">
      <c r="A5525" s="199"/>
    </row>
    <row r="5526" spans="1:1" s="200" customFormat="1" ht="12" hidden="1" customHeight="1">
      <c r="A5526" s="199"/>
    </row>
    <row r="5527" spans="1:1" s="200" customFormat="1" ht="12" hidden="1" customHeight="1">
      <c r="A5527" s="199"/>
    </row>
    <row r="5528" spans="1:1" s="200" customFormat="1" ht="12" hidden="1" customHeight="1">
      <c r="A5528" s="199"/>
    </row>
    <row r="5529" spans="1:1" s="200" customFormat="1" ht="12" hidden="1" customHeight="1">
      <c r="A5529" s="199"/>
    </row>
    <row r="5530" spans="1:1" s="200" customFormat="1" ht="12" hidden="1" customHeight="1">
      <c r="A5530" s="199"/>
    </row>
    <row r="5531" spans="1:1" s="200" customFormat="1" ht="12" hidden="1" customHeight="1">
      <c r="A5531" s="199"/>
    </row>
    <row r="5532" spans="1:1" s="200" customFormat="1" ht="12" hidden="1" customHeight="1">
      <c r="A5532" s="199"/>
    </row>
    <row r="5533" spans="1:1" s="200" customFormat="1" ht="12" hidden="1" customHeight="1">
      <c r="A5533" s="199"/>
    </row>
    <row r="5534" spans="1:1" s="200" customFormat="1" ht="12" hidden="1" customHeight="1">
      <c r="A5534" s="199"/>
    </row>
    <row r="5535" spans="1:1" s="200" customFormat="1" ht="12" hidden="1" customHeight="1">
      <c r="A5535" s="199"/>
    </row>
    <row r="5536" spans="1:1" s="200" customFormat="1" ht="12" hidden="1" customHeight="1">
      <c r="A5536" s="199"/>
    </row>
    <row r="5537" spans="1:1" s="200" customFormat="1" ht="12" hidden="1" customHeight="1">
      <c r="A5537" s="199"/>
    </row>
    <row r="5538" spans="1:1" s="200" customFormat="1" ht="12" hidden="1" customHeight="1">
      <c r="A5538" s="199"/>
    </row>
    <row r="5539" spans="1:1" s="200" customFormat="1" ht="12" hidden="1" customHeight="1">
      <c r="A5539" s="199"/>
    </row>
    <row r="5540" spans="1:1" s="200" customFormat="1" ht="12" hidden="1" customHeight="1">
      <c r="A5540" s="199"/>
    </row>
    <row r="5541" spans="1:1" s="200" customFormat="1" ht="12" hidden="1" customHeight="1">
      <c r="A5541" s="199"/>
    </row>
    <row r="5542" spans="1:1" s="200" customFormat="1" ht="12" hidden="1" customHeight="1">
      <c r="A5542" s="199"/>
    </row>
    <row r="5543" spans="1:1" s="200" customFormat="1" ht="12" hidden="1" customHeight="1">
      <c r="A5543" s="199"/>
    </row>
    <row r="5544" spans="1:1" s="200" customFormat="1" ht="12" hidden="1" customHeight="1">
      <c r="A5544" s="199"/>
    </row>
    <row r="5545" spans="1:1" s="200" customFormat="1" ht="12" hidden="1" customHeight="1">
      <c r="A5545" s="199"/>
    </row>
    <row r="5546" spans="1:1" s="200" customFormat="1" ht="12" hidden="1" customHeight="1">
      <c r="A5546" s="199"/>
    </row>
    <row r="5547" spans="1:1" s="200" customFormat="1" ht="12" hidden="1" customHeight="1">
      <c r="A5547" s="199"/>
    </row>
    <row r="5548" spans="1:1" s="200" customFormat="1" ht="12" hidden="1" customHeight="1">
      <c r="A5548" s="199"/>
    </row>
    <row r="5549" spans="1:1" s="200" customFormat="1" ht="12" hidden="1" customHeight="1">
      <c r="A5549" s="199"/>
    </row>
    <row r="5550" spans="1:1" s="200" customFormat="1" ht="12" hidden="1" customHeight="1">
      <c r="A5550" s="199"/>
    </row>
    <row r="5551" spans="1:1" s="200" customFormat="1" ht="12" hidden="1" customHeight="1">
      <c r="A5551" s="199"/>
    </row>
    <row r="5552" spans="1:1" s="200" customFormat="1" ht="12" hidden="1" customHeight="1">
      <c r="A5552" s="199"/>
    </row>
    <row r="5553" spans="1:1" s="200" customFormat="1" ht="12" hidden="1" customHeight="1">
      <c r="A5553" s="199"/>
    </row>
    <row r="5554" spans="1:1" s="200" customFormat="1" ht="12" hidden="1" customHeight="1">
      <c r="A5554" s="199"/>
    </row>
    <row r="5555" spans="1:1" s="200" customFormat="1" ht="12" hidden="1" customHeight="1">
      <c r="A5555" s="199"/>
    </row>
    <row r="5556" spans="1:1" s="200" customFormat="1" ht="12" hidden="1" customHeight="1">
      <c r="A5556" s="199"/>
    </row>
    <row r="5557" spans="1:1" s="200" customFormat="1" ht="12" hidden="1" customHeight="1">
      <c r="A5557" s="199"/>
    </row>
    <row r="5558" spans="1:1" s="200" customFormat="1" ht="12" hidden="1" customHeight="1">
      <c r="A5558" s="199"/>
    </row>
    <row r="5559" spans="1:1" s="200" customFormat="1" ht="12" hidden="1" customHeight="1">
      <c r="A5559" s="199"/>
    </row>
    <row r="5560" spans="1:1" s="200" customFormat="1" ht="12" hidden="1" customHeight="1">
      <c r="A5560" s="199"/>
    </row>
    <row r="5561" spans="1:1" s="200" customFormat="1" ht="12" hidden="1" customHeight="1">
      <c r="A5561" s="199"/>
    </row>
    <row r="5562" spans="1:1" s="200" customFormat="1" ht="12" hidden="1" customHeight="1">
      <c r="A5562" s="199"/>
    </row>
    <row r="5563" spans="1:1" s="200" customFormat="1" ht="12" hidden="1" customHeight="1">
      <c r="A5563" s="199"/>
    </row>
    <row r="5564" spans="1:1" s="200" customFormat="1" ht="12" hidden="1" customHeight="1">
      <c r="A5564" s="199"/>
    </row>
    <row r="5565" spans="1:1" s="200" customFormat="1" ht="12" hidden="1" customHeight="1">
      <c r="A5565" s="199"/>
    </row>
    <row r="5566" spans="1:1" s="200" customFormat="1" ht="12" hidden="1" customHeight="1">
      <c r="A5566" s="199"/>
    </row>
    <row r="5567" spans="1:1" s="200" customFormat="1" ht="12" hidden="1" customHeight="1">
      <c r="A5567" s="199"/>
    </row>
    <row r="5568" spans="1:1" s="200" customFormat="1" ht="12" hidden="1" customHeight="1">
      <c r="A5568" s="199"/>
    </row>
    <row r="5569" spans="1:1" s="200" customFormat="1" ht="12" hidden="1" customHeight="1">
      <c r="A5569" s="199"/>
    </row>
    <row r="5570" spans="1:1" s="200" customFormat="1" ht="12" hidden="1" customHeight="1">
      <c r="A5570" s="199"/>
    </row>
    <row r="5571" spans="1:1" s="200" customFormat="1" ht="12" hidden="1" customHeight="1">
      <c r="A5571" s="199"/>
    </row>
    <row r="5572" spans="1:1" s="200" customFormat="1" ht="12" hidden="1" customHeight="1">
      <c r="A5572" s="199"/>
    </row>
    <row r="5573" spans="1:1" s="200" customFormat="1" ht="12" hidden="1" customHeight="1">
      <c r="A5573" s="199"/>
    </row>
    <row r="5574" spans="1:1" s="200" customFormat="1" ht="12" hidden="1" customHeight="1">
      <c r="A5574" s="199"/>
    </row>
    <row r="5575" spans="1:1" s="200" customFormat="1" ht="12" hidden="1" customHeight="1">
      <c r="A5575" s="199"/>
    </row>
    <row r="5576" spans="1:1" s="200" customFormat="1" ht="12" hidden="1" customHeight="1">
      <c r="A5576" s="199"/>
    </row>
    <row r="5577" spans="1:1" s="200" customFormat="1" ht="12" hidden="1" customHeight="1">
      <c r="A5577" s="199"/>
    </row>
    <row r="5578" spans="1:1" s="200" customFormat="1" ht="12" hidden="1" customHeight="1">
      <c r="A5578" s="199"/>
    </row>
    <row r="5579" spans="1:1" s="200" customFormat="1" ht="12" hidden="1" customHeight="1">
      <c r="A5579" s="199"/>
    </row>
    <row r="5580" spans="1:1" s="200" customFormat="1" ht="12" hidden="1" customHeight="1">
      <c r="A5580" s="199"/>
    </row>
    <row r="5581" spans="1:1" s="200" customFormat="1" ht="12" hidden="1" customHeight="1">
      <c r="A5581" s="199"/>
    </row>
    <row r="5582" spans="1:1" s="200" customFormat="1" ht="12" hidden="1" customHeight="1">
      <c r="A5582" s="199"/>
    </row>
    <row r="5583" spans="1:1" s="200" customFormat="1" ht="12" hidden="1" customHeight="1">
      <c r="A5583" s="199"/>
    </row>
    <row r="5584" spans="1:1" s="200" customFormat="1" ht="12" hidden="1" customHeight="1">
      <c r="A5584" s="199"/>
    </row>
    <row r="5585" spans="1:1" s="200" customFormat="1" ht="12" hidden="1" customHeight="1">
      <c r="A5585" s="199"/>
    </row>
    <row r="5586" spans="1:1" s="200" customFormat="1" ht="12" hidden="1" customHeight="1">
      <c r="A5586" s="199"/>
    </row>
    <row r="5587" spans="1:1" s="200" customFormat="1" ht="12" hidden="1" customHeight="1">
      <c r="A5587" s="199"/>
    </row>
    <row r="5588" spans="1:1" s="200" customFormat="1" ht="12" hidden="1" customHeight="1">
      <c r="A5588" s="199"/>
    </row>
    <row r="5589" spans="1:1" s="200" customFormat="1" ht="12" hidden="1" customHeight="1">
      <c r="A5589" s="199"/>
    </row>
    <row r="5590" spans="1:1" s="200" customFormat="1" ht="12" hidden="1" customHeight="1">
      <c r="A5590" s="199"/>
    </row>
    <row r="5591" spans="1:1" s="200" customFormat="1" ht="12" hidden="1" customHeight="1">
      <c r="A5591" s="199"/>
    </row>
    <row r="5592" spans="1:1" s="200" customFormat="1" ht="12" hidden="1" customHeight="1">
      <c r="A5592" s="199"/>
    </row>
    <row r="5593" spans="1:1" s="200" customFormat="1" ht="12" hidden="1" customHeight="1">
      <c r="A5593" s="199"/>
    </row>
    <row r="5594" spans="1:1" s="200" customFormat="1" ht="12" hidden="1" customHeight="1">
      <c r="A5594" s="199"/>
    </row>
    <row r="5595" spans="1:1" s="200" customFormat="1" ht="12" hidden="1" customHeight="1">
      <c r="A5595" s="199"/>
    </row>
    <row r="5596" spans="1:1" s="200" customFormat="1" ht="12" hidden="1" customHeight="1">
      <c r="A5596" s="199"/>
    </row>
    <row r="5597" spans="1:1" s="200" customFormat="1" ht="12" hidden="1" customHeight="1">
      <c r="A5597" s="199"/>
    </row>
    <row r="5598" spans="1:1" s="200" customFormat="1" ht="12" hidden="1" customHeight="1">
      <c r="A5598" s="199"/>
    </row>
    <row r="5599" spans="1:1" s="200" customFormat="1" ht="12" hidden="1" customHeight="1">
      <c r="A5599" s="199"/>
    </row>
    <row r="5600" spans="1:1" s="200" customFormat="1" ht="12" hidden="1" customHeight="1">
      <c r="A5600" s="199"/>
    </row>
    <row r="5601" spans="1:1" s="200" customFormat="1" ht="12" hidden="1" customHeight="1">
      <c r="A5601" s="199"/>
    </row>
    <row r="5602" spans="1:1" s="200" customFormat="1" ht="12" hidden="1" customHeight="1">
      <c r="A5602" s="199"/>
    </row>
    <row r="5603" spans="1:1" s="200" customFormat="1" ht="12" hidden="1" customHeight="1">
      <c r="A5603" s="199"/>
    </row>
    <row r="5604" spans="1:1" s="200" customFormat="1" ht="12" hidden="1" customHeight="1">
      <c r="A5604" s="199"/>
    </row>
    <row r="5605" spans="1:1" s="200" customFormat="1" ht="12" hidden="1" customHeight="1">
      <c r="A5605" s="199"/>
    </row>
    <row r="5606" spans="1:1" s="200" customFormat="1" ht="12" hidden="1" customHeight="1">
      <c r="A5606" s="199"/>
    </row>
    <row r="5607" spans="1:1" s="200" customFormat="1" ht="12" hidden="1" customHeight="1">
      <c r="A5607" s="199"/>
    </row>
    <row r="5608" spans="1:1" s="200" customFormat="1" ht="12" hidden="1" customHeight="1">
      <c r="A5608" s="199"/>
    </row>
    <row r="5609" spans="1:1" s="200" customFormat="1" ht="12" hidden="1" customHeight="1">
      <c r="A5609" s="199"/>
    </row>
    <row r="5610" spans="1:1" s="200" customFormat="1" ht="12" hidden="1" customHeight="1">
      <c r="A5610" s="199"/>
    </row>
    <row r="5611" spans="1:1" s="200" customFormat="1" ht="12" hidden="1" customHeight="1">
      <c r="A5611" s="199"/>
    </row>
    <row r="5612" spans="1:1" s="200" customFormat="1" ht="12" hidden="1" customHeight="1">
      <c r="A5612" s="199"/>
    </row>
    <row r="5613" spans="1:1" s="200" customFormat="1" ht="12" hidden="1" customHeight="1">
      <c r="A5613" s="199"/>
    </row>
    <row r="5614" spans="1:1" s="200" customFormat="1" ht="12" hidden="1" customHeight="1">
      <c r="A5614" s="199"/>
    </row>
    <row r="5615" spans="1:1" s="200" customFormat="1" ht="12" hidden="1" customHeight="1">
      <c r="A5615" s="199"/>
    </row>
    <row r="5616" spans="1:1" s="200" customFormat="1" ht="12" hidden="1" customHeight="1">
      <c r="A5616" s="199"/>
    </row>
    <row r="5617" spans="1:1" s="200" customFormat="1" ht="12" hidden="1" customHeight="1">
      <c r="A5617" s="199"/>
    </row>
    <row r="5618" spans="1:1" s="200" customFormat="1" ht="12" hidden="1" customHeight="1">
      <c r="A5618" s="199"/>
    </row>
    <row r="5619" spans="1:1" s="200" customFormat="1" ht="12" hidden="1" customHeight="1">
      <c r="A5619" s="199"/>
    </row>
    <row r="5620" spans="1:1" s="200" customFormat="1" ht="12" hidden="1" customHeight="1">
      <c r="A5620" s="199"/>
    </row>
    <row r="5621" spans="1:1" s="200" customFormat="1" ht="12" hidden="1" customHeight="1">
      <c r="A5621" s="199"/>
    </row>
    <row r="5622" spans="1:1" s="200" customFormat="1" ht="12" hidden="1" customHeight="1">
      <c r="A5622" s="199"/>
    </row>
    <row r="5623" spans="1:1" s="200" customFormat="1" ht="12" hidden="1" customHeight="1">
      <c r="A5623" s="199"/>
    </row>
    <row r="5624" spans="1:1" s="200" customFormat="1" ht="12" hidden="1" customHeight="1">
      <c r="A5624" s="199"/>
    </row>
    <row r="5625" spans="1:1" s="200" customFormat="1" ht="12" hidden="1" customHeight="1">
      <c r="A5625" s="199"/>
    </row>
    <row r="5626" spans="1:1" s="200" customFormat="1" ht="12" hidden="1" customHeight="1">
      <c r="A5626" s="199"/>
    </row>
    <row r="5627" spans="1:1" s="200" customFormat="1" ht="12" hidden="1" customHeight="1">
      <c r="A5627" s="199"/>
    </row>
    <row r="5628" spans="1:1" s="200" customFormat="1" ht="12" hidden="1" customHeight="1">
      <c r="A5628" s="199"/>
    </row>
    <row r="5629" spans="1:1" s="200" customFormat="1" ht="12" hidden="1" customHeight="1">
      <c r="A5629" s="199"/>
    </row>
    <row r="5630" spans="1:1" s="200" customFormat="1" ht="12" hidden="1" customHeight="1">
      <c r="A5630" s="199"/>
    </row>
    <row r="5631" spans="1:1" s="200" customFormat="1" ht="12" hidden="1" customHeight="1">
      <c r="A5631" s="199"/>
    </row>
    <row r="5632" spans="1:1" s="200" customFormat="1" ht="12" hidden="1" customHeight="1">
      <c r="A5632" s="199"/>
    </row>
    <row r="5633" spans="1:1" s="200" customFormat="1" ht="12" hidden="1" customHeight="1">
      <c r="A5633" s="199"/>
    </row>
    <row r="5634" spans="1:1" s="200" customFormat="1" ht="12" hidden="1" customHeight="1">
      <c r="A5634" s="199"/>
    </row>
    <row r="5635" spans="1:1" s="200" customFormat="1" ht="12" hidden="1" customHeight="1">
      <c r="A5635" s="199"/>
    </row>
    <row r="5636" spans="1:1" s="200" customFormat="1" ht="12" hidden="1" customHeight="1">
      <c r="A5636" s="199"/>
    </row>
    <row r="5637" spans="1:1" s="200" customFormat="1" ht="12" hidden="1" customHeight="1">
      <c r="A5637" s="199"/>
    </row>
    <row r="5638" spans="1:1" s="200" customFormat="1" ht="12" hidden="1" customHeight="1">
      <c r="A5638" s="199"/>
    </row>
    <row r="5639" spans="1:1" s="200" customFormat="1" ht="12" hidden="1" customHeight="1">
      <c r="A5639" s="199"/>
    </row>
    <row r="5640" spans="1:1" s="200" customFormat="1" ht="12" hidden="1" customHeight="1">
      <c r="A5640" s="199"/>
    </row>
    <row r="5641" spans="1:1" s="200" customFormat="1" ht="12" hidden="1" customHeight="1">
      <c r="A5641" s="199"/>
    </row>
    <row r="5642" spans="1:1" s="200" customFormat="1" ht="12" hidden="1" customHeight="1">
      <c r="A5642" s="199"/>
    </row>
    <row r="5643" spans="1:1" s="200" customFormat="1" ht="12" hidden="1" customHeight="1">
      <c r="A5643" s="199"/>
    </row>
    <row r="5644" spans="1:1" s="200" customFormat="1" ht="12" hidden="1" customHeight="1">
      <c r="A5644" s="199"/>
    </row>
    <row r="5645" spans="1:1" s="200" customFormat="1" ht="12" hidden="1" customHeight="1">
      <c r="A5645" s="199"/>
    </row>
    <row r="5646" spans="1:1" s="200" customFormat="1" ht="12" hidden="1" customHeight="1">
      <c r="A5646" s="199"/>
    </row>
    <row r="5647" spans="1:1" s="200" customFormat="1" ht="12" hidden="1" customHeight="1">
      <c r="A5647" s="199"/>
    </row>
    <row r="5648" spans="1:1" s="200" customFormat="1" ht="12" hidden="1" customHeight="1">
      <c r="A5648" s="199"/>
    </row>
    <row r="5649" spans="1:1" s="200" customFormat="1" ht="12" hidden="1" customHeight="1">
      <c r="A5649" s="199"/>
    </row>
    <row r="5650" spans="1:1" s="200" customFormat="1" ht="12" hidden="1" customHeight="1">
      <c r="A5650" s="199"/>
    </row>
    <row r="5651" spans="1:1" s="200" customFormat="1" ht="12" hidden="1" customHeight="1">
      <c r="A5651" s="199"/>
    </row>
    <row r="5652" spans="1:1" s="200" customFormat="1" ht="12" hidden="1" customHeight="1">
      <c r="A5652" s="199"/>
    </row>
    <row r="5653" spans="1:1" s="200" customFormat="1" ht="12" hidden="1" customHeight="1">
      <c r="A5653" s="199"/>
    </row>
    <row r="5654" spans="1:1" s="200" customFormat="1" ht="12" hidden="1" customHeight="1">
      <c r="A5654" s="199"/>
    </row>
    <row r="5655" spans="1:1" s="200" customFormat="1" ht="12" hidden="1" customHeight="1">
      <c r="A5655" s="199"/>
    </row>
    <row r="5656" spans="1:1" s="200" customFormat="1" ht="12" hidden="1" customHeight="1">
      <c r="A5656" s="199"/>
    </row>
    <row r="5657" spans="1:1" s="200" customFormat="1" ht="12" hidden="1" customHeight="1">
      <c r="A5657" s="199"/>
    </row>
    <row r="5658" spans="1:1" s="200" customFormat="1" ht="12" hidden="1" customHeight="1">
      <c r="A5658" s="199"/>
    </row>
    <row r="5659" spans="1:1" s="200" customFormat="1" ht="12" hidden="1" customHeight="1">
      <c r="A5659" s="199"/>
    </row>
    <row r="5660" spans="1:1" s="200" customFormat="1" ht="12" hidden="1" customHeight="1">
      <c r="A5660" s="199"/>
    </row>
    <row r="5661" spans="1:1" s="200" customFormat="1" ht="12" hidden="1" customHeight="1">
      <c r="A5661" s="199"/>
    </row>
    <row r="5662" spans="1:1" s="200" customFormat="1" ht="12" hidden="1" customHeight="1">
      <c r="A5662" s="199"/>
    </row>
    <row r="5663" spans="1:1" s="200" customFormat="1" ht="12" hidden="1" customHeight="1">
      <c r="A5663" s="199"/>
    </row>
    <row r="5664" spans="1:1" s="200" customFormat="1" ht="12" hidden="1" customHeight="1">
      <c r="A5664" s="199"/>
    </row>
    <row r="5665" spans="1:1" s="200" customFormat="1" ht="12" hidden="1" customHeight="1">
      <c r="A5665" s="199"/>
    </row>
    <row r="5666" spans="1:1" s="200" customFormat="1" ht="12" hidden="1" customHeight="1">
      <c r="A5666" s="199"/>
    </row>
    <row r="5667" spans="1:1" s="200" customFormat="1" ht="12" hidden="1" customHeight="1">
      <c r="A5667" s="199"/>
    </row>
    <row r="5668" spans="1:1" s="200" customFormat="1" ht="12" hidden="1" customHeight="1">
      <c r="A5668" s="199"/>
    </row>
    <row r="5669" spans="1:1" s="200" customFormat="1" ht="12" hidden="1" customHeight="1">
      <c r="A5669" s="199"/>
    </row>
    <row r="5670" spans="1:1" s="200" customFormat="1" ht="12" hidden="1" customHeight="1">
      <c r="A5670" s="199"/>
    </row>
    <row r="5671" spans="1:1" s="200" customFormat="1" ht="12" hidden="1" customHeight="1">
      <c r="A5671" s="199"/>
    </row>
    <row r="5672" spans="1:1" s="200" customFormat="1" ht="12" hidden="1" customHeight="1">
      <c r="A5672" s="199"/>
    </row>
    <row r="5673" spans="1:1" s="200" customFormat="1" ht="12" hidden="1" customHeight="1">
      <c r="A5673" s="199"/>
    </row>
    <row r="5674" spans="1:1" s="200" customFormat="1" ht="12" hidden="1" customHeight="1">
      <c r="A5674" s="199"/>
    </row>
    <row r="5675" spans="1:1" s="200" customFormat="1" ht="12" hidden="1" customHeight="1">
      <c r="A5675" s="199"/>
    </row>
    <row r="5676" spans="1:1" s="200" customFormat="1" ht="12" hidden="1" customHeight="1">
      <c r="A5676" s="199"/>
    </row>
    <row r="5677" spans="1:1" s="200" customFormat="1" ht="12" hidden="1" customHeight="1">
      <c r="A5677" s="199"/>
    </row>
    <row r="5678" spans="1:1" s="200" customFormat="1" ht="12" hidden="1" customHeight="1">
      <c r="A5678" s="199"/>
    </row>
    <row r="5679" spans="1:1" s="200" customFormat="1" ht="12" hidden="1" customHeight="1">
      <c r="A5679" s="199"/>
    </row>
    <row r="5680" spans="1:1" s="200" customFormat="1" ht="12" hidden="1" customHeight="1">
      <c r="A5680" s="199"/>
    </row>
    <row r="5681" spans="1:1" s="200" customFormat="1" ht="12" hidden="1" customHeight="1">
      <c r="A5681" s="199"/>
    </row>
    <row r="5682" spans="1:1" s="200" customFormat="1" ht="12" hidden="1" customHeight="1">
      <c r="A5682" s="199"/>
    </row>
    <row r="5683" spans="1:1" s="200" customFormat="1" ht="12" hidden="1" customHeight="1">
      <c r="A5683" s="199"/>
    </row>
    <row r="5684" spans="1:1" s="200" customFormat="1" ht="12" hidden="1" customHeight="1">
      <c r="A5684" s="199"/>
    </row>
    <row r="5685" spans="1:1" s="200" customFormat="1" ht="12" hidden="1" customHeight="1">
      <c r="A5685" s="199"/>
    </row>
    <row r="5686" spans="1:1" s="200" customFormat="1" ht="12" hidden="1" customHeight="1">
      <c r="A5686" s="199"/>
    </row>
    <row r="5687" spans="1:1" s="200" customFormat="1" ht="12" hidden="1" customHeight="1">
      <c r="A5687" s="199"/>
    </row>
    <row r="5688" spans="1:1" s="200" customFormat="1" ht="12" hidden="1" customHeight="1">
      <c r="A5688" s="199"/>
    </row>
    <row r="5689" spans="1:1" s="200" customFormat="1" ht="12" hidden="1" customHeight="1">
      <c r="A5689" s="199"/>
    </row>
    <row r="5690" spans="1:1" s="200" customFormat="1" ht="12" hidden="1" customHeight="1">
      <c r="A5690" s="199"/>
    </row>
    <row r="5691" spans="1:1" s="200" customFormat="1" ht="12" hidden="1" customHeight="1">
      <c r="A5691" s="199"/>
    </row>
    <row r="5692" spans="1:1" s="200" customFormat="1" ht="12" hidden="1" customHeight="1">
      <c r="A5692" s="199"/>
    </row>
    <row r="5693" spans="1:1" s="200" customFormat="1" ht="12" hidden="1" customHeight="1">
      <c r="A5693" s="199"/>
    </row>
    <row r="5694" spans="1:1" s="200" customFormat="1" ht="12" hidden="1" customHeight="1">
      <c r="A5694" s="199"/>
    </row>
    <row r="5695" spans="1:1" s="200" customFormat="1" ht="12" hidden="1" customHeight="1">
      <c r="A5695" s="199"/>
    </row>
    <row r="5696" spans="1:1" s="200" customFormat="1" ht="12" hidden="1" customHeight="1">
      <c r="A5696" s="199"/>
    </row>
    <row r="5697" spans="1:1" s="200" customFormat="1" ht="12" hidden="1" customHeight="1">
      <c r="A5697" s="199"/>
    </row>
    <row r="5698" spans="1:1" s="200" customFormat="1" ht="12" hidden="1" customHeight="1">
      <c r="A5698" s="199"/>
    </row>
    <row r="5699" spans="1:1" s="200" customFormat="1" ht="12" hidden="1" customHeight="1">
      <c r="A5699" s="199"/>
    </row>
    <row r="5700" spans="1:1" s="200" customFormat="1" ht="12" hidden="1" customHeight="1">
      <c r="A5700" s="199"/>
    </row>
    <row r="5701" spans="1:1" s="200" customFormat="1" ht="12" hidden="1" customHeight="1">
      <c r="A5701" s="199"/>
    </row>
    <row r="5702" spans="1:1" s="200" customFormat="1" ht="12" hidden="1" customHeight="1">
      <c r="A5702" s="199"/>
    </row>
    <row r="5703" spans="1:1" s="200" customFormat="1" ht="12" hidden="1" customHeight="1">
      <c r="A5703" s="199"/>
    </row>
    <row r="5704" spans="1:1" s="200" customFormat="1" ht="12" hidden="1" customHeight="1">
      <c r="A5704" s="199"/>
    </row>
    <row r="5705" spans="1:1" s="200" customFormat="1" ht="12" hidden="1" customHeight="1">
      <c r="A5705" s="199"/>
    </row>
    <row r="5706" spans="1:1" s="200" customFormat="1" ht="12" hidden="1" customHeight="1">
      <c r="A5706" s="199"/>
    </row>
    <row r="5707" spans="1:1" s="200" customFormat="1" ht="12" hidden="1" customHeight="1">
      <c r="A5707" s="199"/>
    </row>
    <row r="5708" spans="1:1" s="200" customFormat="1" ht="12" hidden="1" customHeight="1">
      <c r="A5708" s="199"/>
    </row>
    <row r="5709" spans="1:1" s="200" customFormat="1" ht="12" hidden="1" customHeight="1">
      <c r="A5709" s="199"/>
    </row>
    <row r="5710" spans="1:1" s="200" customFormat="1" ht="12" hidden="1" customHeight="1">
      <c r="A5710" s="199"/>
    </row>
    <row r="5711" spans="1:1" s="200" customFormat="1" ht="12" hidden="1" customHeight="1">
      <c r="A5711" s="199"/>
    </row>
    <row r="5712" spans="1:1" s="200" customFormat="1" ht="12" hidden="1" customHeight="1">
      <c r="A5712" s="199"/>
    </row>
    <row r="5713" spans="1:1" s="200" customFormat="1" ht="12" hidden="1" customHeight="1">
      <c r="A5713" s="199"/>
    </row>
    <row r="5714" spans="1:1" s="200" customFormat="1" ht="12" hidden="1" customHeight="1">
      <c r="A5714" s="199"/>
    </row>
    <row r="5715" spans="1:1" s="200" customFormat="1" ht="12" hidden="1" customHeight="1">
      <c r="A5715" s="199"/>
    </row>
    <row r="5716" spans="1:1" s="200" customFormat="1" ht="12" hidden="1" customHeight="1">
      <c r="A5716" s="199"/>
    </row>
    <row r="5717" spans="1:1" s="200" customFormat="1" ht="12" hidden="1" customHeight="1">
      <c r="A5717" s="199"/>
    </row>
    <row r="5718" spans="1:1" s="200" customFormat="1" ht="12" hidden="1" customHeight="1">
      <c r="A5718" s="199"/>
    </row>
    <row r="5719" spans="1:1" s="200" customFormat="1" ht="12" hidden="1" customHeight="1">
      <c r="A5719" s="199"/>
    </row>
    <row r="5720" spans="1:1" s="200" customFormat="1" ht="12" hidden="1" customHeight="1">
      <c r="A5720" s="199"/>
    </row>
    <row r="5721" spans="1:1" s="200" customFormat="1" ht="12" hidden="1" customHeight="1">
      <c r="A5721" s="199"/>
    </row>
    <row r="5722" spans="1:1" s="200" customFormat="1" ht="12" hidden="1" customHeight="1">
      <c r="A5722" s="199"/>
    </row>
    <row r="5723" spans="1:1" s="200" customFormat="1" ht="12" hidden="1" customHeight="1">
      <c r="A5723" s="199"/>
    </row>
    <row r="5724" spans="1:1" s="200" customFormat="1" ht="12" hidden="1" customHeight="1">
      <c r="A5724" s="199"/>
    </row>
    <row r="5725" spans="1:1" s="200" customFormat="1" ht="12" hidden="1" customHeight="1">
      <c r="A5725" s="199"/>
    </row>
    <row r="5726" spans="1:1" s="200" customFormat="1" ht="12" hidden="1" customHeight="1">
      <c r="A5726" s="199"/>
    </row>
    <row r="5727" spans="1:1" s="200" customFormat="1" ht="12" hidden="1" customHeight="1">
      <c r="A5727" s="199"/>
    </row>
    <row r="5728" spans="1:1" s="200" customFormat="1" ht="12" hidden="1" customHeight="1">
      <c r="A5728" s="199"/>
    </row>
    <row r="5729" spans="1:1" s="200" customFormat="1" ht="12" hidden="1" customHeight="1">
      <c r="A5729" s="199"/>
    </row>
    <row r="5730" spans="1:1" s="200" customFormat="1" ht="12" hidden="1" customHeight="1">
      <c r="A5730" s="199"/>
    </row>
    <row r="5731" spans="1:1" s="200" customFormat="1" ht="12" hidden="1" customHeight="1">
      <c r="A5731" s="199"/>
    </row>
    <row r="5732" spans="1:1" s="200" customFormat="1" ht="12" hidden="1" customHeight="1">
      <c r="A5732" s="199"/>
    </row>
    <row r="5733" spans="1:1" s="200" customFormat="1" ht="12" hidden="1" customHeight="1">
      <c r="A5733" s="199"/>
    </row>
    <row r="5734" spans="1:1" s="200" customFormat="1" ht="12" hidden="1" customHeight="1">
      <c r="A5734" s="199"/>
    </row>
    <row r="5735" spans="1:1" s="200" customFormat="1" ht="12" hidden="1" customHeight="1">
      <c r="A5735" s="199"/>
    </row>
    <row r="5736" spans="1:1" s="200" customFormat="1" ht="12" hidden="1" customHeight="1">
      <c r="A5736" s="199"/>
    </row>
    <row r="5737" spans="1:1" s="200" customFormat="1" ht="12" hidden="1" customHeight="1">
      <c r="A5737" s="199"/>
    </row>
    <row r="5738" spans="1:1" s="200" customFormat="1" ht="12" hidden="1" customHeight="1">
      <c r="A5738" s="199"/>
    </row>
    <row r="5739" spans="1:1" s="200" customFormat="1" ht="12" hidden="1" customHeight="1">
      <c r="A5739" s="199"/>
    </row>
    <row r="5740" spans="1:1" s="200" customFormat="1" ht="12" hidden="1" customHeight="1">
      <c r="A5740" s="199"/>
    </row>
    <row r="5741" spans="1:1" s="200" customFormat="1" ht="12" hidden="1" customHeight="1">
      <c r="A5741" s="199"/>
    </row>
    <row r="5742" spans="1:1" s="200" customFormat="1" ht="12" hidden="1" customHeight="1">
      <c r="A5742" s="199"/>
    </row>
    <row r="5743" spans="1:1" s="200" customFormat="1" ht="12" hidden="1" customHeight="1">
      <c r="A5743" s="199"/>
    </row>
    <row r="5744" spans="1:1" s="200" customFormat="1" ht="12" hidden="1" customHeight="1">
      <c r="A5744" s="199"/>
    </row>
    <row r="5745" spans="1:1" s="200" customFormat="1" ht="12" hidden="1" customHeight="1">
      <c r="A5745" s="199"/>
    </row>
    <row r="5746" spans="1:1" s="200" customFormat="1" ht="12" hidden="1" customHeight="1">
      <c r="A5746" s="199"/>
    </row>
    <row r="5747" spans="1:1" s="200" customFormat="1" ht="12" hidden="1" customHeight="1">
      <c r="A5747" s="199"/>
    </row>
    <row r="5748" spans="1:1" s="200" customFormat="1" ht="12" hidden="1" customHeight="1">
      <c r="A5748" s="199"/>
    </row>
    <row r="5749" spans="1:1" s="200" customFormat="1" ht="12" hidden="1" customHeight="1">
      <c r="A5749" s="199"/>
    </row>
    <row r="5750" spans="1:1" s="200" customFormat="1" ht="12" hidden="1" customHeight="1">
      <c r="A5750" s="199"/>
    </row>
    <row r="5751" spans="1:1" s="200" customFormat="1" ht="12" hidden="1" customHeight="1">
      <c r="A5751" s="199"/>
    </row>
    <row r="5752" spans="1:1" s="200" customFormat="1" ht="12" hidden="1" customHeight="1">
      <c r="A5752" s="199"/>
    </row>
    <row r="5753" spans="1:1" s="200" customFormat="1" ht="12" hidden="1" customHeight="1">
      <c r="A5753" s="199"/>
    </row>
    <row r="5754" spans="1:1" s="200" customFormat="1" ht="12" hidden="1" customHeight="1">
      <c r="A5754" s="199"/>
    </row>
    <row r="5755" spans="1:1" s="200" customFormat="1" ht="12" hidden="1" customHeight="1">
      <c r="A5755" s="199"/>
    </row>
    <row r="5756" spans="1:1" s="200" customFormat="1" ht="12" hidden="1" customHeight="1">
      <c r="A5756" s="199"/>
    </row>
    <row r="5757" spans="1:1" s="200" customFormat="1" ht="12" hidden="1" customHeight="1">
      <c r="A5757" s="199"/>
    </row>
    <row r="5758" spans="1:1" s="200" customFormat="1" ht="12" hidden="1" customHeight="1">
      <c r="A5758" s="199"/>
    </row>
    <row r="5759" spans="1:1" s="200" customFormat="1" ht="12" hidden="1" customHeight="1">
      <c r="A5759" s="199"/>
    </row>
    <row r="5760" spans="1:1" s="200" customFormat="1" ht="12" hidden="1" customHeight="1">
      <c r="A5760" s="199"/>
    </row>
    <row r="5761" spans="1:1" s="200" customFormat="1" ht="12" hidden="1" customHeight="1">
      <c r="A5761" s="199"/>
    </row>
    <row r="5762" spans="1:1" s="200" customFormat="1" ht="12" hidden="1" customHeight="1">
      <c r="A5762" s="199"/>
    </row>
    <row r="5763" spans="1:1" s="200" customFormat="1" ht="12" hidden="1" customHeight="1">
      <c r="A5763" s="199"/>
    </row>
    <row r="5764" spans="1:1" s="200" customFormat="1" ht="12" hidden="1" customHeight="1">
      <c r="A5764" s="199"/>
    </row>
    <row r="5765" spans="1:1" s="200" customFormat="1" ht="12" hidden="1" customHeight="1">
      <c r="A5765" s="199"/>
    </row>
    <row r="5766" spans="1:1" s="200" customFormat="1" ht="12" hidden="1" customHeight="1">
      <c r="A5766" s="199"/>
    </row>
    <row r="5767" spans="1:1" s="200" customFormat="1" ht="12" hidden="1" customHeight="1">
      <c r="A5767" s="199"/>
    </row>
    <row r="5768" spans="1:1" s="200" customFormat="1" ht="12" hidden="1" customHeight="1">
      <c r="A5768" s="199"/>
    </row>
    <row r="5769" spans="1:1" s="200" customFormat="1" ht="12" hidden="1" customHeight="1">
      <c r="A5769" s="199"/>
    </row>
    <row r="5770" spans="1:1" s="200" customFormat="1" ht="12" hidden="1" customHeight="1">
      <c r="A5770" s="199"/>
    </row>
    <row r="5771" spans="1:1" s="200" customFormat="1" ht="12" hidden="1" customHeight="1">
      <c r="A5771" s="199"/>
    </row>
    <row r="5772" spans="1:1" s="200" customFormat="1" ht="12" hidden="1" customHeight="1">
      <c r="A5772" s="199"/>
    </row>
    <row r="5773" spans="1:1" s="200" customFormat="1" ht="12" hidden="1" customHeight="1">
      <c r="A5773" s="199"/>
    </row>
    <row r="5774" spans="1:1" s="200" customFormat="1" ht="12" hidden="1" customHeight="1">
      <c r="A5774" s="199"/>
    </row>
    <row r="5775" spans="1:1" s="200" customFormat="1" ht="12" hidden="1" customHeight="1">
      <c r="A5775" s="199"/>
    </row>
    <row r="5776" spans="1:1" s="200" customFormat="1" ht="12" hidden="1" customHeight="1">
      <c r="A5776" s="199"/>
    </row>
    <row r="5777" spans="1:1" s="200" customFormat="1" ht="12" hidden="1" customHeight="1">
      <c r="A5777" s="199"/>
    </row>
    <row r="5778" spans="1:1" s="200" customFormat="1" ht="12" hidden="1" customHeight="1">
      <c r="A5778" s="199"/>
    </row>
    <row r="5779" spans="1:1" s="200" customFormat="1" ht="12" hidden="1" customHeight="1">
      <c r="A5779" s="199"/>
    </row>
    <row r="5780" spans="1:1" s="200" customFormat="1" ht="12" hidden="1" customHeight="1">
      <c r="A5780" s="199"/>
    </row>
    <row r="5781" spans="1:1" s="200" customFormat="1" ht="12" hidden="1" customHeight="1">
      <c r="A5781" s="199"/>
    </row>
    <row r="5782" spans="1:1" s="200" customFormat="1" ht="12" hidden="1" customHeight="1">
      <c r="A5782" s="199"/>
    </row>
    <row r="5783" spans="1:1" s="200" customFormat="1" ht="12" hidden="1" customHeight="1">
      <c r="A5783" s="199"/>
    </row>
    <row r="5784" spans="1:1" s="200" customFormat="1" ht="12" hidden="1" customHeight="1">
      <c r="A5784" s="199"/>
    </row>
    <row r="5785" spans="1:1" s="200" customFormat="1" ht="12" hidden="1" customHeight="1">
      <c r="A5785" s="199"/>
    </row>
    <row r="5786" spans="1:1" s="200" customFormat="1" ht="12" hidden="1" customHeight="1">
      <c r="A5786" s="199"/>
    </row>
    <row r="5787" spans="1:1" s="200" customFormat="1" ht="12" hidden="1" customHeight="1">
      <c r="A5787" s="199"/>
    </row>
    <row r="5788" spans="1:1" s="200" customFormat="1" ht="12" hidden="1" customHeight="1">
      <c r="A5788" s="199"/>
    </row>
    <row r="5789" spans="1:1" s="200" customFormat="1" ht="12" hidden="1" customHeight="1">
      <c r="A5789" s="199"/>
    </row>
    <row r="5790" spans="1:1" s="200" customFormat="1" ht="12" hidden="1" customHeight="1">
      <c r="A5790" s="199"/>
    </row>
    <row r="5791" spans="1:1" s="200" customFormat="1" ht="12" hidden="1" customHeight="1">
      <c r="A5791" s="199"/>
    </row>
    <row r="5792" spans="1:1" s="200" customFormat="1" ht="12" hidden="1" customHeight="1">
      <c r="A5792" s="199"/>
    </row>
    <row r="5793" spans="1:1" s="200" customFormat="1" ht="12" hidden="1" customHeight="1">
      <c r="A5793" s="199"/>
    </row>
    <row r="5794" spans="1:1" s="200" customFormat="1" ht="12" hidden="1" customHeight="1">
      <c r="A5794" s="199"/>
    </row>
    <row r="5795" spans="1:1" s="200" customFormat="1" ht="12" hidden="1" customHeight="1">
      <c r="A5795" s="199"/>
    </row>
    <row r="5796" spans="1:1" s="200" customFormat="1" ht="12" hidden="1" customHeight="1">
      <c r="A5796" s="199"/>
    </row>
    <row r="5797" spans="1:1" s="200" customFormat="1" ht="12" hidden="1" customHeight="1">
      <c r="A5797" s="199"/>
    </row>
    <row r="5798" spans="1:1" s="200" customFormat="1" ht="12" hidden="1" customHeight="1">
      <c r="A5798" s="199"/>
    </row>
    <row r="5799" spans="1:1" s="200" customFormat="1" ht="12" hidden="1" customHeight="1">
      <c r="A5799" s="199"/>
    </row>
    <row r="5800" spans="1:1" s="200" customFormat="1" ht="12" hidden="1" customHeight="1">
      <c r="A5800" s="199"/>
    </row>
    <row r="5801" spans="1:1" s="200" customFormat="1" ht="12" hidden="1" customHeight="1">
      <c r="A5801" s="199"/>
    </row>
    <row r="5802" spans="1:1" s="200" customFormat="1" ht="12" hidden="1" customHeight="1">
      <c r="A5802" s="199"/>
    </row>
    <row r="5803" spans="1:1" s="200" customFormat="1" ht="12" hidden="1" customHeight="1">
      <c r="A5803" s="199"/>
    </row>
    <row r="5804" spans="1:1" s="200" customFormat="1" ht="12" hidden="1" customHeight="1">
      <c r="A5804" s="199"/>
    </row>
    <row r="5805" spans="1:1" s="200" customFormat="1" ht="12" hidden="1" customHeight="1">
      <c r="A5805" s="199"/>
    </row>
    <row r="5806" spans="1:1" s="200" customFormat="1" ht="12" hidden="1" customHeight="1">
      <c r="A5806" s="199"/>
    </row>
    <row r="5807" spans="1:1" s="200" customFormat="1" ht="12" hidden="1" customHeight="1">
      <c r="A5807" s="199"/>
    </row>
    <row r="5808" spans="1:1" s="200" customFormat="1" ht="12" hidden="1" customHeight="1">
      <c r="A5808" s="199"/>
    </row>
    <row r="5809" spans="1:1" s="200" customFormat="1" ht="12" hidden="1" customHeight="1">
      <c r="A5809" s="199"/>
    </row>
    <row r="5810" spans="1:1" s="200" customFormat="1" ht="12" hidden="1" customHeight="1">
      <c r="A5810" s="199"/>
    </row>
    <row r="5811" spans="1:1" s="200" customFormat="1" ht="12" hidden="1" customHeight="1">
      <c r="A5811" s="199"/>
    </row>
    <row r="5812" spans="1:1" s="200" customFormat="1" ht="12" hidden="1" customHeight="1">
      <c r="A5812" s="199"/>
    </row>
    <row r="5813" spans="1:1" s="200" customFormat="1" ht="12" hidden="1" customHeight="1">
      <c r="A5813" s="199"/>
    </row>
    <row r="5814" spans="1:1" s="200" customFormat="1" ht="12" hidden="1" customHeight="1">
      <c r="A5814" s="199"/>
    </row>
    <row r="5815" spans="1:1" s="200" customFormat="1" ht="12" hidden="1" customHeight="1">
      <c r="A5815" s="199"/>
    </row>
    <row r="5816" spans="1:1" s="200" customFormat="1" ht="12" hidden="1" customHeight="1">
      <c r="A5816" s="199"/>
    </row>
    <row r="5817" spans="1:1" s="200" customFormat="1" ht="12" hidden="1" customHeight="1">
      <c r="A5817" s="199"/>
    </row>
    <row r="5818" spans="1:1" s="200" customFormat="1" ht="12" hidden="1" customHeight="1">
      <c r="A5818" s="199"/>
    </row>
    <row r="5819" spans="1:1" s="200" customFormat="1" ht="12" hidden="1" customHeight="1">
      <c r="A5819" s="199"/>
    </row>
    <row r="5820" spans="1:1" s="200" customFormat="1" ht="12" hidden="1" customHeight="1">
      <c r="A5820" s="199"/>
    </row>
    <row r="5821" spans="1:1" s="200" customFormat="1" ht="12" hidden="1" customHeight="1">
      <c r="A5821" s="199"/>
    </row>
    <row r="5822" spans="1:1" s="200" customFormat="1" ht="12" hidden="1" customHeight="1">
      <c r="A5822" s="199"/>
    </row>
    <row r="5823" spans="1:1" s="200" customFormat="1" ht="12" hidden="1" customHeight="1">
      <c r="A5823" s="199"/>
    </row>
    <row r="5824" spans="1:1" s="200" customFormat="1" ht="12" hidden="1" customHeight="1">
      <c r="A5824" s="199"/>
    </row>
    <row r="5825" spans="1:1" s="200" customFormat="1" ht="12" hidden="1" customHeight="1">
      <c r="A5825" s="199"/>
    </row>
    <row r="5826" spans="1:1" s="200" customFormat="1" ht="12" hidden="1" customHeight="1">
      <c r="A5826" s="199"/>
    </row>
    <row r="5827" spans="1:1" s="200" customFormat="1" ht="12" hidden="1" customHeight="1">
      <c r="A5827" s="199"/>
    </row>
    <row r="5828" spans="1:1" s="200" customFormat="1" ht="12" hidden="1" customHeight="1">
      <c r="A5828" s="199"/>
    </row>
    <row r="5829" spans="1:1" s="200" customFormat="1" ht="12" hidden="1" customHeight="1">
      <c r="A5829" s="199"/>
    </row>
    <row r="5830" spans="1:1" s="200" customFormat="1" ht="12" hidden="1" customHeight="1">
      <c r="A5830" s="199"/>
    </row>
    <row r="5831" spans="1:1" s="200" customFormat="1" ht="12" hidden="1" customHeight="1">
      <c r="A5831" s="199"/>
    </row>
    <row r="5832" spans="1:1" s="200" customFormat="1" ht="12" hidden="1" customHeight="1">
      <c r="A5832" s="199"/>
    </row>
    <row r="5833" spans="1:1" s="200" customFormat="1" ht="12" hidden="1" customHeight="1">
      <c r="A5833" s="199"/>
    </row>
    <row r="5834" spans="1:1" s="200" customFormat="1" ht="12" hidden="1" customHeight="1">
      <c r="A5834" s="199"/>
    </row>
    <row r="5835" spans="1:1" s="200" customFormat="1" ht="12" hidden="1" customHeight="1">
      <c r="A5835" s="199"/>
    </row>
    <row r="5836" spans="1:1" s="200" customFormat="1" ht="12" hidden="1" customHeight="1">
      <c r="A5836" s="199"/>
    </row>
    <row r="5837" spans="1:1" s="200" customFormat="1" ht="12" hidden="1" customHeight="1">
      <c r="A5837" s="199"/>
    </row>
    <row r="5838" spans="1:1" s="200" customFormat="1" ht="12" hidden="1" customHeight="1">
      <c r="A5838" s="199"/>
    </row>
    <row r="5839" spans="1:1" s="200" customFormat="1" ht="12" hidden="1" customHeight="1">
      <c r="A5839" s="199"/>
    </row>
    <row r="5840" spans="1:1" s="200" customFormat="1" ht="12" hidden="1" customHeight="1">
      <c r="A5840" s="199"/>
    </row>
    <row r="5841" spans="1:1" s="200" customFormat="1" ht="12" hidden="1" customHeight="1">
      <c r="A5841" s="199"/>
    </row>
    <row r="5842" spans="1:1" s="200" customFormat="1" ht="12" hidden="1" customHeight="1">
      <c r="A5842" s="199"/>
    </row>
    <row r="5843" spans="1:1" s="200" customFormat="1" ht="12" hidden="1" customHeight="1">
      <c r="A5843" s="199"/>
    </row>
    <row r="5844" spans="1:1" s="200" customFormat="1" ht="12" hidden="1" customHeight="1">
      <c r="A5844" s="199"/>
    </row>
    <row r="5845" spans="1:1" s="200" customFormat="1" ht="12" hidden="1" customHeight="1">
      <c r="A5845" s="199"/>
    </row>
    <row r="5846" spans="1:1" s="200" customFormat="1" ht="12" hidden="1" customHeight="1">
      <c r="A5846" s="199"/>
    </row>
    <row r="5847" spans="1:1" s="200" customFormat="1" ht="12" hidden="1" customHeight="1">
      <c r="A5847" s="199"/>
    </row>
    <row r="5848" spans="1:1" s="200" customFormat="1" ht="12" hidden="1" customHeight="1">
      <c r="A5848" s="199"/>
    </row>
    <row r="5849" spans="1:1" s="200" customFormat="1" ht="12" hidden="1" customHeight="1">
      <c r="A5849" s="199"/>
    </row>
    <row r="5850" spans="1:1" s="200" customFormat="1" ht="12" hidden="1" customHeight="1">
      <c r="A5850" s="199"/>
    </row>
    <row r="5851" spans="1:1" s="200" customFormat="1" ht="12" hidden="1" customHeight="1">
      <c r="A5851" s="199"/>
    </row>
    <row r="5852" spans="1:1" s="200" customFormat="1" ht="12" hidden="1" customHeight="1">
      <c r="A5852" s="199"/>
    </row>
    <row r="5853" spans="1:1" s="200" customFormat="1" ht="12" hidden="1" customHeight="1">
      <c r="A5853" s="199"/>
    </row>
    <row r="5854" spans="1:1" s="200" customFormat="1" ht="12" hidden="1" customHeight="1">
      <c r="A5854" s="199"/>
    </row>
    <row r="5855" spans="1:1" s="200" customFormat="1" ht="12" hidden="1" customHeight="1">
      <c r="A5855" s="199"/>
    </row>
    <row r="5856" spans="1:1" s="200" customFormat="1" ht="12" hidden="1" customHeight="1">
      <c r="A5856" s="199"/>
    </row>
    <row r="5857" spans="1:1" s="200" customFormat="1" ht="12" hidden="1" customHeight="1">
      <c r="A5857" s="199"/>
    </row>
    <row r="5858" spans="1:1" s="200" customFormat="1" ht="12" hidden="1" customHeight="1">
      <c r="A5858" s="199"/>
    </row>
    <row r="5859" spans="1:1" s="200" customFormat="1" ht="12" hidden="1" customHeight="1">
      <c r="A5859" s="199"/>
    </row>
    <row r="5860" spans="1:1" s="200" customFormat="1" ht="12" hidden="1" customHeight="1">
      <c r="A5860" s="199"/>
    </row>
    <row r="5861" spans="1:1" s="200" customFormat="1" ht="12" hidden="1" customHeight="1">
      <c r="A5861" s="199"/>
    </row>
    <row r="5862" spans="1:1" s="200" customFormat="1" ht="12" hidden="1" customHeight="1">
      <c r="A5862" s="199"/>
    </row>
    <row r="5863" spans="1:1" s="200" customFormat="1" ht="12" hidden="1" customHeight="1">
      <c r="A5863" s="199"/>
    </row>
    <row r="5864" spans="1:1" s="200" customFormat="1" ht="12" hidden="1" customHeight="1">
      <c r="A5864" s="199"/>
    </row>
    <row r="5865" spans="1:1" s="200" customFormat="1" ht="12" hidden="1" customHeight="1">
      <c r="A5865" s="199"/>
    </row>
    <row r="5866" spans="1:1" s="200" customFormat="1" ht="12" hidden="1" customHeight="1">
      <c r="A5866" s="199"/>
    </row>
    <row r="5867" spans="1:1" s="200" customFormat="1" ht="12" hidden="1" customHeight="1">
      <c r="A5867" s="199"/>
    </row>
    <row r="5868" spans="1:1" s="200" customFormat="1" ht="12" hidden="1" customHeight="1">
      <c r="A5868" s="199"/>
    </row>
    <row r="5869" spans="1:1" s="200" customFormat="1" ht="12" hidden="1" customHeight="1">
      <c r="A5869" s="199"/>
    </row>
    <row r="5870" spans="1:1" s="200" customFormat="1" ht="12" hidden="1" customHeight="1">
      <c r="A5870" s="199"/>
    </row>
    <row r="5871" spans="1:1" s="200" customFormat="1" ht="12" hidden="1" customHeight="1">
      <c r="A5871" s="199"/>
    </row>
    <row r="5872" spans="1:1" s="200" customFormat="1" ht="12" hidden="1" customHeight="1">
      <c r="A5872" s="199"/>
    </row>
    <row r="5873" spans="1:1" s="200" customFormat="1" ht="12" hidden="1" customHeight="1">
      <c r="A5873" s="199"/>
    </row>
    <row r="5874" spans="1:1" s="200" customFormat="1" ht="12" hidden="1" customHeight="1">
      <c r="A5874" s="199"/>
    </row>
    <row r="5875" spans="1:1" s="200" customFormat="1" ht="12" hidden="1" customHeight="1">
      <c r="A5875" s="199"/>
    </row>
    <row r="5876" spans="1:1" s="200" customFormat="1" ht="12" hidden="1" customHeight="1">
      <c r="A5876" s="199"/>
    </row>
    <row r="5877" spans="1:1" s="200" customFormat="1" ht="12" hidden="1" customHeight="1">
      <c r="A5877" s="199"/>
    </row>
    <row r="5878" spans="1:1" s="200" customFormat="1" ht="12" hidden="1" customHeight="1">
      <c r="A5878" s="199"/>
    </row>
    <row r="5879" spans="1:1" s="200" customFormat="1" ht="12" hidden="1" customHeight="1">
      <c r="A5879" s="199"/>
    </row>
    <row r="5880" spans="1:1" s="200" customFormat="1" ht="12" hidden="1" customHeight="1">
      <c r="A5880" s="199"/>
    </row>
    <row r="5881" spans="1:1" s="200" customFormat="1" ht="12" hidden="1" customHeight="1">
      <c r="A5881" s="199"/>
    </row>
    <row r="5882" spans="1:1" s="200" customFormat="1" ht="12" hidden="1" customHeight="1">
      <c r="A5882" s="199"/>
    </row>
    <row r="5883" spans="1:1" s="200" customFormat="1" ht="12" hidden="1" customHeight="1">
      <c r="A5883" s="199"/>
    </row>
    <row r="5884" spans="1:1" s="200" customFormat="1" ht="12" hidden="1" customHeight="1">
      <c r="A5884" s="199"/>
    </row>
    <row r="5885" spans="1:1" s="200" customFormat="1" ht="12" hidden="1" customHeight="1">
      <c r="A5885" s="199"/>
    </row>
    <row r="5886" spans="1:1" s="200" customFormat="1" ht="12" hidden="1" customHeight="1">
      <c r="A5886" s="199"/>
    </row>
    <row r="5887" spans="1:1" s="200" customFormat="1" ht="12" hidden="1" customHeight="1">
      <c r="A5887" s="199"/>
    </row>
    <row r="5888" spans="1:1" s="200" customFormat="1" ht="12" hidden="1" customHeight="1">
      <c r="A5888" s="199"/>
    </row>
    <row r="5889" spans="1:1" s="200" customFormat="1" ht="12" hidden="1" customHeight="1">
      <c r="A5889" s="199"/>
    </row>
    <row r="5890" spans="1:1" s="200" customFormat="1" ht="12" hidden="1" customHeight="1">
      <c r="A5890" s="199"/>
    </row>
    <row r="5891" spans="1:1" s="200" customFormat="1" ht="12" hidden="1" customHeight="1">
      <c r="A5891" s="199"/>
    </row>
    <row r="5892" spans="1:1" s="200" customFormat="1" ht="12" hidden="1" customHeight="1">
      <c r="A5892" s="199"/>
    </row>
    <row r="5893" spans="1:1" s="200" customFormat="1" ht="12" hidden="1" customHeight="1">
      <c r="A5893" s="199"/>
    </row>
    <row r="5894" spans="1:1" s="200" customFormat="1" ht="12" hidden="1" customHeight="1">
      <c r="A5894" s="199"/>
    </row>
    <row r="5895" spans="1:1" s="200" customFormat="1" ht="12" hidden="1" customHeight="1">
      <c r="A5895" s="199"/>
    </row>
    <row r="5896" spans="1:1" s="200" customFormat="1" ht="12" hidden="1" customHeight="1">
      <c r="A5896" s="199"/>
    </row>
    <row r="5897" spans="1:1" s="200" customFormat="1" ht="12" hidden="1" customHeight="1">
      <c r="A5897" s="199"/>
    </row>
    <row r="5898" spans="1:1" s="200" customFormat="1" ht="12" hidden="1" customHeight="1">
      <c r="A5898" s="199"/>
    </row>
    <row r="5899" spans="1:1" s="200" customFormat="1" ht="12" hidden="1" customHeight="1">
      <c r="A5899" s="199"/>
    </row>
    <row r="5900" spans="1:1" s="200" customFormat="1" ht="12" hidden="1" customHeight="1">
      <c r="A5900" s="199"/>
    </row>
    <row r="5901" spans="1:1" s="200" customFormat="1" ht="12" hidden="1" customHeight="1">
      <c r="A5901" s="199"/>
    </row>
    <row r="5902" spans="1:1" s="200" customFormat="1" ht="12" hidden="1" customHeight="1">
      <c r="A5902" s="199"/>
    </row>
    <row r="5903" spans="1:1" s="200" customFormat="1" ht="12" hidden="1" customHeight="1">
      <c r="A5903" s="199"/>
    </row>
    <row r="5904" spans="1:1" s="200" customFormat="1" ht="12" hidden="1" customHeight="1">
      <c r="A5904" s="199"/>
    </row>
    <row r="5905" spans="1:1" s="200" customFormat="1" ht="12" hidden="1" customHeight="1">
      <c r="A5905" s="199"/>
    </row>
    <row r="5906" spans="1:1" s="200" customFormat="1" ht="12" hidden="1" customHeight="1">
      <c r="A5906" s="199"/>
    </row>
    <row r="5907" spans="1:1" s="200" customFormat="1" ht="12" hidden="1" customHeight="1">
      <c r="A5907" s="199"/>
    </row>
    <row r="5908" spans="1:1" s="200" customFormat="1" ht="12" hidden="1" customHeight="1">
      <c r="A5908" s="199"/>
    </row>
    <row r="5909" spans="1:1" s="200" customFormat="1" ht="12" hidden="1" customHeight="1">
      <c r="A5909" s="199"/>
    </row>
    <row r="5910" spans="1:1" s="200" customFormat="1" ht="12" hidden="1" customHeight="1">
      <c r="A5910" s="199"/>
    </row>
    <row r="5911" spans="1:1" s="200" customFormat="1" ht="12" hidden="1" customHeight="1">
      <c r="A5911" s="199"/>
    </row>
    <row r="5912" spans="1:1" s="200" customFormat="1" ht="12" hidden="1" customHeight="1">
      <c r="A5912" s="199"/>
    </row>
    <row r="5913" spans="1:1" s="200" customFormat="1" ht="12" hidden="1" customHeight="1">
      <c r="A5913" s="199"/>
    </row>
    <row r="5914" spans="1:1" s="200" customFormat="1" ht="12" hidden="1" customHeight="1">
      <c r="A5914" s="199"/>
    </row>
    <row r="5915" spans="1:1" s="200" customFormat="1" ht="12" hidden="1" customHeight="1">
      <c r="A5915" s="199"/>
    </row>
    <row r="5916" spans="1:1" s="200" customFormat="1" ht="12" hidden="1" customHeight="1">
      <c r="A5916" s="199"/>
    </row>
    <row r="5917" spans="1:1" s="200" customFormat="1" ht="12" hidden="1" customHeight="1">
      <c r="A5917" s="199"/>
    </row>
    <row r="5918" spans="1:1" s="200" customFormat="1" ht="12" hidden="1" customHeight="1">
      <c r="A5918" s="199"/>
    </row>
    <row r="5919" spans="1:1" s="200" customFormat="1" ht="12" hidden="1" customHeight="1">
      <c r="A5919" s="199"/>
    </row>
    <row r="5920" spans="1:1" s="200" customFormat="1" ht="12" hidden="1" customHeight="1">
      <c r="A5920" s="199"/>
    </row>
    <row r="5921" spans="1:1" s="200" customFormat="1" ht="12" hidden="1" customHeight="1">
      <c r="A5921" s="199"/>
    </row>
    <row r="5922" spans="1:1" s="200" customFormat="1" ht="12" hidden="1" customHeight="1">
      <c r="A5922" s="199"/>
    </row>
    <row r="5923" spans="1:1" s="200" customFormat="1" ht="12" hidden="1" customHeight="1">
      <c r="A5923" s="199"/>
    </row>
    <row r="5924" spans="1:1" s="200" customFormat="1" ht="12" hidden="1" customHeight="1">
      <c r="A5924" s="199"/>
    </row>
    <row r="5925" spans="1:1" s="200" customFormat="1" ht="12" hidden="1" customHeight="1">
      <c r="A5925" s="199"/>
    </row>
    <row r="5926" spans="1:1" s="200" customFormat="1" ht="12" hidden="1" customHeight="1">
      <c r="A5926" s="199"/>
    </row>
    <row r="5927" spans="1:1" s="200" customFormat="1" ht="12" hidden="1" customHeight="1">
      <c r="A5927" s="199"/>
    </row>
    <row r="5928" spans="1:1" s="200" customFormat="1" ht="12" hidden="1" customHeight="1">
      <c r="A5928" s="199"/>
    </row>
    <row r="5929" spans="1:1" s="200" customFormat="1" ht="12" hidden="1" customHeight="1">
      <c r="A5929" s="199"/>
    </row>
    <row r="5930" spans="1:1" s="200" customFormat="1" ht="12" hidden="1" customHeight="1">
      <c r="A5930" s="199"/>
    </row>
    <row r="5931" spans="1:1" s="200" customFormat="1" ht="12" hidden="1" customHeight="1">
      <c r="A5931" s="199"/>
    </row>
    <row r="5932" spans="1:1" s="200" customFormat="1" ht="12" hidden="1" customHeight="1">
      <c r="A5932" s="199"/>
    </row>
    <row r="5933" spans="1:1" s="200" customFormat="1" ht="12" hidden="1" customHeight="1">
      <c r="A5933" s="199"/>
    </row>
    <row r="5934" spans="1:1" s="200" customFormat="1" ht="12" hidden="1" customHeight="1">
      <c r="A5934" s="199"/>
    </row>
    <row r="5935" spans="1:1" s="200" customFormat="1" ht="12" hidden="1" customHeight="1">
      <c r="A5935" s="199"/>
    </row>
    <row r="5936" spans="1:1" s="200" customFormat="1" ht="12" hidden="1" customHeight="1">
      <c r="A5936" s="199"/>
    </row>
    <row r="5937" spans="1:1" s="200" customFormat="1" ht="12" hidden="1" customHeight="1">
      <c r="A5937" s="199"/>
    </row>
    <row r="5938" spans="1:1" s="200" customFormat="1" ht="12" hidden="1" customHeight="1">
      <c r="A5938" s="199"/>
    </row>
    <row r="5939" spans="1:1" s="200" customFormat="1" ht="12" hidden="1" customHeight="1">
      <c r="A5939" s="199"/>
    </row>
    <row r="5940" spans="1:1" s="200" customFormat="1" ht="12" hidden="1" customHeight="1">
      <c r="A5940" s="199"/>
    </row>
    <row r="5941" spans="1:1" s="200" customFormat="1" ht="12" hidden="1" customHeight="1">
      <c r="A5941" s="199"/>
    </row>
    <row r="5942" spans="1:1" s="200" customFormat="1" ht="12" hidden="1" customHeight="1">
      <c r="A5942" s="199"/>
    </row>
    <row r="5943" spans="1:1" s="200" customFormat="1" ht="12" hidden="1" customHeight="1">
      <c r="A5943" s="199"/>
    </row>
    <row r="5944" spans="1:1" s="200" customFormat="1" ht="12" hidden="1" customHeight="1">
      <c r="A5944" s="199"/>
    </row>
    <row r="5945" spans="1:1" s="200" customFormat="1" ht="12" hidden="1" customHeight="1">
      <c r="A5945" s="199"/>
    </row>
    <row r="5946" spans="1:1" s="200" customFormat="1" ht="12" hidden="1" customHeight="1">
      <c r="A5946" s="199"/>
    </row>
    <row r="5947" spans="1:1" s="200" customFormat="1" ht="12" hidden="1" customHeight="1">
      <c r="A5947" s="199"/>
    </row>
    <row r="5948" spans="1:1" s="200" customFormat="1" ht="12" hidden="1" customHeight="1">
      <c r="A5948" s="199"/>
    </row>
    <row r="5949" spans="1:1" s="200" customFormat="1" ht="12" hidden="1" customHeight="1">
      <c r="A5949" s="199"/>
    </row>
    <row r="5950" spans="1:1" s="200" customFormat="1" ht="12" hidden="1" customHeight="1">
      <c r="A5950" s="199"/>
    </row>
    <row r="5951" spans="1:1" s="200" customFormat="1" ht="12" hidden="1" customHeight="1">
      <c r="A5951" s="199"/>
    </row>
    <row r="5952" spans="1:1" s="200" customFormat="1" ht="12" hidden="1" customHeight="1">
      <c r="A5952" s="199"/>
    </row>
    <row r="5953" spans="1:1" s="200" customFormat="1" ht="12" hidden="1" customHeight="1">
      <c r="A5953" s="199"/>
    </row>
    <row r="5954" spans="1:1" s="200" customFormat="1" ht="12" hidden="1" customHeight="1">
      <c r="A5954" s="199"/>
    </row>
    <row r="5955" spans="1:1" s="200" customFormat="1" ht="12" hidden="1" customHeight="1">
      <c r="A5955" s="199"/>
    </row>
    <row r="5956" spans="1:1" s="200" customFormat="1" ht="12" hidden="1" customHeight="1">
      <c r="A5956" s="199"/>
    </row>
    <row r="5957" spans="1:1" s="200" customFormat="1" ht="12" hidden="1" customHeight="1">
      <c r="A5957" s="199"/>
    </row>
    <row r="5958" spans="1:1" s="200" customFormat="1" ht="12" hidden="1" customHeight="1">
      <c r="A5958" s="199"/>
    </row>
    <row r="5959" spans="1:1" s="200" customFormat="1" ht="12" hidden="1" customHeight="1">
      <c r="A5959" s="199"/>
    </row>
    <row r="5960" spans="1:1" s="200" customFormat="1" ht="12" hidden="1" customHeight="1">
      <c r="A5960" s="199"/>
    </row>
    <row r="5961" spans="1:1" s="200" customFormat="1" ht="12" hidden="1" customHeight="1">
      <c r="A5961" s="199"/>
    </row>
    <row r="5962" spans="1:1" s="200" customFormat="1" ht="12" hidden="1" customHeight="1">
      <c r="A5962" s="199"/>
    </row>
    <row r="5963" spans="1:1" s="200" customFormat="1" ht="12" hidden="1" customHeight="1">
      <c r="A5963" s="199"/>
    </row>
    <row r="5964" spans="1:1" s="200" customFormat="1" ht="12" hidden="1" customHeight="1">
      <c r="A5964" s="199"/>
    </row>
    <row r="5965" spans="1:1" s="200" customFormat="1" ht="12" hidden="1" customHeight="1">
      <c r="A5965" s="199"/>
    </row>
    <row r="5966" spans="1:1" s="200" customFormat="1" ht="12" hidden="1" customHeight="1">
      <c r="A5966" s="199"/>
    </row>
    <row r="5967" spans="1:1" s="200" customFormat="1" ht="12" hidden="1" customHeight="1">
      <c r="A5967" s="199"/>
    </row>
    <row r="5968" spans="1:1" s="200" customFormat="1" ht="12" hidden="1" customHeight="1">
      <c r="A5968" s="199"/>
    </row>
    <row r="5969" spans="1:1" s="200" customFormat="1" ht="12" hidden="1" customHeight="1">
      <c r="A5969" s="199"/>
    </row>
    <row r="5970" spans="1:1" s="200" customFormat="1" ht="12" hidden="1" customHeight="1">
      <c r="A5970" s="199"/>
    </row>
    <row r="5971" spans="1:1" s="200" customFormat="1" ht="12" hidden="1" customHeight="1">
      <c r="A5971" s="199"/>
    </row>
    <row r="5972" spans="1:1" s="200" customFormat="1" ht="12" hidden="1" customHeight="1">
      <c r="A5972" s="199"/>
    </row>
    <row r="5973" spans="1:1" s="200" customFormat="1" ht="12" hidden="1" customHeight="1">
      <c r="A5973" s="199"/>
    </row>
    <row r="5974" spans="1:1" s="200" customFormat="1" ht="12" hidden="1" customHeight="1">
      <c r="A5974" s="199"/>
    </row>
    <row r="5975" spans="1:1" s="200" customFormat="1" ht="12" hidden="1" customHeight="1">
      <c r="A5975" s="199"/>
    </row>
    <row r="5976" spans="1:1" s="200" customFormat="1" ht="12" hidden="1" customHeight="1">
      <c r="A5976" s="199"/>
    </row>
    <row r="5977" spans="1:1" s="200" customFormat="1" ht="12" hidden="1" customHeight="1">
      <c r="A5977" s="199"/>
    </row>
    <row r="5978" spans="1:1" s="200" customFormat="1" ht="12" hidden="1" customHeight="1">
      <c r="A5978" s="199"/>
    </row>
    <row r="5979" spans="1:1" s="200" customFormat="1" ht="12" hidden="1" customHeight="1">
      <c r="A5979" s="199"/>
    </row>
    <row r="5980" spans="1:1" s="200" customFormat="1" ht="12" hidden="1" customHeight="1">
      <c r="A5980" s="199"/>
    </row>
    <row r="5981" spans="1:1" s="200" customFormat="1" ht="12" hidden="1" customHeight="1">
      <c r="A5981" s="199"/>
    </row>
    <row r="5982" spans="1:1" s="200" customFormat="1" ht="12" hidden="1" customHeight="1">
      <c r="A5982" s="199"/>
    </row>
    <row r="5983" spans="1:1" s="200" customFormat="1" ht="12" hidden="1" customHeight="1">
      <c r="A5983" s="199"/>
    </row>
    <row r="5984" spans="1:1" s="200" customFormat="1" ht="12" hidden="1" customHeight="1">
      <c r="A5984" s="199"/>
    </row>
    <row r="5985" spans="1:1" s="200" customFormat="1" ht="12" hidden="1" customHeight="1">
      <c r="A5985" s="199"/>
    </row>
    <row r="5986" spans="1:1" s="200" customFormat="1" ht="12" hidden="1" customHeight="1">
      <c r="A5986" s="199"/>
    </row>
    <row r="5987" spans="1:1" s="200" customFormat="1" ht="12" hidden="1" customHeight="1">
      <c r="A5987" s="199"/>
    </row>
    <row r="5988" spans="1:1" s="200" customFormat="1" ht="12" hidden="1" customHeight="1">
      <c r="A5988" s="199"/>
    </row>
    <row r="5989" spans="1:1" s="200" customFormat="1" ht="12" hidden="1" customHeight="1">
      <c r="A5989" s="199"/>
    </row>
    <row r="5990" spans="1:1" s="200" customFormat="1" ht="12" hidden="1" customHeight="1">
      <c r="A5990" s="199"/>
    </row>
    <row r="5991" spans="1:1" s="200" customFormat="1" ht="12" hidden="1" customHeight="1">
      <c r="A5991" s="199"/>
    </row>
    <row r="5992" spans="1:1" s="200" customFormat="1" ht="12" hidden="1" customHeight="1">
      <c r="A5992" s="199"/>
    </row>
    <row r="5993" spans="1:1" s="200" customFormat="1" ht="12" hidden="1" customHeight="1">
      <c r="A5993" s="199"/>
    </row>
    <row r="5994" spans="1:1" s="200" customFormat="1" ht="12" hidden="1" customHeight="1">
      <c r="A5994" s="199"/>
    </row>
    <row r="5995" spans="1:1" s="200" customFormat="1" ht="12" hidden="1" customHeight="1">
      <c r="A5995" s="199"/>
    </row>
    <row r="5996" spans="1:1" s="200" customFormat="1" ht="12" hidden="1" customHeight="1">
      <c r="A5996" s="199"/>
    </row>
    <row r="5997" spans="1:1" s="200" customFormat="1" ht="12" hidden="1" customHeight="1">
      <c r="A5997" s="199"/>
    </row>
    <row r="5998" spans="1:1" s="200" customFormat="1" ht="12" hidden="1" customHeight="1">
      <c r="A5998" s="199"/>
    </row>
    <row r="5999" spans="1:1" s="200" customFormat="1" ht="12" hidden="1" customHeight="1">
      <c r="A5999" s="199"/>
    </row>
    <row r="6000" spans="1:1" s="200" customFormat="1" ht="12" hidden="1" customHeight="1">
      <c r="A6000" s="199"/>
    </row>
    <row r="6001" spans="1:1" s="200" customFormat="1" ht="12" hidden="1" customHeight="1">
      <c r="A6001" s="199"/>
    </row>
    <row r="6002" spans="1:1" s="200" customFormat="1" ht="12" hidden="1" customHeight="1">
      <c r="A6002" s="199"/>
    </row>
    <row r="6003" spans="1:1" s="200" customFormat="1" ht="12" hidden="1" customHeight="1">
      <c r="A6003" s="199"/>
    </row>
    <row r="6004" spans="1:1" s="200" customFormat="1" ht="12" hidden="1" customHeight="1">
      <c r="A6004" s="199"/>
    </row>
    <row r="6005" spans="1:1" s="200" customFormat="1" ht="12" hidden="1" customHeight="1">
      <c r="A6005" s="199"/>
    </row>
    <row r="6006" spans="1:1" s="200" customFormat="1" ht="12" hidden="1" customHeight="1">
      <c r="A6006" s="199"/>
    </row>
    <row r="6007" spans="1:1" s="200" customFormat="1" ht="12" hidden="1" customHeight="1">
      <c r="A6007" s="199"/>
    </row>
    <row r="6008" spans="1:1" s="200" customFormat="1" ht="12" hidden="1" customHeight="1">
      <c r="A6008" s="199"/>
    </row>
    <row r="6009" spans="1:1" s="200" customFormat="1" ht="12" hidden="1" customHeight="1">
      <c r="A6009" s="199"/>
    </row>
    <row r="6010" spans="1:1" s="200" customFormat="1" ht="12" hidden="1" customHeight="1">
      <c r="A6010" s="199"/>
    </row>
    <row r="6011" spans="1:1" s="200" customFormat="1" ht="12" hidden="1" customHeight="1">
      <c r="A6011" s="199"/>
    </row>
    <row r="6012" spans="1:1" s="200" customFormat="1" ht="12" hidden="1" customHeight="1">
      <c r="A6012" s="199"/>
    </row>
    <row r="6013" spans="1:1" s="200" customFormat="1" ht="12" hidden="1" customHeight="1">
      <c r="A6013" s="199"/>
    </row>
    <row r="6014" spans="1:1" s="200" customFormat="1" ht="12" hidden="1" customHeight="1">
      <c r="A6014" s="199"/>
    </row>
    <row r="6015" spans="1:1" s="200" customFormat="1" ht="12" hidden="1" customHeight="1">
      <c r="A6015" s="199"/>
    </row>
    <row r="6016" spans="1:1" s="200" customFormat="1" ht="12" hidden="1" customHeight="1">
      <c r="A6016" s="199"/>
    </row>
    <row r="6017" spans="1:1" s="200" customFormat="1" ht="12" hidden="1" customHeight="1">
      <c r="A6017" s="199"/>
    </row>
    <row r="6018" spans="1:1" s="200" customFormat="1" ht="12" hidden="1" customHeight="1">
      <c r="A6018" s="199"/>
    </row>
    <row r="6019" spans="1:1" s="200" customFormat="1" ht="12" hidden="1" customHeight="1">
      <c r="A6019" s="199"/>
    </row>
    <row r="6020" spans="1:1" s="200" customFormat="1" ht="12" hidden="1" customHeight="1">
      <c r="A6020" s="199"/>
    </row>
    <row r="6021" spans="1:1" s="200" customFormat="1" ht="12" hidden="1" customHeight="1">
      <c r="A6021" s="199"/>
    </row>
    <row r="6022" spans="1:1" s="200" customFormat="1" ht="12" hidden="1" customHeight="1">
      <c r="A6022" s="199"/>
    </row>
    <row r="6023" spans="1:1" s="200" customFormat="1" ht="12" hidden="1" customHeight="1">
      <c r="A6023" s="199"/>
    </row>
    <row r="6024" spans="1:1" s="200" customFormat="1" ht="12" hidden="1" customHeight="1">
      <c r="A6024" s="199"/>
    </row>
    <row r="6025" spans="1:1" s="200" customFormat="1" ht="12" hidden="1" customHeight="1">
      <c r="A6025" s="199"/>
    </row>
    <row r="6026" spans="1:1" s="200" customFormat="1" ht="12" hidden="1" customHeight="1">
      <c r="A6026" s="199"/>
    </row>
    <row r="6027" spans="1:1" s="200" customFormat="1" ht="12" hidden="1" customHeight="1">
      <c r="A6027" s="199"/>
    </row>
    <row r="6028" spans="1:1" s="200" customFormat="1" ht="12" hidden="1" customHeight="1">
      <c r="A6028" s="199"/>
    </row>
    <row r="6029" spans="1:1" s="200" customFormat="1" ht="12" hidden="1" customHeight="1">
      <c r="A6029" s="199"/>
    </row>
    <row r="6030" spans="1:1" s="200" customFormat="1" ht="12" hidden="1" customHeight="1">
      <c r="A6030" s="199"/>
    </row>
    <row r="6031" spans="1:1" s="200" customFormat="1" ht="12" hidden="1" customHeight="1">
      <c r="A6031" s="199"/>
    </row>
    <row r="6032" spans="1:1" s="200" customFormat="1" ht="12" hidden="1" customHeight="1">
      <c r="A6032" s="199"/>
    </row>
    <row r="6033" spans="1:1" s="200" customFormat="1" ht="12" hidden="1" customHeight="1">
      <c r="A6033" s="199"/>
    </row>
    <row r="6034" spans="1:1" s="200" customFormat="1" ht="12" hidden="1" customHeight="1">
      <c r="A6034" s="199"/>
    </row>
    <row r="6035" spans="1:1" s="200" customFormat="1" ht="12" hidden="1" customHeight="1">
      <c r="A6035" s="199"/>
    </row>
    <row r="6036" spans="1:1" s="200" customFormat="1" ht="12" hidden="1" customHeight="1">
      <c r="A6036" s="199"/>
    </row>
    <row r="6037" spans="1:1" s="200" customFormat="1" ht="12" hidden="1" customHeight="1">
      <c r="A6037" s="199"/>
    </row>
    <row r="6038" spans="1:1" s="200" customFormat="1" ht="12" hidden="1" customHeight="1">
      <c r="A6038" s="199"/>
    </row>
    <row r="6039" spans="1:1" s="200" customFormat="1" ht="12" hidden="1" customHeight="1">
      <c r="A6039" s="199"/>
    </row>
    <row r="6040" spans="1:1" s="200" customFormat="1" ht="12" hidden="1" customHeight="1">
      <c r="A6040" s="199"/>
    </row>
    <row r="6041" spans="1:1" s="200" customFormat="1" ht="12" hidden="1" customHeight="1">
      <c r="A6041" s="199"/>
    </row>
    <row r="6042" spans="1:1" s="200" customFormat="1" ht="12" hidden="1" customHeight="1">
      <c r="A6042" s="199"/>
    </row>
    <row r="6043" spans="1:1" s="200" customFormat="1" ht="12" hidden="1" customHeight="1">
      <c r="A6043" s="199"/>
    </row>
    <row r="6044" spans="1:1" s="200" customFormat="1" ht="12" hidden="1" customHeight="1">
      <c r="A6044" s="199"/>
    </row>
    <row r="6045" spans="1:1" s="200" customFormat="1" ht="12" hidden="1" customHeight="1">
      <c r="A6045" s="199"/>
    </row>
    <row r="6046" spans="1:1" s="200" customFormat="1" ht="12" hidden="1" customHeight="1">
      <c r="A6046" s="199"/>
    </row>
    <row r="6047" spans="1:1" s="200" customFormat="1" ht="12" hidden="1" customHeight="1">
      <c r="A6047" s="199"/>
    </row>
    <row r="6048" spans="1:1" s="200" customFormat="1" ht="12" hidden="1" customHeight="1">
      <c r="A6048" s="199"/>
    </row>
    <row r="6049" spans="1:1" s="200" customFormat="1" ht="12" hidden="1" customHeight="1">
      <c r="A6049" s="199"/>
    </row>
    <row r="6050" spans="1:1" s="200" customFormat="1" ht="12" hidden="1" customHeight="1">
      <c r="A6050" s="199"/>
    </row>
    <row r="6051" spans="1:1" s="200" customFormat="1" ht="12" hidden="1" customHeight="1">
      <c r="A6051" s="199"/>
    </row>
    <row r="6052" spans="1:1" s="200" customFormat="1" ht="12" hidden="1" customHeight="1">
      <c r="A6052" s="199"/>
    </row>
    <row r="6053" spans="1:1" s="200" customFormat="1" ht="12" hidden="1" customHeight="1">
      <c r="A6053" s="199"/>
    </row>
    <row r="6054" spans="1:1" s="200" customFormat="1" ht="12" hidden="1" customHeight="1">
      <c r="A6054" s="199"/>
    </row>
    <row r="6055" spans="1:1" s="200" customFormat="1" ht="12" hidden="1" customHeight="1">
      <c r="A6055" s="199"/>
    </row>
    <row r="6056" spans="1:1" s="200" customFormat="1" ht="12" hidden="1" customHeight="1">
      <c r="A6056" s="199"/>
    </row>
    <row r="6057" spans="1:1" s="200" customFormat="1" ht="12" hidden="1" customHeight="1">
      <c r="A6057" s="199"/>
    </row>
    <row r="6058" spans="1:1" s="200" customFormat="1" ht="12" hidden="1" customHeight="1">
      <c r="A6058" s="199"/>
    </row>
    <row r="6059" spans="1:1" s="200" customFormat="1" ht="12" hidden="1" customHeight="1">
      <c r="A6059" s="199"/>
    </row>
    <row r="6060" spans="1:1" s="200" customFormat="1" ht="12" hidden="1" customHeight="1">
      <c r="A6060" s="199"/>
    </row>
    <row r="6061" spans="1:1" s="200" customFormat="1" ht="12" hidden="1" customHeight="1">
      <c r="A6061" s="199"/>
    </row>
    <row r="6062" spans="1:1" s="200" customFormat="1" ht="12" hidden="1" customHeight="1">
      <c r="A6062" s="199"/>
    </row>
    <row r="6063" spans="1:1" s="200" customFormat="1" ht="12" hidden="1" customHeight="1">
      <c r="A6063" s="199"/>
    </row>
    <row r="6064" spans="1:1" s="200" customFormat="1" ht="12" hidden="1" customHeight="1">
      <c r="A6064" s="199"/>
    </row>
    <row r="6065" spans="1:1" s="200" customFormat="1" ht="12" hidden="1" customHeight="1">
      <c r="A6065" s="199"/>
    </row>
    <row r="6066" spans="1:1" s="200" customFormat="1" ht="12" hidden="1" customHeight="1">
      <c r="A6066" s="199"/>
    </row>
    <row r="6067" spans="1:1" s="200" customFormat="1" ht="12" hidden="1" customHeight="1">
      <c r="A6067" s="199"/>
    </row>
    <row r="6068" spans="1:1" s="200" customFormat="1" ht="12" hidden="1" customHeight="1">
      <c r="A6068" s="199"/>
    </row>
    <row r="6069" spans="1:1" s="200" customFormat="1" ht="12" hidden="1" customHeight="1">
      <c r="A6069" s="199"/>
    </row>
    <row r="6070" spans="1:1" s="200" customFormat="1" ht="12" hidden="1" customHeight="1">
      <c r="A6070" s="199"/>
    </row>
    <row r="6071" spans="1:1" s="200" customFormat="1" ht="12" hidden="1" customHeight="1">
      <c r="A6071" s="199"/>
    </row>
    <row r="6072" spans="1:1" s="200" customFormat="1" ht="12" hidden="1" customHeight="1">
      <c r="A6072" s="199"/>
    </row>
    <row r="6073" spans="1:1" s="200" customFormat="1" ht="12" hidden="1" customHeight="1">
      <c r="A6073" s="199"/>
    </row>
    <row r="6074" spans="1:1" s="200" customFormat="1" ht="12" hidden="1" customHeight="1">
      <c r="A6074" s="199"/>
    </row>
    <row r="6075" spans="1:1" s="200" customFormat="1" ht="12" hidden="1" customHeight="1">
      <c r="A6075" s="199"/>
    </row>
    <row r="6076" spans="1:1" s="200" customFormat="1" ht="12" hidden="1" customHeight="1">
      <c r="A6076" s="199"/>
    </row>
    <row r="6077" spans="1:1" s="200" customFormat="1" ht="12" hidden="1" customHeight="1">
      <c r="A6077" s="199"/>
    </row>
    <row r="6078" spans="1:1" s="200" customFormat="1" ht="12" hidden="1" customHeight="1">
      <c r="A6078" s="199"/>
    </row>
    <row r="6079" spans="1:1" s="200" customFormat="1" ht="12" hidden="1" customHeight="1">
      <c r="A6079" s="199"/>
    </row>
    <row r="6080" spans="1:1" s="200" customFormat="1" ht="12" hidden="1" customHeight="1">
      <c r="A6080" s="199"/>
    </row>
    <row r="6081" spans="1:1" s="200" customFormat="1" ht="12" hidden="1" customHeight="1">
      <c r="A6081" s="199"/>
    </row>
    <row r="6082" spans="1:1" s="200" customFormat="1" ht="12" hidden="1" customHeight="1">
      <c r="A6082" s="199"/>
    </row>
    <row r="6083" spans="1:1" s="200" customFormat="1" ht="12" hidden="1" customHeight="1">
      <c r="A6083" s="199"/>
    </row>
    <row r="6084" spans="1:1" s="200" customFormat="1" ht="12" hidden="1" customHeight="1">
      <c r="A6084" s="199"/>
    </row>
    <row r="6085" spans="1:1" s="200" customFormat="1" ht="12" hidden="1" customHeight="1">
      <c r="A6085" s="199"/>
    </row>
    <row r="6086" spans="1:1" s="200" customFormat="1" ht="12" hidden="1" customHeight="1">
      <c r="A6086" s="199"/>
    </row>
    <row r="6087" spans="1:1" s="200" customFormat="1" ht="12" hidden="1" customHeight="1">
      <c r="A6087" s="199"/>
    </row>
    <row r="6088" spans="1:1" s="200" customFormat="1" ht="12" hidden="1" customHeight="1">
      <c r="A6088" s="199"/>
    </row>
    <row r="6089" spans="1:1" s="200" customFormat="1" ht="12" hidden="1" customHeight="1">
      <c r="A6089" s="199"/>
    </row>
    <row r="6090" spans="1:1" s="200" customFormat="1" ht="12" hidden="1" customHeight="1">
      <c r="A6090" s="199"/>
    </row>
    <row r="6091" spans="1:1" s="200" customFormat="1" ht="12" hidden="1" customHeight="1">
      <c r="A6091" s="199"/>
    </row>
    <row r="6092" spans="1:1" s="200" customFormat="1" ht="12" hidden="1" customHeight="1">
      <c r="A6092" s="199"/>
    </row>
    <row r="6093" spans="1:1" s="200" customFormat="1" ht="12" hidden="1" customHeight="1">
      <c r="A6093" s="199"/>
    </row>
    <row r="6094" spans="1:1" s="200" customFormat="1" ht="12" hidden="1" customHeight="1">
      <c r="A6094" s="199"/>
    </row>
    <row r="6095" spans="1:1" s="200" customFormat="1" ht="12" hidden="1" customHeight="1">
      <c r="A6095" s="199"/>
    </row>
    <row r="6096" spans="1:1" s="200" customFormat="1" ht="12" hidden="1" customHeight="1">
      <c r="A6096" s="199"/>
    </row>
    <row r="6097" spans="1:1" s="200" customFormat="1" ht="12" hidden="1" customHeight="1">
      <c r="A6097" s="199"/>
    </row>
    <row r="6098" spans="1:1" s="200" customFormat="1" ht="12" hidden="1" customHeight="1">
      <c r="A6098" s="199"/>
    </row>
    <row r="6099" spans="1:1" s="200" customFormat="1" ht="12" hidden="1" customHeight="1">
      <c r="A6099" s="199"/>
    </row>
    <row r="6100" spans="1:1" s="200" customFormat="1" ht="12" hidden="1" customHeight="1">
      <c r="A6100" s="199"/>
    </row>
    <row r="6101" spans="1:1" s="200" customFormat="1" ht="12" hidden="1" customHeight="1">
      <c r="A6101" s="199"/>
    </row>
    <row r="6102" spans="1:1" s="200" customFormat="1" ht="12" hidden="1" customHeight="1">
      <c r="A6102" s="199"/>
    </row>
    <row r="6103" spans="1:1" s="200" customFormat="1" ht="12" hidden="1" customHeight="1">
      <c r="A6103" s="199"/>
    </row>
    <row r="6104" spans="1:1" s="200" customFormat="1" ht="12" hidden="1" customHeight="1">
      <c r="A6104" s="199"/>
    </row>
    <row r="6105" spans="1:1" s="200" customFormat="1" ht="12" hidden="1" customHeight="1">
      <c r="A6105" s="199"/>
    </row>
    <row r="6106" spans="1:1" s="200" customFormat="1" ht="12" hidden="1" customHeight="1">
      <c r="A6106" s="199"/>
    </row>
    <row r="6107" spans="1:1" s="200" customFormat="1" ht="12" hidden="1" customHeight="1">
      <c r="A6107" s="199"/>
    </row>
    <row r="6108" spans="1:1" s="200" customFormat="1" ht="12" hidden="1" customHeight="1">
      <c r="A6108" s="199"/>
    </row>
    <row r="6109" spans="1:1" s="200" customFormat="1" ht="12" hidden="1" customHeight="1">
      <c r="A6109" s="199"/>
    </row>
    <row r="6110" spans="1:1" s="200" customFormat="1" ht="12" hidden="1" customHeight="1">
      <c r="A6110" s="199"/>
    </row>
    <row r="6111" spans="1:1" s="200" customFormat="1" ht="12" hidden="1" customHeight="1">
      <c r="A6111" s="199"/>
    </row>
    <row r="6112" spans="1:1" s="200" customFormat="1" ht="12" hidden="1" customHeight="1">
      <c r="A6112" s="199"/>
    </row>
    <row r="6113" spans="1:1" s="200" customFormat="1" ht="12" hidden="1" customHeight="1">
      <c r="A6113" s="199"/>
    </row>
    <row r="6114" spans="1:1" s="200" customFormat="1" ht="12" hidden="1" customHeight="1">
      <c r="A6114" s="199"/>
    </row>
    <row r="6115" spans="1:1" s="200" customFormat="1" ht="12" hidden="1" customHeight="1">
      <c r="A6115" s="199"/>
    </row>
    <row r="6116" spans="1:1" s="200" customFormat="1" ht="12" hidden="1" customHeight="1">
      <c r="A6116" s="199"/>
    </row>
    <row r="6117" spans="1:1" s="200" customFormat="1" ht="12" hidden="1" customHeight="1">
      <c r="A6117" s="199"/>
    </row>
    <row r="6118" spans="1:1" s="200" customFormat="1" ht="12" hidden="1" customHeight="1">
      <c r="A6118" s="199"/>
    </row>
    <row r="6119" spans="1:1" s="200" customFormat="1" ht="12" hidden="1" customHeight="1">
      <c r="A6119" s="199"/>
    </row>
    <row r="6120" spans="1:1" s="200" customFormat="1" ht="12" hidden="1" customHeight="1">
      <c r="A6120" s="199"/>
    </row>
    <row r="6121" spans="1:1" s="200" customFormat="1" ht="12" hidden="1" customHeight="1">
      <c r="A6121" s="199"/>
    </row>
    <row r="6122" spans="1:1" s="200" customFormat="1" ht="12" hidden="1" customHeight="1">
      <c r="A6122" s="199"/>
    </row>
    <row r="6123" spans="1:1" s="200" customFormat="1" ht="12" hidden="1" customHeight="1">
      <c r="A6123" s="199"/>
    </row>
    <row r="6124" spans="1:1" s="200" customFormat="1" ht="12" hidden="1" customHeight="1">
      <c r="A6124" s="199"/>
    </row>
    <row r="6125" spans="1:1" s="200" customFormat="1" ht="12" hidden="1" customHeight="1">
      <c r="A6125" s="199"/>
    </row>
    <row r="6126" spans="1:1" s="200" customFormat="1" ht="12" hidden="1" customHeight="1">
      <c r="A6126" s="199"/>
    </row>
    <row r="6127" spans="1:1" s="200" customFormat="1" ht="12" hidden="1" customHeight="1">
      <c r="A6127" s="199"/>
    </row>
    <row r="6128" spans="1:1" s="200" customFormat="1" ht="12" hidden="1" customHeight="1">
      <c r="A6128" s="199"/>
    </row>
    <row r="6129" spans="1:1" s="200" customFormat="1" ht="12" hidden="1" customHeight="1">
      <c r="A6129" s="199"/>
    </row>
    <row r="6130" spans="1:1" s="200" customFormat="1" ht="12" hidden="1" customHeight="1">
      <c r="A6130" s="199"/>
    </row>
    <row r="6131" spans="1:1" s="200" customFormat="1" ht="12" hidden="1" customHeight="1">
      <c r="A6131" s="199"/>
    </row>
    <row r="6132" spans="1:1" s="200" customFormat="1" ht="12" hidden="1" customHeight="1">
      <c r="A6132" s="199"/>
    </row>
    <row r="6133" spans="1:1" s="200" customFormat="1" ht="12" hidden="1" customHeight="1">
      <c r="A6133" s="199"/>
    </row>
    <row r="6134" spans="1:1" s="200" customFormat="1" ht="12" hidden="1" customHeight="1">
      <c r="A6134" s="199"/>
    </row>
    <row r="6135" spans="1:1" s="200" customFormat="1" ht="12" hidden="1" customHeight="1">
      <c r="A6135" s="199"/>
    </row>
    <row r="6136" spans="1:1" s="200" customFormat="1" ht="12" hidden="1" customHeight="1">
      <c r="A6136" s="199"/>
    </row>
    <row r="6137" spans="1:1" s="200" customFormat="1" ht="12" hidden="1" customHeight="1">
      <c r="A6137" s="199"/>
    </row>
    <row r="6138" spans="1:1" s="200" customFormat="1" ht="12" hidden="1" customHeight="1">
      <c r="A6138" s="199"/>
    </row>
    <row r="6139" spans="1:1" s="200" customFormat="1" ht="12" hidden="1" customHeight="1">
      <c r="A6139" s="199"/>
    </row>
    <row r="6140" spans="1:1" s="200" customFormat="1" ht="12" hidden="1" customHeight="1">
      <c r="A6140" s="199"/>
    </row>
    <row r="6141" spans="1:1" s="200" customFormat="1" ht="12" hidden="1" customHeight="1">
      <c r="A6141" s="199"/>
    </row>
    <row r="6142" spans="1:1" s="200" customFormat="1" ht="12" hidden="1" customHeight="1">
      <c r="A6142" s="199"/>
    </row>
    <row r="6143" spans="1:1" s="200" customFormat="1" ht="12" hidden="1" customHeight="1">
      <c r="A6143" s="199"/>
    </row>
    <row r="6144" spans="1:1" s="200" customFormat="1" ht="12" hidden="1" customHeight="1">
      <c r="A6144" s="199"/>
    </row>
    <row r="6145" spans="1:1" s="200" customFormat="1" ht="12" hidden="1" customHeight="1">
      <c r="A6145" s="199"/>
    </row>
    <row r="6146" spans="1:1" s="200" customFormat="1" ht="12" hidden="1" customHeight="1">
      <c r="A6146" s="199"/>
    </row>
    <row r="6147" spans="1:1" s="200" customFormat="1" ht="12" hidden="1" customHeight="1">
      <c r="A6147" s="199"/>
    </row>
    <row r="6148" spans="1:1" s="200" customFormat="1" ht="12" hidden="1" customHeight="1">
      <c r="A6148" s="199"/>
    </row>
    <row r="6149" spans="1:1" s="200" customFormat="1" ht="12" hidden="1" customHeight="1">
      <c r="A6149" s="199"/>
    </row>
    <row r="6150" spans="1:1" s="200" customFormat="1" ht="12" hidden="1" customHeight="1">
      <c r="A6150" s="199"/>
    </row>
    <row r="6151" spans="1:1" s="200" customFormat="1" ht="12" hidden="1" customHeight="1">
      <c r="A6151" s="199"/>
    </row>
    <row r="6152" spans="1:1" s="200" customFormat="1" ht="12" hidden="1" customHeight="1">
      <c r="A6152" s="199"/>
    </row>
    <row r="6153" spans="1:1" s="200" customFormat="1" ht="12" hidden="1" customHeight="1">
      <c r="A6153" s="199"/>
    </row>
    <row r="6154" spans="1:1" s="200" customFormat="1" ht="12" hidden="1" customHeight="1">
      <c r="A6154" s="199"/>
    </row>
    <row r="6155" spans="1:1" s="200" customFormat="1" ht="12" hidden="1" customHeight="1">
      <c r="A6155" s="199"/>
    </row>
    <row r="6156" spans="1:1" s="200" customFormat="1" ht="12" hidden="1" customHeight="1">
      <c r="A6156" s="199"/>
    </row>
    <row r="6157" spans="1:1" s="200" customFormat="1" ht="12" hidden="1" customHeight="1">
      <c r="A6157" s="199"/>
    </row>
    <row r="6158" spans="1:1" s="200" customFormat="1" ht="12" hidden="1" customHeight="1">
      <c r="A6158" s="199"/>
    </row>
    <row r="6159" spans="1:1" s="200" customFormat="1" ht="12" hidden="1" customHeight="1">
      <c r="A6159" s="199"/>
    </row>
    <row r="6160" spans="1:1" s="200" customFormat="1" ht="12" hidden="1" customHeight="1">
      <c r="A6160" s="199"/>
    </row>
    <row r="6161" spans="1:1" s="200" customFormat="1" ht="12" hidden="1" customHeight="1">
      <c r="A6161" s="199"/>
    </row>
    <row r="6162" spans="1:1" s="200" customFormat="1" ht="12" hidden="1" customHeight="1">
      <c r="A6162" s="199"/>
    </row>
    <row r="6163" spans="1:1" s="200" customFormat="1" ht="12" hidden="1" customHeight="1">
      <c r="A6163" s="199"/>
    </row>
    <row r="6164" spans="1:1" s="200" customFormat="1" ht="12" hidden="1" customHeight="1">
      <c r="A6164" s="199"/>
    </row>
    <row r="6165" spans="1:1" s="200" customFormat="1" ht="12" hidden="1" customHeight="1">
      <c r="A6165" s="199"/>
    </row>
    <row r="6166" spans="1:1" s="200" customFormat="1" ht="12" hidden="1" customHeight="1">
      <c r="A6166" s="199"/>
    </row>
    <row r="6167" spans="1:1" s="200" customFormat="1" ht="12" hidden="1" customHeight="1">
      <c r="A6167" s="199"/>
    </row>
    <row r="6168" spans="1:1" s="200" customFormat="1" ht="12" hidden="1" customHeight="1">
      <c r="A6168" s="199"/>
    </row>
    <row r="6169" spans="1:1" s="200" customFormat="1" ht="12" hidden="1" customHeight="1">
      <c r="A6169" s="199"/>
    </row>
    <row r="6170" spans="1:1" s="200" customFormat="1" ht="12" hidden="1" customHeight="1">
      <c r="A6170" s="199"/>
    </row>
    <row r="6171" spans="1:1" s="200" customFormat="1" ht="12" hidden="1" customHeight="1">
      <c r="A6171" s="199"/>
    </row>
    <row r="6172" spans="1:1" s="200" customFormat="1" ht="12" hidden="1" customHeight="1">
      <c r="A6172" s="199"/>
    </row>
    <row r="6173" spans="1:1" s="200" customFormat="1" ht="12" hidden="1" customHeight="1">
      <c r="A6173" s="199"/>
    </row>
    <row r="6174" spans="1:1" s="200" customFormat="1" ht="12" hidden="1" customHeight="1">
      <c r="A6174" s="199"/>
    </row>
    <row r="6175" spans="1:1" s="200" customFormat="1" ht="12" hidden="1" customHeight="1">
      <c r="A6175" s="199"/>
    </row>
    <row r="6176" spans="1:1" s="200" customFormat="1" ht="12" hidden="1" customHeight="1">
      <c r="A6176" s="199"/>
    </row>
    <row r="6177" spans="1:1" s="200" customFormat="1" ht="12" hidden="1" customHeight="1">
      <c r="A6177" s="199"/>
    </row>
    <row r="6178" spans="1:1" s="200" customFormat="1" ht="12" hidden="1" customHeight="1">
      <c r="A6178" s="199"/>
    </row>
    <row r="6179" spans="1:1" s="200" customFormat="1" ht="12" hidden="1" customHeight="1">
      <c r="A6179" s="199"/>
    </row>
    <row r="6180" spans="1:1" s="200" customFormat="1" ht="12" hidden="1" customHeight="1">
      <c r="A6180" s="199"/>
    </row>
    <row r="6181" spans="1:1" s="200" customFormat="1" ht="12" hidden="1" customHeight="1">
      <c r="A6181" s="199"/>
    </row>
    <row r="6182" spans="1:1" s="200" customFormat="1" ht="12" hidden="1" customHeight="1">
      <c r="A6182" s="199"/>
    </row>
    <row r="6183" spans="1:1" s="200" customFormat="1" ht="12" hidden="1" customHeight="1">
      <c r="A6183" s="199"/>
    </row>
    <row r="6184" spans="1:1" s="200" customFormat="1" ht="12" hidden="1" customHeight="1">
      <c r="A6184" s="199"/>
    </row>
    <row r="6185" spans="1:1" s="200" customFormat="1" ht="12" hidden="1" customHeight="1">
      <c r="A6185" s="199"/>
    </row>
    <row r="6186" spans="1:1" s="200" customFormat="1" ht="12" hidden="1" customHeight="1">
      <c r="A6186" s="199"/>
    </row>
    <row r="6187" spans="1:1" s="200" customFormat="1" ht="12" hidden="1" customHeight="1">
      <c r="A6187" s="199"/>
    </row>
    <row r="6188" spans="1:1" s="200" customFormat="1" ht="12" hidden="1" customHeight="1">
      <c r="A6188" s="199"/>
    </row>
    <row r="6189" spans="1:1" s="200" customFormat="1" ht="12" hidden="1" customHeight="1">
      <c r="A6189" s="199"/>
    </row>
    <row r="6190" spans="1:1" s="200" customFormat="1" ht="12" hidden="1" customHeight="1">
      <c r="A6190" s="199"/>
    </row>
    <row r="6191" spans="1:1" s="200" customFormat="1" ht="12" hidden="1" customHeight="1">
      <c r="A6191" s="199"/>
    </row>
    <row r="6192" spans="1:1" s="200" customFormat="1" ht="12" hidden="1" customHeight="1">
      <c r="A6192" s="199"/>
    </row>
    <row r="6193" spans="1:1" s="200" customFormat="1" ht="12" hidden="1" customHeight="1">
      <c r="A6193" s="199"/>
    </row>
    <row r="6194" spans="1:1" s="200" customFormat="1" ht="12" hidden="1" customHeight="1">
      <c r="A6194" s="199"/>
    </row>
    <row r="6195" spans="1:1" s="200" customFormat="1" ht="12" hidden="1" customHeight="1">
      <c r="A6195" s="199"/>
    </row>
    <row r="6196" spans="1:1" s="200" customFormat="1" ht="12" hidden="1" customHeight="1">
      <c r="A6196" s="199"/>
    </row>
    <row r="6197" spans="1:1" s="200" customFormat="1" ht="12" hidden="1" customHeight="1">
      <c r="A6197" s="199"/>
    </row>
    <row r="6198" spans="1:1" s="200" customFormat="1" ht="12" hidden="1" customHeight="1">
      <c r="A6198" s="199"/>
    </row>
    <row r="6199" spans="1:1" s="200" customFormat="1" ht="12" hidden="1" customHeight="1">
      <c r="A6199" s="199"/>
    </row>
    <row r="6200" spans="1:1" s="200" customFormat="1" ht="12" hidden="1" customHeight="1">
      <c r="A6200" s="199"/>
    </row>
    <row r="6201" spans="1:1" s="200" customFormat="1" ht="12" hidden="1" customHeight="1">
      <c r="A6201" s="199"/>
    </row>
    <row r="6202" spans="1:1" s="200" customFormat="1" ht="12" hidden="1" customHeight="1">
      <c r="A6202" s="199"/>
    </row>
    <row r="6203" spans="1:1" s="200" customFormat="1" ht="12" hidden="1" customHeight="1">
      <c r="A6203" s="199"/>
    </row>
    <row r="6204" spans="1:1" s="200" customFormat="1" ht="12" hidden="1" customHeight="1">
      <c r="A6204" s="199"/>
    </row>
    <row r="6205" spans="1:1" s="200" customFormat="1" ht="12" hidden="1" customHeight="1">
      <c r="A6205" s="199"/>
    </row>
    <row r="6206" spans="1:1" s="200" customFormat="1" ht="12" hidden="1" customHeight="1">
      <c r="A6206" s="199"/>
    </row>
    <row r="6207" spans="1:1" s="200" customFormat="1" ht="12" hidden="1" customHeight="1">
      <c r="A6207" s="199"/>
    </row>
    <row r="6208" spans="1:1" s="200" customFormat="1" ht="12" hidden="1" customHeight="1">
      <c r="A6208" s="199"/>
    </row>
    <row r="6209" spans="1:1" s="200" customFormat="1" ht="12" hidden="1" customHeight="1">
      <c r="A6209" s="199"/>
    </row>
    <row r="6210" spans="1:1" s="200" customFormat="1" ht="12" hidden="1" customHeight="1">
      <c r="A6210" s="199"/>
    </row>
    <row r="6211" spans="1:1" s="200" customFormat="1" ht="12" hidden="1" customHeight="1">
      <c r="A6211" s="199"/>
    </row>
    <row r="6212" spans="1:1" s="200" customFormat="1" ht="12" hidden="1" customHeight="1">
      <c r="A6212" s="199"/>
    </row>
    <row r="6213" spans="1:1" s="200" customFormat="1" ht="12" hidden="1" customHeight="1">
      <c r="A6213" s="199"/>
    </row>
    <row r="6214" spans="1:1" s="200" customFormat="1" ht="12" hidden="1" customHeight="1">
      <c r="A6214" s="199"/>
    </row>
    <row r="6215" spans="1:1" s="200" customFormat="1" ht="12" hidden="1" customHeight="1">
      <c r="A6215" s="199"/>
    </row>
    <row r="6216" spans="1:1" s="200" customFormat="1" ht="12" hidden="1" customHeight="1">
      <c r="A6216" s="199"/>
    </row>
    <row r="6217" spans="1:1" s="200" customFormat="1" ht="12" hidden="1" customHeight="1">
      <c r="A6217" s="199"/>
    </row>
    <row r="6218" spans="1:1" s="200" customFormat="1" ht="12" hidden="1" customHeight="1">
      <c r="A6218" s="199"/>
    </row>
    <row r="6219" spans="1:1" s="200" customFormat="1" ht="12" hidden="1" customHeight="1">
      <c r="A6219" s="199"/>
    </row>
    <row r="6220" spans="1:1" s="200" customFormat="1" ht="12" hidden="1" customHeight="1">
      <c r="A6220" s="199"/>
    </row>
    <row r="6221" spans="1:1" s="200" customFormat="1" ht="12" hidden="1" customHeight="1">
      <c r="A6221" s="199"/>
    </row>
    <row r="6222" spans="1:1" s="200" customFormat="1" ht="12" hidden="1" customHeight="1">
      <c r="A6222" s="199"/>
    </row>
    <row r="6223" spans="1:1" s="200" customFormat="1" ht="12" hidden="1" customHeight="1">
      <c r="A6223" s="199"/>
    </row>
    <row r="6224" spans="1:1" s="200" customFormat="1" ht="12" hidden="1" customHeight="1">
      <c r="A6224" s="199"/>
    </row>
    <row r="6225" spans="1:1" s="200" customFormat="1" ht="12" hidden="1" customHeight="1">
      <c r="A6225" s="199"/>
    </row>
    <row r="6226" spans="1:1" s="200" customFormat="1" ht="12" hidden="1" customHeight="1">
      <c r="A6226" s="199"/>
    </row>
    <row r="6227" spans="1:1" s="200" customFormat="1" ht="12" hidden="1" customHeight="1">
      <c r="A6227" s="199"/>
    </row>
    <row r="6228" spans="1:1" s="200" customFormat="1" ht="12" hidden="1" customHeight="1">
      <c r="A6228" s="199"/>
    </row>
    <row r="6229" spans="1:1" s="200" customFormat="1" ht="12" hidden="1" customHeight="1">
      <c r="A6229" s="199"/>
    </row>
    <row r="6230" spans="1:1" s="200" customFormat="1" ht="12" hidden="1" customHeight="1">
      <c r="A6230" s="199"/>
    </row>
    <row r="6231" spans="1:1" s="200" customFormat="1" ht="12" hidden="1" customHeight="1">
      <c r="A6231" s="199"/>
    </row>
    <row r="6232" spans="1:1" s="200" customFormat="1" ht="12" hidden="1" customHeight="1">
      <c r="A6232" s="199"/>
    </row>
    <row r="6233" spans="1:1" s="200" customFormat="1" ht="12" hidden="1" customHeight="1">
      <c r="A6233" s="199"/>
    </row>
    <row r="6234" spans="1:1" s="200" customFormat="1" ht="12" hidden="1" customHeight="1">
      <c r="A6234" s="199"/>
    </row>
    <row r="6235" spans="1:1" s="200" customFormat="1" ht="12" hidden="1" customHeight="1">
      <c r="A6235" s="199"/>
    </row>
    <row r="6236" spans="1:1" s="200" customFormat="1" ht="12" hidden="1" customHeight="1">
      <c r="A6236" s="199"/>
    </row>
    <row r="6237" spans="1:1" s="200" customFormat="1" ht="12" hidden="1" customHeight="1">
      <c r="A6237" s="199"/>
    </row>
    <row r="6238" spans="1:1" s="200" customFormat="1" ht="12" hidden="1" customHeight="1">
      <c r="A6238" s="199"/>
    </row>
    <row r="6239" spans="1:1" s="200" customFormat="1" ht="12" hidden="1" customHeight="1">
      <c r="A6239" s="199"/>
    </row>
    <row r="6240" spans="1:1" s="200" customFormat="1" ht="12" hidden="1" customHeight="1">
      <c r="A6240" s="199"/>
    </row>
    <row r="6241" spans="1:1" s="200" customFormat="1" ht="12" hidden="1" customHeight="1">
      <c r="A6241" s="199"/>
    </row>
    <row r="6242" spans="1:1" s="200" customFormat="1" ht="12" hidden="1" customHeight="1">
      <c r="A6242" s="199"/>
    </row>
    <row r="6243" spans="1:1" s="200" customFormat="1" ht="12" hidden="1" customHeight="1">
      <c r="A6243" s="199"/>
    </row>
    <row r="6244" spans="1:1" s="200" customFormat="1" ht="12" hidden="1" customHeight="1">
      <c r="A6244" s="199"/>
    </row>
    <row r="6245" spans="1:1" s="200" customFormat="1" ht="12" hidden="1" customHeight="1">
      <c r="A6245" s="199"/>
    </row>
    <row r="6246" spans="1:1" s="200" customFormat="1" ht="12" hidden="1" customHeight="1">
      <c r="A6246" s="199"/>
    </row>
    <row r="6247" spans="1:1" s="200" customFormat="1" ht="12" hidden="1" customHeight="1">
      <c r="A6247" s="199"/>
    </row>
    <row r="6248" spans="1:1" s="200" customFormat="1" ht="12" hidden="1" customHeight="1">
      <c r="A6248" s="199"/>
    </row>
    <row r="6249" spans="1:1" s="200" customFormat="1" ht="12" hidden="1" customHeight="1">
      <c r="A6249" s="199"/>
    </row>
    <row r="6250" spans="1:1" s="200" customFormat="1" ht="12" hidden="1" customHeight="1">
      <c r="A6250" s="199"/>
    </row>
    <row r="6251" spans="1:1" s="200" customFormat="1" ht="12" hidden="1" customHeight="1">
      <c r="A6251" s="199"/>
    </row>
    <row r="6252" spans="1:1" s="200" customFormat="1" ht="12" hidden="1" customHeight="1">
      <c r="A6252" s="199"/>
    </row>
    <row r="6253" spans="1:1" s="200" customFormat="1" ht="12" hidden="1" customHeight="1">
      <c r="A6253" s="199"/>
    </row>
    <row r="6254" spans="1:1" s="200" customFormat="1" ht="12" hidden="1" customHeight="1">
      <c r="A6254" s="199"/>
    </row>
    <row r="6255" spans="1:1" s="200" customFormat="1" ht="12" hidden="1" customHeight="1">
      <c r="A6255" s="199"/>
    </row>
    <row r="6256" spans="1:1" s="200" customFormat="1" ht="12" hidden="1" customHeight="1">
      <c r="A6256" s="199"/>
    </row>
    <row r="6257" spans="1:1" s="200" customFormat="1" ht="12" hidden="1" customHeight="1">
      <c r="A6257" s="199"/>
    </row>
    <row r="6258" spans="1:1" s="200" customFormat="1" ht="12" hidden="1" customHeight="1">
      <c r="A6258" s="199"/>
    </row>
    <row r="6259" spans="1:1" s="200" customFormat="1" ht="12" hidden="1" customHeight="1">
      <c r="A6259" s="199"/>
    </row>
    <row r="6260" spans="1:1" s="200" customFormat="1" ht="12" hidden="1" customHeight="1">
      <c r="A6260" s="199"/>
    </row>
    <row r="6261" spans="1:1" s="200" customFormat="1" ht="12" hidden="1" customHeight="1">
      <c r="A6261" s="199"/>
    </row>
    <row r="6262" spans="1:1" s="200" customFormat="1" ht="12" hidden="1" customHeight="1">
      <c r="A6262" s="199"/>
    </row>
    <row r="6263" spans="1:1" s="200" customFormat="1" ht="12" hidden="1" customHeight="1">
      <c r="A6263" s="199"/>
    </row>
    <row r="6264" spans="1:1" s="200" customFormat="1" ht="12" hidden="1" customHeight="1">
      <c r="A6264" s="199"/>
    </row>
    <row r="6265" spans="1:1" s="200" customFormat="1" ht="12" hidden="1" customHeight="1">
      <c r="A6265" s="199"/>
    </row>
    <row r="6266" spans="1:1" s="200" customFormat="1" ht="12" hidden="1" customHeight="1">
      <c r="A6266" s="199"/>
    </row>
    <row r="6267" spans="1:1" s="200" customFormat="1" ht="12" hidden="1" customHeight="1">
      <c r="A6267" s="199"/>
    </row>
    <row r="6268" spans="1:1" s="200" customFormat="1" ht="12" hidden="1" customHeight="1">
      <c r="A6268" s="199"/>
    </row>
    <row r="6269" spans="1:1" s="200" customFormat="1" ht="12" hidden="1" customHeight="1">
      <c r="A6269" s="199"/>
    </row>
    <row r="6270" spans="1:1" s="200" customFormat="1" ht="12" hidden="1" customHeight="1">
      <c r="A6270" s="199"/>
    </row>
    <row r="6271" spans="1:1" s="200" customFormat="1" ht="12" hidden="1" customHeight="1">
      <c r="A6271" s="199"/>
    </row>
    <row r="6272" spans="1:1" s="200" customFormat="1" ht="12" hidden="1" customHeight="1">
      <c r="A6272" s="199"/>
    </row>
    <row r="6273" spans="1:1" s="200" customFormat="1" ht="12" hidden="1" customHeight="1">
      <c r="A6273" s="199"/>
    </row>
    <row r="6274" spans="1:1" s="200" customFormat="1" ht="12" hidden="1" customHeight="1">
      <c r="A6274" s="199"/>
    </row>
    <row r="6275" spans="1:1" s="200" customFormat="1" ht="12" hidden="1" customHeight="1">
      <c r="A6275" s="199"/>
    </row>
    <row r="6276" spans="1:1" s="200" customFormat="1" ht="12" hidden="1" customHeight="1">
      <c r="A6276" s="199"/>
    </row>
    <row r="6277" spans="1:1" s="200" customFormat="1" ht="12" hidden="1" customHeight="1">
      <c r="A6277" s="199"/>
    </row>
    <row r="6278" spans="1:1" s="200" customFormat="1" ht="12" hidden="1" customHeight="1">
      <c r="A6278" s="199"/>
    </row>
    <row r="6279" spans="1:1" s="200" customFormat="1" ht="12" hidden="1" customHeight="1">
      <c r="A6279" s="199"/>
    </row>
    <row r="6280" spans="1:1" s="200" customFormat="1" ht="12" hidden="1" customHeight="1">
      <c r="A6280" s="199"/>
    </row>
    <row r="6281" spans="1:1" s="200" customFormat="1" ht="12" hidden="1" customHeight="1">
      <c r="A6281" s="199"/>
    </row>
    <row r="6282" spans="1:1" s="200" customFormat="1" ht="12" hidden="1" customHeight="1">
      <c r="A6282" s="199"/>
    </row>
    <row r="6283" spans="1:1" s="200" customFormat="1" ht="12" hidden="1" customHeight="1">
      <c r="A6283" s="199"/>
    </row>
    <row r="6284" spans="1:1" s="200" customFormat="1" ht="12" hidden="1" customHeight="1">
      <c r="A6284" s="199"/>
    </row>
    <row r="6285" spans="1:1" s="200" customFormat="1" ht="12" hidden="1" customHeight="1">
      <c r="A6285" s="199"/>
    </row>
    <row r="6286" spans="1:1" s="200" customFormat="1" ht="12" hidden="1" customHeight="1">
      <c r="A6286" s="199"/>
    </row>
    <row r="6287" spans="1:1" s="200" customFormat="1" ht="12" hidden="1" customHeight="1">
      <c r="A6287" s="199"/>
    </row>
    <row r="6288" spans="1:1" s="200" customFormat="1" ht="12" hidden="1" customHeight="1">
      <c r="A6288" s="199"/>
    </row>
    <row r="6289" spans="1:1" s="200" customFormat="1" ht="12" hidden="1" customHeight="1">
      <c r="A6289" s="199"/>
    </row>
    <row r="6290" spans="1:1" s="200" customFormat="1" ht="12" hidden="1" customHeight="1">
      <c r="A6290" s="199"/>
    </row>
    <row r="6291" spans="1:1" s="200" customFormat="1" ht="12" hidden="1" customHeight="1">
      <c r="A6291" s="199"/>
    </row>
    <row r="6292" spans="1:1" s="200" customFormat="1" ht="12" hidden="1" customHeight="1">
      <c r="A6292" s="199"/>
    </row>
    <row r="6293" spans="1:1" s="200" customFormat="1" ht="12" hidden="1" customHeight="1">
      <c r="A6293" s="199"/>
    </row>
    <row r="6294" spans="1:1" s="200" customFormat="1" ht="12" hidden="1" customHeight="1">
      <c r="A6294" s="199"/>
    </row>
    <row r="6295" spans="1:1" s="200" customFormat="1" ht="12" hidden="1" customHeight="1">
      <c r="A6295" s="199"/>
    </row>
    <row r="6296" spans="1:1" s="200" customFormat="1" ht="12" hidden="1" customHeight="1">
      <c r="A6296" s="199"/>
    </row>
    <row r="6297" spans="1:1" s="200" customFormat="1" ht="12" hidden="1" customHeight="1">
      <c r="A6297" s="199"/>
    </row>
    <row r="6298" spans="1:1" s="200" customFormat="1" ht="12" hidden="1" customHeight="1">
      <c r="A6298" s="199"/>
    </row>
    <row r="6299" spans="1:1" s="200" customFormat="1" ht="12" hidden="1" customHeight="1">
      <c r="A6299" s="199"/>
    </row>
    <row r="6300" spans="1:1" s="200" customFormat="1" ht="12" hidden="1" customHeight="1">
      <c r="A6300" s="199"/>
    </row>
    <row r="6301" spans="1:1" s="200" customFormat="1" ht="12" hidden="1" customHeight="1">
      <c r="A6301" s="199"/>
    </row>
    <row r="6302" spans="1:1" s="200" customFormat="1" ht="12" hidden="1" customHeight="1">
      <c r="A6302" s="199"/>
    </row>
    <row r="6303" spans="1:1" s="200" customFormat="1" ht="12" hidden="1" customHeight="1">
      <c r="A6303" s="199"/>
    </row>
    <row r="6304" spans="1:1" s="200" customFormat="1" ht="12" hidden="1" customHeight="1">
      <c r="A6304" s="199"/>
    </row>
    <row r="6305" spans="1:1" s="200" customFormat="1" ht="12" hidden="1" customHeight="1">
      <c r="A6305" s="199"/>
    </row>
    <row r="6306" spans="1:1" s="200" customFormat="1" ht="12" hidden="1" customHeight="1">
      <c r="A6306" s="199"/>
    </row>
    <row r="6307" spans="1:1" s="200" customFormat="1" ht="12" hidden="1" customHeight="1">
      <c r="A6307" s="199"/>
    </row>
    <row r="6308" spans="1:1" s="200" customFormat="1" ht="12" hidden="1" customHeight="1">
      <c r="A6308" s="199"/>
    </row>
    <row r="6309" spans="1:1" s="200" customFormat="1" ht="12" hidden="1" customHeight="1">
      <c r="A6309" s="199"/>
    </row>
    <row r="6310" spans="1:1" s="200" customFormat="1" ht="12" hidden="1" customHeight="1">
      <c r="A6310" s="199"/>
    </row>
    <row r="6311" spans="1:1" s="200" customFormat="1" ht="12" hidden="1" customHeight="1">
      <c r="A6311" s="199"/>
    </row>
    <row r="6312" spans="1:1" s="200" customFormat="1" ht="12" hidden="1" customHeight="1">
      <c r="A6312" s="199"/>
    </row>
    <row r="6313" spans="1:1" s="200" customFormat="1" ht="12" hidden="1" customHeight="1">
      <c r="A6313" s="199"/>
    </row>
    <row r="6314" spans="1:1" s="200" customFormat="1" ht="12" hidden="1" customHeight="1">
      <c r="A6314" s="199"/>
    </row>
    <row r="6315" spans="1:1" s="200" customFormat="1" ht="12" hidden="1" customHeight="1">
      <c r="A6315" s="199"/>
    </row>
    <row r="6316" spans="1:1" s="200" customFormat="1" ht="12" hidden="1" customHeight="1">
      <c r="A6316" s="199"/>
    </row>
    <row r="6317" spans="1:1" s="200" customFormat="1" ht="12" hidden="1" customHeight="1">
      <c r="A6317" s="199"/>
    </row>
    <row r="6318" spans="1:1" s="200" customFormat="1" ht="12" hidden="1" customHeight="1">
      <c r="A6318" s="199"/>
    </row>
    <row r="6319" spans="1:1" s="200" customFormat="1" ht="12" hidden="1" customHeight="1">
      <c r="A6319" s="199"/>
    </row>
    <row r="6320" spans="1:1" s="200" customFormat="1" ht="12" hidden="1" customHeight="1">
      <c r="A6320" s="199"/>
    </row>
    <row r="6321" spans="1:1" s="200" customFormat="1" ht="12" hidden="1" customHeight="1">
      <c r="A6321" s="199"/>
    </row>
    <row r="6322" spans="1:1" s="200" customFormat="1" ht="12" hidden="1" customHeight="1">
      <c r="A6322" s="199"/>
    </row>
    <row r="6323" spans="1:1" s="200" customFormat="1" ht="12" hidden="1" customHeight="1">
      <c r="A6323" s="199"/>
    </row>
    <row r="6324" spans="1:1" s="200" customFormat="1" ht="12" hidden="1" customHeight="1">
      <c r="A6324" s="199"/>
    </row>
    <row r="6325" spans="1:1" s="200" customFormat="1" ht="12" hidden="1" customHeight="1">
      <c r="A6325" s="199"/>
    </row>
    <row r="6326" spans="1:1" s="200" customFormat="1" ht="12" hidden="1" customHeight="1">
      <c r="A6326" s="199"/>
    </row>
    <row r="6327" spans="1:1" s="200" customFormat="1" ht="12" hidden="1" customHeight="1">
      <c r="A6327" s="199"/>
    </row>
    <row r="6328" spans="1:1" s="200" customFormat="1" ht="12" hidden="1" customHeight="1">
      <c r="A6328" s="199"/>
    </row>
    <row r="6329" spans="1:1" s="200" customFormat="1" ht="12" hidden="1" customHeight="1">
      <c r="A6329" s="199"/>
    </row>
    <row r="6330" spans="1:1" s="200" customFormat="1" ht="12" hidden="1" customHeight="1">
      <c r="A6330" s="199"/>
    </row>
    <row r="6331" spans="1:1" s="200" customFormat="1" ht="12" hidden="1" customHeight="1">
      <c r="A6331" s="199"/>
    </row>
    <row r="6332" spans="1:1" s="200" customFormat="1" ht="12" hidden="1" customHeight="1">
      <c r="A6332" s="199"/>
    </row>
    <row r="6333" spans="1:1" s="200" customFormat="1" ht="12" hidden="1" customHeight="1">
      <c r="A6333" s="199"/>
    </row>
    <row r="6334" spans="1:1" s="200" customFormat="1" ht="12" hidden="1" customHeight="1">
      <c r="A6334" s="199"/>
    </row>
    <row r="6335" spans="1:1" s="200" customFormat="1" ht="12" hidden="1" customHeight="1">
      <c r="A6335" s="199"/>
    </row>
    <row r="6336" spans="1:1" s="200" customFormat="1" ht="12" hidden="1" customHeight="1">
      <c r="A6336" s="199"/>
    </row>
    <row r="6337" spans="1:1" s="200" customFormat="1" ht="12" hidden="1" customHeight="1">
      <c r="A6337" s="199"/>
    </row>
    <row r="6338" spans="1:1" s="200" customFormat="1" ht="12" hidden="1" customHeight="1">
      <c r="A6338" s="199"/>
    </row>
    <row r="6339" spans="1:1" s="200" customFormat="1" ht="12" hidden="1" customHeight="1">
      <c r="A6339" s="199"/>
    </row>
    <row r="6340" spans="1:1" s="200" customFormat="1" ht="12" hidden="1" customHeight="1">
      <c r="A6340" s="199"/>
    </row>
    <row r="6341" spans="1:1" s="200" customFormat="1" ht="12" hidden="1" customHeight="1">
      <c r="A6341" s="199"/>
    </row>
    <row r="6342" spans="1:1" s="200" customFormat="1" ht="12" hidden="1" customHeight="1">
      <c r="A6342" s="199"/>
    </row>
    <row r="6343" spans="1:1" s="200" customFormat="1" ht="12" hidden="1" customHeight="1">
      <c r="A6343" s="199"/>
    </row>
    <row r="6344" spans="1:1" s="200" customFormat="1" ht="12" hidden="1" customHeight="1">
      <c r="A6344" s="199"/>
    </row>
    <row r="6345" spans="1:1" s="200" customFormat="1" ht="12" hidden="1" customHeight="1">
      <c r="A6345" s="199"/>
    </row>
    <row r="6346" spans="1:1" s="200" customFormat="1" ht="12" hidden="1" customHeight="1">
      <c r="A6346" s="199"/>
    </row>
    <row r="6347" spans="1:1" s="200" customFormat="1" ht="12" hidden="1" customHeight="1">
      <c r="A6347" s="199"/>
    </row>
    <row r="6348" spans="1:1" s="200" customFormat="1" ht="12" hidden="1" customHeight="1">
      <c r="A6348" s="199"/>
    </row>
    <row r="6349" spans="1:1" s="200" customFormat="1" ht="12" hidden="1" customHeight="1">
      <c r="A6349" s="199"/>
    </row>
    <row r="6350" spans="1:1" s="200" customFormat="1" ht="12" hidden="1" customHeight="1">
      <c r="A6350" s="199"/>
    </row>
    <row r="6351" spans="1:1" s="200" customFormat="1" ht="12" hidden="1" customHeight="1">
      <c r="A6351" s="199"/>
    </row>
    <row r="6352" spans="1:1" s="200" customFormat="1" ht="12" hidden="1" customHeight="1">
      <c r="A6352" s="199"/>
    </row>
    <row r="6353" spans="1:1" s="200" customFormat="1" ht="12" hidden="1" customHeight="1">
      <c r="A6353" s="199"/>
    </row>
    <row r="6354" spans="1:1" s="200" customFormat="1" ht="12" hidden="1" customHeight="1">
      <c r="A6354" s="199"/>
    </row>
    <row r="6355" spans="1:1" s="200" customFormat="1" ht="12" hidden="1" customHeight="1">
      <c r="A6355" s="199"/>
    </row>
    <row r="6356" spans="1:1" s="200" customFormat="1" ht="12" hidden="1" customHeight="1">
      <c r="A6356" s="199"/>
    </row>
    <row r="6357" spans="1:1" s="200" customFormat="1" ht="12" hidden="1" customHeight="1">
      <c r="A6357" s="199"/>
    </row>
    <row r="6358" spans="1:1" s="200" customFormat="1" ht="12" hidden="1" customHeight="1">
      <c r="A6358" s="199"/>
    </row>
    <row r="6359" spans="1:1" s="200" customFormat="1" ht="12" hidden="1" customHeight="1">
      <c r="A6359" s="199"/>
    </row>
    <row r="6360" spans="1:1" s="200" customFormat="1" ht="12" hidden="1" customHeight="1">
      <c r="A6360" s="199"/>
    </row>
    <row r="6361" spans="1:1" s="200" customFormat="1" ht="12" hidden="1" customHeight="1">
      <c r="A6361" s="199"/>
    </row>
    <row r="6362" spans="1:1" s="200" customFormat="1" ht="12" hidden="1" customHeight="1">
      <c r="A6362" s="199"/>
    </row>
    <row r="6363" spans="1:1" s="200" customFormat="1" ht="12" hidden="1" customHeight="1">
      <c r="A6363" s="199"/>
    </row>
    <row r="6364" spans="1:1" s="200" customFormat="1" ht="12" hidden="1" customHeight="1">
      <c r="A6364" s="199"/>
    </row>
    <row r="6365" spans="1:1" s="200" customFormat="1" ht="12" hidden="1" customHeight="1">
      <c r="A6365" s="199"/>
    </row>
    <row r="6366" spans="1:1" s="200" customFormat="1" ht="12" hidden="1" customHeight="1">
      <c r="A6366" s="199"/>
    </row>
    <row r="6367" spans="1:1" s="200" customFormat="1" ht="12" hidden="1" customHeight="1">
      <c r="A6367" s="199"/>
    </row>
    <row r="6368" spans="1:1" s="200" customFormat="1" ht="12" hidden="1" customHeight="1">
      <c r="A6368" s="199"/>
    </row>
    <row r="6369" spans="1:1" s="200" customFormat="1" ht="12" hidden="1" customHeight="1">
      <c r="A6369" s="199"/>
    </row>
    <row r="6370" spans="1:1" s="200" customFormat="1" ht="12" hidden="1" customHeight="1">
      <c r="A6370" s="199"/>
    </row>
    <row r="6371" spans="1:1" s="200" customFormat="1" ht="12" hidden="1" customHeight="1">
      <c r="A6371" s="199"/>
    </row>
    <row r="6372" spans="1:1" s="200" customFormat="1" ht="12" hidden="1" customHeight="1">
      <c r="A6372" s="199"/>
    </row>
    <row r="6373" spans="1:1" s="200" customFormat="1" ht="12" hidden="1" customHeight="1">
      <c r="A6373" s="199"/>
    </row>
    <row r="6374" spans="1:1" s="200" customFormat="1" ht="12" hidden="1" customHeight="1">
      <c r="A6374" s="199"/>
    </row>
    <row r="6375" spans="1:1" s="200" customFormat="1" ht="12" hidden="1" customHeight="1">
      <c r="A6375" s="199"/>
    </row>
    <row r="6376" spans="1:1" s="200" customFormat="1" ht="12" hidden="1" customHeight="1">
      <c r="A6376" s="199"/>
    </row>
    <row r="6377" spans="1:1" s="200" customFormat="1" ht="12" hidden="1" customHeight="1">
      <c r="A6377" s="199"/>
    </row>
    <row r="6378" spans="1:1" s="200" customFormat="1" ht="12" hidden="1" customHeight="1">
      <c r="A6378" s="199"/>
    </row>
    <row r="6379" spans="1:1" s="200" customFormat="1" ht="12" hidden="1" customHeight="1">
      <c r="A6379" s="199"/>
    </row>
    <row r="6380" spans="1:1" s="200" customFormat="1" ht="12" hidden="1" customHeight="1">
      <c r="A6380" s="199"/>
    </row>
    <row r="6381" spans="1:1" s="200" customFormat="1" ht="12" hidden="1" customHeight="1">
      <c r="A6381" s="199"/>
    </row>
    <row r="6382" spans="1:1" s="200" customFormat="1" ht="12" hidden="1" customHeight="1">
      <c r="A6382" s="199"/>
    </row>
    <row r="6383" spans="1:1" s="200" customFormat="1" ht="12" hidden="1" customHeight="1">
      <c r="A6383" s="199"/>
    </row>
    <row r="6384" spans="1:1" s="200" customFormat="1" ht="12" hidden="1" customHeight="1">
      <c r="A6384" s="199"/>
    </row>
    <row r="6385" spans="1:1" s="200" customFormat="1" ht="12" hidden="1" customHeight="1">
      <c r="A6385" s="199"/>
    </row>
    <row r="6386" spans="1:1" s="200" customFormat="1" ht="12" hidden="1" customHeight="1">
      <c r="A6386" s="199"/>
    </row>
    <row r="6387" spans="1:1" s="200" customFormat="1" ht="12" hidden="1" customHeight="1">
      <c r="A6387" s="199"/>
    </row>
    <row r="6388" spans="1:1" s="200" customFormat="1" ht="12" hidden="1" customHeight="1">
      <c r="A6388" s="199"/>
    </row>
    <row r="6389" spans="1:1" s="200" customFormat="1" ht="12" hidden="1" customHeight="1">
      <c r="A6389" s="199"/>
    </row>
    <row r="6390" spans="1:1" s="200" customFormat="1" ht="12" hidden="1" customHeight="1">
      <c r="A6390" s="199"/>
    </row>
    <row r="6391" spans="1:1" s="200" customFormat="1" ht="12" hidden="1" customHeight="1">
      <c r="A6391" s="199"/>
    </row>
    <row r="6392" spans="1:1" s="200" customFormat="1" ht="12" hidden="1" customHeight="1">
      <c r="A6392" s="199"/>
    </row>
    <row r="6393" spans="1:1" s="200" customFormat="1" ht="12" hidden="1" customHeight="1">
      <c r="A6393" s="199"/>
    </row>
    <row r="6394" spans="1:1" s="200" customFormat="1" ht="12" hidden="1" customHeight="1">
      <c r="A6394" s="199"/>
    </row>
    <row r="6395" spans="1:1" s="200" customFormat="1" ht="12" hidden="1" customHeight="1">
      <c r="A6395" s="199"/>
    </row>
    <row r="6396" spans="1:1" s="200" customFormat="1" ht="12" hidden="1" customHeight="1">
      <c r="A6396" s="199"/>
    </row>
    <row r="6397" spans="1:1" s="200" customFormat="1" ht="12" hidden="1" customHeight="1">
      <c r="A6397" s="199"/>
    </row>
    <row r="6398" spans="1:1" s="200" customFormat="1" ht="12" hidden="1" customHeight="1">
      <c r="A6398" s="199"/>
    </row>
    <row r="6399" spans="1:1" s="200" customFormat="1" ht="12" hidden="1" customHeight="1">
      <c r="A6399" s="199"/>
    </row>
    <row r="6400" spans="1:1" s="200" customFormat="1" ht="12" hidden="1" customHeight="1">
      <c r="A6400" s="199"/>
    </row>
    <row r="6401" spans="1:1" s="200" customFormat="1" ht="12" hidden="1" customHeight="1">
      <c r="A6401" s="199"/>
    </row>
    <row r="6402" spans="1:1" s="200" customFormat="1" ht="12" hidden="1" customHeight="1">
      <c r="A6402" s="199"/>
    </row>
    <row r="6403" spans="1:1" s="200" customFormat="1" ht="12" hidden="1" customHeight="1">
      <c r="A6403" s="199"/>
    </row>
    <row r="6404" spans="1:1" s="200" customFormat="1" ht="12" hidden="1" customHeight="1">
      <c r="A6404" s="199"/>
    </row>
    <row r="6405" spans="1:1" s="200" customFormat="1" ht="12" hidden="1" customHeight="1">
      <c r="A6405" s="199"/>
    </row>
    <row r="6406" spans="1:1" s="200" customFormat="1" ht="12" hidden="1" customHeight="1">
      <c r="A6406" s="199"/>
    </row>
    <row r="6407" spans="1:1" s="200" customFormat="1" ht="12" hidden="1" customHeight="1">
      <c r="A6407" s="199"/>
    </row>
    <row r="6408" spans="1:1" s="200" customFormat="1" ht="12" hidden="1" customHeight="1">
      <c r="A6408" s="199"/>
    </row>
    <row r="6409" spans="1:1" s="200" customFormat="1" ht="12" hidden="1" customHeight="1">
      <c r="A6409" s="199"/>
    </row>
    <row r="6410" spans="1:1" s="200" customFormat="1" ht="12" hidden="1" customHeight="1">
      <c r="A6410" s="199"/>
    </row>
    <row r="6411" spans="1:1" s="200" customFormat="1" ht="12" hidden="1" customHeight="1">
      <c r="A6411" s="199"/>
    </row>
    <row r="6412" spans="1:1" s="200" customFormat="1" ht="12" hidden="1" customHeight="1">
      <c r="A6412" s="199"/>
    </row>
    <row r="6413" spans="1:1" s="200" customFormat="1" ht="12" hidden="1" customHeight="1">
      <c r="A6413" s="199"/>
    </row>
    <row r="6414" spans="1:1" s="200" customFormat="1" ht="12" hidden="1" customHeight="1">
      <c r="A6414" s="199"/>
    </row>
    <row r="6415" spans="1:1" s="200" customFormat="1" ht="12" hidden="1" customHeight="1">
      <c r="A6415" s="199"/>
    </row>
    <row r="6416" spans="1:1" s="200" customFormat="1" ht="12" hidden="1" customHeight="1">
      <c r="A6416" s="199"/>
    </row>
    <row r="6417" spans="1:1" s="200" customFormat="1" ht="12" hidden="1" customHeight="1">
      <c r="A6417" s="199"/>
    </row>
    <row r="6418" spans="1:1" s="200" customFormat="1" ht="12" hidden="1" customHeight="1">
      <c r="A6418" s="199"/>
    </row>
    <row r="6419" spans="1:1" s="200" customFormat="1" ht="12" hidden="1" customHeight="1">
      <c r="A6419" s="199"/>
    </row>
    <row r="6420" spans="1:1" s="200" customFormat="1" ht="12" hidden="1" customHeight="1">
      <c r="A6420" s="199"/>
    </row>
    <row r="6421" spans="1:1" s="200" customFormat="1" ht="12" hidden="1" customHeight="1">
      <c r="A6421" s="199"/>
    </row>
    <row r="6422" spans="1:1" s="200" customFormat="1" ht="12" hidden="1" customHeight="1">
      <c r="A6422" s="199"/>
    </row>
    <row r="6423" spans="1:1" s="200" customFormat="1" ht="12" hidden="1" customHeight="1">
      <c r="A6423" s="199"/>
    </row>
    <row r="6424" spans="1:1" s="200" customFormat="1" ht="12" hidden="1" customHeight="1">
      <c r="A6424" s="199"/>
    </row>
    <row r="6425" spans="1:1" s="200" customFormat="1" ht="12" hidden="1" customHeight="1">
      <c r="A6425" s="199"/>
    </row>
    <row r="6426" spans="1:1" s="200" customFormat="1" ht="12" hidden="1" customHeight="1">
      <c r="A6426" s="199"/>
    </row>
    <row r="6427" spans="1:1" s="200" customFormat="1" ht="12" hidden="1" customHeight="1">
      <c r="A6427" s="199"/>
    </row>
    <row r="6428" spans="1:1" s="200" customFormat="1" ht="12" hidden="1" customHeight="1">
      <c r="A6428" s="199"/>
    </row>
    <row r="6429" spans="1:1" s="200" customFormat="1" ht="12" hidden="1" customHeight="1">
      <c r="A6429" s="199"/>
    </row>
    <row r="6430" spans="1:1" s="200" customFormat="1" ht="12" hidden="1" customHeight="1">
      <c r="A6430" s="199"/>
    </row>
    <row r="6431" spans="1:1" s="200" customFormat="1" ht="12" hidden="1" customHeight="1">
      <c r="A6431" s="199"/>
    </row>
    <row r="6432" spans="1:1" s="200" customFormat="1" ht="12" hidden="1" customHeight="1">
      <c r="A6432" s="199"/>
    </row>
    <row r="6433" spans="1:1" s="200" customFormat="1" ht="12" hidden="1" customHeight="1">
      <c r="A6433" s="199"/>
    </row>
    <row r="6434" spans="1:1" s="200" customFormat="1" ht="12" hidden="1" customHeight="1">
      <c r="A6434" s="199"/>
    </row>
    <row r="6435" spans="1:1" s="200" customFormat="1" ht="12" hidden="1" customHeight="1">
      <c r="A6435" s="199"/>
    </row>
    <row r="6436" spans="1:1" s="200" customFormat="1" ht="12" hidden="1" customHeight="1">
      <c r="A6436" s="199"/>
    </row>
    <row r="6437" spans="1:1" s="200" customFormat="1" ht="12" hidden="1" customHeight="1">
      <c r="A6437" s="199"/>
    </row>
    <row r="6438" spans="1:1" s="200" customFormat="1" ht="12" hidden="1" customHeight="1">
      <c r="A6438" s="199"/>
    </row>
    <row r="6439" spans="1:1" s="200" customFormat="1" ht="12" hidden="1" customHeight="1">
      <c r="A6439" s="199"/>
    </row>
    <row r="6440" spans="1:1" s="200" customFormat="1" ht="12" hidden="1" customHeight="1">
      <c r="A6440" s="199"/>
    </row>
    <row r="6441" spans="1:1" s="200" customFormat="1" ht="12" hidden="1" customHeight="1">
      <c r="A6441" s="199"/>
    </row>
    <row r="6442" spans="1:1" s="200" customFormat="1" ht="12" hidden="1" customHeight="1">
      <c r="A6442" s="199"/>
    </row>
    <row r="6443" spans="1:1" s="200" customFormat="1" ht="12" hidden="1" customHeight="1">
      <c r="A6443" s="199"/>
    </row>
    <row r="6444" spans="1:1" s="200" customFormat="1" ht="12" hidden="1" customHeight="1">
      <c r="A6444" s="199"/>
    </row>
    <row r="6445" spans="1:1" s="200" customFormat="1" ht="12" hidden="1" customHeight="1">
      <c r="A6445" s="199"/>
    </row>
    <row r="6446" spans="1:1" s="200" customFormat="1" ht="12" hidden="1" customHeight="1">
      <c r="A6446" s="199"/>
    </row>
    <row r="6447" spans="1:1" s="200" customFormat="1" ht="12" hidden="1" customHeight="1">
      <c r="A6447" s="199"/>
    </row>
    <row r="6448" spans="1:1" s="200" customFormat="1" ht="12" hidden="1" customHeight="1">
      <c r="A6448" s="199"/>
    </row>
    <row r="6449" spans="1:1" s="200" customFormat="1" ht="12" hidden="1" customHeight="1">
      <c r="A6449" s="199"/>
    </row>
    <row r="6450" spans="1:1" s="200" customFormat="1" ht="12" hidden="1" customHeight="1">
      <c r="A6450" s="199"/>
    </row>
    <row r="6451" spans="1:1" s="200" customFormat="1" ht="12" hidden="1" customHeight="1">
      <c r="A6451" s="199"/>
    </row>
    <row r="6452" spans="1:1" s="200" customFormat="1" ht="12" hidden="1" customHeight="1">
      <c r="A6452" s="199"/>
    </row>
    <row r="6453" spans="1:1" s="200" customFormat="1" ht="12" hidden="1" customHeight="1">
      <c r="A6453" s="199"/>
    </row>
    <row r="6454" spans="1:1" s="200" customFormat="1" ht="12" hidden="1" customHeight="1">
      <c r="A6454" s="199"/>
    </row>
    <row r="6455" spans="1:1" s="200" customFormat="1" ht="12" hidden="1" customHeight="1">
      <c r="A6455" s="199"/>
    </row>
    <row r="6456" spans="1:1" s="200" customFormat="1" ht="12" hidden="1" customHeight="1">
      <c r="A6456" s="199"/>
    </row>
    <row r="6457" spans="1:1" s="200" customFormat="1" ht="12" hidden="1" customHeight="1">
      <c r="A6457" s="199"/>
    </row>
    <row r="6458" spans="1:1" s="200" customFormat="1" ht="12" hidden="1" customHeight="1">
      <c r="A6458" s="199"/>
    </row>
    <row r="6459" spans="1:1" s="200" customFormat="1" ht="12" hidden="1" customHeight="1">
      <c r="A6459" s="199"/>
    </row>
    <row r="6460" spans="1:1" s="200" customFormat="1" ht="12" hidden="1" customHeight="1">
      <c r="A6460" s="199"/>
    </row>
    <row r="6461" spans="1:1" s="200" customFormat="1" ht="12" hidden="1" customHeight="1">
      <c r="A6461" s="199"/>
    </row>
    <row r="6462" spans="1:1" s="200" customFormat="1" ht="12" hidden="1" customHeight="1">
      <c r="A6462" s="199"/>
    </row>
    <row r="6463" spans="1:1" s="200" customFormat="1" ht="12" hidden="1" customHeight="1">
      <c r="A6463" s="199"/>
    </row>
    <row r="6464" spans="1:1" s="200" customFormat="1" ht="12" hidden="1" customHeight="1">
      <c r="A6464" s="199"/>
    </row>
    <row r="6465" spans="1:1" s="200" customFormat="1" ht="12" hidden="1" customHeight="1">
      <c r="A6465" s="199"/>
    </row>
    <row r="6466" spans="1:1" s="200" customFormat="1" ht="12" hidden="1" customHeight="1">
      <c r="A6466" s="199"/>
    </row>
    <row r="6467" spans="1:1" s="200" customFormat="1" ht="12" hidden="1" customHeight="1">
      <c r="A6467" s="199"/>
    </row>
    <row r="6468" spans="1:1" s="200" customFormat="1" ht="12" hidden="1" customHeight="1">
      <c r="A6468" s="199"/>
    </row>
    <row r="6469" spans="1:1" s="200" customFormat="1" ht="12" hidden="1" customHeight="1">
      <c r="A6469" s="199"/>
    </row>
    <row r="6470" spans="1:1" s="200" customFormat="1" ht="12" hidden="1" customHeight="1">
      <c r="A6470" s="199"/>
    </row>
    <row r="6471" spans="1:1" s="200" customFormat="1" ht="12" hidden="1" customHeight="1">
      <c r="A6471" s="199"/>
    </row>
    <row r="6472" spans="1:1" s="200" customFormat="1" ht="12" hidden="1" customHeight="1">
      <c r="A6472" s="199"/>
    </row>
    <row r="6473" spans="1:1" s="200" customFormat="1" ht="12" hidden="1" customHeight="1">
      <c r="A6473" s="199"/>
    </row>
    <row r="6474" spans="1:1" s="200" customFormat="1" ht="12" hidden="1" customHeight="1">
      <c r="A6474" s="199"/>
    </row>
    <row r="6475" spans="1:1" s="200" customFormat="1" ht="12" hidden="1" customHeight="1">
      <c r="A6475" s="199"/>
    </row>
    <row r="6476" spans="1:1" s="200" customFormat="1" ht="12" hidden="1" customHeight="1">
      <c r="A6476" s="199"/>
    </row>
    <row r="6477" spans="1:1" s="200" customFormat="1" ht="12" hidden="1" customHeight="1">
      <c r="A6477" s="199"/>
    </row>
    <row r="6478" spans="1:1" s="200" customFormat="1" ht="12" hidden="1" customHeight="1">
      <c r="A6478" s="199"/>
    </row>
    <row r="6479" spans="1:1" s="200" customFormat="1" ht="12" hidden="1" customHeight="1">
      <c r="A6479" s="199"/>
    </row>
    <row r="6480" spans="1:1" s="200" customFormat="1" ht="12" hidden="1" customHeight="1">
      <c r="A6480" s="199"/>
    </row>
    <row r="6481" spans="1:1" s="200" customFormat="1" ht="12" hidden="1" customHeight="1">
      <c r="A6481" s="199"/>
    </row>
    <row r="6482" spans="1:1" s="200" customFormat="1" ht="12" hidden="1" customHeight="1">
      <c r="A6482" s="199"/>
    </row>
    <row r="6483" spans="1:1" s="200" customFormat="1" ht="12" hidden="1" customHeight="1">
      <c r="A6483" s="199"/>
    </row>
    <row r="6484" spans="1:1" s="200" customFormat="1" ht="12" hidden="1" customHeight="1">
      <c r="A6484" s="199"/>
    </row>
    <row r="6485" spans="1:1" s="200" customFormat="1" ht="12" hidden="1" customHeight="1">
      <c r="A6485" s="199"/>
    </row>
    <row r="6486" spans="1:1" s="200" customFormat="1" ht="12" hidden="1" customHeight="1">
      <c r="A6486" s="199"/>
    </row>
    <row r="6487" spans="1:1" s="200" customFormat="1" ht="12" hidden="1" customHeight="1">
      <c r="A6487" s="199"/>
    </row>
    <row r="6488" spans="1:1" s="200" customFormat="1" ht="12" hidden="1" customHeight="1">
      <c r="A6488" s="199"/>
    </row>
    <row r="6489" spans="1:1" s="200" customFormat="1" ht="12" hidden="1" customHeight="1">
      <c r="A6489" s="199"/>
    </row>
    <row r="6490" spans="1:1" s="200" customFormat="1" ht="12" hidden="1" customHeight="1">
      <c r="A6490" s="199"/>
    </row>
    <row r="6491" spans="1:1" s="200" customFormat="1" ht="12" hidden="1" customHeight="1">
      <c r="A6491" s="199"/>
    </row>
    <row r="6492" spans="1:1" s="200" customFormat="1" ht="12" hidden="1" customHeight="1">
      <c r="A6492" s="199"/>
    </row>
    <row r="6493" spans="1:1" s="200" customFormat="1" ht="12" hidden="1" customHeight="1">
      <c r="A6493" s="199"/>
    </row>
    <row r="6494" spans="1:1" s="200" customFormat="1" ht="12" hidden="1" customHeight="1">
      <c r="A6494" s="199"/>
    </row>
    <row r="6495" spans="1:1" s="200" customFormat="1" ht="12" hidden="1" customHeight="1">
      <c r="A6495" s="199"/>
    </row>
    <row r="6496" spans="1:1" s="200" customFormat="1" ht="12" hidden="1" customHeight="1">
      <c r="A6496" s="199"/>
    </row>
    <row r="6497" spans="1:1" s="200" customFormat="1" ht="12" hidden="1" customHeight="1">
      <c r="A6497" s="199"/>
    </row>
    <row r="6498" spans="1:1" s="200" customFormat="1" ht="12" hidden="1" customHeight="1">
      <c r="A6498" s="199"/>
    </row>
    <row r="6499" spans="1:1" s="200" customFormat="1" ht="12" hidden="1" customHeight="1">
      <c r="A6499" s="199"/>
    </row>
    <row r="6500" spans="1:1" s="200" customFormat="1" ht="12" hidden="1" customHeight="1">
      <c r="A6500" s="199"/>
    </row>
    <row r="6501" spans="1:1" s="200" customFormat="1" ht="12" hidden="1" customHeight="1">
      <c r="A6501" s="199"/>
    </row>
    <row r="6502" spans="1:1" s="200" customFormat="1" ht="12" hidden="1" customHeight="1">
      <c r="A6502" s="199"/>
    </row>
    <row r="6503" spans="1:1" s="200" customFormat="1" ht="12" hidden="1" customHeight="1">
      <c r="A6503" s="199"/>
    </row>
    <row r="6504" spans="1:1" s="200" customFormat="1" ht="12" hidden="1" customHeight="1">
      <c r="A6504" s="199"/>
    </row>
    <row r="6505" spans="1:1" s="200" customFormat="1" ht="12" hidden="1" customHeight="1">
      <c r="A6505" s="199"/>
    </row>
    <row r="6506" spans="1:1" s="200" customFormat="1" ht="12" hidden="1" customHeight="1">
      <c r="A6506" s="199"/>
    </row>
    <row r="6507" spans="1:1" s="200" customFormat="1" ht="12" hidden="1" customHeight="1">
      <c r="A6507" s="199"/>
    </row>
    <row r="6508" spans="1:1" s="200" customFormat="1" ht="12" hidden="1" customHeight="1">
      <c r="A6508" s="199"/>
    </row>
    <row r="6509" spans="1:1" s="200" customFormat="1" ht="12" hidden="1" customHeight="1">
      <c r="A6509" s="199"/>
    </row>
    <row r="6510" spans="1:1" s="200" customFormat="1" ht="12" hidden="1" customHeight="1">
      <c r="A6510" s="199"/>
    </row>
    <row r="6511" spans="1:1" s="200" customFormat="1" ht="12" hidden="1" customHeight="1">
      <c r="A6511" s="199"/>
    </row>
    <row r="6512" spans="1:1" s="200" customFormat="1" ht="12" hidden="1" customHeight="1">
      <c r="A6512" s="199"/>
    </row>
    <row r="6513" spans="1:1" s="200" customFormat="1" ht="12" hidden="1" customHeight="1">
      <c r="A6513" s="199"/>
    </row>
    <row r="6514" spans="1:1" s="200" customFormat="1" ht="12" hidden="1" customHeight="1">
      <c r="A6514" s="199"/>
    </row>
    <row r="6515" spans="1:1" s="200" customFormat="1" ht="12" hidden="1" customHeight="1">
      <c r="A6515" s="199"/>
    </row>
    <row r="6516" spans="1:1" s="200" customFormat="1" ht="12" hidden="1" customHeight="1">
      <c r="A6516" s="199"/>
    </row>
    <row r="6517" spans="1:1" s="200" customFormat="1" ht="12" hidden="1" customHeight="1">
      <c r="A6517" s="199"/>
    </row>
    <row r="6518" spans="1:1" s="200" customFormat="1" ht="12" hidden="1" customHeight="1">
      <c r="A6518" s="199"/>
    </row>
    <row r="6519" spans="1:1" s="200" customFormat="1" ht="12" hidden="1" customHeight="1">
      <c r="A6519" s="199"/>
    </row>
    <row r="6520" spans="1:1" s="200" customFormat="1" ht="12" hidden="1" customHeight="1">
      <c r="A6520" s="199"/>
    </row>
    <row r="6521" spans="1:1" s="200" customFormat="1" ht="12" hidden="1" customHeight="1">
      <c r="A6521" s="199"/>
    </row>
    <row r="6522" spans="1:1" s="200" customFormat="1" ht="12" hidden="1" customHeight="1">
      <c r="A6522" s="199"/>
    </row>
    <row r="6523" spans="1:1" s="200" customFormat="1" ht="12" hidden="1" customHeight="1">
      <c r="A6523" s="199"/>
    </row>
    <row r="6524" spans="1:1" s="200" customFormat="1" ht="12" hidden="1" customHeight="1">
      <c r="A6524" s="199"/>
    </row>
    <row r="6525" spans="1:1" s="200" customFormat="1" ht="12" hidden="1" customHeight="1">
      <c r="A6525" s="199"/>
    </row>
    <row r="6526" spans="1:1" s="200" customFormat="1" ht="12" hidden="1" customHeight="1">
      <c r="A6526" s="199"/>
    </row>
    <row r="6527" spans="1:1" s="200" customFormat="1" ht="12" hidden="1" customHeight="1">
      <c r="A6527" s="199"/>
    </row>
    <row r="6528" spans="1:1" s="200" customFormat="1" ht="12" hidden="1" customHeight="1">
      <c r="A6528" s="199"/>
    </row>
    <row r="6529" spans="1:1" s="200" customFormat="1" ht="12" hidden="1" customHeight="1">
      <c r="A6529" s="199"/>
    </row>
    <row r="6530" spans="1:1" s="200" customFormat="1" ht="12" hidden="1" customHeight="1">
      <c r="A6530" s="199"/>
    </row>
    <row r="6531" spans="1:1" s="200" customFormat="1" ht="12" hidden="1" customHeight="1">
      <c r="A6531" s="199"/>
    </row>
    <row r="6532" spans="1:1" s="200" customFormat="1" ht="12" hidden="1" customHeight="1">
      <c r="A6532" s="199"/>
    </row>
    <row r="6533" spans="1:1" s="200" customFormat="1" ht="12" hidden="1" customHeight="1">
      <c r="A6533" s="199"/>
    </row>
    <row r="6534" spans="1:1" s="200" customFormat="1" ht="12" hidden="1" customHeight="1">
      <c r="A6534" s="199"/>
    </row>
    <row r="6535" spans="1:1" s="200" customFormat="1" ht="12" hidden="1" customHeight="1">
      <c r="A6535" s="199"/>
    </row>
    <row r="6536" spans="1:1" s="200" customFormat="1" ht="12" hidden="1" customHeight="1">
      <c r="A6536" s="199"/>
    </row>
    <row r="6537" spans="1:1" s="200" customFormat="1" ht="12" hidden="1" customHeight="1">
      <c r="A6537" s="199"/>
    </row>
    <row r="6538" spans="1:1" s="200" customFormat="1" ht="12" hidden="1" customHeight="1">
      <c r="A6538" s="199"/>
    </row>
    <row r="6539" spans="1:1" s="200" customFormat="1" ht="12" hidden="1" customHeight="1">
      <c r="A6539" s="199"/>
    </row>
    <row r="6540" spans="1:1" s="200" customFormat="1" ht="12" hidden="1" customHeight="1">
      <c r="A6540" s="199"/>
    </row>
    <row r="6541" spans="1:1" s="200" customFormat="1" ht="12" hidden="1" customHeight="1">
      <c r="A6541" s="199"/>
    </row>
    <row r="6542" spans="1:1" s="200" customFormat="1" ht="12" hidden="1" customHeight="1">
      <c r="A6542" s="199"/>
    </row>
    <row r="6543" spans="1:1" s="200" customFormat="1" ht="12" hidden="1" customHeight="1">
      <c r="A6543" s="199"/>
    </row>
    <row r="6544" spans="1:1" s="200" customFormat="1" ht="12" hidden="1" customHeight="1">
      <c r="A6544" s="199"/>
    </row>
    <row r="6545" spans="1:1" s="200" customFormat="1" ht="12" hidden="1" customHeight="1">
      <c r="A6545" s="199"/>
    </row>
    <row r="6546" spans="1:1" s="200" customFormat="1" ht="12" hidden="1" customHeight="1">
      <c r="A6546" s="199"/>
    </row>
    <row r="6547" spans="1:1" s="200" customFormat="1" ht="12" hidden="1" customHeight="1">
      <c r="A6547" s="199"/>
    </row>
    <row r="6548" spans="1:1" s="200" customFormat="1" ht="12" hidden="1" customHeight="1">
      <c r="A6548" s="199"/>
    </row>
    <row r="6549" spans="1:1" s="200" customFormat="1" ht="12" hidden="1" customHeight="1">
      <c r="A6549" s="199"/>
    </row>
    <row r="6550" spans="1:1" s="200" customFormat="1" ht="12" hidden="1" customHeight="1">
      <c r="A6550" s="199"/>
    </row>
    <row r="6551" spans="1:1" s="200" customFormat="1" ht="12" hidden="1" customHeight="1">
      <c r="A6551" s="199"/>
    </row>
    <row r="6552" spans="1:1" s="200" customFormat="1" ht="12" hidden="1" customHeight="1">
      <c r="A6552" s="199"/>
    </row>
    <row r="6553" spans="1:1" s="200" customFormat="1" ht="12" hidden="1" customHeight="1">
      <c r="A6553" s="199"/>
    </row>
    <row r="6554" spans="1:1" s="200" customFormat="1" ht="12" hidden="1" customHeight="1">
      <c r="A6554" s="199"/>
    </row>
    <row r="6555" spans="1:1" s="200" customFormat="1" ht="12" hidden="1" customHeight="1">
      <c r="A6555" s="199"/>
    </row>
    <row r="6556" spans="1:1" s="200" customFormat="1" ht="12" hidden="1" customHeight="1">
      <c r="A6556" s="199"/>
    </row>
    <row r="6557" spans="1:1" s="200" customFormat="1" ht="12" hidden="1" customHeight="1">
      <c r="A6557" s="199"/>
    </row>
    <row r="6558" spans="1:1" s="200" customFormat="1" ht="12" hidden="1" customHeight="1">
      <c r="A6558" s="199"/>
    </row>
    <row r="6559" spans="1:1" s="200" customFormat="1" ht="12" hidden="1" customHeight="1">
      <c r="A6559" s="199"/>
    </row>
    <row r="6560" spans="1:1" s="200" customFormat="1" ht="12" hidden="1" customHeight="1">
      <c r="A6560" s="199"/>
    </row>
    <row r="6561" spans="1:1" s="200" customFormat="1" ht="12" hidden="1" customHeight="1">
      <c r="A6561" s="199"/>
    </row>
    <row r="6562" spans="1:1" s="200" customFormat="1" ht="12" hidden="1" customHeight="1">
      <c r="A6562" s="199"/>
    </row>
    <row r="6563" spans="1:1" s="200" customFormat="1" ht="12" hidden="1" customHeight="1">
      <c r="A6563" s="199"/>
    </row>
    <row r="6564" spans="1:1" s="200" customFormat="1" ht="12" hidden="1" customHeight="1">
      <c r="A6564" s="199"/>
    </row>
    <row r="6565" spans="1:1" s="200" customFormat="1" ht="12" hidden="1" customHeight="1">
      <c r="A6565" s="199"/>
    </row>
    <row r="6566" spans="1:1" s="200" customFormat="1" ht="12" hidden="1" customHeight="1">
      <c r="A6566" s="199"/>
    </row>
    <row r="6567" spans="1:1" s="200" customFormat="1" ht="12" hidden="1" customHeight="1">
      <c r="A6567" s="199"/>
    </row>
    <row r="6568" spans="1:1" s="200" customFormat="1" ht="12" hidden="1" customHeight="1">
      <c r="A6568" s="199"/>
    </row>
    <row r="6569" spans="1:1" s="200" customFormat="1" ht="12" hidden="1" customHeight="1">
      <c r="A6569" s="199"/>
    </row>
    <row r="6570" spans="1:1" s="200" customFormat="1" ht="12" hidden="1" customHeight="1">
      <c r="A6570" s="199"/>
    </row>
    <row r="6571" spans="1:1" s="200" customFormat="1" ht="12" hidden="1" customHeight="1">
      <c r="A6571" s="199"/>
    </row>
    <row r="6572" spans="1:1" s="200" customFormat="1" ht="12" hidden="1" customHeight="1">
      <c r="A6572" s="199"/>
    </row>
    <row r="6573" spans="1:1" s="200" customFormat="1" ht="12" hidden="1" customHeight="1">
      <c r="A6573" s="199"/>
    </row>
    <row r="6574" spans="1:1" s="200" customFormat="1" ht="12" hidden="1" customHeight="1">
      <c r="A6574" s="199"/>
    </row>
    <row r="6575" spans="1:1" s="200" customFormat="1" ht="12" hidden="1" customHeight="1">
      <c r="A6575" s="199"/>
    </row>
    <row r="6576" spans="1:1" s="200" customFormat="1" ht="12" hidden="1" customHeight="1">
      <c r="A6576" s="199"/>
    </row>
    <row r="6577" spans="1:1" s="200" customFormat="1" ht="12" hidden="1" customHeight="1">
      <c r="A6577" s="199"/>
    </row>
    <row r="6578" spans="1:1" s="200" customFormat="1" ht="12" hidden="1" customHeight="1">
      <c r="A6578" s="199"/>
    </row>
    <row r="6579" spans="1:1" s="200" customFormat="1" ht="12" hidden="1" customHeight="1">
      <c r="A6579" s="199"/>
    </row>
    <row r="6580" spans="1:1" s="200" customFormat="1" ht="12" hidden="1" customHeight="1">
      <c r="A6580" s="199"/>
    </row>
    <row r="6581" spans="1:1" s="200" customFormat="1" ht="12" hidden="1" customHeight="1">
      <c r="A6581" s="199"/>
    </row>
    <row r="6582" spans="1:1" s="200" customFormat="1" ht="12" hidden="1" customHeight="1">
      <c r="A6582" s="199"/>
    </row>
    <row r="6583" spans="1:1" s="200" customFormat="1" ht="12" hidden="1" customHeight="1">
      <c r="A6583" s="199"/>
    </row>
    <row r="6584" spans="1:1" s="200" customFormat="1" ht="12" hidden="1" customHeight="1">
      <c r="A6584" s="199"/>
    </row>
    <row r="6585" spans="1:1" s="200" customFormat="1" ht="12" hidden="1" customHeight="1">
      <c r="A6585" s="199"/>
    </row>
    <row r="6586" spans="1:1" s="200" customFormat="1" ht="12" hidden="1" customHeight="1">
      <c r="A6586" s="199"/>
    </row>
    <row r="6587" spans="1:1" s="200" customFormat="1" ht="12" hidden="1" customHeight="1">
      <c r="A6587" s="199"/>
    </row>
    <row r="6588" spans="1:1" s="200" customFormat="1" ht="12" hidden="1" customHeight="1">
      <c r="A6588" s="199"/>
    </row>
    <row r="6589" spans="1:1" s="200" customFormat="1" ht="12" hidden="1" customHeight="1">
      <c r="A6589" s="199"/>
    </row>
    <row r="6590" spans="1:1" s="200" customFormat="1" ht="12" hidden="1" customHeight="1">
      <c r="A6590" s="199"/>
    </row>
    <row r="6591" spans="1:1" s="200" customFormat="1" ht="12" hidden="1" customHeight="1">
      <c r="A6591" s="199"/>
    </row>
    <row r="6592" spans="1:1" s="200" customFormat="1" ht="12" hidden="1" customHeight="1">
      <c r="A6592" s="199"/>
    </row>
    <row r="6593" spans="1:1" s="200" customFormat="1" ht="12" hidden="1" customHeight="1">
      <c r="A6593" s="199"/>
    </row>
    <row r="6594" spans="1:1" s="200" customFormat="1" ht="12" hidden="1" customHeight="1">
      <c r="A6594" s="199"/>
    </row>
    <row r="6595" spans="1:1" s="200" customFormat="1" ht="12" hidden="1" customHeight="1">
      <c r="A6595" s="199"/>
    </row>
    <row r="6596" spans="1:1" s="200" customFormat="1" ht="12" hidden="1" customHeight="1">
      <c r="A6596" s="199"/>
    </row>
    <row r="6597" spans="1:1" s="200" customFormat="1" ht="12" hidden="1" customHeight="1">
      <c r="A6597" s="199"/>
    </row>
    <row r="6598" spans="1:1" s="200" customFormat="1" ht="12" hidden="1" customHeight="1">
      <c r="A6598" s="199"/>
    </row>
    <row r="6599" spans="1:1" s="200" customFormat="1" ht="12" hidden="1" customHeight="1">
      <c r="A6599" s="199"/>
    </row>
    <row r="6600" spans="1:1" s="200" customFormat="1" ht="12" hidden="1" customHeight="1">
      <c r="A6600" s="199"/>
    </row>
    <row r="6601" spans="1:1" s="200" customFormat="1" ht="12" hidden="1" customHeight="1">
      <c r="A6601" s="199"/>
    </row>
    <row r="6602" spans="1:1" s="200" customFormat="1" ht="12" hidden="1" customHeight="1">
      <c r="A6602" s="199"/>
    </row>
    <row r="6603" spans="1:1" s="200" customFormat="1" ht="12" hidden="1" customHeight="1">
      <c r="A6603" s="199"/>
    </row>
    <row r="6604" spans="1:1" s="200" customFormat="1" ht="12" hidden="1" customHeight="1">
      <c r="A6604" s="199"/>
    </row>
    <row r="6605" spans="1:1" s="200" customFormat="1" ht="12" hidden="1" customHeight="1">
      <c r="A6605" s="199"/>
    </row>
    <row r="6606" spans="1:1" s="200" customFormat="1" ht="12" hidden="1" customHeight="1">
      <c r="A6606" s="199"/>
    </row>
    <row r="6607" spans="1:1" s="200" customFormat="1" ht="12" hidden="1" customHeight="1">
      <c r="A6607" s="199"/>
    </row>
    <row r="6608" spans="1:1" s="200" customFormat="1" ht="12" hidden="1" customHeight="1">
      <c r="A6608" s="199"/>
    </row>
    <row r="6609" spans="1:1" s="200" customFormat="1" ht="12" hidden="1" customHeight="1">
      <c r="A6609" s="199"/>
    </row>
    <row r="6610" spans="1:1" s="200" customFormat="1" ht="12" hidden="1" customHeight="1">
      <c r="A6610" s="199"/>
    </row>
    <row r="6611" spans="1:1" s="200" customFormat="1" ht="12" hidden="1" customHeight="1">
      <c r="A6611" s="199"/>
    </row>
    <row r="6612" spans="1:1" s="200" customFormat="1" ht="12" hidden="1" customHeight="1">
      <c r="A6612" s="199"/>
    </row>
    <row r="6613" spans="1:1" s="200" customFormat="1" ht="12" hidden="1" customHeight="1">
      <c r="A6613" s="199"/>
    </row>
    <row r="6614" spans="1:1" s="200" customFormat="1" ht="12" hidden="1" customHeight="1">
      <c r="A6614" s="199"/>
    </row>
    <row r="6615" spans="1:1" s="200" customFormat="1" ht="12" hidden="1" customHeight="1">
      <c r="A6615" s="199"/>
    </row>
    <row r="6616" spans="1:1" s="200" customFormat="1" ht="12" hidden="1" customHeight="1">
      <c r="A6616" s="199"/>
    </row>
    <row r="6617" spans="1:1" s="200" customFormat="1" ht="12" hidden="1" customHeight="1">
      <c r="A6617" s="199"/>
    </row>
    <row r="6618" spans="1:1" s="200" customFormat="1" ht="12" hidden="1" customHeight="1">
      <c r="A6618" s="199"/>
    </row>
    <row r="6619" spans="1:1" s="200" customFormat="1" ht="12" hidden="1" customHeight="1">
      <c r="A6619" s="199"/>
    </row>
    <row r="6620" spans="1:1" s="200" customFormat="1" ht="12" hidden="1" customHeight="1">
      <c r="A6620" s="199"/>
    </row>
    <row r="6621" spans="1:1" s="200" customFormat="1" ht="12" hidden="1" customHeight="1">
      <c r="A6621" s="199"/>
    </row>
    <row r="6622" spans="1:1" s="200" customFormat="1" ht="12" hidden="1" customHeight="1">
      <c r="A6622" s="199"/>
    </row>
    <row r="6623" spans="1:1" s="200" customFormat="1" ht="12" hidden="1" customHeight="1">
      <c r="A6623" s="199"/>
    </row>
    <row r="6624" spans="1:1" s="200" customFormat="1" ht="12" hidden="1" customHeight="1">
      <c r="A6624" s="199"/>
    </row>
    <row r="6625" spans="1:1" s="200" customFormat="1" ht="12" hidden="1" customHeight="1">
      <c r="A6625" s="199"/>
    </row>
    <row r="6626" spans="1:1" s="200" customFormat="1" ht="12" hidden="1" customHeight="1">
      <c r="A6626" s="199"/>
    </row>
    <row r="6627" spans="1:1" s="200" customFormat="1" ht="12" hidden="1" customHeight="1">
      <c r="A6627" s="199"/>
    </row>
    <row r="6628" spans="1:1" s="200" customFormat="1" ht="12" hidden="1" customHeight="1">
      <c r="A6628" s="199"/>
    </row>
    <row r="6629" spans="1:1" s="200" customFormat="1" ht="12" hidden="1" customHeight="1">
      <c r="A6629" s="199"/>
    </row>
    <row r="6630" spans="1:1" s="200" customFormat="1" ht="12" hidden="1" customHeight="1">
      <c r="A6630" s="199"/>
    </row>
    <row r="6631" spans="1:1" s="200" customFormat="1" ht="12" hidden="1" customHeight="1">
      <c r="A6631" s="199"/>
    </row>
    <row r="6632" spans="1:1" s="200" customFormat="1" ht="12" hidden="1" customHeight="1">
      <c r="A6632" s="199"/>
    </row>
    <row r="6633" spans="1:1" s="200" customFormat="1" ht="12" hidden="1" customHeight="1">
      <c r="A6633" s="199"/>
    </row>
    <row r="6634" spans="1:1" s="200" customFormat="1" ht="12" hidden="1" customHeight="1">
      <c r="A6634" s="199"/>
    </row>
    <row r="6635" spans="1:1" s="200" customFormat="1" ht="12" hidden="1" customHeight="1">
      <c r="A6635" s="199"/>
    </row>
    <row r="6636" spans="1:1" s="200" customFormat="1" ht="12" hidden="1" customHeight="1">
      <c r="A6636" s="199"/>
    </row>
    <row r="6637" spans="1:1" s="200" customFormat="1" ht="12" hidden="1" customHeight="1">
      <c r="A6637" s="199"/>
    </row>
    <row r="6638" spans="1:1" s="200" customFormat="1" ht="12" hidden="1" customHeight="1">
      <c r="A6638" s="199"/>
    </row>
    <row r="6639" spans="1:1" s="200" customFormat="1" ht="12" hidden="1" customHeight="1">
      <c r="A6639" s="199"/>
    </row>
    <row r="6640" spans="1:1" s="200" customFormat="1" ht="12" hidden="1" customHeight="1">
      <c r="A6640" s="199"/>
    </row>
    <row r="6641" spans="1:1" s="200" customFormat="1" ht="12" hidden="1" customHeight="1">
      <c r="A6641" s="199"/>
    </row>
    <row r="6642" spans="1:1" s="200" customFormat="1" ht="12" hidden="1" customHeight="1">
      <c r="A6642" s="199"/>
    </row>
    <row r="6643" spans="1:1" s="200" customFormat="1" ht="12" hidden="1" customHeight="1">
      <c r="A6643" s="199"/>
    </row>
    <row r="6644" spans="1:1" s="200" customFormat="1" ht="12" hidden="1" customHeight="1">
      <c r="A6644" s="199"/>
    </row>
    <row r="6645" spans="1:1" s="200" customFormat="1" ht="12" hidden="1" customHeight="1">
      <c r="A6645" s="199"/>
    </row>
    <row r="6646" spans="1:1" s="200" customFormat="1" ht="12" hidden="1" customHeight="1">
      <c r="A6646" s="199"/>
    </row>
    <row r="6647" spans="1:1" s="200" customFormat="1" ht="12" hidden="1" customHeight="1">
      <c r="A6647" s="199"/>
    </row>
    <row r="6648" spans="1:1" s="200" customFormat="1" ht="12" hidden="1" customHeight="1">
      <c r="A6648" s="199"/>
    </row>
    <row r="6649" spans="1:1" s="200" customFormat="1" ht="12" hidden="1" customHeight="1">
      <c r="A6649" s="199"/>
    </row>
    <row r="6650" spans="1:1" s="200" customFormat="1" ht="12" hidden="1" customHeight="1">
      <c r="A6650" s="199"/>
    </row>
    <row r="6651" spans="1:1" s="200" customFormat="1" ht="12" hidden="1" customHeight="1">
      <c r="A6651" s="199"/>
    </row>
    <row r="6652" spans="1:1" s="200" customFormat="1" ht="12" hidden="1" customHeight="1">
      <c r="A6652" s="199"/>
    </row>
    <row r="6653" spans="1:1" s="200" customFormat="1" ht="12" hidden="1" customHeight="1">
      <c r="A6653" s="199"/>
    </row>
    <row r="6654" spans="1:1" s="200" customFormat="1" ht="12" hidden="1" customHeight="1">
      <c r="A6654" s="199"/>
    </row>
    <row r="6655" spans="1:1" s="200" customFormat="1" ht="12" hidden="1" customHeight="1">
      <c r="A6655" s="199"/>
    </row>
    <row r="6656" spans="1:1" s="200" customFormat="1" ht="12" hidden="1" customHeight="1">
      <c r="A6656" s="199"/>
    </row>
    <row r="6657" spans="1:1" s="200" customFormat="1" ht="12" hidden="1" customHeight="1">
      <c r="A6657" s="199"/>
    </row>
    <row r="6658" spans="1:1" s="200" customFormat="1" ht="12" hidden="1" customHeight="1">
      <c r="A6658" s="199"/>
    </row>
    <row r="6659" spans="1:1" s="200" customFormat="1" ht="12" hidden="1" customHeight="1">
      <c r="A6659" s="199"/>
    </row>
    <row r="6660" spans="1:1" s="200" customFormat="1" ht="12" hidden="1" customHeight="1">
      <c r="A6660" s="199"/>
    </row>
    <row r="6661" spans="1:1" s="200" customFormat="1" ht="12" hidden="1" customHeight="1">
      <c r="A6661" s="199"/>
    </row>
    <row r="6662" spans="1:1" s="200" customFormat="1" ht="12" hidden="1" customHeight="1">
      <c r="A6662" s="199"/>
    </row>
    <row r="6663" spans="1:1" s="200" customFormat="1" ht="12" hidden="1" customHeight="1">
      <c r="A6663" s="199"/>
    </row>
    <row r="6664" spans="1:1" s="200" customFormat="1" ht="12" hidden="1" customHeight="1">
      <c r="A6664" s="199"/>
    </row>
    <row r="6665" spans="1:1" s="200" customFormat="1" ht="12" hidden="1" customHeight="1">
      <c r="A6665" s="199"/>
    </row>
    <row r="6666" spans="1:1" s="200" customFormat="1" ht="12" hidden="1" customHeight="1">
      <c r="A6666" s="199"/>
    </row>
    <row r="6667" spans="1:1" s="200" customFormat="1" ht="12" hidden="1" customHeight="1">
      <c r="A6667" s="199"/>
    </row>
    <row r="6668" spans="1:1" s="200" customFormat="1" ht="12" hidden="1" customHeight="1">
      <c r="A6668" s="199"/>
    </row>
    <row r="6669" spans="1:1" s="200" customFormat="1" ht="12" hidden="1" customHeight="1">
      <c r="A6669" s="199"/>
    </row>
    <row r="6670" spans="1:1" s="200" customFormat="1" ht="12" hidden="1" customHeight="1">
      <c r="A6670" s="199"/>
    </row>
    <row r="6671" spans="1:1" s="200" customFormat="1" ht="12" hidden="1" customHeight="1">
      <c r="A6671" s="199"/>
    </row>
    <row r="6672" spans="1:1" s="200" customFormat="1" ht="12" hidden="1" customHeight="1">
      <c r="A6672" s="199"/>
    </row>
    <row r="6673" spans="1:1" s="200" customFormat="1" ht="12" hidden="1" customHeight="1">
      <c r="A6673" s="199"/>
    </row>
    <row r="6674" spans="1:1" s="200" customFormat="1" ht="12" hidden="1" customHeight="1">
      <c r="A6674" s="199"/>
    </row>
    <row r="6675" spans="1:1" s="200" customFormat="1" ht="12" hidden="1" customHeight="1">
      <c r="A6675" s="199"/>
    </row>
    <row r="6676" spans="1:1" s="200" customFormat="1" ht="12" hidden="1" customHeight="1">
      <c r="A6676" s="199"/>
    </row>
    <row r="6677" spans="1:1" s="200" customFormat="1" ht="12" hidden="1" customHeight="1">
      <c r="A6677" s="199"/>
    </row>
    <row r="6678" spans="1:1" s="200" customFormat="1" ht="12" hidden="1" customHeight="1">
      <c r="A6678" s="199"/>
    </row>
    <row r="6679" spans="1:1" s="200" customFormat="1" ht="12" hidden="1" customHeight="1">
      <c r="A6679" s="199"/>
    </row>
    <row r="6680" spans="1:1" s="200" customFormat="1" ht="12" hidden="1" customHeight="1">
      <c r="A6680" s="199"/>
    </row>
    <row r="6681" spans="1:1" s="200" customFormat="1" ht="12" hidden="1" customHeight="1">
      <c r="A6681" s="199"/>
    </row>
    <row r="6682" spans="1:1" s="200" customFormat="1" ht="12" hidden="1" customHeight="1">
      <c r="A6682" s="199"/>
    </row>
    <row r="6683" spans="1:1" s="200" customFormat="1" ht="12" hidden="1" customHeight="1">
      <c r="A6683" s="199"/>
    </row>
    <row r="6684" spans="1:1" s="200" customFormat="1" ht="12" hidden="1" customHeight="1">
      <c r="A6684" s="199"/>
    </row>
    <row r="6685" spans="1:1" s="200" customFormat="1" ht="12" hidden="1" customHeight="1">
      <c r="A6685" s="199"/>
    </row>
    <row r="6686" spans="1:1" s="200" customFormat="1" ht="12" hidden="1" customHeight="1">
      <c r="A6686" s="199"/>
    </row>
    <row r="6687" spans="1:1" s="200" customFormat="1" ht="12" hidden="1" customHeight="1">
      <c r="A6687" s="199"/>
    </row>
    <row r="6688" spans="1:1" s="200" customFormat="1" ht="12" hidden="1" customHeight="1">
      <c r="A6688" s="199"/>
    </row>
    <row r="6689" spans="1:1" s="200" customFormat="1" ht="12" hidden="1" customHeight="1">
      <c r="A6689" s="199"/>
    </row>
    <row r="6690" spans="1:1" s="200" customFormat="1" ht="12" hidden="1" customHeight="1">
      <c r="A6690" s="199"/>
    </row>
    <row r="6691" spans="1:1" s="200" customFormat="1" ht="12" hidden="1" customHeight="1">
      <c r="A6691" s="199"/>
    </row>
    <row r="6692" spans="1:1" s="200" customFormat="1" ht="12" hidden="1" customHeight="1">
      <c r="A6692" s="199"/>
    </row>
    <row r="6693" spans="1:1" s="200" customFormat="1" ht="12" hidden="1" customHeight="1">
      <c r="A6693" s="199"/>
    </row>
    <row r="6694" spans="1:1" s="200" customFormat="1" ht="12" hidden="1" customHeight="1">
      <c r="A6694" s="199"/>
    </row>
    <row r="6695" spans="1:1" s="200" customFormat="1" ht="12" hidden="1" customHeight="1">
      <c r="A6695" s="199"/>
    </row>
    <row r="6696" spans="1:1" s="200" customFormat="1" ht="12" hidden="1" customHeight="1">
      <c r="A6696" s="199"/>
    </row>
    <row r="6697" spans="1:1" s="200" customFormat="1" ht="12" hidden="1" customHeight="1">
      <c r="A6697" s="199"/>
    </row>
    <row r="6698" spans="1:1" s="200" customFormat="1" ht="12" hidden="1" customHeight="1">
      <c r="A6698" s="199"/>
    </row>
    <row r="6699" spans="1:1" s="200" customFormat="1" ht="12" hidden="1" customHeight="1">
      <c r="A6699" s="199"/>
    </row>
    <row r="6700" spans="1:1" s="200" customFormat="1" ht="12" hidden="1" customHeight="1">
      <c r="A6700" s="199"/>
    </row>
    <row r="6701" spans="1:1" s="200" customFormat="1" ht="12" hidden="1" customHeight="1">
      <c r="A6701" s="199"/>
    </row>
    <row r="6702" spans="1:1" s="200" customFormat="1" ht="12" hidden="1" customHeight="1">
      <c r="A6702" s="199"/>
    </row>
    <row r="6703" spans="1:1" s="200" customFormat="1" ht="12" hidden="1" customHeight="1">
      <c r="A6703" s="199"/>
    </row>
    <row r="6704" spans="1:1" s="200" customFormat="1" ht="12" hidden="1" customHeight="1">
      <c r="A6704" s="199"/>
    </row>
    <row r="6705" spans="1:1" s="200" customFormat="1" ht="12" hidden="1" customHeight="1">
      <c r="A6705" s="199"/>
    </row>
    <row r="6706" spans="1:1" s="200" customFormat="1" ht="12" hidden="1" customHeight="1">
      <c r="A6706" s="199"/>
    </row>
    <row r="6707" spans="1:1" s="200" customFormat="1" ht="12" hidden="1" customHeight="1">
      <c r="A6707" s="199"/>
    </row>
    <row r="6708" spans="1:1" s="200" customFormat="1" ht="12" hidden="1" customHeight="1">
      <c r="A6708" s="199"/>
    </row>
    <row r="6709" spans="1:1" s="200" customFormat="1" ht="12" hidden="1" customHeight="1">
      <c r="A6709" s="199"/>
    </row>
    <row r="6710" spans="1:1" s="200" customFormat="1" ht="12" hidden="1" customHeight="1">
      <c r="A6710" s="199"/>
    </row>
    <row r="6711" spans="1:1" s="200" customFormat="1" ht="12" hidden="1" customHeight="1">
      <c r="A6711" s="199"/>
    </row>
    <row r="6712" spans="1:1" s="200" customFormat="1" ht="12" hidden="1" customHeight="1">
      <c r="A6712" s="199"/>
    </row>
    <row r="6713" spans="1:1" s="200" customFormat="1" ht="12" hidden="1" customHeight="1">
      <c r="A6713" s="199"/>
    </row>
    <row r="6714" spans="1:1" s="200" customFormat="1" ht="12" hidden="1" customHeight="1">
      <c r="A6714" s="199"/>
    </row>
    <row r="6715" spans="1:1" s="200" customFormat="1" ht="12" hidden="1" customHeight="1">
      <c r="A6715" s="199"/>
    </row>
    <row r="6716" spans="1:1" s="200" customFormat="1" ht="12" hidden="1" customHeight="1">
      <c r="A6716" s="199"/>
    </row>
    <row r="6717" spans="1:1" s="200" customFormat="1" ht="12" hidden="1" customHeight="1">
      <c r="A6717" s="199"/>
    </row>
    <row r="6718" spans="1:1" s="200" customFormat="1" ht="12" hidden="1" customHeight="1">
      <c r="A6718" s="199"/>
    </row>
    <row r="6719" spans="1:1" s="200" customFormat="1" ht="12" hidden="1" customHeight="1">
      <c r="A6719" s="199"/>
    </row>
    <row r="6720" spans="1:1" s="200" customFormat="1" ht="12" hidden="1" customHeight="1">
      <c r="A6720" s="199"/>
    </row>
    <row r="6721" spans="1:1" s="200" customFormat="1" ht="12" hidden="1" customHeight="1">
      <c r="A6721" s="199"/>
    </row>
    <row r="6722" spans="1:1" s="200" customFormat="1" ht="12" hidden="1" customHeight="1">
      <c r="A6722" s="199"/>
    </row>
    <row r="6723" spans="1:1" s="200" customFormat="1" ht="12" hidden="1" customHeight="1">
      <c r="A6723" s="199"/>
    </row>
    <row r="6724" spans="1:1" s="200" customFormat="1" ht="12" hidden="1" customHeight="1">
      <c r="A6724" s="199"/>
    </row>
    <row r="6725" spans="1:1" s="200" customFormat="1" ht="12" hidden="1" customHeight="1">
      <c r="A6725" s="199"/>
    </row>
    <row r="6726" spans="1:1" s="200" customFormat="1" ht="12" hidden="1" customHeight="1">
      <c r="A6726" s="199"/>
    </row>
    <row r="6727" spans="1:1" s="200" customFormat="1" ht="12" hidden="1" customHeight="1">
      <c r="A6727" s="199"/>
    </row>
    <row r="6728" spans="1:1" s="200" customFormat="1" ht="12" hidden="1" customHeight="1">
      <c r="A6728" s="199"/>
    </row>
    <row r="6729" spans="1:1" s="200" customFormat="1" ht="12" hidden="1" customHeight="1">
      <c r="A6729" s="199"/>
    </row>
    <row r="6730" spans="1:1" s="200" customFormat="1" ht="12" hidden="1" customHeight="1">
      <c r="A6730" s="199"/>
    </row>
    <row r="6731" spans="1:1" s="200" customFormat="1" ht="12" hidden="1" customHeight="1">
      <c r="A6731" s="199"/>
    </row>
    <row r="6732" spans="1:1" s="200" customFormat="1" ht="12" hidden="1" customHeight="1">
      <c r="A6732" s="199"/>
    </row>
    <row r="6733" spans="1:1" s="200" customFormat="1" ht="12" hidden="1" customHeight="1">
      <c r="A6733" s="199"/>
    </row>
    <row r="6734" spans="1:1" s="200" customFormat="1" ht="12" hidden="1" customHeight="1">
      <c r="A6734" s="199"/>
    </row>
    <row r="6735" spans="1:1" s="200" customFormat="1" ht="12" hidden="1" customHeight="1">
      <c r="A6735" s="199"/>
    </row>
    <row r="6736" spans="1:1" s="200" customFormat="1" ht="12" hidden="1" customHeight="1">
      <c r="A6736" s="199"/>
    </row>
    <row r="6737" spans="1:1" s="200" customFormat="1" ht="12" hidden="1" customHeight="1">
      <c r="A6737" s="199"/>
    </row>
    <row r="6738" spans="1:1" s="200" customFormat="1" ht="12" hidden="1" customHeight="1">
      <c r="A6738" s="199"/>
    </row>
    <row r="6739" spans="1:1" s="200" customFormat="1" ht="12" hidden="1" customHeight="1">
      <c r="A6739" s="199"/>
    </row>
    <row r="6740" spans="1:1" s="200" customFormat="1" ht="12" hidden="1" customHeight="1">
      <c r="A6740" s="199"/>
    </row>
    <row r="6741" spans="1:1" s="200" customFormat="1" ht="12" hidden="1" customHeight="1">
      <c r="A6741" s="199"/>
    </row>
    <row r="6742" spans="1:1" s="200" customFormat="1" ht="12" hidden="1" customHeight="1">
      <c r="A6742" s="199"/>
    </row>
    <row r="6743" spans="1:1" s="200" customFormat="1" ht="12" hidden="1" customHeight="1">
      <c r="A6743" s="199"/>
    </row>
    <row r="6744" spans="1:1" s="200" customFormat="1" ht="12" hidden="1" customHeight="1">
      <c r="A6744" s="199"/>
    </row>
    <row r="6745" spans="1:1" s="200" customFormat="1" ht="12" hidden="1" customHeight="1">
      <c r="A6745" s="199"/>
    </row>
    <row r="6746" spans="1:1" s="200" customFormat="1" ht="12" hidden="1" customHeight="1">
      <c r="A6746" s="199"/>
    </row>
    <row r="6747" spans="1:1" s="200" customFormat="1" ht="12" hidden="1" customHeight="1">
      <c r="A6747" s="199"/>
    </row>
    <row r="6748" spans="1:1" s="200" customFormat="1" ht="12" hidden="1" customHeight="1">
      <c r="A6748" s="199"/>
    </row>
    <row r="6749" spans="1:1" s="200" customFormat="1" ht="12" hidden="1" customHeight="1">
      <c r="A6749" s="199"/>
    </row>
    <row r="6750" spans="1:1" s="200" customFormat="1" ht="12" hidden="1" customHeight="1">
      <c r="A6750" s="199"/>
    </row>
    <row r="6751" spans="1:1" s="200" customFormat="1" ht="12" hidden="1" customHeight="1">
      <c r="A6751" s="199"/>
    </row>
    <row r="6752" spans="1:1" s="200" customFormat="1" ht="12" hidden="1" customHeight="1">
      <c r="A6752" s="199"/>
    </row>
    <row r="6753" spans="1:1" s="200" customFormat="1" ht="12" hidden="1" customHeight="1">
      <c r="A6753" s="199"/>
    </row>
    <row r="6754" spans="1:1" s="200" customFormat="1" ht="12" hidden="1" customHeight="1">
      <c r="A6754" s="199"/>
    </row>
    <row r="6755" spans="1:1" s="200" customFormat="1" ht="12" hidden="1" customHeight="1">
      <c r="A6755" s="199"/>
    </row>
    <row r="6756" spans="1:1" s="200" customFormat="1" ht="12" hidden="1" customHeight="1">
      <c r="A6756" s="199"/>
    </row>
    <row r="6757" spans="1:1" s="200" customFormat="1" ht="12" hidden="1" customHeight="1">
      <c r="A6757" s="199"/>
    </row>
    <row r="6758" spans="1:1" s="200" customFormat="1" ht="12" hidden="1" customHeight="1">
      <c r="A6758" s="199"/>
    </row>
    <row r="6759" spans="1:1" s="200" customFormat="1" ht="12" hidden="1" customHeight="1">
      <c r="A6759" s="199"/>
    </row>
    <row r="6760" spans="1:1" s="200" customFormat="1" ht="12" hidden="1" customHeight="1">
      <c r="A6760" s="199"/>
    </row>
    <row r="6761" spans="1:1" s="200" customFormat="1" ht="12" hidden="1" customHeight="1">
      <c r="A6761" s="199"/>
    </row>
    <row r="6762" spans="1:1" s="200" customFormat="1" ht="12" hidden="1" customHeight="1">
      <c r="A6762" s="199"/>
    </row>
    <row r="6763" spans="1:1" s="200" customFormat="1" ht="12" hidden="1" customHeight="1">
      <c r="A6763" s="199"/>
    </row>
    <row r="6764" spans="1:1" s="200" customFormat="1" ht="12" hidden="1" customHeight="1">
      <c r="A6764" s="199"/>
    </row>
    <row r="6765" spans="1:1" s="200" customFormat="1" ht="12" hidden="1" customHeight="1">
      <c r="A6765" s="199"/>
    </row>
    <row r="6766" spans="1:1" s="200" customFormat="1" ht="12" hidden="1" customHeight="1">
      <c r="A6766" s="199"/>
    </row>
    <row r="6767" spans="1:1" s="200" customFormat="1" ht="12" hidden="1" customHeight="1">
      <c r="A6767" s="199"/>
    </row>
    <row r="6768" spans="1:1" s="200" customFormat="1" ht="12" hidden="1" customHeight="1">
      <c r="A6768" s="199"/>
    </row>
    <row r="6769" spans="1:1" s="200" customFormat="1" ht="12" hidden="1" customHeight="1">
      <c r="A6769" s="199"/>
    </row>
    <row r="6770" spans="1:1" s="200" customFormat="1" ht="12" hidden="1" customHeight="1">
      <c r="A6770" s="199"/>
    </row>
    <row r="6771" spans="1:1" s="200" customFormat="1" ht="12" hidden="1" customHeight="1">
      <c r="A6771" s="199"/>
    </row>
    <row r="6772" spans="1:1" s="200" customFormat="1" ht="12" hidden="1" customHeight="1">
      <c r="A6772" s="199"/>
    </row>
    <row r="6773" spans="1:1" s="200" customFormat="1" ht="12" hidden="1" customHeight="1">
      <c r="A6773" s="199"/>
    </row>
    <row r="6774" spans="1:1" s="200" customFormat="1" ht="12" hidden="1" customHeight="1">
      <c r="A6774" s="199"/>
    </row>
    <row r="6775" spans="1:1" s="200" customFormat="1" ht="12" hidden="1" customHeight="1">
      <c r="A6775" s="199"/>
    </row>
    <row r="6776" spans="1:1" s="200" customFormat="1" ht="12" hidden="1" customHeight="1">
      <c r="A6776" s="199"/>
    </row>
    <row r="6777" spans="1:1" s="200" customFormat="1" ht="12" hidden="1" customHeight="1">
      <c r="A6777" s="199"/>
    </row>
    <row r="6778" spans="1:1" s="200" customFormat="1" ht="12" hidden="1" customHeight="1">
      <c r="A6778" s="199"/>
    </row>
    <row r="6779" spans="1:1" s="200" customFormat="1" ht="12" hidden="1" customHeight="1">
      <c r="A6779" s="199"/>
    </row>
    <row r="6780" spans="1:1" s="200" customFormat="1" ht="12" hidden="1" customHeight="1">
      <c r="A6780" s="199"/>
    </row>
    <row r="6781" spans="1:1" s="200" customFormat="1" ht="12" hidden="1" customHeight="1">
      <c r="A6781" s="199"/>
    </row>
    <row r="6782" spans="1:1" s="200" customFormat="1" ht="12" hidden="1" customHeight="1">
      <c r="A6782" s="199"/>
    </row>
    <row r="6783" spans="1:1" s="200" customFormat="1" ht="12" hidden="1" customHeight="1">
      <c r="A6783" s="199"/>
    </row>
    <row r="6784" spans="1:1" s="200" customFormat="1" ht="12" hidden="1" customHeight="1">
      <c r="A6784" s="199"/>
    </row>
    <row r="6785" spans="1:1" s="200" customFormat="1" ht="12" hidden="1" customHeight="1">
      <c r="A6785" s="199"/>
    </row>
    <row r="6786" spans="1:1" s="200" customFormat="1" ht="12" hidden="1" customHeight="1">
      <c r="A6786" s="199"/>
    </row>
    <row r="6787" spans="1:1" s="200" customFormat="1" ht="12" hidden="1" customHeight="1">
      <c r="A6787" s="199"/>
    </row>
    <row r="6788" spans="1:1" s="200" customFormat="1" ht="12" hidden="1" customHeight="1">
      <c r="A6788" s="199"/>
    </row>
    <row r="6789" spans="1:1" s="200" customFormat="1" ht="12" hidden="1" customHeight="1">
      <c r="A6789" s="199"/>
    </row>
    <row r="6790" spans="1:1" s="200" customFormat="1" ht="12" hidden="1" customHeight="1">
      <c r="A6790" s="199"/>
    </row>
    <row r="6791" spans="1:1" s="200" customFormat="1" ht="12" hidden="1" customHeight="1">
      <c r="A6791" s="199"/>
    </row>
    <row r="6792" spans="1:1" s="200" customFormat="1" ht="12" hidden="1" customHeight="1">
      <c r="A6792" s="199"/>
    </row>
    <row r="6793" spans="1:1" s="200" customFormat="1" ht="12" hidden="1" customHeight="1">
      <c r="A6793" s="199"/>
    </row>
    <row r="6794" spans="1:1" s="200" customFormat="1" ht="12" hidden="1" customHeight="1">
      <c r="A6794" s="199"/>
    </row>
    <row r="6795" spans="1:1" s="200" customFormat="1" ht="12" hidden="1" customHeight="1">
      <c r="A6795" s="199"/>
    </row>
    <row r="6796" spans="1:1" s="200" customFormat="1" ht="12" hidden="1" customHeight="1">
      <c r="A6796" s="199"/>
    </row>
    <row r="6797" spans="1:1" s="200" customFormat="1" ht="12" hidden="1" customHeight="1">
      <c r="A6797" s="199"/>
    </row>
    <row r="6798" spans="1:1" s="200" customFormat="1" ht="12" hidden="1" customHeight="1">
      <c r="A6798" s="199"/>
    </row>
    <row r="6799" spans="1:1" s="200" customFormat="1" ht="12" hidden="1" customHeight="1">
      <c r="A6799" s="199"/>
    </row>
    <row r="6800" spans="1:1" s="200" customFormat="1" ht="12" hidden="1" customHeight="1">
      <c r="A6800" s="199"/>
    </row>
    <row r="6801" spans="1:1" s="200" customFormat="1" ht="12" hidden="1" customHeight="1">
      <c r="A6801" s="199"/>
    </row>
    <row r="6802" spans="1:1" s="200" customFormat="1" ht="12" hidden="1" customHeight="1">
      <c r="A6802" s="199"/>
    </row>
    <row r="6803" spans="1:1" s="200" customFormat="1" ht="12" hidden="1" customHeight="1">
      <c r="A6803" s="199"/>
    </row>
    <row r="6804" spans="1:1" s="200" customFormat="1" ht="12" hidden="1" customHeight="1">
      <c r="A6804" s="199"/>
    </row>
    <row r="6805" spans="1:1" s="200" customFormat="1" ht="12" hidden="1" customHeight="1">
      <c r="A6805" s="199"/>
    </row>
    <row r="6806" spans="1:1" s="200" customFormat="1" ht="12" hidden="1" customHeight="1">
      <c r="A6806" s="199"/>
    </row>
    <row r="6807" spans="1:1" s="200" customFormat="1" ht="12" hidden="1" customHeight="1">
      <c r="A6807" s="199"/>
    </row>
    <row r="6808" spans="1:1" s="200" customFormat="1" ht="12" hidden="1" customHeight="1">
      <c r="A6808" s="199"/>
    </row>
    <row r="6809" spans="1:1" s="200" customFormat="1" ht="12" hidden="1" customHeight="1">
      <c r="A6809" s="199"/>
    </row>
    <row r="6810" spans="1:1" s="200" customFormat="1" ht="12" hidden="1" customHeight="1">
      <c r="A6810" s="199"/>
    </row>
    <row r="6811" spans="1:1" s="200" customFormat="1" ht="12" hidden="1" customHeight="1">
      <c r="A6811" s="199"/>
    </row>
    <row r="6812" spans="1:1" s="200" customFormat="1" ht="12" hidden="1" customHeight="1">
      <c r="A6812" s="199"/>
    </row>
    <row r="6813" spans="1:1" s="200" customFormat="1" ht="12" hidden="1" customHeight="1">
      <c r="A6813" s="199"/>
    </row>
    <row r="6814" spans="1:1" s="200" customFormat="1" ht="12" hidden="1" customHeight="1">
      <c r="A6814" s="199"/>
    </row>
    <row r="6815" spans="1:1" s="200" customFormat="1" ht="12" hidden="1" customHeight="1">
      <c r="A6815" s="199"/>
    </row>
    <row r="6816" spans="1:1" s="200" customFormat="1" ht="12" hidden="1" customHeight="1">
      <c r="A6816" s="199"/>
    </row>
    <row r="6817" spans="1:1" s="200" customFormat="1" ht="12" hidden="1" customHeight="1">
      <c r="A6817" s="199"/>
    </row>
    <row r="6818" spans="1:1" s="200" customFormat="1" ht="12" hidden="1" customHeight="1">
      <c r="A6818" s="199"/>
    </row>
    <row r="6819" spans="1:1" s="200" customFormat="1" ht="12" hidden="1" customHeight="1">
      <c r="A6819" s="199"/>
    </row>
    <row r="6820" spans="1:1" s="200" customFormat="1" ht="12" hidden="1" customHeight="1">
      <c r="A6820" s="199"/>
    </row>
    <row r="6821" spans="1:1" s="200" customFormat="1" ht="12" hidden="1" customHeight="1">
      <c r="A6821" s="199"/>
    </row>
    <row r="6822" spans="1:1" s="200" customFormat="1" ht="12" hidden="1" customHeight="1">
      <c r="A6822" s="199"/>
    </row>
    <row r="6823" spans="1:1" s="200" customFormat="1" ht="12" hidden="1" customHeight="1">
      <c r="A6823" s="199"/>
    </row>
    <row r="6824" spans="1:1" s="200" customFormat="1" ht="12" hidden="1" customHeight="1">
      <c r="A6824" s="199"/>
    </row>
    <row r="6825" spans="1:1" s="200" customFormat="1" ht="12" hidden="1" customHeight="1">
      <c r="A6825" s="199"/>
    </row>
    <row r="6826" spans="1:1" s="200" customFormat="1" ht="12" hidden="1" customHeight="1">
      <c r="A6826" s="199"/>
    </row>
    <row r="6827" spans="1:1" s="200" customFormat="1" ht="12" hidden="1" customHeight="1">
      <c r="A6827" s="199"/>
    </row>
    <row r="6828" spans="1:1" s="200" customFormat="1" ht="12" hidden="1" customHeight="1">
      <c r="A6828" s="199"/>
    </row>
    <row r="6829" spans="1:1" s="200" customFormat="1" ht="12" hidden="1" customHeight="1">
      <c r="A6829" s="199"/>
    </row>
    <row r="6830" spans="1:1" s="200" customFormat="1" ht="12" hidden="1" customHeight="1">
      <c r="A6830" s="199"/>
    </row>
    <row r="6831" spans="1:1" s="200" customFormat="1" ht="12" hidden="1" customHeight="1">
      <c r="A6831" s="199"/>
    </row>
    <row r="6832" spans="1:1" s="200" customFormat="1" ht="12" hidden="1" customHeight="1">
      <c r="A6832" s="199"/>
    </row>
    <row r="6833" spans="1:1" s="200" customFormat="1" ht="12" hidden="1" customHeight="1">
      <c r="A6833" s="199"/>
    </row>
    <row r="6834" spans="1:1" s="200" customFormat="1" ht="12" hidden="1" customHeight="1">
      <c r="A6834" s="199"/>
    </row>
    <row r="6835" spans="1:1" s="200" customFormat="1" ht="12" hidden="1" customHeight="1">
      <c r="A6835" s="199"/>
    </row>
    <row r="6836" spans="1:1" s="200" customFormat="1" ht="12" hidden="1" customHeight="1">
      <c r="A6836" s="199"/>
    </row>
    <row r="6837" spans="1:1" s="200" customFormat="1" ht="12" hidden="1" customHeight="1">
      <c r="A6837" s="199"/>
    </row>
    <row r="6838" spans="1:1" s="200" customFormat="1" ht="12" hidden="1" customHeight="1">
      <c r="A6838" s="199"/>
    </row>
    <row r="6839" spans="1:1" s="200" customFormat="1" ht="12" hidden="1" customHeight="1">
      <c r="A6839" s="199"/>
    </row>
    <row r="6840" spans="1:1" s="200" customFormat="1" ht="12" hidden="1" customHeight="1">
      <c r="A6840" s="199"/>
    </row>
    <row r="6841" spans="1:1" s="200" customFormat="1" ht="12" hidden="1" customHeight="1">
      <c r="A6841" s="199"/>
    </row>
    <row r="6842" spans="1:1" s="200" customFormat="1" ht="12" hidden="1" customHeight="1">
      <c r="A6842" s="199"/>
    </row>
    <row r="6843" spans="1:1" s="200" customFormat="1" ht="12" hidden="1" customHeight="1">
      <c r="A6843" s="199"/>
    </row>
    <row r="6844" spans="1:1" s="200" customFormat="1" ht="12" hidden="1" customHeight="1">
      <c r="A6844" s="199"/>
    </row>
    <row r="6845" spans="1:1" s="200" customFormat="1" ht="12" hidden="1" customHeight="1">
      <c r="A6845" s="199"/>
    </row>
    <row r="6846" spans="1:1" s="200" customFormat="1" ht="12" hidden="1" customHeight="1">
      <c r="A6846" s="199"/>
    </row>
    <row r="6847" spans="1:1" s="200" customFormat="1" ht="12" hidden="1" customHeight="1">
      <c r="A6847" s="199"/>
    </row>
    <row r="6848" spans="1:1" s="200" customFormat="1" ht="12" hidden="1" customHeight="1">
      <c r="A6848" s="199"/>
    </row>
    <row r="6849" spans="1:1" s="200" customFormat="1" ht="12" hidden="1" customHeight="1">
      <c r="A6849" s="199"/>
    </row>
    <row r="6850" spans="1:1" s="200" customFormat="1" ht="12" hidden="1" customHeight="1">
      <c r="A6850" s="199"/>
    </row>
    <row r="6851" spans="1:1" s="200" customFormat="1" ht="12" hidden="1" customHeight="1">
      <c r="A6851" s="199"/>
    </row>
    <row r="6852" spans="1:1" s="200" customFormat="1" ht="12" hidden="1" customHeight="1">
      <c r="A6852" s="199"/>
    </row>
    <row r="6853" spans="1:1" s="200" customFormat="1" ht="12" hidden="1" customHeight="1">
      <c r="A6853" s="199"/>
    </row>
    <row r="6854" spans="1:1" s="200" customFormat="1" ht="12" hidden="1" customHeight="1">
      <c r="A6854" s="199"/>
    </row>
    <row r="6855" spans="1:1" s="200" customFormat="1" ht="12" hidden="1" customHeight="1">
      <c r="A6855" s="199"/>
    </row>
    <row r="6856" spans="1:1" s="200" customFormat="1" ht="12" hidden="1" customHeight="1">
      <c r="A6856" s="199"/>
    </row>
    <row r="6857" spans="1:1" s="200" customFormat="1" ht="12" hidden="1" customHeight="1">
      <c r="A6857" s="199"/>
    </row>
    <row r="6858" spans="1:1" s="200" customFormat="1" ht="12" hidden="1" customHeight="1">
      <c r="A6858" s="199"/>
    </row>
    <row r="6859" spans="1:1" s="200" customFormat="1" ht="12" hidden="1" customHeight="1">
      <c r="A6859" s="199"/>
    </row>
    <row r="6860" spans="1:1" s="200" customFormat="1" ht="12" hidden="1" customHeight="1">
      <c r="A6860" s="199"/>
    </row>
    <row r="6861" spans="1:1" s="200" customFormat="1" ht="12" hidden="1" customHeight="1">
      <c r="A6861" s="199"/>
    </row>
    <row r="6862" spans="1:1" s="200" customFormat="1" ht="12" hidden="1" customHeight="1">
      <c r="A6862" s="199"/>
    </row>
    <row r="6863" spans="1:1" s="200" customFormat="1" ht="12" hidden="1" customHeight="1">
      <c r="A6863" s="199"/>
    </row>
    <row r="6864" spans="1:1" s="200" customFormat="1" ht="12" hidden="1" customHeight="1">
      <c r="A6864" s="199"/>
    </row>
    <row r="6865" spans="1:1" s="200" customFormat="1" ht="12" hidden="1" customHeight="1">
      <c r="A6865" s="199"/>
    </row>
    <row r="6866" spans="1:1" s="200" customFormat="1" ht="12" hidden="1" customHeight="1">
      <c r="A6866" s="199"/>
    </row>
    <row r="6867" spans="1:1" s="200" customFormat="1" ht="12" hidden="1" customHeight="1">
      <c r="A6867" s="199"/>
    </row>
    <row r="6868" spans="1:1" s="200" customFormat="1" ht="12" hidden="1" customHeight="1">
      <c r="A6868" s="199"/>
    </row>
    <row r="6869" spans="1:1" s="200" customFormat="1" ht="12" hidden="1" customHeight="1">
      <c r="A6869" s="199"/>
    </row>
    <row r="6870" spans="1:1" s="200" customFormat="1" ht="12" hidden="1" customHeight="1">
      <c r="A6870" s="199"/>
    </row>
    <row r="6871" spans="1:1" s="200" customFormat="1" ht="12" hidden="1" customHeight="1">
      <c r="A6871" s="199"/>
    </row>
    <row r="6872" spans="1:1" s="200" customFormat="1" ht="12" hidden="1" customHeight="1">
      <c r="A6872" s="199"/>
    </row>
    <row r="6873" spans="1:1" s="200" customFormat="1" ht="12" hidden="1" customHeight="1">
      <c r="A6873" s="199"/>
    </row>
    <row r="6874" spans="1:1" s="200" customFormat="1" ht="12" hidden="1" customHeight="1">
      <c r="A6874" s="199"/>
    </row>
    <row r="6875" spans="1:1" s="200" customFormat="1" ht="12" hidden="1" customHeight="1">
      <c r="A6875" s="199"/>
    </row>
    <row r="6876" spans="1:1" s="200" customFormat="1" ht="12" hidden="1" customHeight="1">
      <c r="A6876" s="199"/>
    </row>
    <row r="6877" spans="1:1" s="200" customFormat="1" ht="12" hidden="1" customHeight="1">
      <c r="A6877" s="199"/>
    </row>
    <row r="6878" spans="1:1" s="200" customFormat="1" ht="12" hidden="1" customHeight="1">
      <c r="A6878" s="199"/>
    </row>
    <row r="6879" spans="1:1" s="200" customFormat="1" ht="12" hidden="1" customHeight="1">
      <c r="A6879" s="199"/>
    </row>
    <row r="6880" spans="1:1" s="200" customFormat="1" ht="12" hidden="1" customHeight="1">
      <c r="A6880" s="199"/>
    </row>
    <row r="6881" spans="1:1" s="200" customFormat="1" ht="12" hidden="1" customHeight="1">
      <c r="A6881" s="199"/>
    </row>
    <row r="6882" spans="1:1" s="200" customFormat="1" ht="12" hidden="1" customHeight="1">
      <c r="A6882" s="199"/>
    </row>
    <row r="6883" spans="1:1" s="200" customFormat="1" ht="12" hidden="1" customHeight="1">
      <c r="A6883" s="199"/>
    </row>
    <row r="6884" spans="1:1" s="200" customFormat="1" ht="12" hidden="1" customHeight="1">
      <c r="A6884" s="199"/>
    </row>
    <row r="6885" spans="1:1" s="200" customFormat="1" ht="12" hidden="1" customHeight="1">
      <c r="A6885" s="199"/>
    </row>
    <row r="6886" spans="1:1" s="200" customFormat="1" ht="12" hidden="1" customHeight="1">
      <c r="A6886" s="199"/>
    </row>
    <row r="6887" spans="1:1" s="200" customFormat="1" ht="12" hidden="1" customHeight="1">
      <c r="A6887" s="199"/>
    </row>
    <row r="6888" spans="1:1" s="200" customFormat="1" ht="12" hidden="1" customHeight="1">
      <c r="A6888" s="199"/>
    </row>
    <row r="6889" spans="1:1" s="200" customFormat="1" ht="12" hidden="1" customHeight="1">
      <c r="A6889" s="199"/>
    </row>
    <row r="6890" spans="1:1" s="200" customFormat="1" ht="12" hidden="1" customHeight="1">
      <c r="A6890" s="199"/>
    </row>
    <row r="6891" spans="1:1" s="200" customFormat="1" ht="12" hidden="1" customHeight="1">
      <c r="A6891" s="199"/>
    </row>
    <row r="6892" spans="1:1" s="200" customFormat="1" ht="12" hidden="1" customHeight="1">
      <c r="A6892" s="199"/>
    </row>
    <row r="6893" spans="1:1" s="200" customFormat="1" ht="12" hidden="1" customHeight="1">
      <c r="A6893" s="199"/>
    </row>
    <row r="6894" spans="1:1" s="200" customFormat="1" ht="12" hidden="1" customHeight="1">
      <c r="A6894" s="199"/>
    </row>
    <row r="6895" spans="1:1" s="200" customFormat="1" ht="12" hidden="1" customHeight="1">
      <c r="A6895" s="199"/>
    </row>
    <row r="6896" spans="1:1" s="200" customFormat="1" ht="12" hidden="1" customHeight="1">
      <c r="A6896" s="199"/>
    </row>
    <row r="6897" spans="1:1" s="200" customFormat="1" ht="12" hidden="1" customHeight="1">
      <c r="A6897" s="199"/>
    </row>
    <row r="6898" spans="1:1" s="200" customFormat="1" ht="12" hidden="1" customHeight="1">
      <c r="A6898" s="199"/>
    </row>
    <row r="6899" spans="1:1" s="200" customFormat="1" ht="12" hidden="1" customHeight="1">
      <c r="A6899" s="199"/>
    </row>
    <row r="6900" spans="1:1" s="200" customFormat="1" ht="12" hidden="1" customHeight="1">
      <c r="A6900" s="199"/>
    </row>
    <row r="6901" spans="1:1" s="200" customFormat="1" ht="12" hidden="1" customHeight="1">
      <c r="A6901" s="199"/>
    </row>
    <row r="6902" spans="1:1" s="200" customFormat="1" ht="12" hidden="1" customHeight="1">
      <c r="A6902" s="199"/>
    </row>
    <row r="6903" spans="1:1" s="200" customFormat="1" ht="12" hidden="1" customHeight="1">
      <c r="A6903" s="199"/>
    </row>
    <row r="6904" spans="1:1" s="200" customFormat="1" ht="12" hidden="1" customHeight="1">
      <c r="A6904" s="199"/>
    </row>
    <row r="6905" spans="1:1" s="200" customFormat="1" ht="12" hidden="1" customHeight="1">
      <c r="A6905" s="199"/>
    </row>
    <row r="6906" spans="1:1" s="200" customFormat="1" ht="12" hidden="1" customHeight="1">
      <c r="A6906" s="199"/>
    </row>
    <row r="6907" spans="1:1" s="200" customFormat="1" ht="12" hidden="1" customHeight="1">
      <c r="A6907" s="199"/>
    </row>
    <row r="6908" spans="1:1" s="200" customFormat="1" ht="12" hidden="1" customHeight="1">
      <c r="A6908" s="199"/>
    </row>
    <row r="6909" spans="1:1" s="200" customFormat="1" ht="12" hidden="1" customHeight="1">
      <c r="A6909" s="199"/>
    </row>
    <row r="6910" spans="1:1" s="200" customFormat="1" ht="12" hidden="1" customHeight="1">
      <c r="A6910" s="199"/>
    </row>
    <row r="6911" spans="1:1" s="200" customFormat="1" ht="12" hidden="1" customHeight="1">
      <c r="A6911" s="199"/>
    </row>
    <row r="6912" spans="1:1" s="200" customFormat="1" ht="12" hidden="1" customHeight="1">
      <c r="A6912" s="199"/>
    </row>
    <row r="6913" spans="1:1" s="200" customFormat="1" ht="12" hidden="1" customHeight="1">
      <c r="A6913" s="199"/>
    </row>
    <row r="6914" spans="1:1" s="200" customFormat="1" ht="12" hidden="1" customHeight="1">
      <c r="A6914" s="199"/>
    </row>
    <row r="6915" spans="1:1" s="200" customFormat="1" ht="12" hidden="1" customHeight="1">
      <c r="A6915" s="199"/>
    </row>
    <row r="6916" spans="1:1" s="200" customFormat="1" ht="12" hidden="1" customHeight="1">
      <c r="A6916" s="199"/>
    </row>
    <row r="6917" spans="1:1" s="200" customFormat="1" ht="12" hidden="1" customHeight="1">
      <c r="A6917" s="199"/>
    </row>
    <row r="6918" spans="1:1" s="200" customFormat="1" ht="12" hidden="1" customHeight="1">
      <c r="A6918" s="199"/>
    </row>
    <row r="6919" spans="1:1" s="200" customFormat="1" ht="12" hidden="1" customHeight="1">
      <c r="A6919" s="199"/>
    </row>
    <row r="6920" spans="1:1" s="200" customFormat="1" ht="12" hidden="1" customHeight="1">
      <c r="A6920" s="199"/>
    </row>
    <row r="6921" spans="1:1" s="200" customFormat="1" ht="12" hidden="1" customHeight="1">
      <c r="A6921" s="199"/>
    </row>
    <row r="6922" spans="1:1" s="200" customFormat="1" ht="12" hidden="1" customHeight="1">
      <c r="A6922" s="199"/>
    </row>
    <row r="6923" spans="1:1" s="200" customFormat="1" ht="12" hidden="1" customHeight="1">
      <c r="A6923" s="199"/>
    </row>
    <row r="6924" spans="1:1" s="200" customFormat="1" ht="12" hidden="1" customHeight="1">
      <c r="A6924" s="199"/>
    </row>
    <row r="6925" spans="1:1" s="200" customFormat="1" ht="12" hidden="1" customHeight="1">
      <c r="A6925" s="199"/>
    </row>
    <row r="6926" spans="1:1" s="200" customFormat="1" ht="12" hidden="1" customHeight="1">
      <c r="A6926" s="199"/>
    </row>
    <row r="6927" spans="1:1" s="200" customFormat="1" ht="12" hidden="1" customHeight="1">
      <c r="A6927" s="199"/>
    </row>
    <row r="6928" spans="1:1" s="200" customFormat="1" ht="12" hidden="1" customHeight="1">
      <c r="A6928" s="199"/>
    </row>
    <row r="6929" spans="1:1" s="200" customFormat="1" ht="12" hidden="1" customHeight="1">
      <c r="A6929" s="199"/>
    </row>
    <row r="6930" spans="1:1" s="200" customFormat="1" ht="12" hidden="1" customHeight="1">
      <c r="A6930" s="199"/>
    </row>
    <row r="6931" spans="1:1" s="200" customFormat="1" ht="12" hidden="1" customHeight="1">
      <c r="A6931" s="199"/>
    </row>
    <row r="6932" spans="1:1" s="200" customFormat="1" ht="12" hidden="1" customHeight="1">
      <c r="A6932" s="199"/>
    </row>
    <row r="6933" spans="1:1" s="200" customFormat="1" ht="12" hidden="1" customHeight="1">
      <c r="A6933" s="199"/>
    </row>
    <row r="6934" spans="1:1" s="200" customFormat="1" ht="12" hidden="1" customHeight="1">
      <c r="A6934" s="199"/>
    </row>
    <row r="6935" spans="1:1" s="200" customFormat="1" ht="12" hidden="1" customHeight="1">
      <c r="A6935" s="199"/>
    </row>
    <row r="6936" spans="1:1" s="200" customFormat="1" ht="12" hidden="1" customHeight="1">
      <c r="A6936" s="199"/>
    </row>
    <row r="6937" spans="1:1" s="200" customFormat="1" ht="12" hidden="1" customHeight="1">
      <c r="A6937" s="199"/>
    </row>
    <row r="6938" spans="1:1" s="200" customFormat="1" ht="12" hidden="1" customHeight="1">
      <c r="A6938" s="199"/>
    </row>
    <row r="6939" spans="1:1" s="200" customFormat="1" ht="12" hidden="1" customHeight="1">
      <c r="A6939" s="199"/>
    </row>
    <row r="6940" spans="1:1" s="200" customFormat="1" ht="12" hidden="1" customHeight="1">
      <c r="A6940" s="199"/>
    </row>
    <row r="6941" spans="1:1" s="200" customFormat="1" ht="12" hidden="1" customHeight="1">
      <c r="A6941" s="199"/>
    </row>
    <row r="6942" spans="1:1" s="200" customFormat="1" ht="12" hidden="1" customHeight="1">
      <c r="A6942" s="199"/>
    </row>
    <row r="6943" spans="1:1" s="200" customFormat="1" ht="12" hidden="1" customHeight="1">
      <c r="A6943" s="199"/>
    </row>
    <row r="6944" spans="1:1" s="200" customFormat="1" ht="12" hidden="1" customHeight="1">
      <c r="A6944" s="199"/>
    </row>
    <row r="6945" spans="1:1" s="200" customFormat="1" ht="12" hidden="1" customHeight="1">
      <c r="A6945" s="199"/>
    </row>
    <row r="6946" spans="1:1" s="200" customFormat="1" ht="12" hidden="1" customHeight="1">
      <c r="A6946" s="199"/>
    </row>
    <row r="6947" spans="1:1" s="200" customFormat="1" ht="12" hidden="1" customHeight="1">
      <c r="A6947" s="199"/>
    </row>
    <row r="6948" spans="1:1" s="200" customFormat="1" ht="12" hidden="1" customHeight="1">
      <c r="A6948" s="199"/>
    </row>
    <row r="6949" spans="1:1" s="200" customFormat="1" ht="12" hidden="1" customHeight="1">
      <c r="A6949" s="199"/>
    </row>
    <row r="6950" spans="1:1" s="200" customFormat="1" ht="12" hidden="1" customHeight="1">
      <c r="A6950" s="199"/>
    </row>
    <row r="6951" spans="1:1" s="200" customFormat="1" ht="12" hidden="1" customHeight="1">
      <c r="A6951" s="199"/>
    </row>
    <row r="6952" spans="1:1" s="200" customFormat="1" ht="12" hidden="1" customHeight="1">
      <c r="A6952" s="199"/>
    </row>
    <row r="6953" spans="1:1" s="200" customFormat="1" ht="12" hidden="1" customHeight="1">
      <c r="A6953" s="199"/>
    </row>
    <row r="6954" spans="1:1" s="200" customFormat="1" ht="12" hidden="1" customHeight="1">
      <c r="A6954" s="199"/>
    </row>
    <row r="6955" spans="1:1" s="200" customFormat="1" ht="12" hidden="1" customHeight="1">
      <c r="A6955" s="199"/>
    </row>
    <row r="6956" spans="1:1" s="200" customFormat="1" ht="12" hidden="1" customHeight="1">
      <c r="A6956" s="199"/>
    </row>
    <row r="6957" spans="1:1" s="200" customFormat="1" ht="12" hidden="1" customHeight="1">
      <c r="A6957" s="199"/>
    </row>
    <row r="6958" spans="1:1" s="200" customFormat="1" ht="12" hidden="1" customHeight="1">
      <c r="A6958" s="199"/>
    </row>
    <row r="6959" spans="1:1" s="200" customFormat="1" ht="12" hidden="1" customHeight="1">
      <c r="A6959" s="199"/>
    </row>
    <row r="6960" spans="1:1" s="200" customFormat="1" ht="12" hidden="1" customHeight="1">
      <c r="A6960" s="199"/>
    </row>
    <row r="6961" spans="1:1" s="200" customFormat="1" ht="12" hidden="1" customHeight="1">
      <c r="A6961" s="199"/>
    </row>
    <row r="6962" spans="1:1" s="200" customFormat="1" ht="12" hidden="1" customHeight="1">
      <c r="A6962" s="199"/>
    </row>
    <row r="6963" spans="1:1" s="200" customFormat="1" ht="12" hidden="1" customHeight="1">
      <c r="A6963" s="199"/>
    </row>
    <row r="6964" spans="1:1" s="200" customFormat="1" ht="12" hidden="1" customHeight="1">
      <c r="A6964" s="199"/>
    </row>
    <row r="6965" spans="1:1" s="200" customFormat="1" ht="12" hidden="1" customHeight="1">
      <c r="A6965" s="199"/>
    </row>
    <row r="6966" spans="1:1" s="200" customFormat="1" ht="12" hidden="1" customHeight="1">
      <c r="A6966" s="199"/>
    </row>
    <row r="6967" spans="1:1" s="200" customFormat="1" ht="12" hidden="1" customHeight="1">
      <c r="A6967" s="199"/>
    </row>
    <row r="6968" spans="1:1" s="200" customFormat="1" ht="12" hidden="1" customHeight="1">
      <c r="A6968" s="199"/>
    </row>
    <row r="6969" spans="1:1" s="200" customFormat="1" ht="12" hidden="1" customHeight="1">
      <c r="A6969" s="199"/>
    </row>
    <row r="6970" spans="1:1" s="200" customFormat="1" ht="12" hidden="1" customHeight="1">
      <c r="A6970" s="199"/>
    </row>
    <row r="6971" spans="1:1" s="200" customFormat="1" ht="12" hidden="1" customHeight="1">
      <c r="A6971" s="199"/>
    </row>
    <row r="6972" spans="1:1" s="200" customFormat="1" ht="12" hidden="1" customHeight="1">
      <c r="A6972" s="199"/>
    </row>
    <row r="6973" spans="1:1" s="200" customFormat="1" ht="12" hidden="1" customHeight="1">
      <c r="A6973" s="199"/>
    </row>
    <row r="6974" spans="1:1" s="200" customFormat="1" ht="12" hidden="1" customHeight="1">
      <c r="A6974" s="199"/>
    </row>
    <row r="6975" spans="1:1" s="200" customFormat="1" ht="12" hidden="1" customHeight="1">
      <c r="A6975" s="199"/>
    </row>
    <row r="6976" spans="1:1" s="200" customFormat="1" ht="12" hidden="1" customHeight="1">
      <c r="A6976" s="199"/>
    </row>
    <row r="6977" spans="1:1" s="200" customFormat="1" ht="12" hidden="1" customHeight="1">
      <c r="A6977" s="199"/>
    </row>
    <row r="6978" spans="1:1" s="200" customFormat="1" ht="12" hidden="1" customHeight="1">
      <c r="A6978" s="199"/>
    </row>
    <row r="6979" spans="1:1" s="200" customFormat="1" ht="12" hidden="1" customHeight="1">
      <c r="A6979" s="199"/>
    </row>
    <row r="6980" spans="1:1" s="200" customFormat="1" ht="12" hidden="1" customHeight="1">
      <c r="A6980" s="199"/>
    </row>
    <row r="6981" spans="1:1" s="200" customFormat="1" ht="12" hidden="1" customHeight="1">
      <c r="A6981" s="199"/>
    </row>
    <row r="6982" spans="1:1" s="200" customFormat="1" ht="12" hidden="1" customHeight="1">
      <c r="A6982" s="199"/>
    </row>
    <row r="6983" spans="1:1" s="200" customFormat="1" ht="12" hidden="1" customHeight="1">
      <c r="A6983" s="199"/>
    </row>
    <row r="6984" spans="1:1" s="200" customFormat="1" ht="12" hidden="1" customHeight="1">
      <c r="A6984" s="199"/>
    </row>
    <row r="6985" spans="1:1" s="200" customFormat="1" ht="12" hidden="1" customHeight="1">
      <c r="A6985" s="199"/>
    </row>
    <row r="6986" spans="1:1" s="200" customFormat="1" ht="12" hidden="1" customHeight="1">
      <c r="A6986" s="199"/>
    </row>
    <row r="6987" spans="1:1" s="200" customFormat="1" ht="12" hidden="1" customHeight="1">
      <c r="A6987" s="199"/>
    </row>
    <row r="6988" spans="1:1" s="200" customFormat="1" ht="12" hidden="1" customHeight="1">
      <c r="A6988" s="199"/>
    </row>
    <row r="6989" spans="1:1" s="200" customFormat="1" ht="12" hidden="1" customHeight="1">
      <c r="A6989" s="199"/>
    </row>
    <row r="6990" spans="1:1" s="200" customFormat="1" ht="12" hidden="1" customHeight="1">
      <c r="A6990" s="199"/>
    </row>
    <row r="6991" spans="1:1" s="200" customFormat="1" ht="12" hidden="1" customHeight="1">
      <c r="A6991" s="199"/>
    </row>
    <row r="6992" spans="1:1" s="200" customFormat="1" ht="12" hidden="1" customHeight="1">
      <c r="A6992" s="199"/>
    </row>
    <row r="6993" spans="1:1" s="200" customFormat="1" ht="12" hidden="1" customHeight="1">
      <c r="A6993" s="199"/>
    </row>
    <row r="6994" spans="1:1" s="200" customFormat="1" ht="12" hidden="1" customHeight="1">
      <c r="A6994" s="199"/>
    </row>
    <row r="6995" spans="1:1" s="200" customFormat="1" ht="12" hidden="1" customHeight="1">
      <c r="A6995" s="199"/>
    </row>
    <row r="6996" spans="1:1" s="200" customFormat="1" ht="12" hidden="1" customHeight="1">
      <c r="A6996" s="199"/>
    </row>
    <row r="6997" spans="1:1" s="200" customFormat="1" ht="12" hidden="1" customHeight="1">
      <c r="A6997" s="199"/>
    </row>
    <row r="6998" spans="1:1" s="200" customFormat="1" ht="12" hidden="1" customHeight="1">
      <c r="A6998" s="199"/>
    </row>
    <row r="6999" spans="1:1" s="200" customFormat="1" ht="12" hidden="1" customHeight="1">
      <c r="A6999" s="199"/>
    </row>
    <row r="7000" spans="1:1" s="200" customFormat="1" ht="12" hidden="1" customHeight="1">
      <c r="A7000" s="199"/>
    </row>
    <row r="7001" spans="1:1" s="200" customFormat="1" ht="12" hidden="1" customHeight="1">
      <c r="A7001" s="199"/>
    </row>
    <row r="7002" spans="1:1" s="200" customFormat="1" ht="12" hidden="1" customHeight="1">
      <c r="A7002" s="199"/>
    </row>
    <row r="7003" spans="1:1" s="200" customFormat="1" ht="12" hidden="1" customHeight="1">
      <c r="A7003" s="199"/>
    </row>
    <row r="7004" spans="1:1" s="200" customFormat="1" ht="12" hidden="1" customHeight="1">
      <c r="A7004" s="199"/>
    </row>
    <row r="7005" spans="1:1" s="200" customFormat="1" ht="12" hidden="1" customHeight="1">
      <c r="A7005" s="199"/>
    </row>
    <row r="7006" spans="1:1" s="200" customFormat="1" ht="12" hidden="1" customHeight="1">
      <c r="A7006" s="199"/>
    </row>
    <row r="7007" spans="1:1" s="200" customFormat="1" ht="12" hidden="1" customHeight="1">
      <c r="A7007" s="199"/>
    </row>
    <row r="7008" spans="1:1" s="200" customFormat="1" ht="12" hidden="1" customHeight="1">
      <c r="A7008" s="199"/>
    </row>
    <row r="7009" spans="1:1" s="200" customFormat="1" ht="12" hidden="1" customHeight="1">
      <c r="A7009" s="199"/>
    </row>
    <row r="7010" spans="1:1" s="200" customFormat="1" ht="12" hidden="1" customHeight="1">
      <c r="A7010" s="199"/>
    </row>
    <row r="7011" spans="1:1" s="200" customFormat="1" ht="12" hidden="1" customHeight="1">
      <c r="A7011" s="199"/>
    </row>
    <row r="7012" spans="1:1" s="200" customFormat="1" ht="12" hidden="1" customHeight="1">
      <c r="A7012" s="199"/>
    </row>
    <row r="7013" spans="1:1" s="200" customFormat="1" ht="12" hidden="1" customHeight="1">
      <c r="A7013" s="199"/>
    </row>
    <row r="7014" spans="1:1" s="200" customFormat="1" ht="12" hidden="1" customHeight="1">
      <c r="A7014" s="199"/>
    </row>
    <row r="7015" spans="1:1" s="200" customFormat="1" ht="12" hidden="1" customHeight="1">
      <c r="A7015" s="199"/>
    </row>
    <row r="7016" spans="1:1" s="200" customFormat="1" ht="12" hidden="1" customHeight="1">
      <c r="A7016" s="199"/>
    </row>
    <row r="7017" spans="1:1" s="200" customFormat="1" ht="12" hidden="1" customHeight="1">
      <c r="A7017" s="199"/>
    </row>
    <row r="7018" spans="1:1" s="200" customFormat="1" ht="12" hidden="1" customHeight="1">
      <c r="A7018" s="199"/>
    </row>
    <row r="7019" spans="1:1" s="200" customFormat="1" ht="12" hidden="1" customHeight="1">
      <c r="A7019" s="199"/>
    </row>
    <row r="7020" spans="1:1" s="200" customFormat="1" ht="12" hidden="1" customHeight="1">
      <c r="A7020" s="199"/>
    </row>
    <row r="7021" spans="1:1" s="200" customFormat="1" ht="12" hidden="1" customHeight="1">
      <c r="A7021" s="199"/>
    </row>
    <row r="7022" spans="1:1" s="200" customFormat="1" ht="12" hidden="1" customHeight="1">
      <c r="A7022" s="199"/>
    </row>
    <row r="7023" spans="1:1" s="200" customFormat="1" ht="12" hidden="1" customHeight="1">
      <c r="A7023" s="199"/>
    </row>
    <row r="7024" spans="1:1" s="200" customFormat="1" ht="12" hidden="1" customHeight="1">
      <c r="A7024" s="199"/>
    </row>
    <row r="7025" spans="1:1" s="200" customFormat="1" ht="12" hidden="1" customHeight="1">
      <c r="A7025" s="199"/>
    </row>
    <row r="7026" spans="1:1" s="200" customFormat="1" ht="12" hidden="1" customHeight="1">
      <c r="A7026" s="199"/>
    </row>
    <row r="7027" spans="1:1" s="200" customFormat="1" ht="12" hidden="1" customHeight="1">
      <c r="A7027" s="199"/>
    </row>
    <row r="7028" spans="1:1" s="200" customFormat="1" ht="12" hidden="1" customHeight="1">
      <c r="A7028" s="199"/>
    </row>
    <row r="7029" spans="1:1" s="200" customFormat="1" ht="12" hidden="1" customHeight="1">
      <c r="A7029" s="199"/>
    </row>
    <row r="7030" spans="1:1" s="200" customFormat="1" ht="12" hidden="1" customHeight="1">
      <c r="A7030" s="199"/>
    </row>
    <row r="7031" spans="1:1" s="200" customFormat="1" ht="12" hidden="1" customHeight="1">
      <c r="A7031" s="199"/>
    </row>
    <row r="7032" spans="1:1" s="200" customFormat="1" ht="12" hidden="1" customHeight="1">
      <c r="A7032" s="199"/>
    </row>
    <row r="7033" spans="1:1" s="200" customFormat="1" ht="12" hidden="1" customHeight="1">
      <c r="A7033" s="199"/>
    </row>
    <row r="7034" spans="1:1" s="200" customFormat="1" ht="12" hidden="1" customHeight="1">
      <c r="A7034" s="199"/>
    </row>
    <row r="7035" spans="1:1" s="200" customFormat="1" ht="12" hidden="1" customHeight="1">
      <c r="A7035" s="199"/>
    </row>
    <row r="7036" spans="1:1" s="200" customFormat="1" ht="12" hidden="1" customHeight="1">
      <c r="A7036" s="199"/>
    </row>
    <row r="7037" spans="1:1" s="200" customFormat="1" ht="12" hidden="1" customHeight="1">
      <c r="A7037" s="199"/>
    </row>
    <row r="7038" spans="1:1" s="200" customFormat="1" ht="12" hidden="1" customHeight="1">
      <c r="A7038" s="199"/>
    </row>
    <row r="7039" spans="1:1" s="200" customFormat="1" ht="12" hidden="1" customHeight="1">
      <c r="A7039" s="199"/>
    </row>
    <row r="7040" spans="1:1" s="200" customFormat="1" ht="12" hidden="1" customHeight="1">
      <c r="A7040" s="199"/>
    </row>
    <row r="7041" spans="1:1" s="200" customFormat="1" ht="12" hidden="1" customHeight="1">
      <c r="A7041" s="199"/>
    </row>
    <row r="7042" spans="1:1" s="200" customFormat="1" ht="12" hidden="1" customHeight="1">
      <c r="A7042" s="199"/>
    </row>
    <row r="7043" spans="1:1" s="200" customFormat="1" ht="12" hidden="1" customHeight="1">
      <c r="A7043" s="199"/>
    </row>
    <row r="7044" spans="1:1" s="200" customFormat="1" ht="12" hidden="1" customHeight="1">
      <c r="A7044" s="199"/>
    </row>
    <row r="7045" spans="1:1" s="200" customFormat="1" ht="12" hidden="1" customHeight="1">
      <c r="A7045" s="199"/>
    </row>
    <row r="7046" spans="1:1" s="200" customFormat="1" ht="12" hidden="1" customHeight="1">
      <c r="A7046" s="199"/>
    </row>
    <row r="7047" spans="1:1" s="200" customFormat="1" ht="12" hidden="1" customHeight="1">
      <c r="A7047" s="199"/>
    </row>
    <row r="7048" spans="1:1" s="200" customFormat="1" ht="12" hidden="1" customHeight="1">
      <c r="A7048" s="199"/>
    </row>
    <row r="7049" spans="1:1" s="200" customFormat="1" ht="12" hidden="1" customHeight="1">
      <c r="A7049" s="199"/>
    </row>
    <row r="7050" spans="1:1" s="200" customFormat="1" ht="12" hidden="1" customHeight="1">
      <c r="A7050" s="199"/>
    </row>
    <row r="7051" spans="1:1" s="200" customFormat="1" ht="12" hidden="1" customHeight="1">
      <c r="A7051" s="199"/>
    </row>
    <row r="7052" spans="1:1" s="200" customFormat="1" ht="12" hidden="1" customHeight="1">
      <c r="A7052" s="199"/>
    </row>
    <row r="7053" spans="1:1" s="200" customFormat="1" ht="12" hidden="1" customHeight="1">
      <c r="A7053" s="199"/>
    </row>
    <row r="7054" spans="1:1" s="200" customFormat="1" ht="12" hidden="1" customHeight="1">
      <c r="A7054" s="199"/>
    </row>
    <row r="7055" spans="1:1" s="200" customFormat="1" ht="12" hidden="1" customHeight="1">
      <c r="A7055" s="199"/>
    </row>
    <row r="7056" spans="1:1" s="200" customFormat="1" ht="12" hidden="1" customHeight="1">
      <c r="A7056" s="199"/>
    </row>
    <row r="7057" spans="1:1" s="200" customFormat="1" ht="12" hidden="1" customHeight="1">
      <c r="A7057" s="199"/>
    </row>
    <row r="7058" spans="1:1" s="200" customFormat="1" ht="12" hidden="1" customHeight="1">
      <c r="A7058" s="199"/>
    </row>
    <row r="7059" spans="1:1" s="200" customFormat="1" ht="12" hidden="1" customHeight="1">
      <c r="A7059" s="199"/>
    </row>
    <row r="7060" spans="1:1" s="200" customFormat="1" ht="12" hidden="1" customHeight="1">
      <c r="A7060" s="199"/>
    </row>
    <row r="7061" spans="1:1" s="200" customFormat="1" ht="12" hidden="1" customHeight="1">
      <c r="A7061" s="199"/>
    </row>
    <row r="7062" spans="1:1" s="200" customFormat="1" ht="12" hidden="1" customHeight="1">
      <c r="A7062" s="199"/>
    </row>
    <row r="7063" spans="1:1" s="200" customFormat="1" ht="12" hidden="1" customHeight="1">
      <c r="A7063" s="199"/>
    </row>
    <row r="7064" spans="1:1" s="200" customFormat="1" ht="12" hidden="1" customHeight="1">
      <c r="A7064" s="199"/>
    </row>
    <row r="7065" spans="1:1" s="200" customFormat="1" ht="12" hidden="1" customHeight="1">
      <c r="A7065" s="199"/>
    </row>
    <row r="7066" spans="1:1" s="200" customFormat="1" ht="12" hidden="1" customHeight="1">
      <c r="A7066" s="199"/>
    </row>
    <row r="7067" spans="1:1" s="200" customFormat="1" ht="12" hidden="1" customHeight="1">
      <c r="A7067" s="199"/>
    </row>
    <row r="7068" spans="1:1" s="200" customFormat="1" ht="12" hidden="1" customHeight="1">
      <c r="A7068" s="199"/>
    </row>
    <row r="7069" spans="1:1" s="200" customFormat="1" ht="12" hidden="1" customHeight="1">
      <c r="A7069" s="199"/>
    </row>
    <row r="7070" spans="1:1" s="200" customFormat="1" ht="12" hidden="1" customHeight="1">
      <c r="A7070" s="199"/>
    </row>
    <row r="7071" spans="1:1" s="200" customFormat="1" ht="12" hidden="1" customHeight="1">
      <c r="A7071" s="199"/>
    </row>
    <row r="7072" spans="1:1" s="200" customFormat="1" ht="12" hidden="1" customHeight="1">
      <c r="A7072" s="199"/>
    </row>
    <row r="7073" spans="1:1" s="200" customFormat="1" ht="12" hidden="1" customHeight="1">
      <c r="A7073" s="199"/>
    </row>
    <row r="7074" spans="1:1" s="200" customFormat="1" ht="12" hidden="1" customHeight="1">
      <c r="A7074" s="199"/>
    </row>
    <row r="7075" spans="1:1" s="200" customFormat="1" ht="12" hidden="1" customHeight="1">
      <c r="A7075" s="199"/>
    </row>
    <row r="7076" spans="1:1" s="200" customFormat="1" ht="12" hidden="1" customHeight="1">
      <c r="A7076" s="199"/>
    </row>
    <row r="7077" spans="1:1" s="200" customFormat="1" ht="12" hidden="1" customHeight="1">
      <c r="A7077" s="199"/>
    </row>
    <row r="7078" spans="1:1" s="200" customFormat="1" ht="12" hidden="1" customHeight="1">
      <c r="A7078" s="199"/>
    </row>
    <row r="7079" spans="1:1" s="200" customFormat="1" ht="12" hidden="1" customHeight="1">
      <c r="A7079" s="199"/>
    </row>
    <row r="7080" spans="1:1" s="200" customFormat="1" ht="12" hidden="1" customHeight="1">
      <c r="A7080" s="199"/>
    </row>
    <row r="7081" spans="1:1" s="200" customFormat="1" ht="12" hidden="1" customHeight="1">
      <c r="A7081" s="199"/>
    </row>
    <row r="7082" spans="1:1" s="200" customFormat="1" ht="12" hidden="1" customHeight="1">
      <c r="A7082" s="199"/>
    </row>
    <row r="7083" spans="1:1" s="200" customFormat="1" ht="12" hidden="1" customHeight="1">
      <c r="A7083" s="199"/>
    </row>
    <row r="7084" spans="1:1" s="200" customFormat="1" ht="12" hidden="1" customHeight="1">
      <c r="A7084" s="199"/>
    </row>
    <row r="7085" spans="1:1" s="200" customFormat="1" ht="12" hidden="1" customHeight="1">
      <c r="A7085" s="199"/>
    </row>
    <row r="7086" spans="1:1" s="200" customFormat="1" ht="12" hidden="1" customHeight="1">
      <c r="A7086" s="199"/>
    </row>
    <row r="7087" spans="1:1" s="200" customFormat="1" ht="12" hidden="1" customHeight="1">
      <c r="A7087" s="199"/>
    </row>
    <row r="7088" spans="1:1" s="200" customFormat="1" ht="12" hidden="1" customHeight="1">
      <c r="A7088" s="199"/>
    </row>
    <row r="7089" spans="1:1" s="200" customFormat="1" ht="12" hidden="1" customHeight="1">
      <c r="A7089" s="199"/>
    </row>
    <row r="7090" spans="1:1" s="200" customFormat="1" ht="12" hidden="1" customHeight="1">
      <c r="A7090" s="199"/>
    </row>
    <row r="7091" spans="1:1" s="200" customFormat="1" ht="12" hidden="1" customHeight="1">
      <c r="A7091" s="199"/>
    </row>
    <row r="7092" spans="1:1" s="200" customFormat="1" ht="12" hidden="1" customHeight="1">
      <c r="A7092" s="199"/>
    </row>
    <row r="7093" spans="1:1" s="200" customFormat="1" ht="12" hidden="1" customHeight="1">
      <c r="A7093" s="199"/>
    </row>
    <row r="7094" spans="1:1" s="200" customFormat="1" ht="12" hidden="1" customHeight="1">
      <c r="A7094" s="199"/>
    </row>
    <row r="7095" spans="1:1" s="200" customFormat="1" ht="12" hidden="1" customHeight="1">
      <c r="A7095" s="199"/>
    </row>
    <row r="7096" spans="1:1" s="200" customFormat="1" ht="12" hidden="1" customHeight="1">
      <c r="A7096" s="199"/>
    </row>
    <row r="7097" spans="1:1" s="200" customFormat="1" ht="12" hidden="1" customHeight="1">
      <c r="A7097" s="199"/>
    </row>
    <row r="7098" spans="1:1" s="200" customFormat="1" ht="12" hidden="1" customHeight="1">
      <c r="A7098" s="199"/>
    </row>
    <row r="7099" spans="1:1" s="200" customFormat="1" ht="12" hidden="1" customHeight="1">
      <c r="A7099" s="199"/>
    </row>
    <row r="7100" spans="1:1" s="200" customFormat="1" ht="12" hidden="1" customHeight="1">
      <c r="A7100" s="199"/>
    </row>
    <row r="7101" spans="1:1" s="200" customFormat="1" ht="12" hidden="1" customHeight="1">
      <c r="A7101" s="199"/>
    </row>
    <row r="7102" spans="1:1" s="200" customFormat="1" ht="12" hidden="1" customHeight="1">
      <c r="A7102" s="199"/>
    </row>
    <row r="7103" spans="1:1" s="200" customFormat="1" ht="12" hidden="1" customHeight="1">
      <c r="A7103" s="199"/>
    </row>
    <row r="7104" spans="1:1" s="200" customFormat="1" ht="12" hidden="1" customHeight="1">
      <c r="A7104" s="199"/>
    </row>
    <row r="7105" spans="1:1" s="200" customFormat="1" ht="12" hidden="1" customHeight="1">
      <c r="A7105" s="199"/>
    </row>
    <row r="7106" spans="1:1" s="200" customFormat="1" ht="12" hidden="1" customHeight="1">
      <c r="A7106" s="199"/>
    </row>
    <row r="7107" spans="1:1" s="200" customFormat="1" ht="12" hidden="1" customHeight="1">
      <c r="A7107" s="199"/>
    </row>
    <row r="7108" spans="1:1" s="200" customFormat="1" ht="12" hidden="1" customHeight="1">
      <c r="A7108" s="199"/>
    </row>
    <row r="7109" spans="1:1" s="200" customFormat="1" ht="12" hidden="1" customHeight="1">
      <c r="A7109" s="199"/>
    </row>
    <row r="7110" spans="1:1" s="200" customFormat="1" ht="12" hidden="1" customHeight="1">
      <c r="A7110" s="199"/>
    </row>
    <row r="7111" spans="1:1" s="200" customFormat="1" ht="12" hidden="1" customHeight="1">
      <c r="A7111" s="199"/>
    </row>
    <row r="7112" spans="1:1" s="200" customFormat="1" ht="12" hidden="1" customHeight="1">
      <c r="A7112" s="199"/>
    </row>
    <row r="7113" spans="1:1" s="200" customFormat="1" ht="12" hidden="1" customHeight="1">
      <c r="A7113" s="199"/>
    </row>
    <row r="7114" spans="1:1" s="200" customFormat="1" ht="12" hidden="1" customHeight="1">
      <c r="A7114" s="199"/>
    </row>
    <row r="7115" spans="1:1" s="200" customFormat="1" ht="12" hidden="1" customHeight="1">
      <c r="A7115" s="199"/>
    </row>
    <row r="7116" spans="1:1" s="200" customFormat="1" ht="12" hidden="1" customHeight="1">
      <c r="A7116" s="199"/>
    </row>
    <row r="7117" spans="1:1" s="200" customFormat="1" ht="12" hidden="1" customHeight="1">
      <c r="A7117" s="199"/>
    </row>
    <row r="7118" spans="1:1" s="200" customFormat="1" ht="12" hidden="1" customHeight="1">
      <c r="A7118" s="199"/>
    </row>
    <row r="7119" spans="1:1" s="200" customFormat="1" ht="12" hidden="1" customHeight="1">
      <c r="A7119" s="199"/>
    </row>
    <row r="7120" spans="1:1" s="200" customFormat="1" ht="12" hidden="1" customHeight="1">
      <c r="A7120" s="199"/>
    </row>
    <row r="7121" spans="1:1" s="200" customFormat="1" ht="12" hidden="1" customHeight="1">
      <c r="A7121" s="199"/>
    </row>
    <row r="7122" spans="1:1" s="200" customFormat="1" ht="12" hidden="1" customHeight="1">
      <c r="A7122" s="199"/>
    </row>
    <row r="7123" spans="1:1" s="200" customFormat="1" ht="12" hidden="1" customHeight="1">
      <c r="A7123" s="199"/>
    </row>
    <row r="7124" spans="1:1" s="200" customFormat="1" ht="12" hidden="1" customHeight="1">
      <c r="A7124" s="199"/>
    </row>
    <row r="7125" spans="1:1" s="200" customFormat="1" ht="12" hidden="1" customHeight="1">
      <c r="A7125" s="199"/>
    </row>
    <row r="7126" spans="1:1" s="200" customFormat="1" ht="12" hidden="1" customHeight="1">
      <c r="A7126" s="199"/>
    </row>
    <row r="7127" spans="1:1" s="200" customFormat="1" ht="12" hidden="1" customHeight="1">
      <c r="A7127" s="199"/>
    </row>
    <row r="7128" spans="1:1" s="200" customFormat="1" ht="12" hidden="1" customHeight="1">
      <c r="A7128" s="199"/>
    </row>
    <row r="7129" spans="1:1" s="200" customFormat="1" ht="12" hidden="1" customHeight="1">
      <c r="A7129" s="199"/>
    </row>
    <row r="7130" spans="1:1" s="200" customFormat="1" ht="12" hidden="1" customHeight="1">
      <c r="A7130" s="199"/>
    </row>
    <row r="7131" spans="1:1" s="200" customFormat="1" ht="12" hidden="1" customHeight="1">
      <c r="A7131" s="199"/>
    </row>
    <row r="7132" spans="1:1" s="200" customFormat="1" ht="12" hidden="1" customHeight="1">
      <c r="A7132" s="199"/>
    </row>
    <row r="7133" spans="1:1" s="200" customFormat="1" ht="12" hidden="1" customHeight="1">
      <c r="A7133" s="199"/>
    </row>
    <row r="7134" spans="1:1" s="200" customFormat="1" ht="12" hidden="1" customHeight="1">
      <c r="A7134" s="199"/>
    </row>
    <row r="7135" spans="1:1" s="200" customFormat="1" ht="12" hidden="1" customHeight="1">
      <c r="A7135" s="199"/>
    </row>
    <row r="7136" spans="1:1" s="200" customFormat="1" ht="12" hidden="1" customHeight="1">
      <c r="A7136" s="199"/>
    </row>
    <row r="7137" spans="1:1" s="200" customFormat="1" ht="12" hidden="1" customHeight="1">
      <c r="A7137" s="199"/>
    </row>
    <row r="7138" spans="1:1" s="200" customFormat="1" ht="12" hidden="1" customHeight="1">
      <c r="A7138" s="199"/>
    </row>
    <row r="7139" spans="1:1" s="200" customFormat="1" ht="12" hidden="1" customHeight="1">
      <c r="A7139" s="199"/>
    </row>
    <row r="7140" spans="1:1" s="200" customFormat="1" ht="12" hidden="1" customHeight="1">
      <c r="A7140" s="199"/>
    </row>
    <row r="7141" spans="1:1" s="200" customFormat="1" ht="12" hidden="1" customHeight="1">
      <c r="A7141" s="199"/>
    </row>
    <row r="7142" spans="1:1" s="200" customFormat="1" ht="12" hidden="1" customHeight="1">
      <c r="A7142" s="199"/>
    </row>
    <row r="7143" spans="1:1" s="200" customFormat="1" ht="12" hidden="1" customHeight="1">
      <c r="A7143" s="199"/>
    </row>
    <row r="7144" spans="1:1" s="200" customFormat="1" ht="12" hidden="1" customHeight="1">
      <c r="A7144" s="199"/>
    </row>
    <row r="7145" spans="1:1" s="200" customFormat="1" ht="12" hidden="1" customHeight="1">
      <c r="A7145" s="199"/>
    </row>
    <row r="7146" spans="1:1" s="200" customFormat="1" ht="12" hidden="1" customHeight="1">
      <c r="A7146" s="199"/>
    </row>
    <row r="7147" spans="1:1" s="200" customFormat="1" ht="12" hidden="1" customHeight="1">
      <c r="A7147" s="199"/>
    </row>
    <row r="7148" spans="1:1" s="200" customFormat="1" ht="12" hidden="1" customHeight="1">
      <c r="A7148" s="199"/>
    </row>
    <row r="7149" spans="1:1" s="200" customFormat="1" ht="12" hidden="1" customHeight="1">
      <c r="A7149" s="199"/>
    </row>
    <row r="7150" spans="1:1" s="200" customFormat="1" ht="12" hidden="1" customHeight="1">
      <c r="A7150" s="199"/>
    </row>
    <row r="7151" spans="1:1" s="200" customFormat="1" ht="12" hidden="1" customHeight="1">
      <c r="A7151" s="199"/>
    </row>
    <row r="7152" spans="1:1" s="200" customFormat="1" ht="12" hidden="1" customHeight="1">
      <c r="A7152" s="199"/>
    </row>
    <row r="7153" spans="1:1" s="200" customFormat="1" ht="12" hidden="1" customHeight="1">
      <c r="A7153" s="199"/>
    </row>
    <row r="7154" spans="1:1" s="200" customFormat="1" ht="12" hidden="1" customHeight="1">
      <c r="A7154" s="199"/>
    </row>
    <row r="7155" spans="1:1" s="200" customFormat="1" ht="12" hidden="1" customHeight="1">
      <c r="A7155" s="199"/>
    </row>
    <row r="7156" spans="1:1" s="200" customFormat="1" ht="12" hidden="1" customHeight="1">
      <c r="A7156" s="199"/>
    </row>
    <row r="7157" spans="1:1" s="200" customFormat="1" ht="12" hidden="1" customHeight="1">
      <c r="A7157" s="199"/>
    </row>
    <row r="7158" spans="1:1" s="200" customFormat="1" ht="12" hidden="1" customHeight="1">
      <c r="A7158" s="199"/>
    </row>
    <row r="7159" spans="1:1" s="200" customFormat="1" ht="12" hidden="1" customHeight="1">
      <c r="A7159" s="199"/>
    </row>
    <row r="7160" spans="1:1" s="200" customFormat="1" ht="12" hidden="1" customHeight="1">
      <c r="A7160" s="199"/>
    </row>
    <row r="7161" spans="1:1" s="200" customFormat="1" ht="12" hidden="1" customHeight="1">
      <c r="A7161" s="199"/>
    </row>
    <row r="7162" spans="1:1" s="200" customFormat="1" ht="12" hidden="1" customHeight="1">
      <c r="A7162" s="199"/>
    </row>
    <row r="7163" spans="1:1" s="200" customFormat="1" ht="12" hidden="1" customHeight="1">
      <c r="A7163" s="199"/>
    </row>
    <row r="7164" spans="1:1" s="200" customFormat="1" ht="12" hidden="1" customHeight="1">
      <c r="A7164" s="199"/>
    </row>
    <row r="7165" spans="1:1" s="200" customFormat="1" ht="12" hidden="1" customHeight="1">
      <c r="A7165" s="199"/>
    </row>
    <row r="7166" spans="1:1" s="200" customFormat="1" ht="12" hidden="1" customHeight="1">
      <c r="A7166" s="199"/>
    </row>
    <row r="7167" spans="1:1" s="200" customFormat="1" ht="12" hidden="1" customHeight="1">
      <c r="A7167" s="199"/>
    </row>
    <row r="7168" spans="1:1" s="200" customFormat="1" ht="12" hidden="1" customHeight="1">
      <c r="A7168" s="199"/>
    </row>
    <row r="7169" spans="1:1" s="200" customFormat="1" ht="12" hidden="1" customHeight="1">
      <c r="A7169" s="199"/>
    </row>
    <row r="7170" spans="1:1" s="200" customFormat="1" ht="12" hidden="1" customHeight="1">
      <c r="A7170" s="199"/>
    </row>
    <row r="7171" spans="1:1" s="200" customFormat="1" ht="12" hidden="1" customHeight="1">
      <c r="A7171" s="199"/>
    </row>
    <row r="7172" spans="1:1" s="200" customFormat="1" ht="12" hidden="1" customHeight="1">
      <c r="A7172" s="199"/>
    </row>
    <row r="7173" spans="1:1" s="200" customFormat="1" ht="12" hidden="1" customHeight="1">
      <c r="A7173" s="199"/>
    </row>
    <row r="7174" spans="1:1" s="200" customFormat="1" ht="12" hidden="1" customHeight="1">
      <c r="A7174" s="199"/>
    </row>
    <row r="7175" spans="1:1" s="200" customFormat="1" ht="12" hidden="1" customHeight="1">
      <c r="A7175" s="199"/>
    </row>
    <row r="7176" spans="1:1" s="200" customFormat="1" ht="12" hidden="1" customHeight="1">
      <c r="A7176" s="199"/>
    </row>
    <row r="7177" spans="1:1" s="200" customFormat="1" ht="12" hidden="1" customHeight="1">
      <c r="A7177" s="199"/>
    </row>
    <row r="7178" spans="1:1" s="200" customFormat="1" ht="12" hidden="1" customHeight="1">
      <c r="A7178" s="199"/>
    </row>
    <row r="7179" spans="1:1" s="200" customFormat="1" ht="12" hidden="1" customHeight="1">
      <c r="A7179" s="199"/>
    </row>
    <row r="7180" spans="1:1" s="200" customFormat="1" ht="12" hidden="1" customHeight="1">
      <c r="A7180" s="199"/>
    </row>
    <row r="7181" spans="1:1" s="200" customFormat="1" ht="12" hidden="1" customHeight="1">
      <c r="A7181" s="199"/>
    </row>
    <row r="7182" spans="1:1" s="200" customFormat="1" ht="12" hidden="1" customHeight="1">
      <c r="A7182" s="199"/>
    </row>
    <row r="7183" spans="1:1" s="200" customFormat="1" ht="12" hidden="1" customHeight="1">
      <c r="A7183" s="199"/>
    </row>
    <row r="7184" spans="1:1" s="200" customFormat="1" ht="12" hidden="1" customHeight="1">
      <c r="A7184" s="199"/>
    </row>
    <row r="7185" spans="1:1" s="200" customFormat="1" ht="12" hidden="1" customHeight="1">
      <c r="A7185" s="199"/>
    </row>
    <row r="7186" spans="1:1" s="200" customFormat="1" ht="12" hidden="1" customHeight="1">
      <c r="A7186" s="199"/>
    </row>
    <row r="7187" spans="1:1" s="200" customFormat="1" ht="12" hidden="1" customHeight="1">
      <c r="A7187" s="199"/>
    </row>
    <row r="7188" spans="1:1" s="200" customFormat="1" ht="12" hidden="1" customHeight="1">
      <c r="A7188" s="199"/>
    </row>
    <row r="7189" spans="1:1" s="200" customFormat="1" ht="12" hidden="1" customHeight="1">
      <c r="A7189" s="199"/>
    </row>
    <row r="7190" spans="1:1" s="200" customFormat="1" ht="12" hidden="1" customHeight="1">
      <c r="A7190" s="199"/>
    </row>
    <row r="7191" spans="1:1" s="200" customFormat="1" ht="12" hidden="1" customHeight="1">
      <c r="A7191" s="199"/>
    </row>
    <row r="7192" spans="1:1" s="200" customFormat="1" ht="12" hidden="1" customHeight="1">
      <c r="A7192" s="199"/>
    </row>
    <row r="7193" spans="1:1" s="200" customFormat="1" ht="12" hidden="1" customHeight="1">
      <c r="A7193" s="199"/>
    </row>
    <row r="7194" spans="1:1" s="200" customFormat="1" ht="12" hidden="1" customHeight="1">
      <c r="A7194" s="199"/>
    </row>
    <row r="7195" spans="1:1" s="200" customFormat="1" ht="12" hidden="1" customHeight="1">
      <c r="A7195" s="199"/>
    </row>
    <row r="7196" spans="1:1" s="200" customFormat="1" ht="12" hidden="1" customHeight="1">
      <c r="A7196" s="199"/>
    </row>
    <row r="7197" spans="1:1" s="200" customFormat="1" ht="12" hidden="1" customHeight="1">
      <c r="A7197" s="199"/>
    </row>
    <row r="7198" spans="1:1" s="200" customFormat="1" ht="12" hidden="1" customHeight="1">
      <c r="A7198" s="199"/>
    </row>
    <row r="7199" spans="1:1" s="200" customFormat="1" ht="12" hidden="1" customHeight="1">
      <c r="A7199" s="199"/>
    </row>
    <row r="7200" spans="1:1" s="200" customFormat="1" ht="12" hidden="1" customHeight="1">
      <c r="A7200" s="199"/>
    </row>
    <row r="7201" spans="1:1" s="200" customFormat="1" ht="12" hidden="1" customHeight="1">
      <c r="A7201" s="199"/>
    </row>
    <row r="7202" spans="1:1" s="200" customFormat="1" ht="12" hidden="1" customHeight="1">
      <c r="A7202" s="199"/>
    </row>
    <row r="7203" spans="1:1" s="200" customFormat="1" ht="12" hidden="1" customHeight="1">
      <c r="A7203" s="199"/>
    </row>
    <row r="7204" spans="1:1" s="200" customFormat="1" ht="12" hidden="1" customHeight="1">
      <c r="A7204" s="199"/>
    </row>
    <row r="7205" spans="1:1" s="200" customFormat="1" ht="12" hidden="1" customHeight="1">
      <c r="A7205" s="199"/>
    </row>
    <row r="7206" spans="1:1" s="200" customFormat="1" ht="12" hidden="1" customHeight="1">
      <c r="A7206" s="199"/>
    </row>
    <row r="7207" spans="1:1" s="200" customFormat="1" ht="12" hidden="1" customHeight="1">
      <c r="A7207" s="199"/>
    </row>
    <row r="7208" spans="1:1" s="200" customFormat="1" ht="12" hidden="1" customHeight="1">
      <c r="A7208" s="199"/>
    </row>
    <row r="7209" spans="1:1" s="200" customFormat="1" ht="12" hidden="1" customHeight="1">
      <c r="A7209" s="199"/>
    </row>
    <row r="7210" spans="1:1" s="200" customFormat="1" ht="12" hidden="1" customHeight="1">
      <c r="A7210" s="199"/>
    </row>
    <row r="7211" spans="1:1" s="200" customFormat="1" ht="12" hidden="1" customHeight="1">
      <c r="A7211" s="199"/>
    </row>
    <row r="7212" spans="1:1" s="200" customFormat="1" ht="12" hidden="1" customHeight="1">
      <c r="A7212" s="199"/>
    </row>
    <row r="7213" spans="1:1" s="200" customFormat="1" ht="12" hidden="1" customHeight="1">
      <c r="A7213" s="199"/>
    </row>
    <row r="7214" spans="1:1" s="200" customFormat="1" ht="12" hidden="1" customHeight="1">
      <c r="A7214" s="199"/>
    </row>
    <row r="7215" spans="1:1" s="200" customFormat="1" ht="12" hidden="1" customHeight="1">
      <c r="A7215" s="199"/>
    </row>
    <row r="7216" spans="1:1" s="200" customFormat="1" ht="12" hidden="1" customHeight="1">
      <c r="A7216" s="199"/>
    </row>
    <row r="7217" spans="1:1" s="200" customFormat="1" ht="12" hidden="1" customHeight="1">
      <c r="A7217" s="199"/>
    </row>
    <row r="7218" spans="1:1" s="200" customFormat="1" ht="12" hidden="1" customHeight="1">
      <c r="A7218" s="199"/>
    </row>
    <row r="7219" spans="1:1" s="200" customFormat="1" ht="12" hidden="1" customHeight="1">
      <c r="A7219" s="199"/>
    </row>
    <row r="7220" spans="1:1" s="200" customFormat="1" ht="12" hidden="1" customHeight="1">
      <c r="A7220" s="199"/>
    </row>
    <row r="7221" spans="1:1" s="200" customFormat="1" ht="12" hidden="1" customHeight="1">
      <c r="A7221" s="199"/>
    </row>
    <row r="7222" spans="1:1" s="200" customFormat="1" ht="12" hidden="1" customHeight="1">
      <c r="A7222" s="199"/>
    </row>
    <row r="7223" spans="1:1" s="200" customFormat="1" ht="12" hidden="1" customHeight="1">
      <c r="A7223" s="199"/>
    </row>
    <row r="7224" spans="1:1" s="200" customFormat="1" ht="12" hidden="1" customHeight="1">
      <c r="A7224" s="199"/>
    </row>
    <row r="7225" spans="1:1" s="200" customFormat="1" ht="12" hidden="1" customHeight="1">
      <c r="A7225" s="199"/>
    </row>
    <row r="7226" spans="1:1" s="200" customFormat="1" ht="12" hidden="1" customHeight="1">
      <c r="A7226" s="199"/>
    </row>
    <row r="7227" spans="1:1" s="200" customFormat="1" ht="12" hidden="1" customHeight="1">
      <c r="A7227" s="199"/>
    </row>
    <row r="7228" spans="1:1" s="200" customFormat="1" ht="12" hidden="1" customHeight="1">
      <c r="A7228" s="199"/>
    </row>
    <row r="7229" spans="1:1" s="200" customFormat="1" ht="12" hidden="1" customHeight="1">
      <c r="A7229" s="199"/>
    </row>
    <row r="7230" spans="1:1" s="200" customFormat="1" ht="12" hidden="1" customHeight="1">
      <c r="A7230" s="199"/>
    </row>
    <row r="7231" spans="1:1" s="200" customFormat="1" ht="12" hidden="1" customHeight="1">
      <c r="A7231" s="199"/>
    </row>
    <row r="7232" spans="1:1" s="200" customFormat="1" ht="12" hidden="1" customHeight="1">
      <c r="A7232" s="199"/>
    </row>
    <row r="7233" spans="1:1" s="200" customFormat="1" ht="12" hidden="1" customHeight="1">
      <c r="A7233" s="199"/>
    </row>
    <row r="7234" spans="1:1" s="200" customFormat="1" ht="12" hidden="1" customHeight="1">
      <c r="A7234" s="199"/>
    </row>
    <row r="7235" spans="1:1" s="200" customFormat="1" ht="12" hidden="1" customHeight="1">
      <c r="A7235" s="199"/>
    </row>
    <row r="7236" spans="1:1" s="200" customFormat="1" ht="12" hidden="1" customHeight="1">
      <c r="A7236" s="199"/>
    </row>
    <row r="7237" spans="1:1" s="200" customFormat="1" ht="12" hidden="1" customHeight="1">
      <c r="A7237" s="199"/>
    </row>
    <row r="7238" spans="1:1" s="200" customFormat="1" ht="12" hidden="1" customHeight="1">
      <c r="A7238" s="199"/>
    </row>
    <row r="7239" spans="1:1" s="200" customFormat="1" ht="12" hidden="1" customHeight="1">
      <c r="A7239" s="199"/>
    </row>
    <row r="7240" spans="1:1" s="200" customFormat="1" ht="12" hidden="1" customHeight="1">
      <c r="A7240" s="199"/>
    </row>
    <row r="7241" spans="1:1" s="200" customFormat="1" ht="12" hidden="1" customHeight="1">
      <c r="A7241" s="199"/>
    </row>
    <row r="7242" spans="1:1" s="200" customFormat="1" ht="12" hidden="1" customHeight="1">
      <c r="A7242" s="199"/>
    </row>
    <row r="7243" spans="1:1" s="200" customFormat="1" ht="12" hidden="1" customHeight="1">
      <c r="A7243" s="199"/>
    </row>
    <row r="7244" spans="1:1" s="200" customFormat="1" ht="12" hidden="1" customHeight="1">
      <c r="A7244" s="199"/>
    </row>
    <row r="7245" spans="1:1" s="200" customFormat="1" ht="12" hidden="1" customHeight="1">
      <c r="A7245" s="199"/>
    </row>
    <row r="7246" spans="1:1" s="200" customFormat="1" ht="12" hidden="1" customHeight="1">
      <c r="A7246" s="199"/>
    </row>
    <row r="7247" spans="1:1" s="200" customFormat="1" ht="12" hidden="1" customHeight="1">
      <c r="A7247" s="199"/>
    </row>
    <row r="7248" spans="1:1" s="200" customFormat="1" ht="12" hidden="1" customHeight="1">
      <c r="A7248" s="199"/>
    </row>
    <row r="7249" spans="1:1" s="200" customFormat="1" ht="12" hidden="1" customHeight="1">
      <c r="A7249" s="199"/>
    </row>
    <row r="7250" spans="1:1" s="200" customFormat="1" ht="12" hidden="1" customHeight="1">
      <c r="A7250" s="199"/>
    </row>
    <row r="7251" spans="1:1" s="200" customFormat="1" ht="12" hidden="1" customHeight="1">
      <c r="A7251" s="199"/>
    </row>
    <row r="7252" spans="1:1" s="200" customFormat="1" ht="12" hidden="1" customHeight="1">
      <c r="A7252" s="199"/>
    </row>
    <row r="7253" spans="1:1" s="200" customFormat="1" ht="12" hidden="1" customHeight="1">
      <c r="A7253" s="199"/>
    </row>
    <row r="7254" spans="1:1" s="200" customFormat="1" ht="12" hidden="1" customHeight="1">
      <c r="A7254" s="199"/>
    </row>
    <row r="7255" spans="1:1" s="200" customFormat="1" ht="12" hidden="1" customHeight="1">
      <c r="A7255" s="199"/>
    </row>
    <row r="7256" spans="1:1" s="200" customFormat="1" ht="12" hidden="1" customHeight="1">
      <c r="A7256" s="199"/>
    </row>
    <row r="7257" spans="1:1" s="200" customFormat="1" ht="12" hidden="1" customHeight="1">
      <c r="A7257" s="199"/>
    </row>
    <row r="7258" spans="1:1" s="200" customFormat="1" ht="12" hidden="1" customHeight="1">
      <c r="A7258" s="199"/>
    </row>
    <row r="7259" spans="1:1" s="200" customFormat="1" ht="12" hidden="1" customHeight="1">
      <c r="A7259" s="199"/>
    </row>
    <row r="7260" spans="1:1" s="200" customFormat="1" ht="12" hidden="1" customHeight="1">
      <c r="A7260" s="199"/>
    </row>
    <row r="7261" spans="1:1" s="200" customFormat="1" ht="12" hidden="1" customHeight="1">
      <c r="A7261" s="199"/>
    </row>
    <row r="7262" spans="1:1" s="200" customFormat="1" ht="12" hidden="1" customHeight="1">
      <c r="A7262" s="199"/>
    </row>
    <row r="7263" spans="1:1" s="200" customFormat="1" ht="12" hidden="1" customHeight="1">
      <c r="A7263" s="199"/>
    </row>
    <row r="7264" spans="1:1" s="200" customFormat="1" ht="12" hidden="1" customHeight="1">
      <c r="A7264" s="199"/>
    </row>
    <row r="7265" spans="1:1" s="200" customFormat="1" ht="12" hidden="1" customHeight="1">
      <c r="A7265" s="199"/>
    </row>
    <row r="7266" spans="1:1" s="200" customFormat="1" ht="12" hidden="1" customHeight="1">
      <c r="A7266" s="199"/>
    </row>
    <row r="7267" spans="1:1" s="200" customFormat="1" ht="12" hidden="1" customHeight="1">
      <c r="A7267" s="199"/>
    </row>
    <row r="7268" spans="1:1" s="200" customFormat="1" ht="12" hidden="1" customHeight="1">
      <c r="A7268" s="199"/>
    </row>
    <row r="7269" spans="1:1" s="200" customFormat="1" ht="12" hidden="1" customHeight="1">
      <c r="A7269" s="199"/>
    </row>
    <row r="7270" spans="1:1" s="200" customFormat="1" ht="12" hidden="1" customHeight="1">
      <c r="A7270" s="199"/>
    </row>
    <row r="7271" spans="1:1" s="200" customFormat="1" ht="12" hidden="1" customHeight="1">
      <c r="A7271" s="199"/>
    </row>
    <row r="7272" spans="1:1" s="200" customFormat="1" ht="12" hidden="1" customHeight="1">
      <c r="A7272" s="199"/>
    </row>
    <row r="7273" spans="1:1" s="200" customFormat="1" ht="12" hidden="1" customHeight="1">
      <c r="A7273" s="199"/>
    </row>
    <row r="7274" spans="1:1" s="200" customFormat="1" ht="12" hidden="1" customHeight="1">
      <c r="A7274" s="199"/>
    </row>
    <row r="7275" spans="1:1" s="200" customFormat="1" ht="12" hidden="1" customHeight="1">
      <c r="A7275" s="199"/>
    </row>
    <row r="7276" spans="1:1" s="200" customFormat="1" ht="12" hidden="1" customHeight="1">
      <c r="A7276" s="199"/>
    </row>
    <row r="7277" spans="1:1" s="200" customFormat="1" ht="12" hidden="1" customHeight="1">
      <c r="A7277" s="199"/>
    </row>
    <row r="7278" spans="1:1" s="200" customFormat="1" ht="12" hidden="1" customHeight="1">
      <c r="A7278" s="199"/>
    </row>
    <row r="7279" spans="1:1" s="200" customFormat="1" ht="12" hidden="1" customHeight="1">
      <c r="A7279" s="199"/>
    </row>
    <row r="7280" spans="1:1" s="200" customFormat="1" ht="12" hidden="1" customHeight="1">
      <c r="A7280" s="199"/>
    </row>
    <row r="7281" spans="1:1" s="200" customFormat="1" ht="12" hidden="1" customHeight="1">
      <c r="A7281" s="199"/>
    </row>
    <row r="7282" spans="1:1" s="200" customFormat="1" ht="12" hidden="1" customHeight="1">
      <c r="A7282" s="199"/>
    </row>
    <row r="7283" spans="1:1" s="200" customFormat="1" ht="12" hidden="1" customHeight="1">
      <c r="A7283" s="199"/>
    </row>
    <row r="7284" spans="1:1" s="200" customFormat="1" ht="12" hidden="1" customHeight="1">
      <c r="A7284" s="199"/>
    </row>
    <row r="7285" spans="1:1" s="200" customFormat="1" ht="12" hidden="1" customHeight="1">
      <c r="A7285" s="199"/>
    </row>
    <row r="7286" spans="1:1" s="200" customFormat="1" ht="12" hidden="1" customHeight="1">
      <c r="A7286" s="199"/>
    </row>
    <row r="7287" spans="1:1" s="200" customFormat="1" ht="12" hidden="1" customHeight="1">
      <c r="A7287" s="199"/>
    </row>
    <row r="7288" spans="1:1" s="200" customFormat="1" ht="12" hidden="1" customHeight="1">
      <c r="A7288" s="199"/>
    </row>
    <row r="7289" spans="1:1" s="200" customFormat="1" ht="12" hidden="1" customHeight="1">
      <c r="A7289" s="199"/>
    </row>
    <row r="7290" spans="1:1" s="200" customFormat="1" ht="12" hidden="1" customHeight="1">
      <c r="A7290" s="199"/>
    </row>
    <row r="7291" spans="1:1" s="200" customFormat="1" ht="12" hidden="1" customHeight="1">
      <c r="A7291" s="199"/>
    </row>
    <row r="7292" spans="1:1" s="200" customFormat="1" ht="12" hidden="1" customHeight="1">
      <c r="A7292" s="199"/>
    </row>
    <row r="7293" spans="1:1" s="200" customFormat="1" ht="12" hidden="1" customHeight="1">
      <c r="A7293" s="199"/>
    </row>
    <row r="7294" spans="1:1" s="200" customFormat="1" ht="12" hidden="1" customHeight="1">
      <c r="A7294" s="199"/>
    </row>
    <row r="7295" spans="1:1" s="200" customFormat="1" ht="12" hidden="1" customHeight="1">
      <c r="A7295" s="199"/>
    </row>
    <row r="7296" spans="1:1" s="200" customFormat="1" ht="12" hidden="1" customHeight="1">
      <c r="A7296" s="199"/>
    </row>
    <row r="7297" spans="1:1" s="200" customFormat="1" ht="12" hidden="1" customHeight="1">
      <c r="A7297" s="199"/>
    </row>
    <row r="7298" spans="1:1" s="200" customFormat="1" ht="12" hidden="1" customHeight="1">
      <c r="A7298" s="199"/>
    </row>
    <row r="7299" spans="1:1" s="200" customFormat="1" ht="12" hidden="1" customHeight="1">
      <c r="A7299" s="199"/>
    </row>
    <row r="7300" spans="1:1" s="200" customFormat="1" ht="12" hidden="1" customHeight="1">
      <c r="A7300" s="199"/>
    </row>
    <row r="7301" spans="1:1" s="200" customFormat="1" ht="12" hidden="1" customHeight="1">
      <c r="A7301" s="199"/>
    </row>
    <row r="7302" spans="1:1" s="200" customFormat="1" ht="12" hidden="1" customHeight="1">
      <c r="A7302" s="199"/>
    </row>
    <row r="7303" spans="1:1" s="200" customFormat="1" ht="12" hidden="1" customHeight="1">
      <c r="A7303" s="199"/>
    </row>
    <row r="7304" spans="1:1" s="200" customFormat="1" ht="12" hidden="1" customHeight="1">
      <c r="A7304" s="199"/>
    </row>
    <row r="7305" spans="1:1" s="200" customFormat="1" ht="12" hidden="1" customHeight="1">
      <c r="A7305" s="199"/>
    </row>
    <row r="7306" spans="1:1" s="200" customFormat="1" ht="12" hidden="1" customHeight="1">
      <c r="A7306" s="199"/>
    </row>
    <row r="7307" spans="1:1" s="200" customFormat="1" ht="12" hidden="1" customHeight="1">
      <c r="A7307" s="199"/>
    </row>
    <row r="7308" spans="1:1" s="200" customFormat="1" ht="12" hidden="1" customHeight="1">
      <c r="A7308" s="199"/>
    </row>
    <row r="7309" spans="1:1" s="200" customFormat="1" ht="12" hidden="1" customHeight="1">
      <c r="A7309" s="199"/>
    </row>
    <row r="7310" spans="1:1" s="200" customFormat="1" ht="12" hidden="1" customHeight="1">
      <c r="A7310" s="199"/>
    </row>
    <row r="7311" spans="1:1" s="200" customFormat="1" ht="12" hidden="1" customHeight="1">
      <c r="A7311" s="199"/>
    </row>
    <row r="7312" spans="1:1" s="200" customFormat="1" ht="12" hidden="1" customHeight="1">
      <c r="A7312" s="199"/>
    </row>
    <row r="7313" spans="1:1" s="200" customFormat="1" ht="12" hidden="1" customHeight="1">
      <c r="A7313" s="199"/>
    </row>
    <row r="7314" spans="1:1" s="200" customFormat="1" ht="12" hidden="1" customHeight="1">
      <c r="A7314" s="199"/>
    </row>
    <row r="7315" spans="1:1" s="200" customFormat="1" ht="12" hidden="1" customHeight="1">
      <c r="A7315" s="199"/>
    </row>
    <row r="7316" spans="1:1" s="200" customFormat="1" ht="12" hidden="1" customHeight="1">
      <c r="A7316" s="199"/>
    </row>
    <row r="7317" spans="1:1" s="200" customFormat="1" ht="12" hidden="1" customHeight="1">
      <c r="A7317" s="199"/>
    </row>
    <row r="7318" spans="1:1" s="200" customFormat="1" ht="12" hidden="1" customHeight="1">
      <c r="A7318" s="199"/>
    </row>
    <row r="7319" spans="1:1" s="200" customFormat="1" ht="12" hidden="1" customHeight="1">
      <c r="A7319" s="199"/>
    </row>
    <row r="7320" spans="1:1" s="200" customFormat="1" ht="12" hidden="1" customHeight="1">
      <c r="A7320" s="199"/>
    </row>
    <row r="7321" spans="1:1" s="200" customFormat="1" ht="12" hidden="1" customHeight="1">
      <c r="A7321" s="199"/>
    </row>
    <row r="7322" spans="1:1" s="200" customFormat="1" ht="12" hidden="1" customHeight="1">
      <c r="A7322" s="199"/>
    </row>
    <row r="7323" spans="1:1" s="200" customFormat="1" ht="12" hidden="1" customHeight="1">
      <c r="A7323" s="199"/>
    </row>
    <row r="7324" spans="1:1" s="200" customFormat="1" ht="12" hidden="1" customHeight="1">
      <c r="A7324" s="199"/>
    </row>
    <row r="7325" spans="1:1" s="200" customFormat="1" ht="12" hidden="1" customHeight="1">
      <c r="A7325" s="199"/>
    </row>
    <row r="7326" spans="1:1" s="200" customFormat="1" ht="12" hidden="1" customHeight="1">
      <c r="A7326" s="199"/>
    </row>
    <row r="7327" spans="1:1" s="200" customFormat="1" ht="12" hidden="1" customHeight="1">
      <c r="A7327" s="199"/>
    </row>
    <row r="7328" spans="1:1" s="200" customFormat="1" ht="12" hidden="1" customHeight="1">
      <c r="A7328" s="199"/>
    </row>
    <row r="7329" spans="1:1" s="200" customFormat="1" ht="12" hidden="1" customHeight="1">
      <c r="A7329" s="199"/>
    </row>
    <row r="7330" spans="1:1" s="200" customFormat="1" ht="12" hidden="1" customHeight="1">
      <c r="A7330" s="199"/>
    </row>
    <row r="7331" spans="1:1" s="200" customFormat="1" ht="12" hidden="1" customHeight="1">
      <c r="A7331" s="199"/>
    </row>
    <row r="7332" spans="1:1" s="200" customFormat="1" ht="12" hidden="1" customHeight="1">
      <c r="A7332" s="199"/>
    </row>
    <row r="7333" spans="1:1" s="200" customFormat="1" ht="12" hidden="1" customHeight="1">
      <c r="A7333" s="199"/>
    </row>
    <row r="7334" spans="1:1" s="200" customFormat="1" ht="12" hidden="1" customHeight="1">
      <c r="A7334" s="199"/>
    </row>
    <row r="7335" spans="1:1" s="200" customFormat="1" ht="12" hidden="1" customHeight="1">
      <c r="A7335" s="199"/>
    </row>
    <row r="7336" spans="1:1" s="200" customFormat="1" ht="12" hidden="1" customHeight="1">
      <c r="A7336" s="199"/>
    </row>
    <row r="7337" spans="1:1" s="200" customFormat="1" ht="12" hidden="1" customHeight="1">
      <c r="A7337" s="199"/>
    </row>
    <row r="7338" spans="1:1" s="200" customFormat="1" ht="12" hidden="1" customHeight="1">
      <c r="A7338" s="199"/>
    </row>
    <row r="7339" spans="1:1" s="200" customFormat="1" ht="12" hidden="1" customHeight="1">
      <c r="A7339" s="199"/>
    </row>
    <row r="7340" spans="1:1" s="200" customFormat="1" ht="12" hidden="1" customHeight="1">
      <c r="A7340" s="199"/>
    </row>
    <row r="7341" spans="1:1" s="200" customFormat="1" ht="12" hidden="1" customHeight="1">
      <c r="A7341" s="199"/>
    </row>
    <row r="7342" spans="1:1" s="200" customFormat="1" ht="12" hidden="1" customHeight="1">
      <c r="A7342" s="199"/>
    </row>
    <row r="7343" spans="1:1" s="200" customFormat="1" ht="12" hidden="1" customHeight="1">
      <c r="A7343" s="199"/>
    </row>
    <row r="7344" spans="1:1" s="200" customFormat="1" ht="12" hidden="1" customHeight="1">
      <c r="A7344" s="199"/>
    </row>
    <row r="7345" spans="1:1" s="200" customFormat="1" ht="12" hidden="1" customHeight="1">
      <c r="A7345" s="199"/>
    </row>
    <row r="7346" spans="1:1" s="200" customFormat="1" ht="12" hidden="1" customHeight="1">
      <c r="A7346" s="199"/>
    </row>
    <row r="7347" spans="1:1" s="200" customFormat="1" ht="12" hidden="1" customHeight="1">
      <c r="A7347" s="199"/>
    </row>
    <row r="7348" spans="1:1" s="200" customFormat="1" ht="12" hidden="1" customHeight="1">
      <c r="A7348" s="199"/>
    </row>
    <row r="7349" spans="1:1" s="200" customFormat="1" ht="12" hidden="1" customHeight="1">
      <c r="A7349" s="199"/>
    </row>
    <row r="7350" spans="1:1" s="200" customFormat="1" ht="12" hidden="1" customHeight="1">
      <c r="A7350" s="199"/>
    </row>
    <row r="7351" spans="1:1" s="200" customFormat="1" ht="12" hidden="1" customHeight="1">
      <c r="A7351" s="199"/>
    </row>
    <row r="7352" spans="1:1" s="200" customFormat="1" ht="12" hidden="1" customHeight="1">
      <c r="A7352" s="199"/>
    </row>
    <row r="7353" spans="1:1" s="200" customFormat="1" ht="12" hidden="1" customHeight="1">
      <c r="A7353" s="199"/>
    </row>
    <row r="7354" spans="1:1" s="200" customFormat="1" ht="12" hidden="1" customHeight="1">
      <c r="A7354" s="199"/>
    </row>
    <row r="7355" spans="1:1" s="200" customFormat="1" ht="12" hidden="1" customHeight="1">
      <c r="A7355" s="199"/>
    </row>
    <row r="7356" spans="1:1" s="200" customFormat="1" ht="12" hidden="1" customHeight="1">
      <c r="A7356" s="199"/>
    </row>
    <row r="7357" spans="1:1" s="200" customFormat="1" ht="12" hidden="1" customHeight="1">
      <c r="A7357" s="199"/>
    </row>
    <row r="7358" spans="1:1" s="200" customFormat="1" ht="12" hidden="1" customHeight="1">
      <c r="A7358" s="199"/>
    </row>
    <row r="7359" spans="1:1" s="200" customFormat="1" ht="12" hidden="1" customHeight="1">
      <c r="A7359" s="199"/>
    </row>
    <row r="7360" spans="1:1" s="200" customFormat="1" ht="12" hidden="1" customHeight="1">
      <c r="A7360" s="199"/>
    </row>
    <row r="7361" spans="1:1" s="200" customFormat="1" ht="12" hidden="1" customHeight="1">
      <c r="A7361" s="199"/>
    </row>
    <row r="7362" spans="1:1" s="200" customFormat="1" ht="12" hidden="1" customHeight="1">
      <c r="A7362" s="199"/>
    </row>
    <row r="7363" spans="1:1" s="200" customFormat="1" ht="12" hidden="1" customHeight="1">
      <c r="A7363" s="199"/>
    </row>
    <row r="7364" spans="1:1" s="200" customFormat="1" ht="12" hidden="1" customHeight="1">
      <c r="A7364" s="199"/>
    </row>
    <row r="7365" spans="1:1" s="200" customFormat="1" ht="12" hidden="1" customHeight="1">
      <c r="A7365" s="199"/>
    </row>
    <row r="7366" spans="1:1" s="200" customFormat="1" ht="12" hidden="1" customHeight="1">
      <c r="A7366" s="199"/>
    </row>
    <row r="7367" spans="1:1" s="200" customFormat="1" ht="12" hidden="1" customHeight="1">
      <c r="A7367" s="199"/>
    </row>
    <row r="7368" spans="1:1" s="200" customFormat="1" ht="12" hidden="1" customHeight="1">
      <c r="A7368" s="199"/>
    </row>
    <row r="7369" spans="1:1" s="200" customFormat="1" ht="12" hidden="1" customHeight="1">
      <c r="A7369" s="199"/>
    </row>
    <row r="7370" spans="1:1" s="200" customFormat="1" ht="12" hidden="1" customHeight="1">
      <c r="A7370" s="199"/>
    </row>
    <row r="7371" spans="1:1" s="200" customFormat="1" ht="12" hidden="1" customHeight="1">
      <c r="A7371" s="199"/>
    </row>
    <row r="7372" spans="1:1" s="200" customFormat="1" ht="12" hidden="1" customHeight="1">
      <c r="A7372" s="199"/>
    </row>
    <row r="7373" spans="1:1" s="200" customFormat="1" ht="12" hidden="1" customHeight="1">
      <c r="A7373" s="199"/>
    </row>
    <row r="7374" spans="1:1" s="200" customFormat="1" ht="12" hidden="1" customHeight="1">
      <c r="A7374" s="199"/>
    </row>
    <row r="7375" spans="1:1" s="200" customFormat="1" ht="12" hidden="1" customHeight="1">
      <c r="A7375" s="199"/>
    </row>
    <row r="7376" spans="1:1" s="200" customFormat="1" ht="12" hidden="1" customHeight="1">
      <c r="A7376" s="199"/>
    </row>
    <row r="7377" spans="1:1" s="200" customFormat="1" ht="12" hidden="1" customHeight="1">
      <c r="A7377" s="199"/>
    </row>
    <row r="7378" spans="1:1" s="200" customFormat="1" ht="12" hidden="1" customHeight="1">
      <c r="A7378" s="199"/>
    </row>
    <row r="7379" spans="1:1" s="200" customFormat="1" ht="12" hidden="1" customHeight="1">
      <c r="A7379" s="199"/>
    </row>
    <row r="7380" spans="1:1" s="200" customFormat="1" ht="12" hidden="1" customHeight="1">
      <c r="A7380" s="199"/>
    </row>
    <row r="7381" spans="1:1" s="200" customFormat="1" ht="12" hidden="1" customHeight="1">
      <c r="A7381" s="199"/>
    </row>
    <row r="7382" spans="1:1" s="200" customFormat="1" ht="12" hidden="1" customHeight="1">
      <c r="A7382" s="199"/>
    </row>
    <row r="7383" spans="1:1" s="200" customFormat="1" ht="12" hidden="1" customHeight="1">
      <c r="A7383" s="199"/>
    </row>
    <row r="7384" spans="1:1" s="200" customFormat="1" ht="12" hidden="1" customHeight="1">
      <c r="A7384" s="199"/>
    </row>
    <row r="7385" spans="1:1" s="200" customFormat="1" ht="12" hidden="1" customHeight="1">
      <c r="A7385" s="199"/>
    </row>
    <row r="7386" spans="1:1" s="200" customFormat="1" ht="12" hidden="1" customHeight="1">
      <c r="A7386" s="199"/>
    </row>
    <row r="7387" spans="1:1" s="200" customFormat="1" ht="12" hidden="1" customHeight="1">
      <c r="A7387" s="199"/>
    </row>
    <row r="7388" spans="1:1" s="200" customFormat="1" ht="12" hidden="1" customHeight="1">
      <c r="A7388" s="199"/>
    </row>
    <row r="7389" spans="1:1" s="200" customFormat="1" ht="12" hidden="1" customHeight="1">
      <c r="A7389" s="199"/>
    </row>
    <row r="7390" spans="1:1" s="200" customFormat="1" ht="12" hidden="1" customHeight="1">
      <c r="A7390" s="199"/>
    </row>
    <row r="7391" spans="1:1" s="200" customFormat="1" ht="12" hidden="1" customHeight="1">
      <c r="A7391" s="199"/>
    </row>
    <row r="7392" spans="1:1" s="200" customFormat="1" ht="12" hidden="1" customHeight="1">
      <c r="A7392" s="199"/>
    </row>
    <row r="7393" spans="1:1" s="200" customFormat="1" ht="12" hidden="1" customHeight="1">
      <c r="A7393" s="199"/>
    </row>
    <row r="7394" spans="1:1" s="200" customFormat="1" ht="12" hidden="1" customHeight="1">
      <c r="A7394" s="199"/>
    </row>
    <row r="7395" spans="1:1" s="200" customFormat="1" ht="12" hidden="1" customHeight="1">
      <c r="A7395" s="199"/>
    </row>
    <row r="7396" spans="1:1" s="200" customFormat="1" ht="12" hidden="1" customHeight="1">
      <c r="A7396" s="199"/>
    </row>
    <row r="7397" spans="1:1" s="200" customFormat="1" ht="12" hidden="1" customHeight="1">
      <c r="A7397" s="199"/>
    </row>
    <row r="7398" spans="1:1" s="200" customFormat="1" ht="12" hidden="1" customHeight="1">
      <c r="A7398" s="199"/>
    </row>
    <row r="7399" spans="1:1" s="200" customFormat="1" ht="12" hidden="1" customHeight="1">
      <c r="A7399" s="199"/>
    </row>
    <row r="7400" spans="1:1" s="200" customFormat="1" ht="12" hidden="1" customHeight="1">
      <c r="A7400" s="199"/>
    </row>
    <row r="7401" spans="1:1" s="200" customFormat="1" ht="12" hidden="1" customHeight="1">
      <c r="A7401" s="199"/>
    </row>
    <row r="7402" spans="1:1" s="200" customFormat="1" ht="12" hidden="1" customHeight="1">
      <c r="A7402" s="199"/>
    </row>
    <row r="7403" spans="1:1" s="200" customFormat="1" ht="12" hidden="1" customHeight="1">
      <c r="A7403" s="199"/>
    </row>
    <row r="7404" spans="1:1" s="200" customFormat="1" ht="12" hidden="1" customHeight="1">
      <c r="A7404" s="199"/>
    </row>
    <row r="7405" spans="1:1" s="200" customFormat="1" ht="12" hidden="1" customHeight="1">
      <c r="A7405" s="199"/>
    </row>
    <row r="7406" spans="1:1" s="200" customFormat="1" ht="12" hidden="1" customHeight="1">
      <c r="A7406" s="199"/>
    </row>
    <row r="7407" spans="1:1" s="200" customFormat="1" ht="12" hidden="1" customHeight="1">
      <c r="A7407" s="199"/>
    </row>
    <row r="7408" spans="1:1" s="200" customFormat="1" ht="12" hidden="1" customHeight="1">
      <c r="A7408" s="199"/>
    </row>
    <row r="7409" spans="1:1" s="200" customFormat="1" ht="12" hidden="1" customHeight="1">
      <c r="A7409" s="199"/>
    </row>
    <row r="7410" spans="1:1" s="200" customFormat="1" ht="12" hidden="1" customHeight="1">
      <c r="A7410" s="199"/>
    </row>
    <row r="7411" spans="1:1" s="200" customFormat="1" ht="12" hidden="1" customHeight="1">
      <c r="A7411" s="199"/>
    </row>
    <row r="7412" spans="1:1" s="200" customFormat="1" ht="12" hidden="1" customHeight="1">
      <c r="A7412" s="199"/>
    </row>
    <row r="7413" spans="1:1" s="200" customFormat="1" ht="12" hidden="1" customHeight="1">
      <c r="A7413" s="199"/>
    </row>
    <row r="7414" spans="1:1" s="200" customFormat="1" ht="12" hidden="1" customHeight="1">
      <c r="A7414" s="199"/>
    </row>
    <row r="7415" spans="1:1" s="200" customFormat="1" ht="12" hidden="1" customHeight="1">
      <c r="A7415" s="199"/>
    </row>
    <row r="7416" spans="1:1" s="200" customFormat="1" ht="12" hidden="1" customHeight="1">
      <c r="A7416" s="199"/>
    </row>
    <row r="7417" spans="1:1" s="200" customFormat="1" ht="12" hidden="1" customHeight="1">
      <c r="A7417" s="199"/>
    </row>
    <row r="7418" spans="1:1" s="200" customFormat="1" ht="12" hidden="1" customHeight="1">
      <c r="A7418" s="199"/>
    </row>
    <row r="7419" spans="1:1" s="200" customFormat="1" ht="12" hidden="1" customHeight="1">
      <c r="A7419" s="199"/>
    </row>
    <row r="7420" spans="1:1" s="200" customFormat="1" ht="12" hidden="1" customHeight="1">
      <c r="A7420" s="199"/>
    </row>
    <row r="7421" spans="1:1" s="200" customFormat="1" ht="12" hidden="1" customHeight="1">
      <c r="A7421" s="199"/>
    </row>
    <row r="7422" spans="1:1" s="200" customFormat="1" ht="12" hidden="1" customHeight="1">
      <c r="A7422" s="199"/>
    </row>
    <row r="7423" spans="1:1" s="200" customFormat="1" ht="12" hidden="1" customHeight="1">
      <c r="A7423" s="199"/>
    </row>
    <row r="7424" spans="1:1" s="200" customFormat="1" ht="12" hidden="1" customHeight="1">
      <c r="A7424" s="199"/>
    </row>
    <row r="7425" spans="1:1" s="200" customFormat="1" ht="12" hidden="1" customHeight="1">
      <c r="A7425" s="199"/>
    </row>
    <row r="7426" spans="1:1" s="200" customFormat="1" ht="12" hidden="1" customHeight="1">
      <c r="A7426" s="199"/>
    </row>
    <row r="7427" spans="1:1" s="200" customFormat="1" ht="12" hidden="1" customHeight="1">
      <c r="A7427" s="199"/>
    </row>
    <row r="7428" spans="1:1" s="200" customFormat="1" ht="12" hidden="1" customHeight="1">
      <c r="A7428" s="199"/>
    </row>
    <row r="7429" spans="1:1" s="200" customFormat="1" ht="12" hidden="1" customHeight="1">
      <c r="A7429" s="199"/>
    </row>
    <row r="7430" spans="1:1" s="200" customFormat="1" ht="12" hidden="1" customHeight="1">
      <c r="A7430" s="199"/>
    </row>
    <row r="7431" spans="1:1" s="200" customFormat="1" ht="12" hidden="1" customHeight="1">
      <c r="A7431" s="199"/>
    </row>
    <row r="7432" spans="1:1" s="200" customFormat="1" ht="12" hidden="1" customHeight="1">
      <c r="A7432" s="199"/>
    </row>
    <row r="7433" spans="1:1" s="200" customFormat="1" ht="12" hidden="1" customHeight="1">
      <c r="A7433" s="199"/>
    </row>
    <row r="7434" spans="1:1" s="200" customFormat="1" ht="12" hidden="1" customHeight="1">
      <c r="A7434" s="199"/>
    </row>
    <row r="7435" spans="1:1" s="200" customFormat="1" ht="12" hidden="1" customHeight="1">
      <c r="A7435" s="199"/>
    </row>
    <row r="7436" spans="1:1" s="200" customFormat="1" ht="12" hidden="1" customHeight="1">
      <c r="A7436" s="199"/>
    </row>
    <row r="7437" spans="1:1" s="200" customFormat="1" ht="12" hidden="1" customHeight="1">
      <c r="A7437" s="199"/>
    </row>
    <row r="7438" spans="1:1" s="200" customFormat="1" ht="12" hidden="1" customHeight="1">
      <c r="A7438" s="199"/>
    </row>
    <row r="7439" spans="1:1" s="200" customFormat="1" ht="12" hidden="1" customHeight="1">
      <c r="A7439" s="199"/>
    </row>
    <row r="7440" spans="1:1" s="200" customFormat="1" ht="12" hidden="1" customHeight="1">
      <c r="A7440" s="199"/>
    </row>
    <row r="7441" spans="1:1" s="200" customFormat="1" ht="12" hidden="1" customHeight="1">
      <c r="A7441" s="199"/>
    </row>
    <row r="7442" spans="1:1" s="200" customFormat="1" ht="12" hidden="1" customHeight="1">
      <c r="A7442" s="199"/>
    </row>
    <row r="7443" spans="1:1" s="200" customFormat="1" ht="12" hidden="1" customHeight="1">
      <c r="A7443" s="199"/>
    </row>
    <row r="7444" spans="1:1" s="200" customFormat="1" ht="12" hidden="1" customHeight="1">
      <c r="A7444" s="199"/>
    </row>
    <row r="7445" spans="1:1" s="200" customFormat="1" ht="12" hidden="1" customHeight="1">
      <c r="A7445" s="199"/>
    </row>
    <row r="7446" spans="1:1" s="200" customFormat="1" ht="12" hidden="1" customHeight="1">
      <c r="A7446" s="199"/>
    </row>
    <row r="7447" spans="1:1" s="200" customFormat="1" ht="12" hidden="1" customHeight="1">
      <c r="A7447" s="199"/>
    </row>
    <row r="7448" spans="1:1" s="200" customFormat="1" ht="12" hidden="1" customHeight="1">
      <c r="A7448" s="199"/>
    </row>
    <row r="7449" spans="1:1" s="200" customFormat="1" ht="12" hidden="1" customHeight="1">
      <c r="A7449" s="199"/>
    </row>
    <row r="7450" spans="1:1" s="200" customFormat="1" ht="12" hidden="1" customHeight="1">
      <c r="A7450" s="199"/>
    </row>
    <row r="7451" spans="1:1" s="200" customFormat="1" ht="12" hidden="1" customHeight="1">
      <c r="A7451" s="199"/>
    </row>
    <row r="7452" spans="1:1" s="200" customFormat="1" ht="12" hidden="1" customHeight="1">
      <c r="A7452" s="199"/>
    </row>
    <row r="7453" spans="1:1" s="200" customFormat="1" ht="12" hidden="1" customHeight="1">
      <c r="A7453" s="199"/>
    </row>
    <row r="7454" spans="1:1" s="200" customFormat="1" ht="12" hidden="1" customHeight="1">
      <c r="A7454" s="199"/>
    </row>
    <row r="7455" spans="1:1" s="200" customFormat="1" ht="12" hidden="1" customHeight="1">
      <c r="A7455" s="199"/>
    </row>
    <row r="7456" spans="1:1" s="200" customFormat="1" ht="12" hidden="1" customHeight="1">
      <c r="A7456" s="199"/>
    </row>
    <row r="7457" spans="1:1" s="200" customFormat="1" ht="12" hidden="1" customHeight="1">
      <c r="A7457" s="199"/>
    </row>
    <row r="7458" spans="1:1" s="200" customFormat="1" ht="12" hidden="1" customHeight="1">
      <c r="A7458" s="199"/>
    </row>
    <row r="7459" spans="1:1" s="200" customFormat="1" ht="12" hidden="1" customHeight="1">
      <c r="A7459" s="199"/>
    </row>
    <row r="7460" spans="1:1" s="200" customFormat="1" ht="12" hidden="1" customHeight="1">
      <c r="A7460" s="199"/>
    </row>
    <row r="7461" spans="1:1" s="200" customFormat="1" ht="12" hidden="1" customHeight="1">
      <c r="A7461" s="199"/>
    </row>
    <row r="7462" spans="1:1" s="200" customFormat="1" ht="12" hidden="1" customHeight="1">
      <c r="A7462" s="199"/>
    </row>
    <row r="7463" spans="1:1" s="200" customFormat="1" ht="12" hidden="1" customHeight="1">
      <c r="A7463" s="199"/>
    </row>
    <row r="7464" spans="1:1" s="200" customFormat="1" ht="12" hidden="1" customHeight="1">
      <c r="A7464" s="199"/>
    </row>
    <row r="7465" spans="1:1" s="200" customFormat="1" ht="12" hidden="1" customHeight="1">
      <c r="A7465" s="199"/>
    </row>
    <row r="7466" spans="1:1" s="200" customFormat="1" ht="12" hidden="1" customHeight="1">
      <c r="A7466" s="199"/>
    </row>
    <row r="7467" spans="1:1" s="200" customFormat="1" ht="12" hidden="1" customHeight="1">
      <c r="A7467" s="199"/>
    </row>
    <row r="7468" spans="1:1" s="200" customFormat="1" ht="12" hidden="1" customHeight="1">
      <c r="A7468" s="199"/>
    </row>
    <row r="7469" spans="1:1" s="200" customFormat="1" ht="12" hidden="1" customHeight="1">
      <c r="A7469" s="199"/>
    </row>
    <row r="7470" spans="1:1" s="200" customFormat="1" ht="12" hidden="1" customHeight="1">
      <c r="A7470" s="199"/>
    </row>
    <row r="7471" spans="1:1" s="200" customFormat="1" ht="12" hidden="1" customHeight="1">
      <c r="A7471" s="199"/>
    </row>
    <row r="7472" spans="1:1" s="200" customFormat="1" ht="12" hidden="1" customHeight="1">
      <c r="A7472" s="199"/>
    </row>
    <row r="7473" spans="1:1" s="200" customFormat="1" ht="12" hidden="1" customHeight="1">
      <c r="A7473" s="199"/>
    </row>
    <row r="7474" spans="1:1" s="200" customFormat="1" ht="12" hidden="1" customHeight="1">
      <c r="A7474" s="199"/>
    </row>
    <row r="7475" spans="1:1" s="200" customFormat="1" ht="12" hidden="1" customHeight="1">
      <c r="A7475" s="199"/>
    </row>
    <row r="7476" spans="1:1" s="200" customFormat="1" ht="12" hidden="1" customHeight="1">
      <c r="A7476" s="199"/>
    </row>
    <row r="7477" spans="1:1" s="200" customFormat="1" ht="12" hidden="1" customHeight="1">
      <c r="A7477" s="199"/>
    </row>
    <row r="7478" spans="1:1" s="200" customFormat="1" ht="12" hidden="1" customHeight="1">
      <c r="A7478" s="199"/>
    </row>
    <row r="7479" spans="1:1" s="200" customFormat="1" ht="12" hidden="1" customHeight="1">
      <c r="A7479" s="199"/>
    </row>
    <row r="7480" spans="1:1" s="200" customFormat="1" ht="12" hidden="1" customHeight="1">
      <c r="A7480" s="199"/>
    </row>
    <row r="7481" spans="1:1" s="200" customFormat="1" ht="12" hidden="1" customHeight="1">
      <c r="A7481" s="199"/>
    </row>
    <row r="7482" spans="1:1" s="200" customFormat="1" ht="12" hidden="1" customHeight="1">
      <c r="A7482" s="199"/>
    </row>
    <row r="7483" spans="1:1" s="200" customFormat="1" ht="12" hidden="1" customHeight="1">
      <c r="A7483" s="199"/>
    </row>
    <row r="7484" spans="1:1" s="200" customFormat="1" ht="12" hidden="1" customHeight="1">
      <c r="A7484" s="199"/>
    </row>
    <row r="7485" spans="1:1" s="200" customFormat="1" ht="12" hidden="1" customHeight="1">
      <c r="A7485" s="199"/>
    </row>
    <row r="7486" spans="1:1" s="200" customFormat="1" ht="12" hidden="1" customHeight="1">
      <c r="A7486" s="199"/>
    </row>
    <row r="7487" spans="1:1" s="200" customFormat="1" ht="12" hidden="1" customHeight="1">
      <c r="A7487" s="199"/>
    </row>
    <row r="7488" spans="1:1" s="200" customFormat="1" ht="12" hidden="1" customHeight="1">
      <c r="A7488" s="199"/>
    </row>
    <row r="7489" spans="1:1" s="200" customFormat="1" ht="12" hidden="1" customHeight="1">
      <c r="A7489" s="199"/>
    </row>
    <row r="7490" spans="1:1" s="200" customFormat="1" ht="12" hidden="1" customHeight="1">
      <c r="A7490" s="199"/>
    </row>
    <row r="7491" spans="1:1" s="200" customFormat="1" ht="12" hidden="1" customHeight="1">
      <c r="A7491" s="199"/>
    </row>
    <row r="7492" spans="1:1" s="200" customFormat="1" ht="12" hidden="1" customHeight="1">
      <c r="A7492" s="199"/>
    </row>
    <row r="7493" spans="1:1" s="200" customFormat="1" ht="12" hidden="1" customHeight="1">
      <c r="A7493" s="199"/>
    </row>
    <row r="7494" spans="1:1" s="200" customFormat="1" ht="12" hidden="1" customHeight="1">
      <c r="A7494" s="199"/>
    </row>
    <row r="7495" spans="1:1" s="200" customFormat="1" ht="12" hidden="1" customHeight="1">
      <c r="A7495" s="199"/>
    </row>
    <row r="7496" spans="1:1" s="200" customFormat="1" ht="12" hidden="1" customHeight="1">
      <c r="A7496" s="199"/>
    </row>
    <row r="7497" spans="1:1" s="200" customFormat="1" ht="12" hidden="1" customHeight="1">
      <c r="A7497" s="199"/>
    </row>
    <row r="7498" spans="1:1" s="200" customFormat="1" ht="12" hidden="1" customHeight="1">
      <c r="A7498" s="199"/>
    </row>
    <row r="7499" spans="1:1" s="200" customFormat="1" ht="12" hidden="1" customHeight="1">
      <c r="A7499" s="199"/>
    </row>
    <row r="7500" spans="1:1" s="200" customFormat="1" ht="12" hidden="1" customHeight="1">
      <c r="A7500" s="199"/>
    </row>
    <row r="7501" spans="1:1" s="200" customFormat="1" ht="12" hidden="1" customHeight="1">
      <c r="A7501" s="199"/>
    </row>
    <row r="7502" spans="1:1" s="200" customFormat="1" ht="12" hidden="1" customHeight="1">
      <c r="A7502" s="199"/>
    </row>
    <row r="7503" spans="1:1" s="200" customFormat="1" ht="12" hidden="1" customHeight="1">
      <c r="A7503" s="199"/>
    </row>
    <row r="7504" spans="1:1" s="200" customFormat="1" ht="12" hidden="1" customHeight="1">
      <c r="A7504" s="199"/>
    </row>
    <row r="7505" spans="1:1" s="200" customFormat="1" ht="12" hidden="1" customHeight="1">
      <c r="A7505" s="199"/>
    </row>
    <row r="7506" spans="1:1" s="200" customFormat="1" ht="12" hidden="1" customHeight="1">
      <c r="A7506" s="199"/>
    </row>
    <row r="7507" spans="1:1" s="200" customFormat="1" ht="12" hidden="1" customHeight="1">
      <c r="A7507" s="199"/>
    </row>
    <row r="7508" spans="1:1" s="200" customFormat="1" ht="12" hidden="1" customHeight="1">
      <c r="A7508" s="199"/>
    </row>
    <row r="7509" spans="1:1" s="200" customFormat="1" ht="12" hidden="1" customHeight="1">
      <c r="A7509" s="199"/>
    </row>
    <row r="7510" spans="1:1" s="200" customFormat="1" ht="12" hidden="1" customHeight="1">
      <c r="A7510" s="199"/>
    </row>
    <row r="7511" spans="1:1" s="200" customFormat="1" ht="12" hidden="1" customHeight="1">
      <c r="A7511" s="199"/>
    </row>
    <row r="7512" spans="1:1" s="200" customFormat="1" ht="12" hidden="1" customHeight="1">
      <c r="A7512" s="199"/>
    </row>
    <row r="7513" spans="1:1" s="200" customFormat="1" ht="12" hidden="1" customHeight="1">
      <c r="A7513" s="199"/>
    </row>
    <row r="7514" spans="1:1" s="200" customFormat="1" ht="12" hidden="1" customHeight="1">
      <c r="A7514" s="199"/>
    </row>
    <row r="7515" spans="1:1" s="200" customFormat="1" ht="12" hidden="1" customHeight="1">
      <c r="A7515" s="199"/>
    </row>
    <row r="7516" spans="1:1" s="200" customFormat="1" ht="12" hidden="1" customHeight="1">
      <c r="A7516" s="199"/>
    </row>
    <row r="7517" spans="1:1" s="200" customFormat="1" ht="12" hidden="1" customHeight="1">
      <c r="A7517" s="199"/>
    </row>
    <row r="7518" spans="1:1" s="200" customFormat="1" ht="12" hidden="1" customHeight="1">
      <c r="A7518" s="199"/>
    </row>
    <row r="7519" spans="1:1" s="200" customFormat="1" ht="12" hidden="1" customHeight="1">
      <c r="A7519" s="199"/>
    </row>
    <row r="7520" spans="1:1" s="200" customFormat="1" ht="12" hidden="1" customHeight="1">
      <c r="A7520" s="199"/>
    </row>
    <row r="7521" spans="1:1" s="200" customFormat="1" ht="12" hidden="1" customHeight="1">
      <c r="A7521" s="199"/>
    </row>
    <row r="7522" spans="1:1" s="200" customFormat="1" ht="12" hidden="1" customHeight="1">
      <c r="A7522" s="199"/>
    </row>
    <row r="7523" spans="1:1" s="200" customFormat="1" ht="12" hidden="1" customHeight="1">
      <c r="A7523" s="199"/>
    </row>
    <row r="7524" spans="1:1" s="200" customFormat="1" ht="12" hidden="1" customHeight="1">
      <c r="A7524" s="199"/>
    </row>
    <row r="7525" spans="1:1" s="200" customFormat="1" ht="12" hidden="1" customHeight="1">
      <c r="A7525" s="199"/>
    </row>
    <row r="7526" spans="1:1" s="200" customFormat="1" ht="12" hidden="1" customHeight="1">
      <c r="A7526" s="199"/>
    </row>
    <row r="7527" spans="1:1" s="200" customFormat="1" ht="12" hidden="1" customHeight="1">
      <c r="A7527" s="199"/>
    </row>
    <row r="7528" spans="1:1" s="200" customFormat="1" ht="12" hidden="1" customHeight="1">
      <c r="A7528" s="199"/>
    </row>
    <row r="7529" spans="1:1" s="200" customFormat="1" ht="12" hidden="1" customHeight="1">
      <c r="A7529" s="199"/>
    </row>
    <row r="7530" spans="1:1" s="200" customFormat="1" ht="12" hidden="1" customHeight="1">
      <c r="A7530" s="199"/>
    </row>
    <row r="7531" spans="1:1" s="200" customFormat="1" ht="12" hidden="1" customHeight="1">
      <c r="A7531" s="199"/>
    </row>
    <row r="7532" spans="1:1" s="200" customFormat="1" ht="12" hidden="1" customHeight="1">
      <c r="A7532" s="199"/>
    </row>
    <row r="7533" spans="1:1" s="200" customFormat="1" ht="12" hidden="1" customHeight="1">
      <c r="A7533" s="199"/>
    </row>
    <row r="7534" spans="1:1" s="200" customFormat="1" ht="12" hidden="1" customHeight="1">
      <c r="A7534" s="199"/>
    </row>
    <row r="7535" spans="1:1" s="200" customFormat="1" ht="12" hidden="1" customHeight="1">
      <c r="A7535" s="199"/>
    </row>
    <row r="7536" spans="1:1" s="200" customFormat="1" ht="12" hidden="1" customHeight="1">
      <c r="A7536" s="199"/>
    </row>
    <row r="7537" spans="1:1" s="200" customFormat="1" ht="12" hidden="1" customHeight="1">
      <c r="A7537" s="199"/>
    </row>
    <row r="7538" spans="1:1" s="200" customFormat="1" ht="12" hidden="1" customHeight="1">
      <c r="A7538" s="199"/>
    </row>
    <row r="7539" spans="1:1" s="200" customFormat="1" ht="12" hidden="1" customHeight="1">
      <c r="A7539" s="199"/>
    </row>
    <row r="7540" spans="1:1" s="200" customFormat="1" ht="12" hidden="1" customHeight="1">
      <c r="A7540" s="199"/>
    </row>
    <row r="7541" spans="1:1" s="200" customFormat="1" ht="12" hidden="1" customHeight="1">
      <c r="A7541" s="199"/>
    </row>
    <row r="7542" spans="1:1" s="200" customFormat="1" ht="12" hidden="1" customHeight="1">
      <c r="A7542" s="199"/>
    </row>
    <row r="7543" spans="1:1" s="200" customFormat="1" ht="12" hidden="1" customHeight="1">
      <c r="A7543" s="199"/>
    </row>
    <row r="7544" spans="1:1" s="200" customFormat="1" ht="12" hidden="1" customHeight="1">
      <c r="A7544" s="199"/>
    </row>
    <row r="7545" spans="1:1" s="200" customFormat="1" ht="12" hidden="1" customHeight="1">
      <c r="A7545" s="199"/>
    </row>
    <row r="7546" spans="1:1" s="200" customFormat="1" ht="12" hidden="1" customHeight="1">
      <c r="A7546" s="199"/>
    </row>
    <row r="7547" spans="1:1" s="200" customFormat="1" ht="12" hidden="1" customHeight="1">
      <c r="A7547" s="199"/>
    </row>
    <row r="7548" spans="1:1" s="200" customFormat="1" ht="12" hidden="1" customHeight="1">
      <c r="A7548" s="199"/>
    </row>
    <row r="7549" spans="1:1" s="200" customFormat="1" ht="12" hidden="1" customHeight="1">
      <c r="A7549" s="199"/>
    </row>
    <row r="7550" spans="1:1" s="200" customFormat="1" ht="12" hidden="1" customHeight="1">
      <c r="A7550" s="199"/>
    </row>
    <row r="7551" spans="1:1" s="200" customFormat="1" ht="12" hidden="1" customHeight="1">
      <c r="A7551" s="199"/>
    </row>
    <row r="7552" spans="1:1" s="200" customFormat="1" ht="12" hidden="1" customHeight="1">
      <c r="A7552" s="199"/>
    </row>
    <row r="7553" spans="1:1" s="200" customFormat="1" ht="12" hidden="1" customHeight="1">
      <c r="A7553" s="199"/>
    </row>
    <row r="7554" spans="1:1" s="200" customFormat="1" ht="12" hidden="1" customHeight="1">
      <c r="A7554" s="199"/>
    </row>
    <row r="7555" spans="1:1" s="200" customFormat="1" ht="12" hidden="1" customHeight="1">
      <c r="A7555" s="199"/>
    </row>
    <row r="7556" spans="1:1" s="200" customFormat="1" ht="12" hidden="1" customHeight="1">
      <c r="A7556" s="199"/>
    </row>
    <row r="7557" spans="1:1" s="200" customFormat="1" ht="12" hidden="1" customHeight="1">
      <c r="A7557" s="199"/>
    </row>
    <row r="7558" spans="1:1" s="200" customFormat="1" ht="12" hidden="1" customHeight="1">
      <c r="A7558" s="199"/>
    </row>
    <row r="7559" spans="1:1" s="200" customFormat="1" ht="12" hidden="1" customHeight="1">
      <c r="A7559" s="199"/>
    </row>
    <row r="7560" spans="1:1" s="200" customFormat="1" ht="12" hidden="1" customHeight="1">
      <c r="A7560" s="199"/>
    </row>
    <row r="7561" spans="1:1" s="200" customFormat="1" ht="12" hidden="1" customHeight="1">
      <c r="A7561" s="199"/>
    </row>
    <row r="7562" spans="1:1" s="200" customFormat="1" ht="12" hidden="1" customHeight="1">
      <c r="A7562" s="199"/>
    </row>
    <row r="7563" spans="1:1" s="200" customFormat="1" ht="12" hidden="1" customHeight="1">
      <c r="A7563" s="199"/>
    </row>
    <row r="7564" spans="1:1" s="200" customFormat="1" ht="12" hidden="1" customHeight="1">
      <c r="A7564" s="199"/>
    </row>
    <row r="7565" spans="1:1" s="200" customFormat="1" ht="12" hidden="1" customHeight="1">
      <c r="A7565" s="199"/>
    </row>
    <row r="7566" spans="1:1" s="200" customFormat="1" ht="12" hidden="1" customHeight="1">
      <c r="A7566" s="199"/>
    </row>
    <row r="7567" spans="1:1" s="200" customFormat="1" ht="12" hidden="1" customHeight="1">
      <c r="A7567" s="199"/>
    </row>
    <row r="7568" spans="1:1" s="200" customFormat="1" ht="12" hidden="1" customHeight="1">
      <c r="A7568" s="199"/>
    </row>
    <row r="7569" spans="1:1" s="200" customFormat="1" ht="12" hidden="1" customHeight="1">
      <c r="A7569" s="199"/>
    </row>
    <row r="7570" spans="1:1" s="200" customFormat="1" ht="12" hidden="1" customHeight="1">
      <c r="A7570" s="199"/>
    </row>
    <row r="7571" spans="1:1" s="200" customFormat="1" ht="12" hidden="1" customHeight="1">
      <c r="A7571" s="199"/>
    </row>
    <row r="7572" spans="1:1" s="200" customFormat="1" ht="12" hidden="1" customHeight="1">
      <c r="A7572" s="199"/>
    </row>
    <row r="7573" spans="1:1" s="200" customFormat="1" ht="12" hidden="1" customHeight="1">
      <c r="A7573" s="199"/>
    </row>
    <row r="7574" spans="1:1" s="200" customFormat="1" ht="12" hidden="1" customHeight="1">
      <c r="A7574" s="199"/>
    </row>
    <row r="7575" spans="1:1" s="200" customFormat="1" ht="12" hidden="1" customHeight="1">
      <c r="A7575" s="199"/>
    </row>
    <row r="7576" spans="1:1" s="200" customFormat="1" ht="12" hidden="1" customHeight="1">
      <c r="A7576" s="199"/>
    </row>
    <row r="7577" spans="1:1" s="200" customFormat="1" ht="12" hidden="1" customHeight="1">
      <c r="A7577" s="199"/>
    </row>
    <row r="7578" spans="1:1" s="200" customFormat="1" ht="12" hidden="1" customHeight="1">
      <c r="A7578" s="199"/>
    </row>
    <row r="7579" spans="1:1" s="200" customFormat="1" ht="12" hidden="1" customHeight="1">
      <c r="A7579" s="199"/>
    </row>
    <row r="7580" spans="1:1" s="200" customFormat="1" ht="12" hidden="1" customHeight="1">
      <c r="A7580" s="199"/>
    </row>
    <row r="7581" spans="1:1" s="200" customFormat="1" ht="12" hidden="1" customHeight="1">
      <c r="A7581" s="199"/>
    </row>
    <row r="7582" spans="1:1" s="200" customFormat="1" ht="12" hidden="1" customHeight="1">
      <c r="A7582" s="199"/>
    </row>
    <row r="7583" spans="1:1" s="200" customFormat="1" ht="12" hidden="1" customHeight="1">
      <c r="A7583" s="199"/>
    </row>
    <row r="7584" spans="1:1" s="200" customFormat="1" ht="12" hidden="1" customHeight="1">
      <c r="A7584" s="199"/>
    </row>
    <row r="7585" spans="1:1" s="200" customFormat="1" ht="12" hidden="1" customHeight="1">
      <c r="A7585" s="199"/>
    </row>
    <row r="7586" spans="1:1" s="200" customFormat="1" ht="12" hidden="1" customHeight="1">
      <c r="A7586" s="199"/>
    </row>
    <row r="7587" spans="1:1" s="200" customFormat="1" ht="12" hidden="1" customHeight="1">
      <c r="A7587" s="199"/>
    </row>
    <row r="7588" spans="1:1" s="200" customFormat="1" ht="12" hidden="1" customHeight="1">
      <c r="A7588" s="199"/>
    </row>
    <row r="7589" spans="1:1" s="200" customFormat="1" ht="12" hidden="1" customHeight="1">
      <c r="A7589" s="199"/>
    </row>
    <row r="7590" spans="1:1" s="200" customFormat="1" ht="12" hidden="1" customHeight="1">
      <c r="A7590" s="199"/>
    </row>
    <row r="7591" spans="1:1" s="200" customFormat="1" ht="12" hidden="1" customHeight="1">
      <c r="A7591" s="199"/>
    </row>
    <row r="7592" spans="1:1" s="200" customFormat="1" ht="12" hidden="1" customHeight="1">
      <c r="A7592" s="199"/>
    </row>
    <row r="7593" spans="1:1" s="200" customFormat="1" ht="12" hidden="1" customHeight="1">
      <c r="A7593" s="199"/>
    </row>
    <row r="7594" spans="1:1" s="200" customFormat="1" ht="12" hidden="1" customHeight="1">
      <c r="A7594" s="199"/>
    </row>
    <row r="7595" spans="1:1" s="200" customFormat="1" ht="12" hidden="1" customHeight="1">
      <c r="A7595" s="199"/>
    </row>
    <row r="7596" spans="1:1" s="200" customFormat="1" ht="12" hidden="1" customHeight="1">
      <c r="A7596" s="199"/>
    </row>
    <row r="7597" spans="1:1" s="200" customFormat="1" ht="12" hidden="1" customHeight="1">
      <c r="A7597" s="199"/>
    </row>
    <row r="7598" spans="1:1" s="200" customFormat="1" ht="12" hidden="1" customHeight="1">
      <c r="A7598" s="199"/>
    </row>
    <row r="7599" spans="1:1" s="200" customFormat="1" ht="12" hidden="1" customHeight="1">
      <c r="A7599" s="199"/>
    </row>
    <row r="7600" spans="1:1" s="200" customFormat="1" ht="12" hidden="1" customHeight="1">
      <c r="A7600" s="199"/>
    </row>
    <row r="7601" spans="1:1" s="200" customFormat="1" ht="12" hidden="1" customHeight="1">
      <c r="A7601" s="199"/>
    </row>
    <row r="7602" spans="1:1" s="200" customFormat="1" ht="12" hidden="1" customHeight="1">
      <c r="A7602" s="199"/>
    </row>
    <row r="7603" spans="1:1" s="200" customFormat="1" ht="12" hidden="1" customHeight="1">
      <c r="A7603" s="199"/>
    </row>
    <row r="7604" spans="1:1" s="200" customFormat="1" ht="12" hidden="1" customHeight="1">
      <c r="A7604" s="199"/>
    </row>
    <row r="7605" spans="1:1" s="200" customFormat="1" ht="12" hidden="1" customHeight="1">
      <c r="A7605" s="199"/>
    </row>
    <row r="7606" spans="1:1" s="200" customFormat="1" ht="12" hidden="1" customHeight="1">
      <c r="A7606" s="199"/>
    </row>
    <row r="7607" spans="1:1" s="200" customFormat="1" ht="12" hidden="1" customHeight="1">
      <c r="A7607" s="199"/>
    </row>
    <row r="7608" spans="1:1" s="200" customFormat="1" ht="12" hidden="1" customHeight="1">
      <c r="A7608" s="199"/>
    </row>
    <row r="7609" spans="1:1" s="200" customFormat="1" ht="12" hidden="1" customHeight="1">
      <c r="A7609" s="199"/>
    </row>
    <row r="7610" spans="1:1" s="200" customFormat="1" ht="12" hidden="1" customHeight="1">
      <c r="A7610" s="199"/>
    </row>
    <row r="7611" spans="1:1" s="200" customFormat="1" ht="12" hidden="1" customHeight="1">
      <c r="A7611" s="199"/>
    </row>
    <row r="7612" spans="1:1" s="200" customFormat="1" ht="12" hidden="1" customHeight="1">
      <c r="A7612" s="199"/>
    </row>
    <row r="7613" spans="1:1" s="200" customFormat="1" ht="12" hidden="1" customHeight="1">
      <c r="A7613" s="199"/>
    </row>
    <row r="7614" spans="1:1" s="200" customFormat="1" ht="12" hidden="1" customHeight="1">
      <c r="A7614" s="199"/>
    </row>
    <row r="7615" spans="1:1" s="200" customFormat="1" ht="12" hidden="1" customHeight="1">
      <c r="A7615" s="199"/>
    </row>
    <row r="7616" spans="1:1" s="200" customFormat="1" ht="12" hidden="1" customHeight="1">
      <c r="A7616" s="199"/>
    </row>
    <row r="7617" spans="1:1" s="200" customFormat="1" ht="12" hidden="1" customHeight="1">
      <c r="A7617" s="199"/>
    </row>
    <row r="7618" spans="1:1" s="200" customFormat="1" ht="12" hidden="1" customHeight="1">
      <c r="A7618" s="199"/>
    </row>
    <row r="7619" spans="1:1" s="200" customFormat="1" ht="12" hidden="1" customHeight="1">
      <c r="A7619" s="199"/>
    </row>
    <row r="7620" spans="1:1" s="200" customFormat="1" ht="12" hidden="1" customHeight="1">
      <c r="A7620" s="199"/>
    </row>
    <row r="7621" spans="1:1" s="200" customFormat="1" ht="12" hidden="1" customHeight="1">
      <c r="A7621" s="199"/>
    </row>
    <row r="7622" spans="1:1" s="200" customFormat="1" ht="12" hidden="1" customHeight="1">
      <c r="A7622" s="199"/>
    </row>
    <row r="7623" spans="1:1" s="200" customFormat="1" ht="12" hidden="1" customHeight="1">
      <c r="A7623" s="199"/>
    </row>
    <row r="7624" spans="1:1" s="200" customFormat="1" ht="12" hidden="1" customHeight="1">
      <c r="A7624" s="199"/>
    </row>
    <row r="7625" spans="1:1" s="200" customFormat="1" ht="12" hidden="1" customHeight="1">
      <c r="A7625" s="199"/>
    </row>
    <row r="7626" spans="1:1" s="200" customFormat="1" ht="12" hidden="1" customHeight="1">
      <c r="A7626" s="199"/>
    </row>
    <row r="7627" spans="1:1" s="200" customFormat="1" ht="12" hidden="1" customHeight="1">
      <c r="A7627" s="199"/>
    </row>
    <row r="7628" spans="1:1" s="200" customFormat="1" ht="12" hidden="1" customHeight="1">
      <c r="A7628" s="199"/>
    </row>
    <row r="7629" spans="1:1" s="200" customFormat="1" ht="12" hidden="1" customHeight="1">
      <c r="A7629" s="199"/>
    </row>
    <row r="7630" spans="1:1" s="200" customFormat="1" ht="12" hidden="1" customHeight="1">
      <c r="A7630" s="199"/>
    </row>
    <row r="7631" spans="1:1" s="200" customFormat="1" ht="12" hidden="1" customHeight="1">
      <c r="A7631" s="199"/>
    </row>
    <row r="7632" spans="1:1" s="200" customFormat="1" ht="12" hidden="1" customHeight="1">
      <c r="A7632" s="199"/>
    </row>
    <row r="7633" spans="1:1" s="200" customFormat="1" ht="12" hidden="1" customHeight="1">
      <c r="A7633" s="199"/>
    </row>
    <row r="7634" spans="1:1" s="200" customFormat="1" ht="12" hidden="1" customHeight="1">
      <c r="A7634" s="199"/>
    </row>
    <row r="7635" spans="1:1" s="200" customFormat="1" ht="12" hidden="1" customHeight="1">
      <c r="A7635" s="199"/>
    </row>
    <row r="7636" spans="1:1" s="200" customFormat="1" ht="12" hidden="1" customHeight="1">
      <c r="A7636" s="199"/>
    </row>
    <row r="7637" spans="1:1" s="200" customFormat="1" ht="12" hidden="1" customHeight="1">
      <c r="A7637" s="199"/>
    </row>
    <row r="7638" spans="1:1" s="200" customFormat="1" ht="12" hidden="1" customHeight="1">
      <c r="A7638" s="199"/>
    </row>
    <row r="7639" spans="1:1" s="200" customFormat="1" ht="12" hidden="1" customHeight="1">
      <c r="A7639" s="199"/>
    </row>
    <row r="7640" spans="1:1" s="200" customFormat="1" ht="12" hidden="1" customHeight="1">
      <c r="A7640" s="199"/>
    </row>
    <row r="7641" spans="1:1" s="200" customFormat="1" ht="12" hidden="1" customHeight="1">
      <c r="A7641" s="199"/>
    </row>
    <row r="7642" spans="1:1" s="200" customFormat="1" ht="12" hidden="1" customHeight="1">
      <c r="A7642" s="199"/>
    </row>
    <row r="7643" spans="1:1" s="200" customFormat="1" ht="12" hidden="1" customHeight="1">
      <c r="A7643" s="199"/>
    </row>
    <row r="7644" spans="1:1" s="200" customFormat="1" ht="12" hidden="1" customHeight="1">
      <c r="A7644" s="199"/>
    </row>
    <row r="7645" spans="1:1" s="200" customFormat="1" ht="12" hidden="1" customHeight="1">
      <c r="A7645" s="199"/>
    </row>
    <row r="7646" spans="1:1" s="200" customFormat="1" ht="12" hidden="1" customHeight="1">
      <c r="A7646" s="199"/>
    </row>
    <row r="7647" spans="1:1" s="200" customFormat="1" ht="12" hidden="1" customHeight="1">
      <c r="A7647" s="199"/>
    </row>
    <row r="7648" spans="1:1" s="200" customFormat="1" ht="12" hidden="1" customHeight="1">
      <c r="A7648" s="199"/>
    </row>
    <row r="7649" spans="1:1" s="200" customFormat="1" ht="12" hidden="1" customHeight="1">
      <c r="A7649" s="199"/>
    </row>
    <row r="7650" spans="1:1" s="200" customFormat="1" ht="12" hidden="1" customHeight="1">
      <c r="A7650" s="199"/>
    </row>
    <row r="7651" spans="1:1" s="200" customFormat="1" ht="12" hidden="1" customHeight="1">
      <c r="A7651" s="199"/>
    </row>
    <row r="7652" spans="1:1" s="200" customFormat="1" ht="12" hidden="1" customHeight="1">
      <c r="A7652" s="199"/>
    </row>
    <row r="7653" spans="1:1" s="200" customFormat="1" ht="12" hidden="1" customHeight="1">
      <c r="A7653" s="199"/>
    </row>
    <row r="7654" spans="1:1" s="200" customFormat="1" ht="12" hidden="1" customHeight="1">
      <c r="A7654" s="199"/>
    </row>
    <row r="7655" spans="1:1" s="200" customFormat="1" ht="12" hidden="1" customHeight="1">
      <c r="A7655" s="199"/>
    </row>
    <row r="7656" spans="1:1" s="200" customFormat="1" ht="12" hidden="1" customHeight="1">
      <c r="A7656" s="199"/>
    </row>
    <row r="7657" spans="1:1" s="200" customFormat="1" ht="12" hidden="1" customHeight="1">
      <c r="A7657" s="199"/>
    </row>
    <row r="7658" spans="1:1" s="200" customFormat="1" ht="12" hidden="1" customHeight="1">
      <c r="A7658" s="199"/>
    </row>
    <row r="7659" spans="1:1" s="200" customFormat="1" ht="12" hidden="1" customHeight="1">
      <c r="A7659" s="199"/>
    </row>
    <row r="7660" spans="1:1" s="200" customFormat="1" ht="12" hidden="1" customHeight="1">
      <c r="A7660" s="199"/>
    </row>
    <row r="7661" spans="1:1" s="200" customFormat="1" ht="12" hidden="1" customHeight="1">
      <c r="A7661" s="199"/>
    </row>
    <row r="7662" spans="1:1" s="200" customFormat="1" ht="12" hidden="1" customHeight="1">
      <c r="A7662" s="199"/>
    </row>
    <row r="7663" spans="1:1" s="200" customFormat="1" ht="12" hidden="1" customHeight="1">
      <c r="A7663" s="199"/>
    </row>
    <row r="7664" spans="1:1" s="200" customFormat="1" ht="12" hidden="1" customHeight="1">
      <c r="A7664" s="199"/>
    </row>
    <row r="7665" spans="1:1" s="200" customFormat="1" ht="12" hidden="1" customHeight="1">
      <c r="A7665" s="199"/>
    </row>
    <row r="7666" spans="1:1" s="200" customFormat="1" ht="12" hidden="1" customHeight="1">
      <c r="A7666" s="199"/>
    </row>
    <row r="7667" spans="1:1" s="200" customFormat="1" ht="12" hidden="1" customHeight="1">
      <c r="A7667" s="199"/>
    </row>
    <row r="7668" spans="1:1" s="200" customFormat="1" ht="12" hidden="1" customHeight="1">
      <c r="A7668" s="199"/>
    </row>
    <row r="7669" spans="1:1" s="200" customFormat="1" ht="12" hidden="1" customHeight="1">
      <c r="A7669" s="199"/>
    </row>
    <row r="7670" spans="1:1" s="200" customFormat="1" ht="12" hidden="1" customHeight="1">
      <c r="A7670" s="199"/>
    </row>
    <row r="7671" spans="1:1" s="200" customFormat="1" ht="12" hidden="1" customHeight="1">
      <c r="A7671" s="199"/>
    </row>
    <row r="7672" spans="1:1" s="200" customFormat="1" ht="12" hidden="1" customHeight="1">
      <c r="A7672" s="199"/>
    </row>
    <row r="7673" spans="1:1" s="200" customFormat="1" ht="12" hidden="1" customHeight="1">
      <c r="A7673" s="199"/>
    </row>
    <row r="7674" spans="1:1" s="200" customFormat="1" ht="12" hidden="1" customHeight="1">
      <c r="A7674" s="199"/>
    </row>
    <row r="7675" spans="1:1" s="200" customFormat="1" ht="12" hidden="1" customHeight="1">
      <c r="A7675" s="199"/>
    </row>
    <row r="7676" spans="1:1" s="200" customFormat="1" ht="12" hidden="1" customHeight="1">
      <c r="A7676" s="199"/>
    </row>
    <row r="7677" spans="1:1" s="200" customFormat="1" ht="12" hidden="1" customHeight="1">
      <c r="A7677" s="199"/>
    </row>
    <row r="7678" spans="1:1" s="200" customFormat="1" ht="12" hidden="1" customHeight="1">
      <c r="A7678" s="199"/>
    </row>
    <row r="7679" spans="1:1" s="200" customFormat="1" ht="12" hidden="1" customHeight="1">
      <c r="A7679" s="199"/>
    </row>
    <row r="7680" spans="1:1" s="200" customFormat="1" ht="12" hidden="1" customHeight="1">
      <c r="A7680" s="199"/>
    </row>
    <row r="7681" spans="1:1" s="200" customFormat="1" ht="12" hidden="1" customHeight="1">
      <c r="A7681" s="199"/>
    </row>
    <row r="7682" spans="1:1" s="200" customFormat="1" ht="12" hidden="1" customHeight="1">
      <c r="A7682" s="199"/>
    </row>
    <row r="7683" spans="1:1" s="200" customFormat="1" ht="12" hidden="1" customHeight="1">
      <c r="A7683" s="199"/>
    </row>
    <row r="7684" spans="1:1" s="200" customFormat="1" ht="12" hidden="1" customHeight="1">
      <c r="A7684" s="199"/>
    </row>
    <row r="7685" spans="1:1" s="200" customFormat="1" ht="12" hidden="1" customHeight="1">
      <c r="A7685" s="199"/>
    </row>
    <row r="7686" spans="1:1" s="200" customFormat="1" ht="12" hidden="1" customHeight="1">
      <c r="A7686" s="199"/>
    </row>
    <row r="7687" spans="1:1" s="200" customFormat="1" ht="12" hidden="1" customHeight="1">
      <c r="A7687" s="199"/>
    </row>
    <row r="7688" spans="1:1" s="200" customFormat="1" ht="12" hidden="1" customHeight="1">
      <c r="A7688" s="199"/>
    </row>
    <row r="7689" spans="1:1" s="200" customFormat="1" ht="12" hidden="1" customHeight="1">
      <c r="A7689" s="199"/>
    </row>
    <row r="7690" spans="1:1" s="200" customFormat="1" ht="12" hidden="1" customHeight="1">
      <c r="A7690" s="199"/>
    </row>
    <row r="7691" spans="1:1" s="200" customFormat="1" ht="12" hidden="1" customHeight="1">
      <c r="A7691" s="199"/>
    </row>
    <row r="7692" spans="1:1" s="200" customFormat="1" ht="12" hidden="1" customHeight="1">
      <c r="A7692" s="199"/>
    </row>
    <row r="7693" spans="1:1" s="200" customFormat="1" ht="12" hidden="1" customHeight="1">
      <c r="A7693" s="199"/>
    </row>
    <row r="7694" spans="1:1" s="200" customFormat="1" ht="12" hidden="1" customHeight="1">
      <c r="A7694" s="199"/>
    </row>
    <row r="7695" spans="1:1" s="200" customFormat="1" ht="12" hidden="1" customHeight="1">
      <c r="A7695" s="199"/>
    </row>
    <row r="7696" spans="1:1" s="200" customFormat="1" ht="12" hidden="1" customHeight="1">
      <c r="A7696" s="199"/>
    </row>
    <row r="7697" spans="1:1" s="200" customFormat="1" ht="12" hidden="1" customHeight="1">
      <c r="A7697" s="199"/>
    </row>
    <row r="7698" spans="1:1" s="200" customFormat="1" ht="12" hidden="1" customHeight="1">
      <c r="A7698" s="199"/>
    </row>
    <row r="7699" spans="1:1" s="200" customFormat="1" ht="12" hidden="1" customHeight="1">
      <c r="A7699" s="199"/>
    </row>
    <row r="7700" spans="1:1" s="200" customFormat="1" ht="12" hidden="1" customHeight="1">
      <c r="A7700" s="199"/>
    </row>
    <row r="7701" spans="1:1" s="200" customFormat="1" ht="12" hidden="1" customHeight="1">
      <c r="A7701" s="199"/>
    </row>
    <row r="7702" spans="1:1" s="200" customFormat="1" ht="12" hidden="1" customHeight="1">
      <c r="A7702" s="199"/>
    </row>
    <row r="7703" spans="1:1" s="200" customFormat="1" ht="12" hidden="1" customHeight="1">
      <c r="A7703" s="199"/>
    </row>
    <row r="7704" spans="1:1" s="200" customFormat="1" ht="12" hidden="1" customHeight="1">
      <c r="A7704" s="199"/>
    </row>
    <row r="7705" spans="1:1" s="200" customFormat="1" ht="12" hidden="1" customHeight="1">
      <c r="A7705" s="199"/>
    </row>
    <row r="7706" spans="1:1" s="200" customFormat="1" ht="12" hidden="1" customHeight="1">
      <c r="A7706" s="199"/>
    </row>
    <row r="7707" spans="1:1" s="200" customFormat="1" ht="12" hidden="1" customHeight="1">
      <c r="A7707" s="199"/>
    </row>
    <row r="7708" spans="1:1" s="200" customFormat="1" ht="12" hidden="1" customHeight="1">
      <c r="A7708" s="199"/>
    </row>
    <row r="7709" spans="1:1" s="200" customFormat="1" ht="12" hidden="1" customHeight="1">
      <c r="A7709" s="199"/>
    </row>
    <row r="7710" spans="1:1" s="200" customFormat="1" ht="12" hidden="1" customHeight="1">
      <c r="A7710" s="199"/>
    </row>
    <row r="7711" spans="1:1" s="200" customFormat="1" ht="12" hidden="1" customHeight="1">
      <c r="A7711" s="199"/>
    </row>
    <row r="7712" spans="1:1" s="200" customFormat="1" ht="12" hidden="1" customHeight="1">
      <c r="A7712" s="199"/>
    </row>
    <row r="7713" spans="1:1" s="200" customFormat="1" ht="12" hidden="1" customHeight="1">
      <c r="A7713" s="199"/>
    </row>
    <row r="7714" spans="1:1" s="200" customFormat="1" ht="12" hidden="1" customHeight="1">
      <c r="A7714" s="199"/>
    </row>
    <row r="7715" spans="1:1" s="200" customFormat="1" ht="12" hidden="1" customHeight="1">
      <c r="A7715" s="199"/>
    </row>
    <row r="7716" spans="1:1" s="200" customFormat="1" ht="12" hidden="1" customHeight="1">
      <c r="A7716" s="199"/>
    </row>
    <row r="7717" spans="1:1" s="200" customFormat="1" ht="12" hidden="1" customHeight="1">
      <c r="A7717" s="199"/>
    </row>
    <row r="7718" spans="1:1" s="200" customFormat="1" ht="12" hidden="1" customHeight="1">
      <c r="A7718" s="199"/>
    </row>
    <row r="7719" spans="1:1" s="200" customFormat="1" ht="12" hidden="1" customHeight="1">
      <c r="A7719" s="199"/>
    </row>
    <row r="7720" spans="1:1" s="200" customFormat="1" ht="12" hidden="1" customHeight="1">
      <c r="A7720" s="199"/>
    </row>
    <row r="7721" spans="1:1" s="200" customFormat="1" ht="12" hidden="1" customHeight="1">
      <c r="A7721" s="199"/>
    </row>
    <row r="7722" spans="1:1" s="200" customFormat="1" ht="12" hidden="1" customHeight="1">
      <c r="A7722" s="199"/>
    </row>
    <row r="7723" spans="1:1" s="200" customFormat="1" ht="12" hidden="1" customHeight="1">
      <c r="A7723" s="199"/>
    </row>
    <row r="7724" spans="1:1" s="200" customFormat="1" ht="12" hidden="1" customHeight="1">
      <c r="A7724" s="199"/>
    </row>
    <row r="7725" spans="1:1" s="200" customFormat="1" ht="12" hidden="1" customHeight="1">
      <c r="A7725" s="199"/>
    </row>
    <row r="7726" spans="1:1" s="200" customFormat="1" ht="12" hidden="1" customHeight="1">
      <c r="A7726" s="199"/>
    </row>
    <row r="7727" spans="1:1" s="200" customFormat="1" ht="12" hidden="1" customHeight="1">
      <c r="A7727" s="199"/>
    </row>
    <row r="7728" spans="1:1" s="200" customFormat="1" ht="12" hidden="1" customHeight="1">
      <c r="A7728" s="199"/>
    </row>
    <row r="7729" spans="1:1" s="200" customFormat="1" ht="12" hidden="1" customHeight="1">
      <c r="A7729" s="199"/>
    </row>
    <row r="7730" spans="1:1" s="200" customFormat="1" ht="12" hidden="1" customHeight="1">
      <c r="A7730" s="199"/>
    </row>
    <row r="7731" spans="1:1" s="200" customFormat="1" ht="12" hidden="1" customHeight="1">
      <c r="A7731" s="199"/>
    </row>
    <row r="7732" spans="1:1" s="200" customFormat="1" ht="12" hidden="1" customHeight="1">
      <c r="A7732" s="199"/>
    </row>
    <row r="7733" spans="1:1" s="200" customFormat="1" ht="12" hidden="1" customHeight="1">
      <c r="A7733" s="199"/>
    </row>
    <row r="7734" spans="1:1" s="200" customFormat="1" ht="12" hidden="1" customHeight="1">
      <c r="A7734" s="199"/>
    </row>
    <row r="7735" spans="1:1" s="200" customFormat="1" ht="12" hidden="1" customHeight="1">
      <c r="A7735" s="199"/>
    </row>
    <row r="7736" spans="1:1" s="200" customFormat="1" ht="12" hidden="1" customHeight="1">
      <c r="A7736" s="199"/>
    </row>
    <row r="7737" spans="1:1" s="200" customFormat="1" ht="12" hidden="1" customHeight="1">
      <c r="A7737" s="199"/>
    </row>
    <row r="7738" spans="1:1" s="200" customFormat="1" ht="12" hidden="1" customHeight="1">
      <c r="A7738" s="199"/>
    </row>
    <row r="7739" spans="1:1" s="200" customFormat="1" ht="12" hidden="1" customHeight="1">
      <c r="A7739" s="199"/>
    </row>
    <row r="7740" spans="1:1" s="200" customFormat="1" ht="12" hidden="1" customHeight="1">
      <c r="A7740" s="199"/>
    </row>
    <row r="7741" spans="1:1" s="200" customFormat="1" ht="12" hidden="1" customHeight="1">
      <c r="A7741" s="199"/>
    </row>
    <row r="7742" spans="1:1" s="200" customFormat="1" ht="12" hidden="1" customHeight="1">
      <c r="A7742" s="199"/>
    </row>
    <row r="7743" spans="1:1" s="200" customFormat="1" ht="12" hidden="1" customHeight="1">
      <c r="A7743" s="199"/>
    </row>
    <row r="7744" spans="1:1" s="200" customFormat="1" ht="12" hidden="1" customHeight="1">
      <c r="A7744" s="199"/>
    </row>
    <row r="7745" spans="1:1" s="200" customFormat="1" ht="12" hidden="1" customHeight="1">
      <c r="A7745" s="199"/>
    </row>
    <row r="7746" spans="1:1" s="200" customFormat="1" ht="12" hidden="1" customHeight="1">
      <c r="A7746" s="199"/>
    </row>
    <row r="7747" spans="1:1" s="200" customFormat="1" ht="12" hidden="1" customHeight="1">
      <c r="A7747" s="199"/>
    </row>
    <row r="7748" spans="1:1" s="200" customFormat="1" ht="12" hidden="1" customHeight="1">
      <c r="A7748" s="199"/>
    </row>
    <row r="7749" spans="1:1" s="200" customFormat="1" ht="12" hidden="1" customHeight="1">
      <c r="A7749" s="199"/>
    </row>
    <row r="7750" spans="1:1" s="200" customFormat="1" ht="12" hidden="1" customHeight="1">
      <c r="A7750" s="199"/>
    </row>
    <row r="7751" spans="1:1" s="200" customFormat="1" ht="12" hidden="1" customHeight="1">
      <c r="A7751" s="199"/>
    </row>
    <row r="7752" spans="1:1" s="200" customFormat="1" ht="12" hidden="1" customHeight="1">
      <c r="A7752" s="199"/>
    </row>
    <row r="7753" spans="1:1" s="200" customFormat="1" ht="12" hidden="1" customHeight="1">
      <c r="A7753" s="199"/>
    </row>
    <row r="7754" spans="1:1" s="200" customFormat="1" ht="12" hidden="1" customHeight="1">
      <c r="A7754" s="199"/>
    </row>
    <row r="7755" spans="1:1" s="200" customFormat="1" ht="12" hidden="1" customHeight="1">
      <c r="A7755" s="199"/>
    </row>
    <row r="7756" spans="1:1" s="200" customFormat="1" ht="12" hidden="1" customHeight="1">
      <c r="A7756" s="199"/>
    </row>
    <row r="7757" spans="1:1" s="200" customFormat="1" ht="12" hidden="1" customHeight="1">
      <c r="A7757" s="199"/>
    </row>
    <row r="7758" spans="1:1" s="200" customFormat="1" ht="12" hidden="1" customHeight="1">
      <c r="A7758" s="199"/>
    </row>
    <row r="7759" spans="1:1" s="200" customFormat="1" ht="12" hidden="1" customHeight="1">
      <c r="A7759" s="199"/>
    </row>
    <row r="7760" spans="1:1" s="200" customFormat="1" ht="12" hidden="1" customHeight="1">
      <c r="A7760" s="199"/>
    </row>
    <row r="7761" spans="1:1" s="200" customFormat="1" ht="12" hidden="1" customHeight="1">
      <c r="A7761" s="199"/>
    </row>
    <row r="7762" spans="1:1" s="200" customFormat="1" ht="12" hidden="1" customHeight="1">
      <c r="A7762" s="199"/>
    </row>
    <row r="7763" spans="1:1" s="200" customFormat="1" ht="12" hidden="1" customHeight="1">
      <c r="A7763" s="199"/>
    </row>
    <row r="7764" spans="1:1" s="200" customFormat="1" ht="12" hidden="1" customHeight="1">
      <c r="A7764" s="199"/>
    </row>
    <row r="7765" spans="1:1" s="200" customFormat="1" ht="12" hidden="1" customHeight="1">
      <c r="A7765" s="199"/>
    </row>
    <row r="7766" spans="1:1" s="200" customFormat="1" ht="12" hidden="1" customHeight="1">
      <c r="A7766" s="199"/>
    </row>
    <row r="7767" spans="1:1" s="200" customFormat="1" ht="12" hidden="1" customHeight="1">
      <c r="A7767" s="199"/>
    </row>
    <row r="7768" spans="1:1" s="200" customFormat="1" ht="12" hidden="1" customHeight="1">
      <c r="A7768" s="199"/>
    </row>
    <row r="7769" spans="1:1" s="200" customFormat="1" ht="12" hidden="1" customHeight="1">
      <c r="A7769" s="199"/>
    </row>
    <row r="7770" spans="1:1" s="200" customFormat="1" ht="12" hidden="1" customHeight="1">
      <c r="A7770" s="199"/>
    </row>
    <row r="7771" spans="1:1" s="200" customFormat="1" ht="12" hidden="1" customHeight="1">
      <c r="A7771" s="199"/>
    </row>
    <row r="7772" spans="1:1" s="200" customFormat="1" ht="12" hidden="1" customHeight="1">
      <c r="A7772" s="199"/>
    </row>
    <row r="7773" spans="1:1" s="200" customFormat="1" ht="12" hidden="1" customHeight="1">
      <c r="A7773" s="199"/>
    </row>
    <row r="7774" spans="1:1" s="200" customFormat="1" ht="12" hidden="1" customHeight="1">
      <c r="A7774" s="199"/>
    </row>
    <row r="7775" spans="1:1" s="200" customFormat="1" ht="12" hidden="1" customHeight="1">
      <c r="A7775" s="199"/>
    </row>
    <row r="7776" spans="1:1" s="200" customFormat="1" ht="12" hidden="1" customHeight="1">
      <c r="A7776" s="199"/>
    </row>
    <row r="7777" spans="1:1" s="200" customFormat="1" ht="12" hidden="1" customHeight="1">
      <c r="A7777" s="199"/>
    </row>
    <row r="7778" spans="1:1" s="200" customFormat="1" ht="12" hidden="1" customHeight="1">
      <c r="A7778" s="199"/>
    </row>
    <row r="7779" spans="1:1" s="200" customFormat="1" ht="12" hidden="1" customHeight="1">
      <c r="A7779" s="199"/>
    </row>
    <row r="7780" spans="1:1" s="200" customFormat="1" ht="12" hidden="1" customHeight="1">
      <c r="A7780" s="199"/>
    </row>
    <row r="7781" spans="1:1" s="200" customFormat="1" ht="12" hidden="1" customHeight="1">
      <c r="A7781" s="199"/>
    </row>
    <row r="7782" spans="1:1" s="200" customFormat="1" ht="12" hidden="1" customHeight="1">
      <c r="A7782" s="199"/>
    </row>
    <row r="7783" spans="1:1" s="200" customFormat="1" ht="12" hidden="1" customHeight="1">
      <c r="A7783" s="199"/>
    </row>
    <row r="7784" spans="1:1" s="200" customFormat="1" ht="12" hidden="1" customHeight="1">
      <c r="A7784" s="199"/>
    </row>
    <row r="7785" spans="1:1" s="200" customFormat="1" ht="12" hidden="1" customHeight="1">
      <c r="A7785" s="199"/>
    </row>
    <row r="7786" spans="1:1" s="200" customFormat="1" ht="12" hidden="1" customHeight="1">
      <c r="A7786" s="199"/>
    </row>
    <row r="7787" spans="1:1" s="200" customFormat="1" ht="12" hidden="1" customHeight="1">
      <c r="A7787" s="199"/>
    </row>
    <row r="7788" spans="1:1" s="200" customFormat="1" ht="12" hidden="1" customHeight="1">
      <c r="A7788" s="199"/>
    </row>
    <row r="7789" spans="1:1" s="200" customFormat="1" ht="12" hidden="1" customHeight="1">
      <c r="A7789" s="199"/>
    </row>
    <row r="7790" spans="1:1" s="200" customFormat="1" ht="12" hidden="1" customHeight="1">
      <c r="A7790" s="199"/>
    </row>
    <row r="7791" spans="1:1" s="200" customFormat="1" ht="12" hidden="1" customHeight="1">
      <c r="A7791" s="199"/>
    </row>
    <row r="7792" spans="1:1" s="200" customFormat="1" ht="12" hidden="1" customHeight="1">
      <c r="A7792" s="199"/>
    </row>
    <row r="7793" spans="1:1" s="200" customFormat="1" ht="12" hidden="1" customHeight="1">
      <c r="A7793" s="199"/>
    </row>
    <row r="7794" spans="1:1" s="200" customFormat="1" ht="12" hidden="1" customHeight="1">
      <c r="A7794" s="199"/>
    </row>
    <row r="7795" spans="1:1" s="200" customFormat="1" ht="12" hidden="1" customHeight="1">
      <c r="A7795" s="199"/>
    </row>
    <row r="7796" spans="1:1" s="200" customFormat="1" ht="12" hidden="1" customHeight="1">
      <c r="A7796" s="199"/>
    </row>
    <row r="7797" spans="1:1" s="200" customFormat="1" ht="12" hidden="1" customHeight="1">
      <c r="A7797" s="199"/>
    </row>
    <row r="7798" spans="1:1" s="200" customFormat="1" ht="12" hidden="1" customHeight="1">
      <c r="A7798" s="199"/>
    </row>
    <row r="7799" spans="1:1" s="200" customFormat="1" ht="12" hidden="1" customHeight="1">
      <c r="A7799" s="199"/>
    </row>
    <row r="7800" spans="1:1" s="200" customFormat="1" ht="12" hidden="1" customHeight="1">
      <c r="A7800" s="199"/>
    </row>
    <row r="7801" spans="1:1" s="200" customFormat="1" ht="12" hidden="1" customHeight="1">
      <c r="A7801" s="199"/>
    </row>
    <row r="7802" spans="1:1" s="200" customFormat="1" ht="12" hidden="1" customHeight="1">
      <c r="A7802" s="199"/>
    </row>
    <row r="7803" spans="1:1" s="200" customFormat="1" ht="12" hidden="1" customHeight="1">
      <c r="A7803" s="199"/>
    </row>
    <row r="7804" spans="1:1" s="200" customFormat="1" ht="12" hidden="1" customHeight="1">
      <c r="A7804" s="199"/>
    </row>
    <row r="7805" spans="1:1" s="200" customFormat="1" ht="12" hidden="1" customHeight="1">
      <c r="A7805" s="199"/>
    </row>
    <row r="7806" spans="1:1" s="200" customFormat="1" ht="12" hidden="1" customHeight="1">
      <c r="A7806" s="199"/>
    </row>
    <row r="7807" spans="1:1" s="200" customFormat="1" ht="12" hidden="1" customHeight="1">
      <c r="A7807" s="199"/>
    </row>
    <row r="7808" spans="1:1" s="200" customFormat="1" ht="12" hidden="1" customHeight="1">
      <c r="A7808" s="199"/>
    </row>
    <row r="7809" spans="1:1" s="200" customFormat="1" ht="12" hidden="1" customHeight="1">
      <c r="A7809" s="199"/>
    </row>
    <row r="7810" spans="1:1" s="200" customFormat="1" ht="12" hidden="1" customHeight="1">
      <c r="A7810" s="199"/>
    </row>
    <row r="7811" spans="1:1" s="200" customFormat="1" ht="12" hidden="1" customHeight="1">
      <c r="A7811" s="199"/>
    </row>
    <row r="7812" spans="1:1" s="200" customFormat="1" ht="12" hidden="1" customHeight="1">
      <c r="A7812" s="199"/>
    </row>
    <row r="7813" spans="1:1" s="200" customFormat="1" ht="12" hidden="1" customHeight="1">
      <c r="A7813" s="199"/>
    </row>
    <row r="7814" spans="1:1" s="200" customFormat="1" ht="12" hidden="1" customHeight="1">
      <c r="A7814" s="199"/>
    </row>
    <row r="7815" spans="1:1" s="200" customFormat="1" ht="12" hidden="1" customHeight="1">
      <c r="A7815" s="199"/>
    </row>
    <row r="7816" spans="1:1" s="200" customFormat="1" ht="12" hidden="1" customHeight="1">
      <c r="A7816" s="199"/>
    </row>
    <row r="7817" spans="1:1" s="200" customFormat="1" ht="12" hidden="1" customHeight="1">
      <c r="A7817" s="199"/>
    </row>
    <row r="7818" spans="1:1" s="200" customFormat="1" ht="12" hidden="1" customHeight="1">
      <c r="A7818" s="199"/>
    </row>
    <row r="7819" spans="1:1" s="200" customFormat="1" ht="12" hidden="1" customHeight="1">
      <c r="A7819" s="199"/>
    </row>
    <row r="7820" spans="1:1" s="200" customFormat="1" ht="12" hidden="1" customHeight="1">
      <c r="A7820" s="199"/>
    </row>
    <row r="7821" spans="1:1" s="200" customFormat="1" ht="12" hidden="1" customHeight="1">
      <c r="A7821" s="199"/>
    </row>
    <row r="7822" spans="1:1" s="200" customFormat="1" ht="12" hidden="1" customHeight="1">
      <c r="A7822" s="199"/>
    </row>
    <row r="7823" spans="1:1" s="200" customFormat="1" ht="12" hidden="1" customHeight="1">
      <c r="A7823" s="199"/>
    </row>
    <row r="7824" spans="1:1" s="200" customFormat="1" ht="12" hidden="1" customHeight="1">
      <c r="A7824" s="199"/>
    </row>
    <row r="7825" spans="1:1" s="200" customFormat="1" ht="12" hidden="1" customHeight="1">
      <c r="A7825" s="199"/>
    </row>
    <row r="7826" spans="1:1" s="200" customFormat="1" ht="12" hidden="1" customHeight="1">
      <c r="A7826" s="199"/>
    </row>
    <row r="7827" spans="1:1" s="200" customFormat="1" ht="12" hidden="1" customHeight="1">
      <c r="A7827" s="199"/>
    </row>
    <row r="7828" spans="1:1" s="200" customFormat="1" ht="12" hidden="1" customHeight="1">
      <c r="A7828" s="199"/>
    </row>
    <row r="7829" spans="1:1" s="200" customFormat="1" ht="12" hidden="1" customHeight="1">
      <c r="A7829" s="199"/>
    </row>
    <row r="7830" spans="1:1" s="200" customFormat="1" ht="12" hidden="1" customHeight="1">
      <c r="A7830" s="199"/>
    </row>
    <row r="7831" spans="1:1" s="200" customFormat="1" ht="12" hidden="1" customHeight="1">
      <c r="A7831" s="199"/>
    </row>
    <row r="7832" spans="1:1" s="200" customFormat="1" ht="12" hidden="1" customHeight="1">
      <c r="A7832" s="199"/>
    </row>
    <row r="7833" spans="1:1" s="200" customFormat="1" ht="12" hidden="1" customHeight="1">
      <c r="A7833" s="199"/>
    </row>
    <row r="7834" spans="1:1" s="200" customFormat="1" ht="12" hidden="1" customHeight="1">
      <c r="A7834" s="199"/>
    </row>
    <row r="7835" spans="1:1" s="200" customFormat="1" ht="12" hidden="1" customHeight="1">
      <c r="A7835" s="199"/>
    </row>
    <row r="7836" spans="1:1" s="200" customFormat="1" ht="12" hidden="1" customHeight="1">
      <c r="A7836" s="199"/>
    </row>
    <row r="7837" spans="1:1" s="200" customFormat="1" ht="12" hidden="1" customHeight="1">
      <c r="A7837" s="199"/>
    </row>
    <row r="7838" spans="1:1" s="200" customFormat="1" ht="12" hidden="1" customHeight="1">
      <c r="A7838" s="199"/>
    </row>
    <row r="7839" spans="1:1" s="200" customFormat="1" ht="12" hidden="1" customHeight="1">
      <c r="A7839" s="199"/>
    </row>
    <row r="7840" spans="1:1" s="200" customFormat="1" ht="12" hidden="1" customHeight="1">
      <c r="A7840" s="199"/>
    </row>
    <row r="7841" spans="1:1" s="200" customFormat="1" ht="12" hidden="1" customHeight="1">
      <c r="A7841" s="199"/>
    </row>
    <row r="7842" spans="1:1" s="200" customFormat="1" ht="12" hidden="1" customHeight="1">
      <c r="A7842" s="199"/>
    </row>
    <row r="7843" spans="1:1" s="200" customFormat="1" ht="12" hidden="1" customHeight="1">
      <c r="A7843" s="199"/>
    </row>
    <row r="7844" spans="1:1" s="200" customFormat="1" ht="12" hidden="1" customHeight="1">
      <c r="A7844" s="199"/>
    </row>
    <row r="7845" spans="1:1" s="200" customFormat="1" ht="12" hidden="1" customHeight="1">
      <c r="A7845" s="199"/>
    </row>
    <row r="7846" spans="1:1" s="200" customFormat="1" ht="12" hidden="1" customHeight="1">
      <c r="A7846" s="199"/>
    </row>
    <row r="7847" spans="1:1" s="200" customFormat="1" ht="12" hidden="1" customHeight="1">
      <c r="A7847" s="199"/>
    </row>
    <row r="7848" spans="1:1" s="200" customFormat="1" ht="12" hidden="1" customHeight="1">
      <c r="A7848" s="199"/>
    </row>
    <row r="7849" spans="1:1" s="200" customFormat="1" ht="12" hidden="1" customHeight="1">
      <c r="A7849" s="199"/>
    </row>
    <row r="7850" spans="1:1" s="200" customFormat="1" ht="12" hidden="1" customHeight="1">
      <c r="A7850" s="199"/>
    </row>
    <row r="7851" spans="1:1" s="200" customFormat="1" ht="12" hidden="1" customHeight="1">
      <c r="A7851" s="199"/>
    </row>
    <row r="7852" spans="1:1" s="200" customFormat="1" ht="12" hidden="1" customHeight="1">
      <c r="A7852" s="199"/>
    </row>
    <row r="7853" spans="1:1" s="200" customFormat="1" ht="12" hidden="1" customHeight="1">
      <c r="A7853" s="199"/>
    </row>
    <row r="7854" spans="1:1" s="200" customFormat="1" ht="12" hidden="1" customHeight="1">
      <c r="A7854" s="199"/>
    </row>
    <row r="7855" spans="1:1" s="200" customFormat="1" ht="12" hidden="1" customHeight="1">
      <c r="A7855" s="199"/>
    </row>
    <row r="7856" spans="1:1" s="200" customFormat="1" ht="12" hidden="1" customHeight="1">
      <c r="A7856" s="199"/>
    </row>
    <row r="7857" spans="1:1" s="200" customFormat="1" ht="12" hidden="1" customHeight="1">
      <c r="A7857" s="199"/>
    </row>
    <row r="7858" spans="1:1" s="200" customFormat="1" ht="12" hidden="1" customHeight="1">
      <c r="A7858" s="199"/>
    </row>
    <row r="7859" spans="1:1" s="200" customFormat="1" ht="12" hidden="1" customHeight="1">
      <c r="A7859" s="199"/>
    </row>
    <row r="7860" spans="1:1" s="200" customFormat="1" ht="12" hidden="1" customHeight="1">
      <c r="A7860" s="199"/>
    </row>
    <row r="7861" spans="1:1" s="200" customFormat="1" ht="12" hidden="1" customHeight="1">
      <c r="A7861" s="199"/>
    </row>
    <row r="7862" spans="1:1" s="200" customFormat="1" ht="12" hidden="1" customHeight="1">
      <c r="A7862" s="199"/>
    </row>
    <row r="7863" spans="1:1" s="200" customFormat="1" ht="12" hidden="1" customHeight="1">
      <c r="A7863" s="199"/>
    </row>
    <row r="7864" spans="1:1" s="200" customFormat="1" ht="12" hidden="1" customHeight="1">
      <c r="A7864" s="199"/>
    </row>
    <row r="7865" spans="1:1" s="200" customFormat="1" ht="12" hidden="1" customHeight="1">
      <c r="A7865" s="199"/>
    </row>
    <row r="7866" spans="1:1" s="200" customFormat="1" ht="12" hidden="1" customHeight="1">
      <c r="A7866" s="199"/>
    </row>
    <row r="7867" spans="1:1" s="200" customFormat="1" ht="12" hidden="1" customHeight="1">
      <c r="A7867" s="199"/>
    </row>
    <row r="7868" spans="1:1" s="200" customFormat="1" ht="12" hidden="1" customHeight="1">
      <c r="A7868" s="199"/>
    </row>
    <row r="7869" spans="1:1" s="200" customFormat="1" ht="12" hidden="1" customHeight="1">
      <c r="A7869" s="199"/>
    </row>
    <row r="7870" spans="1:1" s="200" customFormat="1" ht="12" hidden="1" customHeight="1">
      <c r="A7870" s="199"/>
    </row>
    <row r="7871" spans="1:1" s="200" customFormat="1" ht="12" hidden="1" customHeight="1">
      <c r="A7871" s="199"/>
    </row>
    <row r="7872" spans="1:1" s="200" customFormat="1" ht="12" hidden="1" customHeight="1">
      <c r="A7872" s="199"/>
    </row>
    <row r="7873" spans="1:1" s="200" customFormat="1" ht="12" hidden="1" customHeight="1">
      <c r="A7873" s="199"/>
    </row>
    <row r="7874" spans="1:1" s="200" customFormat="1" ht="12" hidden="1" customHeight="1">
      <c r="A7874" s="199"/>
    </row>
    <row r="7875" spans="1:1" s="200" customFormat="1" ht="12" hidden="1" customHeight="1">
      <c r="A7875" s="199"/>
    </row>
    <row r="7876" spans="1:1" s="200" customFormat="1" ht="12" hidden="1" customHeight="1">
      <c r="A7876" s="199"/>
    </row>
    <row r="7877" spans="1:1" s="200" customFormat="1" ht="12" hidden="1" customHeight="1">
      <c r="A7877" s="199"/>
    </row>
    <row r="7878" spans="1:1" s="200" customFormat="1" ht="12" hidden="1" customHeight="1">
      <c r="A7878" s="199"/>
    </row>
    <row r="7879" spans="1:1" s="200" customFormat="1" ht="12" hidden="1" customHeight="1">
      <c r="A7879" s="199"/>
    </row>
    <row r="7880" spans="1:1" s="200" customFormat="1" ht="12" hidden="1" customHeight="1">
      <c r="A7880" s="199"/>
    </row>
    <row r="7881" spans="1:1" s="200" customFormat="1" ht="12" hidden="1" customHeight="1">
      <c r="A7881" s="199"/>
    </row>
    <row r="7882" spans="1:1" s="200" customFormat="1" ht="12" hidden="1" customHeight="1">
      <c r="A7882" s="199"/>
    </row>
    <row r="7883" spans="1:1" s="200" customFormat="1" ht="12" hidden="1" customHeight="1">
      <c r="A7883" s="199"/>
    </row>
    <row r="7884" spans="1:1" s="200" customFormat="1" ht="12" hidden="1" customHeight="1">
      <c r="A7884" s="199"/>
    </row>
    <row r="7885" spans="1:1" s="200" customFormat="1" ht="12" hidden="1" customHeight="1">
      <c r="A7885" s="199"/>
    </row>
    <row r="7886" spans="1:1" s="200" customFormat="1" ht="12" hidden="1" customHeight="1">
      <c r="A7886" s="199"/>
    </row>
    <row r="7887" spans="1:1" s="200" customFormat="1" ht="12" hidden="1" customHeight="1">
      <c r="A7887" s="199"/>
    </row>
    <row r="7888" spans="1:1" s="200" customFormat="1" ht="12" hidden="1" customHeight="1">
      <c r="A7888" s="199"/>
    </row>
    <row r="7889" spans="1:1" s="200" customFormat="1" ht="12" hidden="1" customHeight="1">
      <c r="A7889" s="199"/>
    </row>
    <row r="7890" spans="1:1" s="200" customFormat="1" ht="12" hidden="1" customHeight="1">
      <c r="A7890" s="199"/>
    </row>
    <row r="7891" spans="1:1" s="200" customFormat="1" ht="12" hidden="1" customHeight="1">
      <c r="A7891" s="199"/>
    </row>
    <row r="7892" spans="1:1" s="200" customFormat="1" ht="12" hidden="1" customHeight="1">
      <c r="A7892" s="199"/>
    </row>
    <row r="7893" spans="1:1" s="200" customFormat="1" ht="12" hidden="1" customHeight="1">
      <c r="A7893" s="199"/>
    </row>
    <row r="7894" spans="1:1" s="200" customFormat="1" ht="12" hidden="1" customHeight="1">
      <c r="A7894" s="199"/>
    </row>
    <row r="7895" spans="1:1" s="200" customFormat="1" ht="12" hidden="1" customHeight="1">
      <c r="A7895" s="199"/>
    </row>
    <row r="7896" spans="1:1" s="200" customFormat="1" ht="12" hidden="1" customHeight="1">
      <c r="A7896" s="199"/>
    </row>
    <row r="7897" spans="1:1" s="200" customFormat="1" ht="12" hidden="1" customHeight="1">
      <c r="A7897" s="199"/>
    </row>
    <row r="7898" spans="1:1" s="200" customFormat="1" ht="12" hidden="1" customHeight="1">
      <c r="A7898" s="199"/>
    </row>
    <row r="7899" spans="1:1" s="200" customFormat="1" ht="12" hidden="1" customHeight="1">
      <c r="A7899" s="199"/>
    </row>
    <row r="7900" spans="1:1" s="200" customFormat="1" ht="12" hidden="1" customHeight="1">
      <c r="A7900" s="199"/>
    </row>
    <row r="7901" spans="1:1" s="200" customFormat="1" ht="12" hidden="1" customHeight="1">
      <c r="A7901" s="199"/>
    </row>
    <row r="7902" spans="1:1" s="200" customFormat="1" ht="12" hidden="1" customHeight="1">
      <c r="A7902" s="199"/>
    </row>
    <row r="7903" spans="1:1" s="200" customFormat="1" ht="12" hidden="1" customHeight="1">
      <c r="A7903" s="199"/>
    </row>
    <row r="7904" spans="1:1" s="200" customFormat="1" ht="12" hidden="1" customHeight="1">
      <c r="A7904" s="199"/>
    </row>
    <row r="7905" spans="1:1" s="200" customFormat="1" ht="12" hidden="1" customHeight="1">
      <c r="A7905" s="199"/>
    </row>
    <row r="7906" spans="1:1" s="200" customFormat="1" ht="12" hidden="1" customHeight="1">
      <c r="A7906" s="199"/>
    </row>
    <row r="7907" spans="1:1" s="200" customFormat="1" ht="12" hidden="1" customHeight="1">
      <c r="A7907" s="199"/>
    </row>
    <row r="7908" spans="1:1" s="200" customFormat="1" ht="12" hidden="1" customHeight="1">
      <c r="A7908" s="199"/>
    </row>
    <row r="7909" spans="1:1" s="200" customFormat="1" ht="12" hidden="1" customHeight="1">
      <c r="A7909" s="199"/>
    </row>
    <row r="7910" spans="1:1" s="200" customFormat="1" ht="12" hidden="1" customHeight="1">
      <c r="A7910" s="199"/>
    </row>
    <row r="7911" spans="1:1" s="200" customFormat="1" ht="12" hidden="1" customHeight="1">
      <c r="A7911" s="199"/>
    </row>
    <row r="7912" spans="1:1" s="200" customFormat="1" ht="12" hidden="1" customHeight="1">
      <c r="A7912" s="199"/>
    </row>
    <row r="7913" spans="1:1" s="200" customFormat="1" ht="12" hidden="1" customHeight="1">
      <c r="A7913" s="199"/>
    </row>
    <row r="7914" spans="1:1" s="200" customFormat="1" ht="12" hidden="1" customHeight="1">
      <c r="A7914" s="199"/>
    </row>
    <row r="7915" spans="1:1" s="200" customFormat="1" ht="12" hidden="1" customHeight="1">
      <c r="A7915" s="199"/>
    </row>
    <row r="7916" spans="1:1" s="200" customFormat="1" ht="12" hidden="1" customHeight="1">
      <c r="A7916" s="199"/>
    </row>
    <row r="7917" spans="1:1" s="200" customFormat="1" ht="12" hidden="1" customHeight="1">
      <c r="A7917" s="199"/>
    </row>
    <row r="7918" spans="1:1" s="200" customFormat="1" ht="12" hidden="1" customHeight="1">
      <c r="A7918" s="199"/>
    </row>
    <row r="7919" spans="1:1" s="200" customFormat="1" ht="12" hidden="1" customHeight="1">
      <c r="A7919" s="199"/>
    </row>
    <row r="7920" spans="1:1" s="200" customFormat="1" ht="12" hidden="1" customHeight="1">
      <c r="A7920" s="199"/>
    </row>
    <row r="7921" spans="1:1" s="200" customFormat="1" ht="12" hidden="1" customHeight="1">
      <c r="A7921" s="199"/>
    </row>
    <row r="7922" spans="1:1" s="200" customFormat="1" ht="12" hidden="1" customHeight="1">
      <c r="A7922" s="199"/>
    </row>
    <row r="7923" spans="1:1" s="200" customFormat="1" ht="12" hidden="1" customHeight="1">
      <c r="A7923" s="199"/>
    </row>
    <row r="7924" spans="1:1" s="200" customFormat="1" ht="12" hidden="1" customHeight="1">
      <c r="A7924" s="199"/>
    </row>
    <row r="7925" spans="1:1" s="200" customFormat="1" ht="12" hidden="1" customHeight="1">
      <c r="A7925" s="199"/>
    </row>
    <row r="7926" spans="1:1" s="200" customFormat="1" ht="12" hidden="1" customHeight="1">
      <c r="A7926" s="199"/>
    </row>
    <row r="7927" spans="1:1" s="200" customFormat="1" ht="12" hidden="1" customHeight="1">
      <c r="A7927" s="199"/>
    </row>
    <row r="7928" spans="1:1" s="200" customFormat="1" ht="12" hidden="1" customHeight="1">
      <c r="A7928" s="199"/>
    </row>
    <row r="7929" spans="1:1" s="200" customFormat="1" ht="12" hidden="1" customHeight="1">
      <c r="A7929" s="199"/>
    </row>
    <row r="7930" spans="1:1" s="200" customFormat="1" ht="12" hidden="1" customHeight="1">
      <c r="A7930" s="199"/>
    </row>
    <row r="7931" spans="1:1" s="200" customFormat="1" ht="12" hidden="1" customHeight="1">
      <c r="A7931" s="199"/>
    </row>
    <row r="7932" spans="1:1" s="200" customFormat="1" ht="12" hidden="1" customHeight="1">
      <c r="A7932" s="199"/>
    </row>
    <row r="7933" spans="1:1" s="200" customFormat="1" ht="12" hidden="1" customHeight="1">
      <c r="A7933" s="199"/>
    </row>
    <row r="7934" spans="1:1" s="200" customFormat="1" ht="12" hidden="1" customHeight="1">
      <c r="A7934" s="199"/>
    </row>
    <row r="7935" spans="1:1" s="200" customFormat="1" ht="12" hidden="1" customHeight="1">
      <c r="A7935" s="199"/>
    </row>
    <row r="7936" spans="1:1" s="200" customFormat="1" ht="12" hidden="1" customHeight="1">
      <c r="A7936" s="199"/>
    </row>
    <row r="7937" spans="1:1" s="200" customFormat="1" ht="12" hidden="1" customHeight="1">
      <c r="A7937" s="199"/>
    </row>
    <row r="7938" spans="1:1" s="200" customFormat="1" ht="12" hidden="1" customHeight="1">
      <c r="A7938" s="199"/>
    </row>
    <row r="7939" spans="1:1" s="200" customFormat="1" ht="12" hidden="1" customHeight="1">
      <c r="A7939" s="199"/>
    </row>
    <row r="7940" spans="1:1" s="200" customFormat="1" ht="12" hidden="1" customHeight="1">
      <c r="A7940" s="199"/>
    </row>
    <row r="7941" spans="1:1" s="200" customFormat="1" ht="12" hidden="1" customHeight="1">
      <c r="A7941" s="199"/>
    </row>
    <row r="7942" spans="1:1" s="200" customFormat="1" ht="12" hidden="1" customHeight="1">
      <c r="A7942" s="199"/>
    </row>
    <row r="7943" spans="1:1" s="200" customFormat="1" ht="12" hidden="1" customHeight="1">
      <c r="A7943" s="199"/>
    </row>
    <row r="7944" spans="1:1" s="200" customFormat="1" ht="12" hidden="1" customHeight="1">
      <c r="A7944" s="199"/>
    </row>
    <row r="7945" spans="1:1" s="200" customFormat="1" ht="12" hidden="1" customHeight="1">
      <c r="A7945" s="199"/>
    </row>
    <row r="7946" spans="1:1" s="200" customFormat="1" ht="12" hidden="1" customHeight="1">
      <c r="A7946" s="199"/>
    </row>
    <row r="7947" spans="1:1" s="200" customFormat="1" ht="12" hidden="1" customHeight="1">
      <c r="A7947" s="199"/>
    </row>
    <row r="7948" spans="1:1" s="200" customFormat="1" ht="12" hidden="1" customHeight="1">
      <c r="A7948" s="199"/>
    </row>
    <row r="7949" spans="1:1" s="200" customFormat="1" ht="12" hidden="1" customHeight="1">
      <c r="A7949" s="199"/>
    </row>
    <row r="7950" spans="1:1" s="200" customFormat="1" ht="12" hidden="1" customHeight="1">
      <c r="A7950" s="199"/>
    </row>
    <row r="7951" spans="1:1" s="200" customFormat="1" ht="12" hidden="1" customHeight="1">
      <c r="A7951" s="199"/>
    </row>
    <row r="7952" spans="1:1" s="200" customFormat="1" ht="12" hidden="1" customHeight="1">
      <c r="A7952" s="199"/>
    </row>
    <row r="7953" spans="1:1" s="200" customFormat="1" ht="12" hidden="1" customHeight="1">
      <c r="A7953" s="199"/>
    </row>
    <row r="7954" spans="1:1" s="200" customFormat="1" ht="12" hidden="1" customHeight="1">
      <c r="A7954" s="199"/>
    </row>
    <row r="7955" spans="1:1" s="200" customFormat="1" ht="12" hidden="1" customHeight="1">
      <c r="A7955" s="199"/>
    </row>
    <row r="7956" spans="1:1" s="200" customFormat="1" ht="12" hidden="1" customHeight="1">
      <c r="A7956" s="199"/>
    </row>
    <row r="7957" spans="1:1" s="200" customFormat="1" ht="12" hidden="1" customHeight="1">
      <c r="A7957" s="199"/>
    </row>
    <row r="7958" spans="1:1" s="200" customFormat="1" ht="12" hidden="1" customHeight="1">
      <c r="A7958" s="199"/>
    </row>
    <row r="7959" spans="1:1" s="200" customFormat="1" ht="12" hidden="1" customHeight="1">
      <c r="A7959" s="199"/>
    </row>
    <row r="7960" spans="1:1" s="200" customFormat="1" ht="12" hidden="1" customHeight="1">
      <c r="A7960" s="199"/>
    </row>
    <row r="7961" spans="1:1" s="200" customFormat="1" ht="12" hidden="1" customHeight="1">
      <c r="A7961" s="199"/>
    </row>
    <row r="7962" spans="1:1" s="200" customFormat="1" ht="12" hidden="1" customHeight="1">
      <c r="A7962" s="199"/>
    </row>
    <row r="7963" spans="1:1" s="200" customFormat="1" ht="12" hidden="1" customHeight="1">
      <c r="A7963" s="199"/>
    </row>
    <row r="7964" spans="1:1" s="200" customFormat="1" ht="12" hidden="1" customHeight="1">
      <c r="A7964" s="199"/>
    </row>
    <row r="7965" spans="1:1" s="200" customFormat="1" ht="12" hidden="1" customHeight="1">
      <c r="A7965" s="199"/>
    </row>
    <row r="7966" spans="1:1" s="200" customFormat="1" ht="12" hidden="1" customHeight="1">
      <c r="A7966" s="199"/>
    </row>
    <row r="7967" spans="1:1" s="200" customFormat="1" ht="12" hidden="1" customHeight="1">
      <c r="A7967" s="199"/>
    </row>
    <row r="7968" spans="1:1" s="200" customFormat="1" ht="12" hidden="1" customHeight="1">
      <c r="A7968" s="199"/>
    </row>
    <row r="7969" spans="1:1" s="200" customFormat="1" ht="12" hidden="1" customHeight="1">
      <c r="A7969" s="199"/>
    </row>
    <row r="7970" spans="1:1" s="200" customFormat="1" ht="12" hidden="1" customHeight="1">
      <c r="A7970" s="199"/>
    </row>
    <row r="7971" spans="1:1" s="200" customFormat="1" ht="12" hidden="1" customHeight="1">
      <c r="A7971" s="199"/>
    </row>
    <row r="7972" spans="1:1" s="200" customFormat="1" ht="12" hidden="1" customHeight="1">
      <c r="A7972" s="199"/>
    </row>
    <row r="7973" spans="1:1" s="200" customFormat="1" ht="12" hidden="1" customHeight="1">
      <c r="A7973" s="199"/>
    </row>
    <row r="7974" spans="1:1" s="200" customFormat="1" ht="12" hidden="1" customHeight="1">
      <c r="A7974" s="199"/>
    </row>
    <row r="7975" spans="1:1" s="200" customFormat="1" ht="12" hidden="1" customHeight="1">
      <c r="A7975" s="199"/>
    </row>
    <row r="7976" spans="1:1" s="200" customFormat="1" ht="12" hidden="1" customHeight="1">
      <c r="A7976" s="199"/>
    </row>
    <row r="7977" spans="1:1" s="200" customFormat="1" ht="12" hidden="1" customHeight="1">
      <c r="A7977" s="199"/>
    </row>
    <row r="7978" spans="1:1" s="200" customFormat="1" ht="12" hidden="1" customHeight="1">
      <c r="A7978" s="199"/>
    </row>
    <row r="7979" spans="1:1" s="200" customFormat="1" ht="12" hidden="1" customHeight="1">
      <c r="A7979" s="199"/>
    </row>
    <row r="7980" spans="1:1" s="200" customFormat="1" ht="12" hidden="1" customHeight="1">
      <c r="A7980" s="199"/>
    </row>
    <row r="7981" spans="1:1" s="200" customFormat="1" ht="12" hidden="1" customHeight="1">
      <c r="A7981" s="199"/>
    </row>
    <row r="7982" spans="1:1" s="200" customFormat="1" ht="12" hidden="1" customHeight="1">
      <c r="A7982" s="199"/>
    </row>
    <row r="7983" spans="1:1" s="200" customFormat="1" ht="12" hidden="1" customHeight="1">
      <c r="A7983" s="199"/>
    </row>
    <row r="7984" spans="1:1" s="200" customFormat="1" ht="12" hidden="1" customHeight="1">
      <c r="A7984" s="199"/>
    </row>
    <row r="7985" spans="1:1" s="200" customFormat="1" ht="12" hidden="1" customHeight="1">
      <c r="A7985" s="199"/>
    </row>
    <row r="7986" spans="1:1" s="200" customFormat="1" ht="12" hidden="1" customHeight="1">
      <c r="A7986" s="199"/>
    </row>
    <row r="7987" spans="1:1" s="200" customFormat="1" ht="12" hidden="1" customHeight="1">
      <c r="A7987" s="199"/>
    </row>
    <row r="7988" spans="1:1" s="200" customFormat="1" ht="12" hidden="1" customHeight="1">
      <c r="A7988" s="199"/>
    </row>
    <row r="7989" spans="1:1" s="200" customFormat="1" ht="12" hidden="1" customHeight="1">
      <c r="A7989" s="199"/>
    </row>
    <row r="7990" spans="1:1" s="200" customFormat="1" ht="12" hidden="1" customHeight="1">
      <c r="A7990" s="199"/>
    </row>
    <row r="7991" spans="1:1" s="200" customFormat="1" ht="12" hidden="1" customHeight="1">
      <c r="A7991" s="199"/>
    </row>
    <row r="7992" spans="1:1" s="200" customFormat="1" ht="12" hidden="1" customHeight="1">
      <c r="A7992" s="199"/>
    </row>
    <row r="7993" spans="1:1" s="200" customFormat="1" ht="12" hidden="1" customHeight="1">
      <c r="A7993" s="199"/>
    </row>
    <row r="7994" spans="1:1" s="200" customFormat="1" ht="12" hidden="1" customHeight="1">
      <c r="A7994" s="199"/>
    </row>
    <row r="7995" spans="1:1" s="200" customFormat="1" ht="12" hidden="1" customHeight="1">
      <c r="A7995" s="199"/>
    </row>
    <row r="7996" spans="1:1" s="200" customFormat="1" ht="12" hidden="1" customHeight="1">
      <c r="A7996" s="199"/>
    </row>
    <row r="7997" spans="1:1" s="200" customFormat="1" ht="12" hidden="1" customHeight="1">
      <c r="A7997" s="199"/>
    </row>
    <row r="7998" spans="1:1" s="200" customFormat="1" ht="12" hidden="1" customHeight="1">
      <c r="A7998" s="199"/>
    </row>
    <row r="7999" spans="1:1" s="200" customFormat="1" ht="12" hidden="1" customHeight="1">
      <c r="A7999" s="199"/>
    </row>
    <row r="8000" spans="1:1" s="200" customFormat="1" ht="12" hidden="1" customHeight="1">
      <c r="A8000" s="199"/>
    </row>
    <row r="8001" spans="1:1" s="200" customFormat="1" ht="12" hidden="1" customHeight="1">
      <c r="A8001" s="199"/>
    </row>
    <row r="8002" spans="1:1" s="200" customFormat="1" ht="12" hidden="1" customHeight="1">
      <c r="A8002" s="199"/>
    </row>
    <row r="8003" spans="1:1" s="200" customFormat="1" ht="12" hidden="1" customHeight="1">
      <c r="A8003" s="199"/>
    </row>
    <row r="8004" spans="1:1" s="200" customFormat="1" ht="12" hidden="1" customHeight="1">
      <c r="A8004" s="199"/>
    </row>
    <row r="8005" spans="1:1" s="200" customFormat="1" ht="12" hidden="1" customHeight="1">
      <c r="A8005" s="199"/>
    </row>
    <row r="8006" spans="1:1" s="200" customFormat="1" ht="12" hidden="1" customHeight="1">
      <c r="A8006" s="199"/>
    </row>
    <row r="8007" spans="1:1" s="200" customFormat="1" ht="12" hidden="1" customHeight="1">
      <c r="A8007" s="199"/>
    </row>
    <row r="8008" spans="1:1" s="200" customFormat="1" ht="12" hidden="1" customHeight="1">
      <c r="A8008" s="199"/>
    </row>
    <row r="8009" spans="1:1" s="200" customFormat="1" ht="12" hidden="1" customHeight="1">
      <c r="A8009" s="199"/>
    </row>
    <row r="8010" spans="1:1" s="200" customFormat="1" ht="12" hidden="1" customHeight="1">
      <c r="A8010" s="199"/>
    </row>
    <row r="8011" spans="1:1" s="200" customFormat="1" ht="12" hidden="1" customHeight="1">
      <c r="A8011" s="199"/>
    </row>
    <row r="8012" spans="1:1" s="200" customFormat="1" ht="12" hidden="1" customHeight="1">
      <c r="A8012" s="199"/>
    </row>
    <row r="8013" spans="1:1" s="200" customFormat="1" ht="12" hidden="1" customHeight="1">
      <c r="A8013" s="199"/>
    </row>
    <row r="8014" spans="1:1" s="200" customFormat="1" ht="12" hidden="1" customHeight="1">
      <c r="A8014" s="199"/>
    </row>
    <row r="8015" spans="1:1" s="200" customFormat="1" ht="12" hidden="1" customHeight="1">
      <c r="A8015" s="199"/>
    </row>
    <row r="8016" spans="1:1" s="200" customFormat="1" ht="12" hidden="1" customHeight="1">
      <c r="A8016" s="199"/>
    </row>
    <row r="8017" spans="1:1" s="200" customFormat="1" ht="12" hidden="1" customHeight="1">
      <c r="A8017" s="199"/>
    </row>
    <row r="8018" spans="1:1" s="200" customFormat="1" ht="12" hidden="1" customHeight="1">
      <c r="A8018" s="199"/>
    </row>
    <row r="8019" spans="1:1" s="200" customFormat="1" ht="12" hidden="1" customHeight="1">
      <c r="A8019" s="199"/>
    </row>
    <row r="8020" spans="1:1" s="200" customFormat="1" ht="12" hidden="1" customHeight="1">
      <c r="A8020" s="199"/>
    </row>
    <row r="8021" spans="1:1" s="200" customFormat="1" ht="12" hidden="1" customHeight="1">
      <c r="A8021" s="199"/>
    </row>
    <row r="8022" spans="1:1" s="200" customFormat="1" ht="12" hidden="1" customHeight="1">
      <c r="A8022" s="199"/>
    </row>
    <row r="8023" spans="1:1" s="200" customFormat="1" ht="12" hidden="1" customHeight="1">
      <c r="A8023" s="199"/>
    </row>
    <row r="8024" spans="1:1" s="200" customFormat="1" ht="12" hidden="1" customHeight="1">
      <c r="A8024" s="199"/>
    </row>
    <row r="8025" spans="1:1" s="200" customFormat="1" ht="12" hidden="1" customHeight="1">
      <c r="A8025" s="199"/>
    </row>
    <row r="8026" spans="1:1" s="200" customFormat="1" ht="12" hidden="1" customHeight="1">
      <c r="A8026" s="199"/>
    </row>
    <row r="8027" spans="1:1" s="200" customFormat="1" ht="12" hidden="1" customHeight="1">
      <c r="A8027" s="199"/>
    </row>
    <row r="8028" spans="1:1" s="200" customFormat="1" ht="12" hidden="1" customHeight="1">
      <c r="A8028" s="199"/>
    </row>
    <row r="8029" spans="1:1" s="200" customFormat="1" ht="12" hidden="1" customHeight="1">
      <c r="A8029" s="199"/>
    </row>
    <row r="8030" spans="1:1" s="200" customFormat="1" ht="12" hidden="1" customHeight="1">
      <c r="A8030" s="199"/>
    </row>
    <row r="8031" spans="1:1" s="200" customFormat="1" ht="12" hidden="1" customHeight="1">
      <c r="A8031" s="199"/>
    </row>
    <row r="8032" spans="1:1" s="200" customFormat="1" ht="12" hidden="1" customHeight="1">
      <c r="A8032" s="199"/>
    </row>
    <row r="8033" spans="1:1" s="200" customFormat="1" ht="12" hidden="1" customHeight="1">
      <c r="A8033" s="199"/>
    </row>
    <row r="8034" spans="1:1" s="200" customFormat="1" ht="12" hidden="1" customHeight="1">
      <c r="A8034" s="199"/>
    </row>
    <row r="8035" spans="1:1" s="200" customFormat="1" ht="12" hidden="1" customHeight="1">
      <c r="A8035" s="199"/>
    </row>
    <row r="8036" spans="1:1" s="200" customFormat="1" ht="12" hidden="1" customHeight="1">
      <c r="A8036" s="199"/>
    </row>
    <row r="8037" spans="1:1" s="200" customFormat="1" ht="12" hidden="1" customHeight="1">
      <c r="A8037" s="199"/>
    </row>
    <row r="8038" spans="1:1" s="200" customFormat="1" ht="12" hidden="1" customHeight="1">
      <c r="A8038" s="199"/>
    </row>
    <row r="8039" spans="1:1" s="200" customFormat="1" ht="12" hidden="1" customHeight="1">
      <c r="A8039" s="199"/>
    </row>
    <row r="8040" spans="1:1" s="200" customFormat="1" ht="12" hidden="1" customHeight="1">
      <c r="A8040" s="199"/>
    </row>
    <row r="8041" spans="1:1" s="200" customFormat="1" ht="12" hidden="1" customHeight="1">
      <c r="A8041" s="199"/>
    </row>
    <row r="8042" spans="1:1" s="200" customFormat="1" ht="12" hidden="1" customHeight="1">
      <c r="A8042" s="199"/>
    </row>
    <row r="8043" spans="1:1" s="200" customFormat="1" ht="12" hidden="1" customHeight="1">
      <c r="A8043" s="199"/>
    </row>
    <row r="8044" spans="1:1" s="200" customFormat="1" ht="12" hidden="1" customHeight="1">
      <c r="A8044" s="199"/>
    </row>
    <row r="8045" spans="1:1" s="200" customFormat="1" ht="12" hidden="1" customHeight="1">
      <c r="A8045" s="199"/>
    </row>
    <row r="8046" spans="1:1" s="200" customFormat="1" ht="12" hidden="1" customHeight="1">
      <c r="A8046" s="199"/>
    </row>
    <row r="8047" spans="1:1" s="200" customFormat="1" ht="12" hidden="1" customHeight="1">
      <c r="A8047" s="199"/>
    </row>
    <row r="8048" spans="1:1" s="200" customFormat="1" ht="12" hidden="1" customHeight="1">
      <c r="A8048" s="199"/>
    </row>
    <row r="8049" spans="1:1" s="200" customFormat="1" ht="12" hidden="1" customHeight="1">
      <c r="A8049" s="199"/>
    </row>
    <row r="8050" spans="1:1" s="200" customFormat="1" ht="12" hidden="1" customHeight="1">
      <c r="A8050" s="199"/>
    </row>
    <row r="8051" spans="1:1" s="200" customFormat="1" ht="12" hidden="1" customHeight="1">
      <c r="A8051" s="199"/>
    </row>
    <row r="8052" spans="1:1" s="200" customFormat="1" ht="12" hidden="1" customHeight="1">
      <c r="A8052" s="199"/>
    </row>
    <row r="8053" spans="1:1" s="200" customFormat="1" ht="12" hidden="1" customHeight="1">
      <c r="A8053" s="199"/>
    </row>
    <row r="8054" spans="1:1" s="200" customFormat="1" ht="12" hidden="1" customHeight="1">
      <c r="A8054" s="199"/>
    </row>
    <row r="8055" spans="1:1" s="200" customFormat="1" ht="12" hidden="1" customHeight="1">
      <c r="A8055" s="199"/>
    </row>
    <row r="8056" spans="1:1" s="200" customFormat="1" ht="12" hidden="1" customHeight="1">
      <c r="A8056" s="199"/>
    </row>
    <row r="8057" spans="1:1" s="200" customFormat="1" ht="12" hidden="1" customHeight="1">
      <c r="A8057" s="199"/>
    </row>
    <row r="8058" spans="1:1" s="200" customFormat="1" ht="12" hidden="1" customHeight="1">
      <c r="A8058" s="199"/>
    </row>
    <row r="8059" spans="1:1" s="200" customFormat="1" ht="12" hidden="1" customHeight="1">
      <c r="A8059" s="199"/>
    </row>
    <row r="8060" spans="1:1" s="200" customFormat="1" ht="12" hidden="1" customHeight="1">
      <c r="A8060" s="199"/>
    </row>
    <row r="8061" spans="1:1" s="200" customFormat="1" ht="12" hidden="1" customHeight="1">
      <c r="A8061" s="199"/>
    </row>
    <row r="8062" spans="1:1" s="200" customFormat="1" ht="12" hidden="1" customHeight="1">
      <c r="A8062" s="199"/>
    </row>
    <row r="8063" spans="1:1" s="200" customFormat="1" ht="12" hidden="1" customHeight="1">
      <c r="A8063" s="199"/>
    </row>
    <row r="8064" spans="1:1" s="200" customFormat="1" ht="12" hidden="1" customHeight="1">
      <c r="A8064" s="199"/>
    </row>
    <row r="8065" spans="1:1" s="200" customFormat="1" ht="12" hidden="1" customHeight="1">
      <c r="A8065" s="199"/>
    </row>
    <row r="8066" spans="1:1" s="200" customFormat="1" ht="12" hidden="1" customHeight="1">
      <c r="A8066" s="199"/>
    </row>
    <row r="8067" spans="1:1" s="200" customFormat="1" ht="12" hidden="1" customHeight="1">
      <c r="A8067" s="199"/>
    </row>
    <row r="8068" spans="1:1" s="200" customFormat="1" ht="12" hidden="1" customHeight="1">
      <c r="A8068" s="199"/>
    </row>
    <row r="8069" spans="1:1" s="200" customFormat="1" ht="12" hidden="1" customHeight="1">
      <c r="A8069" s="199"/>
    </row>
    <row r="8070" spans="1:1" s="200" customFormat="1" ht="12" hidden="1" customHeight="1">
      <c r="A8070" s="199"/>
    </row>
    <row r="8071" spans="1:1" s="200" customFormat="1" ht="12" hidden="1" customHeight="1">
      <c r="A8071" s="199"/>
    </row>
    <row r="8072" spans="1:1" s="200" customFormat="1" ht="12" hidden="1" customHeight="1">
      <c r="A8072" s="199"/>
    </row>
    <row r="8073" spans="1:1" s="200" customFormat="1" ht="12" hidden="1" customHeight="1">
      <c r="A8073" s="199"/>
    </row>
    <row r="8074" spans="1:1" s="200" customFormat="1" ht="12" hidden="1" customHeight="1">
      <c r="A8074" s="199"/>
    </row>
    <row r="8075" spans="1:1" s="200" customFormat="1" ht="12" hidden="1" customHeight="1">
      <c r="A8075" s="199"/>
    </row>
    <row r="8076" spans="1:1" s="200" customFormat="1" ht="12" hidden="1" customHeight="1">
      <c r="A8076" s="199"/>
    </row>
    <row r="8077" spans="1:1" s="200" customFormat="1" ht="12" hidden="1" customHeight="1">
      <c r="A8077" s="199"/>
    </row>
    <row r="8078" spans="1:1" s="200" customFormat="1" ht="12" hidden="1" customHeight="1">
      <c r="A8078" s="199"/>
    </row>
    <row r="8079" spans="1:1" s="200" customFormat="1" ht="12" hidden="1" customHeight="1">
      <c r="A8079" s="199"/>
    </row>
    <row r="8080" spans="1:1" s="200" customFormat="1" ht="12" hidden="1" customHeight="1">
      <c r="A8080" s="199"/>
    </row>
    <row r="8081" spans="1:1" s="200" customFormat="1" ht="12" hidden="1" customHeight="1">
      <c r="A8081" s="199"/>
    </row>
    <row r="8082" spans="1:1" s="200" customFormat="1" ht="12" hidden="1" customHeight="1">
      <c r="A8082" s="199"/>
    </row>
    <row r="8083" spans="1:1" s="200" customFormat="1" ht="12" hidden="1" customHeight="1">
      <c r="A8083" s="199"/>
    </row>
    <row r="8084" spans="1:1" s="200" customFormat="1" ht="12" hidden="1" customHeight="1">
      <c r="A8084" s="199"/>
    </row>
    <row r="8085" spans="1:1" s="200" customFormat="1" ht="12" hidden="1" customHeight="1">
      <c r="A8085" s="199"/>
    </row>
    <row r="8086" spans="1:1" s="200" customFormat="1" ht="12" hidden="1" customHeight="1">
      <c r="A8086" s="199"/>
    </row>
    <row r="8087" spans="1:1" s="200" customFormat="1" ht="12" hidden="1" customHeight="1">
      <c r="A8087" s="199"/>
    </row>
    <row r="8088" spans="1:1" s="200" customFormat="1" ht="12" hidden="1" customHeight="1">
      <c r="A8088" s="199"/>
    </row>
    <row r="8089" spans="1:1" s="200" customFormat="1" ht="12" hidden="1" customHeight="1">
      <c r="A8089" s="199"/>
    </row>
    <row r="8090" spans="1:1" s="200" customFormat="1" ht="12" hidden="1" customHeight="1">
      <c r="A8090" s="199"/>
    </row>
    <row r="8091" spans="1:1" s="200" customFormat="1" ht="12" hidden="1" customHeight="1">
      <c r="A8091" s="199"/>
    </row>
    <row r="8092" spans="1:1" s="200" customFormat="1" ht="12" hidden="1" customHeight="1">
      <c r="A8092" s="199"/>
    </row>
    <row r="8093" spans="1:1" s="200" customFormat="1" ht="12" hidden="1" customHeight="1">
      <c r="A8093" s="199"/>
    </row>
    <row r="8094" spans="1:1" s="200" customFormat="1" ht="12" hidden="1" customHeight="1">
      <c r="A8094" s="199"/>
    </row>
    <row r="8095" spans="1:1" s="200" customFormat="1" ht="12" hidden="1" customHeight="1">
      <c r="A8095" s="199"/>
    </row>
    <row r="8096" spans="1:1" s="200" customFormat="1" ht="12" hidden="1" customHeight="1">
      <c r="A8096" s="199"/>
    </row>
    <row r="8097" spans="1:1" s="200" customFormat="1" ht="12" hidden="1" customHeight="1">
      <c r="A8097" s="199"/>
    </row>
    <row r="8098" spans="1:1" s="200" customFormat="1" ht="12" hidden="1" customHeight="1">
      <c r="A8098" s="199"/>
    </row>
    <row r="8099" spans="1:1" s="200" customFormat="1" ht="12" hidden="1" customHeight="1">
      <c r="A8099" s="199"/>
    </row>
    <row r="8100" spans="1:1" s="200" customFormat="1" ht="12" hidden="1" customHeight="1">
      <c r="A8100" s="199"/>
    </row>
    <row r="8101" spans="1:1" s="200" customFormat="1" ht="12" hidden="1" customHeight="1">
      <c r="A8101" s="199"/>
    </row>
    <row r="8102" spans="1:1" s="200" customFormat="1" ht="12" hidden="1" customHeight="1">
      <c r="A8102" s="199"/>
    </row>
    <row r="8103" spans="1:1" s="200" customFormat="1" ht="12" hidden="1" customHeight="1">
      <c r="A8103" s="199"/>
    </row>
    <row r="8104" spans="1:1" s="200" customFormat="1" ht="12" hidden="1" customHeight="1">
      <c r="A8104" s="199"/>
    </row>
    <row r="8105" spans="1:1" s="200" customFormat="1" ht="12" hidden="1" customHeight="1">
      <c r="A8105" s="199"/>
    </row>
    <row r="8106" spans="1:1" s="200" customFormat="1" ht="12" hidden="1" customHeight="1">
      <c r="A8106" s="199"/>
    </row>
    <row r="8107" spans="1:1" s="200" customFormat="1" ht="12" hidden="1" customHeight="1">
      <c r="A8107" s="199"/>
    </row>
    <row r="8108" spans="1:1" s="200" customFormat="1" ht="12" hidden="1" customHeight="1">
      <c r="A8108" s="199"/>
    </row>
    <row r="8109" spans="1:1" s="200" customFormat="1" ht="12" hidden="1" customHeight="1">
      <c r="A8109" s="199"/>
    </row>
    <row r="8110" spans="1:1" s="200" customFormat="1" ht="12" hidden="1" customHeight="1">
      <c r="A8110" s="199"/>
    </row>
    <row r="8111" spans="1:1" s="200" customFormat="1" ht="12" hidden="1" customHeight="1">
      <c r="A8111" s="199"/>
    </row>
    <row r="8112" spans="1:1" s="200" customFormat="1" ht="12" hidden="1" customHeight="1">
      <c r="A8112" s="199"/>
    </row>
    <row r="8113" spans="1:1" s="200" customFormat="1" ht="12" hidden="1" customHeight="1">
      <c r="A8113" s="199"/>
    </row>
    <row r="8114" spans="1:1" s="200" customFormat="1" ht="12" hidden="1" customHeight="1">
      <c r="A8114" s="199"/>
    </row>
    <row r="8115" spans="1:1" s="200" customFormat="1" ht="12" hidden="1" customHeight="1">
      <c r="A8115" s="199"/>
    </row>
    <row r="8116" spans="1:1" s="200" customFormat="1" ht="12" hidden="1" customHeight="1">
      <c r="A8116" s="199"/>
    </row>
    <row r="8117" spans="1:1" s="200" customFormat="1" ht="12" hidden="1" customHeight="1">
      <c r="A8117" s="199"/>
    </row>
    <row r="8118" spans="1:1" s="200" customFormat="1" ht="12" hidden="1" customHeight="1">
      <c r="A8118" s="199"/>
    </row>
    <row r="8119" spans="1:1" s="200" customFormat="1" ht="12" hidden="1" customHeight="1">
      <c r="A8119" s="199"/>
    </row>
    <row r="8120" spans="1:1" s="200" customFormat="1" ht="12" hidden="1" customHeight="1">
      <c r="A8120" s="199"/>
    </row>
    <row r="8121" spans="1:1" s="200" customFormat="1" ht="12" hidden="1" customHeight="1">
      <c r="A8121" s="199"/>
    </row>
    <row r="8122" spans="1:1" s="200" customFormat="1" ht="12" hidden="1" customHeight="1">
      <c r="A8122" s="199"/>
    </row>
    <row r="8123" spans="1:1" s="200" customFormat="1" ht="12" hidden="1" customHeight="1">
      <c r="A8123" s="199"/>
    </row>
    <row r="8124" spans="1:1" s="200" customFormat="1" ht="12" hidden="1" customHeight="1">
      <c r="A8124" s="199"/>
    </row>
    <row r="8125" spans="1:1" s="200" customFormat="1" ht="12" hidden="1" customHeight="1">
      <c r="A8125" s="199"/>
    </row>
    <row r="8126" spans="1:1" s="200" customFormat="1" ht="12" hidden="1" customHeight="1">
      <c r="A8126" s="199"/>
    </row>
    <row r="8127" spans="1:1" s="200" customFormat="1" ht="12" hidden="1" customHeight="1">
      <c r="A8127" s="199"/>
    </row>
    <row r="8128" spans="1:1" s="200" customFormat="1" ht="12" hidden="1" customHeight="1">
      <c r="A8128" s="199"/>
    </row>
    <row r="8129" spans="1:1" s="200" customFormat="1" ht="12" hidden="1" customHeight="1">
      <c r="A8129" s="199"/>
    </row>
    <row r="8130" spans="1:1" s="200" customFormat="1" ht="12" hidden="1" customHeight="1">
      <c r="A8130" s="199"/>
    </row>
    <row r="8131" spans="1:1" s="200" customFormat="1" ht="12" hidden="1" customHeight="1">
      <c r="A8131" s="199"/>
    </row>
    <row r="8132" spans="1:1" s="200" customFormat="1" ht="12" hidden="1" customHeight="1">
      <c r="A8132" s="199"/>
    </row>
    <row r="8133" spans="1:1" s="200" customFormat="1" ht="12" hidden="1" customHeight="1">
      <c r="A8133" s="199"/>
    </row>
    <row r="8134" spans="1:1" s="200" customFormat="1" ht="12" hidden="1" customHeight="1">
      <c r="A8134" s="199"/>
    </row>
    <row r="8135" spans="1:1" s="200" customFormat="1" ht="12" hidden="1" customHeight="1">
      <c r="A8135" s="199"/>
    </row>
    <row r="8136" spans="1:1" s="200" customFormat="1" ht="12" hidden="1" customHeight="1">
      <c r="A8136" s="199"/>
    </row>
    <row r="8137" spans="1:1" s="200" customFormat="1" ht="12" hidden="1" customHeight="1">
      <c r="A8137" s="199"/>
    </row>
    <row r="8138" spans="1:1" s="200" customFormat="1" ht="12" hidden="1" customHeight="1">
      <c r="A8138" s="199"/>
    </row>
    <row r="8139" spans="1:1" s="200" customFormat="1" ht="12" hidden="1" customHeight="1">
      <c r="A8139" s="199"/>
    </row>
    <row r="8140" spans="1:1" s="200" customFormat="1" ht="12" hidden="1" customHeight="1">
      <c r="A8140" s="199"/>
    </row>
    <row r="8141" spans="1:1" s="200" customFormat="1" ht="12" hidden="1" customHeight="1">
      <c r="A8141" s="199"/>
    </row>
    <row r="8142" spans="1:1" s="200" customFormat="1" ht="12" hidden="1" customHeight="1">
      <c r="A8142" s="199"/>
    </row>
    <row r="8143" spans="1:1" s="200" customFormat="1" ht="12" hidden="1" customHeight="1">
      <c r="A8143" s="199"/>
    </row>
    <row r="8144" spans="1:1" s="200" customFormat="1" ht="12" hidden="1" customHeight="1">
      <c r="A8144" s="199"/>
    </row>
    <row r="8145" spans="1:1" s="200" customFormat="1" ht="12" hidden="1" customHeight="1">
      <c r="A8145" s="199"/>
    </row>
    <row r="8146" spans="1:1" s="200" customFormat="1" ht="12" hidden="1" customHeight="1">
      <c r="A8146" s="199"/>
    </row>
    <row r="8147" spans="1:1" s="200" customFormat="1" ht="12" hidden="1" customHeight="1">
      <c r="A8147" s="199"/>
    </row>
    <row r="8148" spans="1:1" s="200" customFormat="1" ht="12" hidden="1" customHeight="1">
      <c r="A8148" s="199"/>
    </row>
    <row r="8149" spans="1:1" s="200" customFormat="1" ht="12" hidden="1" customHeight="1">
      <c r="A8149" s="199"/>
    </row>
    <row r="8150" spans="1:1" s="200" customFormat="1" ht="12" hidden="1" customHeight="1">
      <c r="A8150" s="199"/>
    </row>
    <row r="8151" spans="1:1" s="200" customFormat="1" ht="12" hidden="1" customHeight="1">
      <c r="A8151" s="199"/>
    </row>
    <row r="8152" spans="1:1" s="200" customFormat="1" ht="12" hidden="1" customHeight="1">
      <c r="A8152" s="199"/>
    </row>
    <row r="8153" spans="1:1" s="200" customFormat="1" ht="12" hidden="1" customHeight="1">
      <c r="A8153" s="199"/>
    </row>
    <row r="8154" spans="1:1" s="200" customFormat="1" ht="12" hidden="1" customHeight="1">
      <c r="A8154" s="199"/>
    </row>
    <row r="8155" spans="1:1" s="200" customFormat="1" ht="12" hidden="1" customHeight="1">
      <c r="A8155" s="199"/>
    </row>
    <row r="8156" spans="1:1" s="200" customFormat="1" ht="12" hidden="1" customHeight="1">
      <c r="A8156" s="199"/>
    </row>
    <row r="8157" spans="1:1" s="200" customFormat="1" ht="12" hidden="1" customHeight="1">
      <c r="A8157" s="199"/>
    </row>
    <row r="8158" spans="1:1" s="200" customFormat="1" ht="12" hidden="1" customHeight="1">
      <c r="A8158" s="199"/>
    </row>
    <row r="8159" spans="1:1" s="200" customFormat="1" ht="12" hidden="1" customHeight="1">
      <c r="A8159" s="199"/>
    </row>
    <row r="8160" spans="1:1" s="200" customFormat="1" ht="12" hidden="1" customHeight="1">
      <c r="A8160" s="199"/>
    </row>
    <row r="8161" spans="1:1" s="200" customFormat="1" ht="12" hidden="1" customHeight="1">
      <c r="A8161" s="199"/>
    </row>
    <row r="8162" spans="1:1" s="200" customFormat="1" ht="12" hidden="1" customHeight="1">
      <c r="A8162" s="199"/>
    </row>
    <row r="8163" spans="1:1" s="200" customFormat="1" ht="12" hidden="1" customHeight="1">
      <c r="A8163" s="199"/>
    </row>
    <row r="8164" spans="1:1" s="200" customFormat="1" ht="12" hidden="1" customHeight="1">
      <c r="A8164" s="199"/>
    </row>
    <row r="8165" spans="1:1" s="200" customFormat="1" ht="12" hidden="1" customHeight="1">
      <c r="A8165" s="199"/>
    </row>
    <row r="8166" spans="1:1" s="200" customFormat="1" ht="12" hidden="1" customHeight="1">
      <c r="A8166" s="199"/>
    </row>
    <row r="8167" spans="1:1" s="200" customFormat="1" ht="12" hidden="1" customHeight="1">
      <c r="A8167" s="199"/>
    </row>
    <row r="8168" spans="1:1" s="200" customFormat="1" ht="12" hidden="1" customHeight="1">
      <c r="A8168" s="199"/>
    </row>
    <row r="8169" spans="1:1" s="200" customFormat="1" ht="12" hidden="1" customHeight="1">
      <c r="A8169" s="199"/>
    </row>
    <row r="8170" spans="1:1" s="200" customFormat="1" ht="12" hidden="1" customHeight="1">
      <c r="A8170" s="199"/>
    </row>
    <row r="8171" spans="1:1" s="200" customFormat="1" ht="12" hidden="1" customHeight="1">
      <c r="A8171" s="199"/>
    </row>
    <row r="8172" spans="1:1" s="200" customFormat="1" ht="12" hidden="1" customHeight="1">
      <c r="A8172" s="199"/>
    </row>
    <row r="8173" spans="1:1" s="200" customFormat="1" ht="12" hidden="1" customHeight="1">
      <c r="A8173" s="199"/>
    </row>
    <row r="8174" spans="1:1" s="200" customFormat="1" ht="12" hidden="1" customHeight="1">
      <c r="A8174" s="199"/>
    </row>
    <row r="8175" spans="1:1" s="200" customFormat="1" ht="12" hidden="1" customHeight="1">
      <c r="A8175" s="199"/>
    </row>
    <row r="8176" spans="1:1" s="200" customFormat="1" ht="12" hidden="1" customHeight="1">
      <c r="A8176" s="199"/>
    </row>
    <row r="8177" spans="1:1" s="200" customFormat="1" ht="12" hidden="1" customHeight="1">
      <c r="A8177" s="199"/>
    </row>
    <row r="8178" spans="1:1" s="200" customFormat="1" ht="12" hidden="1" customHeight="1">
      <c r="A8178" s="199"/>
    </row>
    <row r="8179" spans="1:1" s="200" customFormat="1" ht="12" hidden="1" customHeight="1">
      <c r="A8179" s="199"/>
    </row>
    <row r="8180" spans="1:1" s="200" customFormat="1" ht="12" hidden="1" customHeight="1">
      <c r="A8180" s="199"/>
    </row>
    <row r="8181" spans="1:1" s="200" customFormat="1" ht="12" hidden="1" customHeight="1">
      <c r="A8181" s="199"/>
    </row>
    <row r="8182" spans="1:1" s="200" customFormat="1" ht="12" hidden="1" customHeight="1">
      <c r="A8182" s="199"/>
    </row>
    <row r="8183" spans="1:1" s="200" customFormat="1" ht="12" hidden="1" customHeight="1">
      <c r="A8183" s="199"/>
    </row>
    <row r="8184" spans="1:1" s="200" customFormat="1" ht="12" hidden="1" customHeight="1">
      <c r="A8184" s="199"/>
    </row>
    <row r="8185" spans="1:1" s="200" customFormat="1" ht="12" hidden="1" customHeight="1">
      <c r="A8185" s="199"/>
    </row>
    <row r="8186" spans="1:1" s="200" customFormat="1" ht="12" hidden="1" customHeight="1">
      <c r="A8186" s="199"/>
    </row>
    <row r="8187" spans="1:1" s="200" customFormat="1" ht="12" hidden="1" customHeight="1">
      <c r="A8187" s="199"/>
    </row>
    <row r="8188" spans="1:1" s="200" customFormat="1" ht="12" hidden="1" customHeight="1">
      <c r="A8188" s="199"/>
    </row>
    <row r="8189" spans="1:1" s="200" customFormat="1" ht="12" hidden="1" customHeight="1">
      <c r="A8189" s="199"/>
    </row>
    <row r="8190" spans="1:1" s="200" customFormat="1" ht="12" hidden="1" customHeight="1">
      <c r="A8190" s="199"/>
    </row>
    <row r="8191" spans="1:1" s="200" customFormat="1" ht="12" hidden="1" customHeight="1">
      <c r="A8191" s="199"/>
    </row>
    <row r="8192" spans="1:1" s="200" customFormat="1" ht="12" hidden="1" customHeight="1">
      <c r="A8192" s="199"/>
    </row>
    <row r="8193" spans="1:1" s="200" customFormat="1" ht="12" hidden="1" customHeight="1">
      <c r="A8193" s="199"/>
    </row>
    <row r="8194" spans="1:1" s="200" customFormat="1" ht="12" hidden="1" customHeight="1">
      <c r="A8194" s="199"/>
    </row>
    <row r="8195" spans="1:1" s="200" customFormat="1" ht="12" hidden="1" customHeight="1">
      <c r="A8195" s="199"/>
    </row>
    <row r="8196" spans="1:1" s="200" customFormat="1" ht="12" hidden="1" customHeight="1">
      <c r="A8196" s="199"/>
    </row>
    <row r="8197" spans="1:1" s="200" customFormat="1" ht="12" hidden="1" customHeight="1">
      <c r="A8197" s="199"/>
    </row>
    <row r="8198" spans="1:1" s="200" customFormat="1" ht="12" hidden="1" customHeight="1">
      <c r="A8198" s="199"/>
    </row>
    <row r="8199" spans="1:1" s="200" customFormat="1" ht="12" hidden="1" customHeight="1">
      <c r="A8199" s="199"/>
    </row>
    <row r="8200" spans="1:1" s="200" customFormat="1" ht="12" hidden="1" customHeight="1">
      <c r="A8200" s="199"/>
    </row>
    <row r="8201" spans="1:1" s="200" customFormat="1" ht="12" hidden="1" customHeight="1">
      <c r="A8201" s="199"/>
    </row>
    <row r="8202" spans="1:1" s="200" customFormat="1" ht="12" hidden="1" customHeight="1">
      <c r="A8202" s="199"/>
    </row>
    <row r="8203" spans="1:1" s="200" customFormat="1" ht="12" hidden="1" customHeight="1">
      <c r="A8203" s="199"/>
    </row>
    <row r="8204" spans="1:1" s="200" customFormat="1" ht="12" hidden="1" customHeight="1">
      <c r="A8204" s="199"/>
    </row>
    <row r="8205" spans="1:1" s="200" customFormat="1" ht="12" hidden="1" customHeight="1">
      <c r="A8205" s="199"/>
    </row>
    <row r="8206" spans="1:1" s="200" customFormat="1" ht="12" hidden="1" customHeight="1">
      <c r="A8206" s="199"/>
    </row>
    <row r="8207" spans="1:1" s="200" customFormat="1" ht="12" hidden="1" customHeight="1">
      <c r="A8207" s="199"/>
    </row>
    <row r="8208" spans="1:1" s="200" customFormat="1" ht="12" hidden="1" customHeight="1">
      <c r="A8208" s="199"/>
    </row>
    <row r="8209" spans="1:1" s="200" customFormat="1" ht="12" hidden="1" customHeight="1">
      <c r="A8209" s="199"/>
    </row>
    <row r="8210" spans="1:1" s="200" customFormat="1" ht="12" hidden="1" customHeight="1">
      <c r="A8210" s="199"/>
    </row>
    <row r="8211" spans="1:1" s="200" customFormat="1" ht="12" hidden="1" customHeight="1">
      <c r="A8211" s="199"/>
    </row>
    <row r="8212" spans="1:1" s="200" customFormat="1" ht="12" hidden="1" customHeight="1">
      <c r="A8212" s="199"/>
    </row>
    <row r="8213" spans="1:1" s="200" customFormat="1" ht="12" hidden="1" customHeight="1">
      <c r="A8213" s="199"/>
    </row>
    <row r="8214" spans="1:1" s="200" customFormat="1" ht="12" hidden="1" customHeight="1">
      <c r="A8214" s="199"/>
    </row>
    <row r="8215" spans="1:1" s="200" customFormat="1" ht="12" hidden="1" customHeight="1">
      <c r="A8215" s="199"/>
    </row>
    <row r="8216" spans="1:1" s="200" customFormat="1" ht="12" hidden="1" customHeight="1">
      <c r="A8216" s="199"/>
    </row>
    <row r="8217" spans="1:1" s="200" customFormat="1" ht="12" hidden="1" customHeight="1">
      <c r="A8217" s="199"/>
    </row>
    <row r="8218" spans="1:1" s="200" customFormat="1" ht="12" hidden="1" customHeight="1">
      <c r="A8218" s="199"/>
    </row>
    <row r="8219" spans="1:1" s="200" customFormat="1" ht="12" hidden="1" customHeight="1">
      <c r="A8219" s="199"/>
    </row>
    <row r="8220" spans="1:1" s="200" customFormat="1" ht="12" hidden="1" customHeight="1">
      <c r="A8220" s="199"/>
    </row>
    <row r="8221" spans="1:1" s="200" customFormat="1" ht="12" hidden="1" customHeight="1">
      <c r="A8221" s="199"/>
    </row>
    <row r="8222" spans="1:1" s="200" customFormat="1" ht="12" hidden="1" customHeight="1">
      <c r="A8222" s="199"/>
    </row>
    <row r="8223" spans="1:1" s="200" customFormat="1" ht="12" hidden="1" customHeight="1">
      <c r="A8223" s="199"/>
    </row>
    <row r="8224" spans="1:1" s="200" customFormat="1" ht="12" hidden="1" customHeight="1">
      <c r="A8224" s="199"/>
    </row>
    <row r="8225" spans="1:1" s="200" customFormat="1" ht="12" hidden="1" customHeight="1">
      <c r="A8225" s="199"/>
    </row>
    <row r="8226" spans="1:1" s="200" customFormat="1" ht="12" hidden="1" customHeight="1">
      <c r="A8226" s="199"/>
    </row>
    <row r="8227" spans="1:1" s="200" customFormat="1" ht="12" hidden="1" customHeight="1">
      <c r="A8227" s="199"/>
    </row>
    <row r="8228" spans="1:1" s="200" customFormat="1" ht="12" hidden="1" customHeight="1">
      <c r="A8228" s="199"/>
    </row>
    <row r="8229" spans="1:1" s="200" customFormat="1" ht="12" hidden="1" customHeight="1">
      <c r="A8229" s="199"/>
    </row>
    <row r="8230" spans="1:1" s="200" customFormat="1" ht="12" hidden="1" customHeight="1">
      <c r="A8230" s="199"/>
    </row>
    <row r="8231" spans="1:1" s="200" customFormat="1" ht="12" hidden="1" customHeight="1">
      <c r="A8231" s="199"/>
    </row>
    <row r="8232" spans="1:1" s="200" customFormat="1" ht="12" hidden="1" customHeight="1">
      <c r="A8232" s="199"/>
    </row>
    <row r="8233" spans="1:1" s="200" customFormat="1" ht="12" hidden="1" customHeight="1">
      <c r="A8233" s="199"/>
    </row>
    <row r="8234" spans="1:1" s="200" customFormat="1" ht="12" hidden="1" customHeight="1">
      <c r="A8234" s="199"/>
    </row>
    <row r="8235" spans="1:1" s="200" customFormat="1" ht="12" hidden="1" customHeight="1">
      <c r="A8235" s="199"/>
    </row>
    <row r="8236" spans="1:1" s="200" customFormat="1" ht="12" hidden="1" customHeight="1">
      <c r="A8236" s="199"/>
    </row>
    <row r="8237" spans="1:1" s="200" customFormat="1" ht="12" hidden="1" customHeight="1">
      <c r="A8237" s="199"/>
    </row>
    <row r="8238" spans="1:1" s="200" customFormat="1" ht="12" hidden="1" customHeight="1">
      <c r="A8238" s="199"/>
    </row>
    <row r="8239" spans="1:1" s="200" customFormat="1" ht="12" hidden="1" customHeight="1">
      <c r="A8239" s="199"/>
    </row>
    <row r="8240" spans="1:1" s="200" customFormat="1" ht="12" hidden="1" customHeight="1">
      <c r="A8240" s="199"/>
    </row>
    <row r="8241" spans="1:1" s="200" customFormat="1" ht="12" hidden="1" customHeight="1">
      <c r="A8241" s="199"/>
    </row>
    <row r="8242" spans="1:1" s="200" customFormat="1" ht="12" hidden="1" customHeight="1">
      <c r="A8242" s="199"/>
    </row>
    <row r="8243" spans="1:1" s="200" customFormat="1" ht="12" hidden="1" customHeight="1">
      <c r="A8243" s="199"/>
    </row>
    <row r="8244" spans="1:1" s="200" customFormat="1" ht="12" hidden="1" customHeight="1">
      <c r="A8244" s="199"/>
    </row>
    <row r="8245" spans="1:1" s="200" customFormat="1" ht="12" hidden="1" customHeight="1">
      <c r="A8245" s="199"/>
    </row>
    <row r="8246" spans="1:1" s="200" customFormat="1" ht="12" hidden="1" customHeight="1">
      <c r="A8246" s="199"/>
    </row>
    <row r="8247" spans="1:1" s="200" customFormat="1" ht="12" hidden="1" customHeight="1">
      <c r="A8247" s="199"/>
    </row>
    <row r="8248" spans="1:1" s="200" customFormat="1" ht="12" hidden="1" customHeight="1">
      <c r="A8248" s="199"/>
    </row>
    <row r="8249" spans="1:1" s="200" customFormat="1" ht="12" hidden="1" customHeight="1">
      <c r="A8249" s="199"/>
    </row>
    <row r="8250" spans="1:1" s="200" customFormat="1" ht="12" hidden="1" customHeight="1">
      <c r="A8250" s="199"/>
    </row>
    <row r="8251" spans="1:1" s="200" customFormat="1" ht="12" hidden="1" customHeight="1">
      <c r="A8251" s="199"/>
    </row>
    <row r="8252" spans="1:1" s="200" customFormat="1" ht="12" hidden="1" customHeight="1">
      <c r="A8252" s="199"/>
    </row>
    <row r="8253" spans="1:1" s="200" customFormat="1" ht="12" hidden="1" customHeight="1">
      <c r="A8253" s="199"/>
    </row>
    <row r="8254" spans="1:1" s="200" customFormat="1" ht="12" hidden="1" customHeight="1">
      <c r="A8254" s="199"/>
    </row>
    <row r="8255" spans="1:1" s="200" customFormat="1" ht="12" hidden="1" customHeight="1">
      <c r="A8255" s="199"/>
    </row>
    <row r="8256" spans="1:1" s="200" customFormat="1" ht="12" hidden="1" customHeight="1">
      <c r="A8256" s="199"/>
    </row>
    <row r="8257" spans="1:1" s="200" customFormat="1" ht="12" hidden="1" customHeight="1">
      <c r="A8257" s="199"/>
    </row>
    <row r="8258" spans="1:1" s="200" customFormat="1" ht="12" hidden="1" customHeight="1">
      <c r="A8258" s="199"/>
    </row>
    <row r="8259" spans="1:1" s="200" customFormat="1" ht="12" hidden="1" customHeight="1">
      <c r="A8259" s="199"/>
    </row>
    <row r="8260" spans="1:1" s="200" customFormat="1" ht="12" hidden="1" customHeight="1">
      <c r="A8260" s="199"/>
    </row>
    <row r="8261" spans="1:1" s="200" customFormat="1" ht="12" hidden="1" customHeight="1">
      <c r="A8261" s="199"/>
    </row>
    <row r="8262" spans="1:1" s="200" customFormat="1" ht="12" hidden="1" customHeight="1">
      <c r="A8262" s="199"/>
    </row>
    <row r="8263" spans="1:1" s="200" customFormat="1" ht="12" hidden="1" customHeight="1">
      <c r="A8263" s="199"/>
    </row>
    <row r="8264" spans="1:1" s="200" customFormat="1" ht="12" hidden="1" customHeight="1">
      <c r="A8264" s="199"/>
    </row>
    <row r="8265" spans="1:1" s="200" customFormat="1" ht="12" hidden="1" customHeight="1">
      <c r="A8265" s="199"/>
    </row>
    <row r="8266" spans="1:1" s="200" customFormat="1" ht="12" hidden="1" customHeight="1">
      <c r="A8266" s="199"/>
    </row>
    <row r="8267" spans="1:1" s="200" customFormat="1" ht="12" hidden="1" customHeight="1">
      <c r="A8267" s="199"/>
    </row>
    <row r="8268" spans="1:1" s="200" customFormat="1" ht="12" hidden="1" customHeight="1">
      <c r="A8268" s="199"/>
    </row>
    <row r="8269" spans="1:1" s="200" customFormat="1" ht="12" hidden="1" customHeight="1">
      <c r="A8269" s="199"/>
    </row>
    <row r="8270" spans="1:1" s="200" customFormat="1" ht="12" hidden="1" customHeight="1">
      <c r="A8270" s="199"/>
    </row>
    <row r="8271" spans="1:1" s="200" customFormat="1" ht="12" hidden="1" customHeight="1">
      <c r="A8271" s="199"/>
    </row>
    <row r="8272" spans="1:1" s="200" customFormat="1" ht="12" hidden="1" customHeight="1">
      <c r="A8272" s="199"/>
    </row>
    <row r="8273" spans="1:1" s="200" customFormat="1" ht="12" hidden="1" customHeight="1">
      <c r="A8273" s="199"/>
    </row>
    <row r="8274" spans="1:1" s="200" customFormat="1" ht="12" hidden="1" customHeight="1">
      <c r="A8274" s="199"/>
    </row>
    <row r="8275" spans="1:1" s="200" customFormat="1" ht="12" hidden="1" customHeight="1">
      <c r="A8275" s="199"/>
    </row>
    <row r="8276" spans="1:1" s="200" customFormat="1" ht="12" hidden="1" customHeight="1">
      <c r="A8276" s="199"/>
    </row>
    <row r="8277" spans="1:1" s="200" customFormat="1" ht="12" hidden="1" customHeight="1">
      <c r="A8277" s="199"/>
    </row>
    <row r="8278" spans="1:1" s="200" customFormat="1" ht="12" hidden="1" customHeight="1">
      <c r="A8278" s="199"/>
    </row>
    <row r="8279" spans="1:1" s="200" customFormat="1" ht="12" hidden="1" customHeight="1">
      <c r="A8279" s="199"/>
    </row>
    <row r="8280" spans="1:1" s="200" customFormat="1" ht="12" hidden="1" customHeight="1">
      <c r="A8280" s="199"/>
    </row>
    <row r="8281" spans="1:1" s="200" customFormat="1" ht="12" hidden="1" customHeight="1">
      <c r="A8281" s="199"/>
    </row>
    <row r="8282" spans="1:1" s="200" customFormat="1" ht="12" hidden="1" customHeight="1">
      <c r="A8282" s="199"/>
    </row>
    <row r="8283" spans="1:1" s="200" customFormat="1" ht="12" hidden="1" customHeight="1">
      <c r="A8283" s="199"/>
    </row>
    <row r="8284" spans="1:1" s="200" customFormat="1" ht="12" hidden="1" customHeight="1">
      <c r="A8284" s="199"/>
    </row>
    <row r="8285" spans="1:1" s="200" customFormat="1" ht="12" hidden="1" customHeight="1">
      <c r="A8285" s="199"/>
    </row>
    <row r="8286" spans="1:1" s="200" customFormat="1" ht="12" hidden="1" customHeight="1">
      <c r="A8286" s="199"/>
    </row>
    <row r="8287" spans="1:1" s="200" customFormat="1" ht="12" hidden="1" customHeight="1">
      <c r="A8287" s="199"/>
    </row>
    <row r="8288" spans="1:1" s="200" customFormat="1" ht="12" hidden="1" customHeight="1">
      <c r="A8288" s="199"/>
    </row>
    <row r="8289" spans="1:1" s="200" customFormat="1" ht="12" hidden="1" customHeight="1">
      <c r="A8289" s="199"/>
    </row>
    <row r="8290" spans="1:1" s="200" customFormat="1" ht="12" hidden="1" customHeight="1">
      <c r="A8290" s="199"/>
    </row>
    <row r="8291" spans="1:1" s="200" customFormat="1" ht="12" hidden="1" customHeight="1">
      <c r="A8291" s="199"/>
    </row>
    <row r="8292" spans="1:1" s="200" customFormat="1" ht="12" hidden="1" customHeight="1">
      <c r="A8292" s="199"/>
    </row>
    <row r="8293" spans="1:1" s="200" customFormat="1" ht="12" hidden="1" customHeight="1">
      <c r="A8293" s="199"/>
    </row>
    <row r="8294" spans="1:1" s="200" customFormat="1" ht="12" hidden="1" customHeight="1">
      <c r="A8294" s="199"/>
    </row>
    <row r="8295" spans="1:1" s="200" customFormat="1" ht="12" hidden="1" customHeight="1">
      <c r="A8295" s="199"/>
    </row>
    <row r="8296" spans="1:1" s="200" customFormat="1" ht="12" hidden="1" customHeight="1">
      <c r="A8296" s="199"/>
    </row>
    <row r="8297" spans="1:1" s="200" customFormat="1" ht="12" hidden="1" customHeight="1">
      <c r="A8297" s="199"/>
    </row>
    <row r="8298" spans="1:1" s="200" customFormat="1" ht="12" hidden="1" customHeight="1">
      <c r="A8298" s="199"/>
    </row>
    <row r="8299" spans="1:1" s="200" customFormat="1" ht="12" hidden="1" customHeight="1">
      <c r="A8299" s="199"/>
    </row>
    <row r="8300" spans="1:1" s="200" customFormat="1" ht="12" hidden="1" customHeight="1">
      <c r="A8300" s="199"/>
    </row>
    <row r="8301" spans="1:1" s="200" customFormat="1" ht="12" hidden="1" customHeight="1">
      <c r="A8301" s="199"/>
    </row>
    <row r="8302" spans="1:1" s="200" customFormat="1" ht="12" hidden="1" customHeight="1">
      <c r="A8302" s="199"/>
    </row>
    <row r="8303" spans="1:1" s="200" customFormat="1" ht="12" hidden="1" customHeight="1">
      <c r="A8303" s="199"/>
    </row>
    <row r="8304" spans="1:1" s="200" customFormat="1" ht="12" hidden="1" customHeight="1">
      <c r="A8304" s="199"/>
    </row>
    <row r="8305" spans="1:1" s="200" customFormat="1" ht="12" hidden="1" customHeight="1">
      <c r="A8305" s="199"/>
    </row>
    <row r="8306" spans="1:1" s="200" customFormat="1" ht="12" hidden="1" customHeight="1">
      <c r="A8306" s="199"/>
    </row>
    <row r="8307" spans="1:1" s="200" customFormat="1" ht="12" hidden="1" customHeight="1">
      <c r="A8307" s="199"/>
    </row>
    <row r="8308" spans="1:1" s="200" customFormat="1" ht="12" hidden="1" customHeight="1">
      <c r="A8308" s="199"/>
    </row>
    <row r="8309" spans="1:1" s="200" customFormat="1" ht="12" hidden="1" customHeight="1">
      <c r="A8309" s="199"/>
    </row>
    <row r="8310" spans="1:1" s="200" customFormat="1" ht="12" hidden="1" customHeight="1">
      <c r="A8310" s="199"/>
    </row>
    <row r="8311" spans="1:1" s="200" customFormat="1" ht="12" hidden="1" customHeight="1">
      <c r="A8311" s="199"/>
    </row>
    <row r="8312" spans="1:1" s="200" customFormat="1" ht="12" hidden="1" customHeight="1">
      <c r="A8312" s="199"/>
    </row>
    <row r="8313" spans="1:1" s="200" customFormat="1" ht="12" hidden="1" customHeight="1">
      <c r="A8313" s="199"/>
    </row>
    <row r="8314" spans="1:1" s="200" customFormat="1" ht="12" hidden="1" customHeight="1">
      <c r="A8314" s="199"/>
    </row>
    <row r="8315" spans="1:1" s="200" customFormat="1" ht="12" hidden="1" customHeight="1">
      <c r="A8315" s="199"/>
    </row>
    <row r="8316" spans="1:1" s="200" customFormat="1" ht="12" hidden="1" customHeight="1">
      <c r="A8316" s="199"/>
    </row>
    <row r="8317" spans="1:1" s="200" customFormat="1" ht="12" hidden="1" customHeight="1">
      <c r="A8317" s="199"/>
    </row>
    <row r="8318" spans="1:1" s="200" customFormat="1" ht="12" hidden="1" customHeight="1">
      <c r="A8318" s="199"/>
    </row>
    <row r="8319" spans="1:1" s="200" customFormat="1" ht="12" hidden="1" customHeight="1">
      <c r="A8319" s="199"/>
    </row>
    <row r="8320" spans="1:1" s="200" customFormat="1" ht="12" hidden="1" customHeight="1">
      <c r="A8320" s="199"/>
    </row>
    <row r="8321" spans="1:1" s="200" customFormat="1" ht="12" hidden="1" customHeight="1">
      <c r="A8321" s="199"/>
    </row>
    <row r="8322" spans="1:1" s="200" customFormat="1" ht="12" hidden="1" customHeight="1">
      <c r="A8322" s="199"/>
    </row>
    <row r="8323" spans="1:1" s="200" customFormat="1" ht="12" hidden="1" customHeight="1">
      <c r="A8323" s="199"/>
    </row>
    <row r="8324" spans="1:1" s="200" customFormat="1" ht="12" hidden="1" customHeight="1">
      <c r="A8324" s="199"/>
    </row>
    <row r="8325" spans="1:1" s="200" customFormat="1" ht="12" hidden="1" customHeight="1">
      <c r="A8325" s="199"/>
    </row>
    <row r="8326" spans="1:1" s="200" customFormat="1" ht="12" hidden="1" customHeight="1">
      <c r="A8326" s="199"/>
    </row>
    <row r="8327" spans="1:1" s="200" customFormat="1" ht="12" hidden="1" customHeight="1">
      <c r="A8327" s="199"/>
    </row>
    <row r="8328" spans="1:1" s="200" customFormat="1" ht="12" hidden="1" customHeight="1">
      <c r="A8328" s="199"/>
    </row>
    <row r="8329" spans="1:1" s="200" customFormat="1" ht="12" hidden="1" customHeight="1">
      <c r="A8329" s="199"/>
    </row>
    <row r="8330" spans="1:1" s="200" customFormat="1" ht="12" hidden="1" customHeight="1">
      <c r="A8330" s="199"/>
    </row>
    <row r="8331" spans="1:1" s="200" customFormat="1" ht="12" hidden="1" customHeight="1">
      <c r="A8331" s="199"/>
    </row>
    <row r="8332" spans="1:1" s="200" customFormat="1" ht="12" hidden="1" customHeight="1">
      <c r="A8332" s="199"/>
    </row>
    <row r="8333" spans="1:1" s="200" customFormat="1" ht="12" hidden="1" customHeight="1">
      <c r="A8333" s="199"/>
    </row>
    <row r="8334" spans="1:1" s="200" customFormat="1" ht="12" hidden="1" customHeight="1">
      <c r="A8334" s="199"/>
    </row>
    <row r="8335" spans="1:1" s="200" customFormat="1" ht="12" hidden="1" customHeight="1">
      <c r="A8335" s="199"/>
    </row>
    <row r="8336" spans="1:1" s="200" customFormat="1" ht="12" hidden="1" customHeight="1">
      <c r="A8336" s="199"/>
    </row>
    <row r="8337" spans="1:1" s="200" customFormat="1" ht="12" hidden="1" customHeight="1">
      <c r="A8337" s="199"/>
    </row>
    <row r="8338" spans="1:1" s="200" customFormat="1" ht="12" hidden="1" customHeight="1">
      <c r="A8338" s="199"/>
    </row>
    <row r="8339" spans="1:1" s="200" customFormat="1" ht="12" hidden="1" customHeight="1">
      <c r="A8339" s="199"/>
    </row>
    <row r="8340" spans="1:1" s="200" customFormat="1" ht="12" hidden="1" customHeight="1">
      <c r="A8340" s="199"/>
    </row>
    <row r="8341" spans="1:1" s="200" customFormat="1" ht="12" hidden="1" customHeight="1">
      <c r="A8341" s="199"/>
    </row>
    <row r="8342" spans="1:1" s="200" customFormat="1" ht="12" hidden="1" customHeight="1">
      <c r="A8342" s="199"/>
    </row>
    <row r="8343" spans="1:1" s="200" customFormat="1" ht="12" hidden="1" customHeight="1">
      <c r="A8343" s="199"/>
    </row>
    <row r="8344" spans="1:1" s="200" customFormat="1" ht="12" hidden="1" customHeight="1">
      <c r="A8344" s="199"/>
    </row>
    <row r="8345" spans="1:1" s="200" customFormat="1" ht="12" hidden="1" customHeight="1">
      <c r="A8345" s="199"/>
    </row>
    <row r="8346" spans="1:1" s="200" customFormat="1" ht="12" hidden="1" customHeight="1">
      <c r="A8346" s="199"/>
    </row>
    <row r="8347" spans="1:1" s="200" customFormat="1" ht="12" hidden="1" customHeight="1">
      <c r="A8347" s="199"/>
    </row>
    <row r="8348" spans="1:1" s="200" customFormat="1" ht="12" hidden="1" customHeight="1">
      <c r="A8348" s="199"/>
    </row>
    <row r="8349" spans="1:1" s="200" customFormat="1" ht="12" hidden="1" customHeight="1">
      <c r="A8349" s="199"/>
    </row>
    <row r="8350" spans="1:1" s="200" customFormat="1" ht="12" hidden="1" customHeight="1">
      <c r="A8350" s="199"/>
    </row>
    <row r="8351" spans="1:1" s="200" customFormat="1" ht="12" hidden="1" customHeight="1">
      <c r="A8351" s="199"/>
    </row>
    <row r="8352" spans="1:1" s="200" customFormat="1" ht="12" hidden="1" customHeight="1">
      <c r="A8352" s="199"/>
    </row>
    <row r="8353" spans="1:1" s="200" customFormat="1" ht="12" hidden="1" customHeight="1">
      <c r="A8353" s="199"/>
    </row>
    <row r="8354" spans="1:1" s="200" customFormat="1" ht="12" hidden="1" customHeight="1">
      <c r="A8354" s="199"/>
    </row>
    <row r="8355" spans="1:1" s="200" customFormat="1" ht="12" hidden="1" customHeight="1">
      <c r="A8355" s="199"/>
    </row>
    <row r="8356" spans="1:1" s="200" customFormat="1" ht="12" hidden="1" customHeight="1">
      <c r="A8356" s="199"/>
    </row>
    <row r="8357" spans="1:1" s="200" customFormat="1" ht="12" hidden="1" customHeight="1">
      <c r="A8357" s="199"/>
    </row>
    <row r="8358" spans="1:1" s="200" customFormat="1" ht="12" hidden="1" customHeight="1">
      <c r="A8358" s="199"/>
    </row>
    <row r="8359" spans="1:1" s="200" customFormat="1" ht="12" hidden="1" customHeight="1">
      <c r="A8359" s="199"/>
    </row>
    <row r="8360" spans="1:1" s="200" customFormat="1" ht="12" hidden="1" customHeight="1">
      <c r="A8360" s="199"/>
    </row>
    <row r="8361" spans="1:1" s="200" customFormat="1" ht="12" hidden="1" customHeight="1">
      <c r="A8361" s="199"/>
    </row>
    <row r="8362" spans="1:1" s="200" customFormat="1" ht="12" hidden="1" customHeight="1">
      <c r="A8362" s="199"/>
    </row>
    <row r="8363" spans="1:1" s="200" customFormat="1" ht="12" hidden="1" customHeight="1">
      <c r="A8363" s="199"/>
    </row>
    <row r="8364" spans="1:1" s="200" customFormat="1" ht="12" hidden="1" customHeight="1">
      <c r="A8364" s="199"/>
    </row>
    <row r="8365" spans="1:1" s="200" customFormat="1" ht="12" hidden="1" customHeight="1">
      <c r="A8365" s="199"/>
    </row>
    <row r="8366" spans="1:1" s="200" customFormat="1" ht="12" hidden="1" customHeight="1">
      <c r="A8366" s="199"/>
    </row>
    <row r="8367" spans="1:1" s="200" customFormat="1" ht="12" hidden="1" customHeight="1">
      <c r="A8367" s="199"/>
    </row>
    <row r="8368" spans="1:1" s="200" customFormat="1" ht="12" hidden="1" customHeight="1">
      <c r="A8368" s="199"/>
    </row>
    <row r="8369" spans="1:1" s="200" customFormat="1" ht="12" hidden="1" customHeight="1">
      <c r="A8369" s="199"/>
    </row>
    <row r="8370" spans="1:1" s="200" customFormat="1" ht="12" hidden="1" customHeight="1">
      <c r="A8370" s="199"/>
    </row>
    <row r="8371" spans="1:1" s="200" customFormat="1" ht="12" hidden="1" customHeight="1">
      <c r="A8371" s="199"/>
    </row>
    <row r="8372" spans="1:1" s="200" customFormat="1" ht="12" hidden="1" customHeight="1">
      <c r="A8372" s="199"/>
    </row>
    <row r="8373" spans="1:1" s="200" customFormat="1" ht="12" hidden="1" customHeight="1">
      <c r="A8373" s="199"/>
    </row>
    <row r="8374" spans="1:1" s="200" customFormat="1" ht="12" hidden="1" customHeight="1">
      <c r="A8374" s="199"/>
    </row>
    <row r="8375" spans="1:1" s="200" customFormat="1" ht="12" hidden="1" customHeight="1">
      <c r="A8375" s="199"/>
    </row>
    <row r="8376" spans="1:1" s="200" customFormat="1" ht="12" hidden="1" customHeight="1">
      <c r="A8376" s="199"/>
    </row>
    <row r="8377" spans="1:1" s="200" customFormat="1" ht="12" hidden="1" customHeight="1">
      <c r="A8377" s="199"/>
    </row>
    <row r="8378" spans="1:1" s="200" customFormat="1" ht="12" hidden="1" customHeight="1">
      <c r="A8378" s="199"/>
    </row>
    <row r="8379" spans="1:1" s="200" customFormat="1" ht="12" hidden="1" customHeight="1">
      <c r="A8379" s="199"/>
    </row>
    <row r="8380" spans="1:1" s="200" customFormat="1" ht="12" hidden="1" customHeight="1">
      <c r="A8380" s="199"/>
    </row>
    <row r="8381" spans="1:1" s="200" customFormat="1" ht="12" hidden="1" customHeight="1">
      <c r="A8381" s="199"/>
    </row>
    <row r="8382" spans="1:1" s="200" customFormat="1" ht="12" hidden="1" customHeight="1">
      <c r="A8382" s="199"/>
    </row>
    <row r="8383" spans="1:1" s="200" customFormat="1" ht="12" hidden="1" customHeight="1">
      <c r="A8383" s="199"/>
    </row>
    <row r="8384" spans="1:1" s="200" customFormat="1" ht="12" hidden="1" customHeight="1">
      <c r="A8384" s="199"/>
    </row>
    <row r="8385" spans="1:1" s="200" customFormat="1" ht="12" hidden="1" customHeight="1">
      <c r="A8385" s="199"/>
    </row>
    <row r="8386" spans="1:1" s="200" customFormat="1" ht="12" hidden="1" customHeight="1">
      <c r="A8386" s="199"/>
    </row>
    <row r="8387" spans="1:1" s="200" customFormat="1" ht="12" hidden="1" customHeight="1">
      <c r="A8387" s="199"/>
    </row>
    <row r="8388" spans="1:1" s="200" customFormat="1" ht="12" hidden="1" customHeight="1">
      <c r="A8388" s="199"/>
    </row>
    <row r="8389" spans="1:1" s="200" customFormat="1" ht="12" hidden="1" customHeight="1">
      <c r="A8389" s="199"/>
    </row>
    <row r="8390" spans="1:1" s="200" customFormat="1" ht="12" hidden="1" customHeight="1">
      <c r="A8390" s="199"/>
    </row>
    <row r="8391" spans="1:1" s="200" customFormat="1" ht="12" hidden="1" customHeight="1">
      <c r="A8391" s="199"/>
    </row>
    <row r="8392" spans="1:1" s="200" customFormat="1" ht="12" hidden="1" customHeight="1">
      <c r="A8392" s="199"/>
    </row>
    <row r="8393" spans="1:1" s="200" customFormat="1" ht="12" hidden="1" customHeight="1">
      <c r="A8393" s="199"/>
    </row>
    <row r="8394" spans="1:1" s="200" customFormat="1" ht="12" hidden="1" customHeight="1">
      <c r="A8394" s="199"/>
    </row>
    <row r="8395" spans="1:1" s="200" customFormat="1" ht="12" hidden="1" customHeight="1">
      <c r="A8395" s="199"/>
    </row>
    <row r="8396" spans="1:1" s="200" customFormat="1" ht="12" hidden="1" customHeight="1">
      <c r="A8396" s="199"/>
    </row>
    <row r="8397" spans="1:1" s="200" customFormat="1" ht="12" hidden="1" customHeight="1">
      <c r="A8397" s="199"/>
    </row>
    <row r="8398" spans="1:1" s="200" customFormat="1" ht="12" hidden="1" customHeight="1">
      <c r="A8398" s="199"/>
    </row>
    <row r="8399" spans="1:1" s="200" customFormat="1" ht="12" hidden="1" customHeight="1">
      <c r="A8399" s="199"/>
    </row>
    <row r="8400" spans="1:1" s="200" customFormat="1" ht="12" hidden="1" customHeight="1">
      <c r="A8400" s="199"/>
    </row>
    <row r="8401" spans="1:1" s="200" customFormat="1" ht="12" hidden="1" customHeight="1">
      <c r="A8401" s="199"/>
    </row>
    <row r="8402" spans="1:1" s="200" customFormat="1" ht="12" hidden="1" customHeight="1">
      <c r="A8402" s="199"/>
    </row>
    <row r="8403" spans="1:1" s="200" customFormat="1" ht="12" hidden="1" customHeight="1">
      <c r="A8403" s="199"/>
    </row>
    <row r="8404" spans="1:1" s="200" customFormat="1" ht="12" hidden="1" customHeight="1">
      <c r="A8404" s="199"/>
    </row>
    <row r="8405" spans="1:1" s="200" customFormat="1" ht="12" hidden="1" customHeight="1">
      <c r="A8405" s="199"/>
    </row>
    <row r="8406" spans="1:1" s="200" customFormat="1" ht="12" hidden="1" customHeight="1">
      <c r="A8406" s="199"/>
    </row>
    <row r="8407" spans="1:1" s="200" customFormat="1" ht="12" hidden="1" customHeight="1">
      <c r="A8407" s="199"/>
    </row>
    <row r="8408" spans="1:1" s="200" customFormat="1" ht="12" hidden="1" customHeight="1">
      <c r="A8408" s="199"/>
    </row>
    <row r="8409" spans="1:1" s="200" customFormat="1" ht="12" hidden="1" customHeight="1">
      <c r="A8409" s="199"/>
    </row>
    <row r="8410" spans="1:1" s="200" customFormat="1" ht="12" hidden="1" customHeight="1">
      <c r="A8410" s="199"/>
    </row>
    <row r="8411" spans="1:1" s="200" customFormat="1" ht="12" hidden="1" customHeight="1">
      <c r="A8411" s="199"/>
    </row>
    <row r="8412" spans="1:1" s="200" customFormat="1" ht="12" hidden="1" customHeight="1">
      <c r="A8412" s="199"/>
    </row>
    <row r="8413" spans="1:1" s="200" customFormat="1" ht="12" hidden="1" customHeight="1">
      <c r="A8413" s="199"/>
    </row>
    <row r="8414" spans="1:1" s="200" customFormat="1" ht="12" hidden="1" customHeight="1">
      <c r="A8414" s="199"/>
    </row>
    <row r="8415" spans="1:1" s="200" customFormat="1" ht="12" hidden="1" customHeight="1">
      <c r="A8415" s="199"/>
    </row>
    <row r="8416" spans="1:1" s="200" customFormat="1" ht="12" hidden="1" customHeight="1">
      <c r="A8416" s="199"/>
    </row>
    <row r="8417" spans="1:1" s="200" customFormat="1" ht="12" hidden="1" customHeight="1">
      <c r="A8417" s="199"/>
    </row>
    <row r="8418" spans="1:1" s="200" customFormat="1" ht="12" hidden="1" customHeight="1">
      <c r="A8418" s="199"/>
    </row>
    <row r="8419" spans="1:1" s="200" customFormat="1" ht="12" hidden="1" customHeight="1">
      <c r="A8419" s="199"/>
    </row>
    <row r="8420" spans="1:1" s="200" customFormat="1" ht="12" hidden="1" customHeight="1">
      <c r="A8420" s="199"/>
    </row>
    <row r="8421" spans="1:1" s="200" customFormat="1" ht="12" hidden="1" customHeight="1">
      <c r="A8421" s="199"/>
    </row>
    <row r="8422" spans="1:1" s="200" customFormat="1" ht="12" hidden="1" customHeight="1">
      <c r="A8422" s="199"/>
    </row>
    <row r="8423" spans="1:1" s="200" customFormat="1" ht="12" hidden="1" customHeight="1">
      <c r="A8423" s="199"/>
    </row>
    <row r="8424" spans="1:1" s="200" customFormat="1" ht="12" hidden="1" customHeight="1">
      <c r="A8424" s="199"/>
    </row>
    <row r="8425" spans="1:1" s="200" customFormat="1" ht="12" hidden="1" customHeight="1">
      <c r="A8425" s="199"/>
    </row>
    <row r="8426" spans="1:1" s="200" customFormat="1" ht="12" hidden="1" customHeight="1">
      <c r="A8426" s="199"/>
    </row>
    <row r="8427" spans="1:1" s="200" customFormat="1" ht="12" hidden="1" customHeight="1">
      <c r="A8427" s="199"/>
    </row>
    <row r="8428" spans="1:1" s="200" customFormat="1" ht="12" hidden="1" customHeight="1">
      <c r="A8428" s="199"/>
    </row>
    <row r="8429" spans="1:1" s="200" customFormat="1" ht="12" hidden="1" customHeight="1">
      <c r="A8429" s="199"/>
    </row>
    <row r="8430" spans="1:1" s="200" customFormat="1" ht="12" hidden="1" customHeight="1">
      <c r="A8430" s="199"/>
    </row>
    <row r="8431" spans="1:1" s="200" customFormat="1" ht="12" hidden="1" customHeight="1">
      <c r="A8431" s="199"/>
    </row>
    <row r="8432" spans="1:1" s="200" customFormat="1" ht="12" hidden="1" customHeight="1">
      <c r="A8432" s="199"/>
    </row>
    <row r="8433" spans="1:1" s="200" customFormat="1" ht="12" hidden="1" customHeight="1">
      <c r="A8433" s="199"/>
    </row>
    <row r="8434" spans="1:1" s="200" customFormat="1" ht="12" hidden="1" customHeight="1">
      <c r="A8434" s="199"/>
    </row>
    <row r="8435" spans="1:1" s="200" customFormat="1" ht="12" hidden="1" customHeight="1">
      <c r="A8435" s="199"/>
    </row>
    <row r="8436" spans="1:1" s="200" customFormat="1" ht="12" hidden="1" customHeight="1">
      <c r="A8436" s="199"/>
    </row>
    <row r="8437" spans="1:1" s="200" customFormat="1" ht="12" hidden="1" customHeight="1">
      <c r="A8437" s="199"/>
    </row>
    <row r="8438" spans="1:1" s="200" customFormat="1" ht="12" hidden="1" customHeight="1">
      <c r="A8438" s="199"/>
    </row>
    <row r="8439" spans="1:1" s="200" customFormat="1" ht="12" hidden="1" customHeight="1">
      <c r="A8439" s="199"/>
    </row>
    <row r="8440" spans="1:1" s="200" customFormat="1" ht="12" hidden="1" customHeight="1">
      <c r="A8440" s="199"/>
    </row>
    <row r="8441" spans="1:1" s="200" customFormat="1" ht="12" hidden="1" customHeight="1">
      <c r="A8441" s="199"/>
    </row>
    <row r="8442" spans="1:1" s="200" customFormat="1" ht="12" hidden="1" customHeight="1">
      <c r="A8442" s="199"/>
    </row>
    <row r="8443" spans="1:1" s="200" customFormat="1" ht="12" hidden="1" customHeight="1">
      <c r="A8443" s="199"/>
    </row>
    <row r="8444" spans="1:1" s="200" customFormat="1" ht="12" hidden="1" customHeight="1">
      <c r="A8444" s="199"/>
    </row>
    <row r="8445" spans="1:1" s="200" customFormat="1" ht="12" hidden="1" customHeight="1">
      <c r="A8445" s="199"/>
    </row>
    <row r="8446" spans="1:1" s="200" customFormat="1" ht="12" hidden="1" customHeight="1">
      <c r="A8446" s="199"/>
    </row>
    <row r="8447" spans="1:1" s="200" customFormat="1" ht="12" hidden="1" customHeight="1">
      <c r="A8447" s="199"/>
    </row>
    <row r="8448" spans="1:1" s="200" customFormat="1" ht="12" hidden="1" customHeight="1">
      <c r="A8448" s="199"/>
    </row>
    <row r="8449" spans="1:1" s="200" customFormat="1" ht="12" hidden="1" customHeight="1">
      <c r="A8449" s="199"/>
    </row>
    <row r="8450" spans="1:1" s="200" customFormat="1" ht="12" hidden="1" customHeight="1">
      <c r="A8450" s="199"/>
    </row>
    <row r="8451" spans="1:1" s="200" customFormat="1" ht="12" hidden="1" customHeight="1">
      <c r="A8451" s="199"/>
    </row>
    <row r="8452" spans="1:1" s="200" customFormat="1" ht="12" hidden="1" customHeight="1">
      <c r="A8452" s="199"/>
    </row>
    <row r="8453" spans="1:1" s="200" customFormat="1" ht="12" hidden="1" customHeight="1">
      <c r="A8453" s="199"/>
    </row>
    <row r="8454" spans="1:1" s="200" customFormat="1" ht="12" hidden="1" customHeight="1">
      <c r="A8454" s="199"/>
    </row>
    <row r="8455" spans="1:1" s="200" customFormat="1" ht="12" hidden="1" customHeight="1">
      <c r="A8455" s="199"/>
    </row>
    <row r="8456" spans="1:1" s="200" customFormat="1" ht="12" hidden="1" customHeight="1">
      <c r="A8456" s="199"/>
    </row>
    <row r="8457" spans="1:1" s="200" customFormat="1" ht="12" hidden="1" customHeight="1">
      <c r="A8457" s="199"/>
    </row>
    <row r="8458" spans="1:1" s="200" customFormat="1" ht="12" hidden="1" customHeight="1">
      <c r="A8458" s="199"/>
    </row>
    <row r="8459" spans="1:1" s="200" customFormat="1" ht="12" hidden="1" customHeight="1">
      <c r="A8459" s="199"/>
    </row>
    <row r="8460" spans="1:1" s="200" customFormat="1" ht="12" hidden="1" customHeight="1">
      <c r="A8460" s="199"/>
    </row>
    <row r="8461" spans="1:1" s="200" customFormat="1" ht="12" hidden="1" customHeight="1">
      <c r="A8461" s="199"/>
    </row>
    <row r="8462" spans="1:1" s="200" customFormat="1" ht="12" hidden="1" customHeight="1">
      <c r="A8462" s="199"/>
    </row>
    <row r="8463" spans="1:1" s="200" customFormat="1" ht="12" hidden="1" customHeight="1">
      <c r="A8463" s="199"/>
    </row>
    <row r="8464" spans="1:1" s="200" customFormat="1" ht="12" hidden="1" customHeight="1">
      <c r="A8464" s="199"/>
    </row>
    <row r="8465" spans="1:1" s="200" customFormat="1" ht="12" hidden="1" customHeight="1">
      <c r="A8465" s="199"/>
    </row>
    <row r="8466" spans="1:1" s="200" customFormat="1" ht="12" hidden="1" customHeight="1">
      <c r="A8466" s="199"/>
    </row>
    <row r="8467" spans="1:1" s="200" customFormat="1" ht="12" hidden="1" customHeight="1">
      <c r="A8467" s="199"/>
    </row>
    <row r="8468" spans="1:1" s="200" customFormat="1" ht="12" hidden="1" customHeight="1">
      <c r="A8468" s="199"/>
    </row>
    <row r="8469" spans="1:1" s="200" customFormat="1" ht="12" hidden="1" customHeight="1">
      <c r="A8469" s="199"/>
    </row>
    <row r="8470" spans="1:1" s="200" customFormat="1" ht="12" hidden="1" customHeight="1">
      <c r="A8470" s="199"/>
    </row>
    <row r="8471" spans="1:1" s="200" customFormat="1" ht="12" hidden="1" customHeight="1">
      <c r="A8471" s="199"/>
    </row>
    <row r="8472" spans="1:1" s="200" customFormat="1" ht="12" hidden="1" customHeight="1">
      <c r="A8472" s="199"/>
    </row>
    <row r="8473" spans="1:1" s="200" customFormat="1" ht="12" hidden="1" customHeight="1">
      <c r="A8473" s="199"/>
    </row>
    <row r="8474" spans="1:1" s="200" customFormat="1" ht="12" hidden="1" customHeight="1">
      <c r="A8474" s="199"/>
    </row>
    <row r="8475" spans="1:1" s="200" customFormat="1" ht="12" hidden="1" customHeight="1">
      <c r="A8475" s="199"/>
    </row>
    <row r="8476" spans="1:1" s="200" customFormat="1" ht="12" hidden="1" customHeight="1">
      <c r="A8476" s="199"/>
    </row>
    <row r="8477" spans="1:1" s="200" customFormat="1" ht="12" hidden="1" customHeight="1">
      <c r="A8477" s="199"/>
    </row>
    <row r="8478" spans="1:1" s="200" customFormat="1" ht="12" hidden="1" customHeight="1">
      <c r="A8478" s="199"/>
    </row>
    <row r="8479" spans="1:1" s="200" customFormat="1" ht="12" hidden="1" customHeight="1">
      <c r="A8479" s="199"/>
    </row>
    <row r="8480" spans="1:1" s="200" customFormat="1" ht="12" hidden="1" customHeight="1">
      <c r="A8480" s="199"/>
    </row>
    <row r="8481" spans="1:1" s="200" customFormat="1" ht="12" hidden="1" customHeight="1">
      <c r="A8481" s="199"/>
    </row>
    <row r="8482" spans="1:1" s="200" customFormat="1" ht="12" hidden="1" customHeight="1">
      <c r="A8482" s="199"/>
    </row>
    <row r="8483" spans="1:1" s="200" customFormat="1" ht="12" hidden="1" customHeight="1">
      <c r="A8483" s="199"/>
    </row>
    <row r="8484" spans="1:1" s="200" customFormat="1" ht="12" hidden="1" customHeight="1">
      <c r="A8484" s="199"/>
    </row>
    <row r="8485" spans="1:1" s="200" customFormat="1" ht="12" hidden="1" customHeight="1">
      <c r="A8485" s="199"/>
    </row>
    <row r="8486" spans="1:1" s="200" customFormat="1" ht="12" hidden="1" customHeight="1">
      <c r="A8486" s="199"/>
    </row>
    <row r="8487" spans="1:1" s="200" customFormat="1" ht="12" hidden="1" customHeight="1">
      <c r="A8487" s="199"/>
    </row>
    <row r="8488" spans="1:1" s="200" customFormat="1" ht="12" hidden="1" customHeight="1">
      <c r="A8488" s="199"/>
    </row>
    <row r="8489" spans="1:1" s="200" customFormat="1" ht="12" hidden="1" customHeight="1">
      <c r="A8489" s="199"/>
    </row>
    <row r="8490" spans="1:1" s="200" customFormat="1" ht="12" hidden="1" customHeight="1">
      <c r="A8490" s="199"/>
    </row>
    <row r="8491" spans="1:1" s="200" customFormat="1" ht="12" hidden="1" customHeight="1">
      <c r="A8491" s="199"/>
    </row>
    <row r="8492" spans="1:1" s="200" customFormat="1" ht="12" hidden="1" customHeight="1">
      <c r="A8492" s="199"/>
    </row>
    <row r="8493" spans="1:1" s="200" customFormat="1" ht="12" hidden="1" customHeight="1">
      <c r="A8493" s="199"/>
    </row>
    <row r="8494" spans="1:1" s="200" customFormat="1" ht="12" hidden="1" customHeight="1">
      <c r="A8494" s="199"/>
    </row>
    <row r="8495" spans="1:1" s="200" customFormat="1" ht="12" hidden="1" customHeight="1">
      <c r="A8495" s="199"/>
    </row>
    <row r="8496" spans="1:1" s="200" customFormat="1" ht="12" hidden="1" customHeight="1">
      <c r="A8496" s="199"/>
    </row>
    <row r="8497" spans="1:1" s="200" customFormat="1" ht="12" hidden="1" customHeight="1">
      <c r="A8497" s="199"/>
    </row>
    <row r="8498" spans="1:1" s="200" customFormat="1" ht="12" hidden="1" customHeight="1">
      <c r="A8498" s="199"/>
    </row>
    <row r="8499" spans="1:1" s="200" customFormat="1" ht="12" hidden="1" customHeight="1">
      <c r="A8499" s="199"/>
    </row>
    <row r="8500" spans="1:1" s="200" customFormat="1" ht="12" hidden="1" customHeight="1">
      <c r="A8500" s="199"/>
    </row>
    <row r="8501" spans="1:1" s="200" customFormat="1" ht="12" hidden="1" customHeight="1">
      <c r="A8501" s="199"/>
    </row>
    <row r="8502" spans="1:1" s="200" customFormat="1" ht="12" hidden="1" customHeight="1">
      <c r="A8502" s="199"/>
    </row>
    <row r="8503" spans="1:1" s="200" customFormat="1" ht="12" hidden="1" customHeight="1">
      <c r="A8503" s="199"/>
    </row>
    <row r="8504" spans="1:1" s="200" customFormat="1" ht="12" hidden="1" customHeight="1">
      <c r="A8504" s="199"/>
    </row>
    <row r="8505" spans="1:1" s="200" customFormat="1" ht="12" hidden="1" customHeight="1">
      <c r="A8505" s="199"/>
    </row>
    <row r="8506" spans="1:1" s="200" customFormat="1" ht="12" hidden="1" customHeight="1">
      <c r="A8506" s="199"/>
    </row>
    <row r="8507" spans="1:1" s="200" customFormat="1" ht="12" hidden="1" customHeight="1">
      <c r="A8507" s="199"/>
    </row>
    <row r="8508" spans="1:1" s="200" customFormat="1" ht="12" hidden="1" customHeight="1">
      <c r="A8508" s="199"/>
    </row>
    <row r="8509" spans="1:1" s="200" customFormat="1" ht="12" hidden="1" customHeight="1">
      <c r="A8509" s="199"/>
    </row>
    <row r="8510" spans="1:1" s="200" customFormat="1" ht="12" hidden="1" customHeight="1">
      <c r="A8510" s="199"/>
    </row>
    <row r="8511" spans="1:1" s="200" customFormat="1" ht="12" hidden="1" customHeight="1">
      <c r="A8511" s="199"/>
    </row>
    <row r="8512" spans="1:1" s="200" customFormat="1" ht="12" hidden="1" customHeight="1">
      <c r="A8512" s="199"/>
    </row>
    <row r="8513" spans="1:1" s="200" customFormat="1" ht="12" hidden="1" customHeight="1">
      <c r="A8513" s="199"/>
    </row>
    <row r="8514" spans="1:1" s="200" customFormat="1" ht="12" hidden="1" customHeight="1">
      <c r="A8514" s="199"/>
    </row>
    <row r="8515" spans="1:1" s="200" customFormat="1" ht="12" hidden="1" customHeight="1">
      <c r="A8515" s="199"/>
    </row>
    <row r="8516" spans="1:1" s="200" customFormat="1" ht="12" hidden="1" customHeight="1">
      <c r="A8516" s="199"/>
    </row>
    <row r="8517" spans="1:1" s="200" customFormat="1" ht="12" hidden="1" customHeight="1">
      <c r="A8517" s="199"/>
    </row>
    <row r="8518" spans="1:1" s="200" customFormat="1" ht="12" hidden="1" customHeight="1">
      <c r="A8518" s="199"/>
    </row>
    <row r="8519" spans="1:1" s="200" customFormat="1" ht="12" hidden="1" customHeight="1">
      <c r="A8519" s="199"/>
    </row>
    <row r="8520" spans="1:1" s="200" customFormat="1" ht="12" hidden="1" customHeight="1">
      <c r="A8520" s="199"/>
    </row>
    <row r="8521" spans="1:1" s="200" customFormat="1" ht="12" hidden="1" customHeight="1">
      <c r="A8521" s="199"/>
    </row>
    <row r="8522" spans="1:1" s="200" customFormat="1" ht="12" hidden="1" customHeight="1">
      <c r="A8522" s="199"/>
    </row>
    <row r="8523" spans="1:1" s="200" customFormat="1" ht="12" hidden="1" customHeight="1">
      <c r="A8523" s="199"/>
    </row>
    <row r="8524" spans="1:1" s="200" customFormat="1" ht="12" hidden="1" customHeight="1">
      <c r="A8524" s="199"/>
    </row>
    <row r="8525" spans="1:1" s="200" customFormat="1" ht="12" hidden="1" customHeight="1">
      <c r="A8525" s="199"/>
    </row>
    <row r="8526" spans="1:1" s="200" customFormat="1" ht="12" hidden="1" customHeight="1">
      <c r="A8526" s="199"/>
    </row>
    <row r="8527" spans="1:1" s="200" customFormat="1" ht="12" hidden="1" customHeight="1">
      <c r="A8527" s="199"/>
    </row>
    <row r="8528" spans="1:1" s="200" customFormat="1" ht="12" hidden="1" customHeight="1">
      <c r="A8528" s="199"/>
    </row>
    <row r="8529" spans="1:1" s="200" customFormat="1" ht="12" hidden="1" customHeight="1">
      <c r="A8529" s="199"/>
    </row>
    <row r="8530" spans="1:1" s="200" customFormat="1" ht="12" hidden="1" customHeight="1">
      <c r="A8530" s="199"/>
    </row>
    <row r="8531" spans="1:1" s="200" customFormat="1" ht="12" hidden="1" customHeight="1">
      <c r="A8531" s="199"/>
    </row>
    <row r="8532" spans="1:1" s="200" customFormat="1" ht="12" hidden="1" customHeight="1">
      <c r="A8532" s="199"/>
    </row>
    <row r="8533" spans="1:1" s="200" customFormat="1" ht="12" hidden="1" customHeight="1">
      <c r="A8533" s="199"/>
    </row>
    <row r="8534" spans="1:1" s="200" customFormat="1" ht="12" hidden="1" customHeight="1">
      <c r="A8534" s="199"/>
    </row>
    <row r="8535" spans="1:1" s="200" customFormat="1" ht="12" hidden="1" customHeight="1">
      <c r="A8535" s="199"/>
    </row>
    <row r="8536" spans="1:1" s="200" customFormat="1" ht="12" hidden="1" customHeight="1">
      <c r="A8536" s="199"/>
    </row>
    <row r="8537" spans="1:1" s="200" customFormat="1" ht="12" hidden="1" customHeight="1">
      <c r="A8537" s="199"/>
    </row>
    <row r="8538" spans="1:1" s="200" customFormat="1" ht="12" hidden="1" customHeight="1">
      <c r="A8538" s="199"/>
    </row>
    <row r="8539" spans="1:1" s="200" customFormat="1" ht="12" hidden="1" customHeight="1">
      <c r="A8539" s="199"/>
    </row>
    <row r="8540" spans="1:1" s="200" customFormat="1" ht="12" hidden="1" customHeight="1">
      <c r="A8540" s="199"/>
    </row>
    <row r="8541" spans="1:1" s="200" customFormat="1" ht="12" hidden="1" customHeight="1">
      <c r="A8541" s="199"/>
    </row>
    <row r="8542" spans="1:1" s="200" customFormat="1" ht="12" hidden="1" customHeight="1">
      <c r="A8542" s="199"/>
    </row>
    <row r="8543" spans="1:1" s="200" customFormat="1" ht="12" hidden="1" customHeight="1">
      <c r="A8543" s="199"/>
    </row>
    <row r="8544" spans="1:1" s="200" customFormat="1" ht="12" hidden="1" customHeight="1">
      <c r="A8544" s="199"/>
    </row>
    <row r="8545" spans="1:1" s="200" customFormat="1" ht="12" hidden="1" customHeight="1">
      <c r="A8545" s="199"/>
    </row>
    <row r="8546" spans="1:1" s="200" customFormat="1" ht="12" hidden="1" customHeight="1">
      <c r="A8546" s="199"/>
    </row>
    <row r="8547" spans="1:1" s="200" customFormat="1" ht="12" hidden="1" customHeight="1">
      <c r="A8547" s="199"/>
    </row>
    <row r="8548" spans="1:1" s="200" customFormat="1" ht="12" hidden="1" customHeight="1">
      <c r="A8548" s="199"/>
    </row>
    <row r="8549" spans="1:1" s="200" customFormat="1" ht="12" hidden="1" customHeight="1">
      <c r="A8549" s="199"/>
    </row>
    <row r="8550" spans="1:1" s="200" customFormat="1" ht="12" hidden="1" customHeight="1">
      <c r="A8550" s="199"/>
    </row>
    <row r="8551" spans="1:1" s="200" customFormat="1" ht="12" hidden="1" customHeight="1">
      <c r="A8551" s="199"/>
    </row>
    <row r="8552" spans="1:1" s="200" customFormat="1" ht="12" hidden="1" customHeight="1">
      <c r="A8552" s="199"/>
    </row>
    <row r="8553" spans="1:1" s="200" customFormat="1" ht="12" hidden="1" customHeight="1">
      <c r="A8553" s="199"/>
    </row>
    <row r="8554" spans="1:1" s="200" customFormat="1" ht="12" hidden="1" customHeight="1">
      <c r="A8554" s="199"/>
    </row>
    <row r="8555" spans="1:1" s="200" customFormat="1" ht="12" hidden="1" customHeight="1">
      <c r="A8555" s="199"/>
    </row>
    <row r="8556" spans="1:1" s="200" customFormat="1" ht="12" hidden="1" customHeight="1">
      <c r="A8556" s="199"/>
    </row>
    <row r="8557" spans="1:1" s="200" customFormat="1" ht="12" hidden="1" customHeight="1">
      <c r="A8557" s="199"/>
    </row>
    <row r="8558" spans="1:1" s="200" customFormat="1" ht="12" hidden="1" customHeight="1">
      <c r="A8558" s="199"/>
    </row>
    <row r="8559" spans="1:1" s="200" customFormat="1" ht="12" hidden="1" customHeight="1">
      <c r="A8559" s="199"/>
    </row>
    <row r="8560" spans="1:1" s="200" customFormat="1" ht="12" hidden="1" customHeight="1">
      <c r="A8560" s="199"/>
    </row>
    <row r="8561" spans="1:1" s="200" customFormat="1" ht="12" hidden="1" customHeight="1">
      <c r="A8561" s="199"/>
    </row>
    <row r="8562" spans="1:1" s="200" customFormat="1" ht="12" hidden="1" customHeight="1">
      <c r="A8562" s="199"/>
    </row>
    <row r="8563" spans="1:1" s="200" customFormat="1" ht="12" hidden="1" customHeight="1">
      <c r="A8563" s="199"/>
    </row>
    <row r="8564" spans="1:1" s="200" customFormat="1" ht="12" hidden="1" customHeight="1">
      <c r="A8564" s="199"/>
    </row>
    <row r="8565" spans="1:1" s="200" customFormat="1" ht="12" hidden="1" customHeight="1">
      <c r="A8565" s="199"/>
    </row>
    <row r="8566" spans="1:1" s="200" customFormat="1" ht="12" hidden="1" customHeight="1">
      <c r="A8566" s="199"/>
    </row>
    <row r="8567" spans="1:1" s="200" customFormat="1" ht="12" hidden="1" customHeight="1">
      <c r="A8567" s="199"/>
    </row>
    <row r="8568" spans="1:1" s="200" customFormat="1" ht="12" hidden="1" customHeight="1">
      <c r="A8568" s="199"/>
    </row>
    <row r="8569" spans="1:1" s="200" customFormat="1" ht="12" hidden="1" customHeight="1">
      <c r="A8569" s="199"/>
    </row>
    <row r="8570" spans="1:1" s="200" customFormat="1" ht="12" hidden="1" customHeight="1">
      <c r="A8570" s="199"/>
    </row>
    <row r="8571" spans="1:1" s="200" customFormat="1" ht="12" hidden="1" customHeight="1">
      <c r="A8571" s="199"/>
    </row>
    <row r="8572" spans="1:1" s="200" customFormat="1" ht="12" hidden="1" customHeight="1">
      <c r="A8572" s="199"/>
    </row>
    <row r="8573" spans="1:1" s="200" customFormat="1" ht="12" hidden="1" customHeight="1">
      <c r="A8573" s="199"/>
    </row>
    <row r="8574" spans="1:1" s="200" customFormat="1" ht="12" hidden="1" customHeight="1">
      <c r="A8574" s="199"/>
    </row>
    <row r="8575" spans="1:1" s="200" customFormat="1" ht="12" hidden="1" customHeight="1">
      <c r="A8575" s="199"/>
    </row>
    <row r="8576" spans="1:1" s="200" customFormat="1" ht="12" hidden="1" customHeight="1">
      <c r="A8576" s="199"/>
    </row>
    <row r="8577" spans="1:1" s="200" customFormat="1" ht="12" hidden="1" customHeight="1">
      <c r="A8577" s="199"/>
    </row>
    <row r="8578" spans="1:1" s="200" customFormat="1" ht="12" hidden="1" customHeight="1">
      <c r="A8578" s="199"/>
    </row>
    <row r="8579" spans="1:1" s="200" customFormat="1" ht="12" hidden="1" customHeight="1">
      <c r="A8579" s="199"/>
    </row>
    <row r="8580" spans="1:1" s="200" customFormat="1" ht="12" hidden="1" customHeight="1">
      <c r="A8580" s="199"/>
    </row>
    <row r="8581" spans="1:1" s="200" customFormat="1" ht="12" hidden="1" customHeight="1">
      <c r="A8581" s="199"/>
    </row>
    <row r="8582" spans="1:1" s="200" customFormat="1" ht="12" hidden="1" customHeight="1">
      <c r="A8582" s="199"/>
    </row>
    <row r="8583" spans="1:1" s="200" customFormat="1" ht="12" hidden="1" customHeight="1">
      <c r="A8583" s="199"/>
    </row>
    <row r="8584" spans="1:1" s="200" customFormat="1" ht="12" hidden="1" customHeight="1">
      <c r="A8584" s="199"/>
    </row>
    <row r="8585" spans="1:1" s="200" customFormat="1" ht="12" hidden="1" customHeight="1">
      <c r="A8585" s="199"/>
    </row>
    <row r="8586" spans="1:1" s="200" customFormat="1" ht="12" hidden="1" customHeight="1">
      <c r="A8586" s="199"/>
    </row>
    <row r="8587" spans="1:1" s="200" customFormat="1" ht="12" hidden="1" customHeight="1">
      <c r="A8587" s="199"/>
    </row>
    <row r="8588" spans="1:1" s="200" customFormat="1" ht="12" hidden="1" customHeight="1">
      <c r="A8588" s="199"/>
    </row>
    <row r="8589" spans="1:1" s="200" customFormat="1" ht="12" hidden="1" customHeight="1">
      <c r="A8589" s="199"/>
    </row>
    <row r="8590" spans="1:1" s="200" customFormat="1" ht="12" hidden="1" customHeight="1">
      <c r="A8590" s="199"/>
    </row>
    <row r="8591" spans="1:1" s="200" customFormat="1" ht="12" hidden="1" customHeight="1">
      <c r="A8591" s="199"/>
    </row>
    <row r="8592" spans="1:1" s="200" customFormat="1" ht="12" hidden="1" customHeight="1">
      <c r="A8592" s="199"/>
    </row>
    <row r="8593" spans="1:1" s="200" customFormat="1" ht="12" hidden="1" customHeight="1">
      <c r="A8593" s="199"/>
    </row>
    <row r="8594" spans="1:1" s="200" customFormat="1" ht="12" hidden="1" customHeight="1">
      <c r="A8594" s="199"/>
    </row>
    <row r="8595" spans="1:1" s="200" customFormat="1" ht="12" hidden="1" customHeight="1">
      <c r="A8595" s="199"/>
    </row>
    <row r="8596" spans="1:1" s="200" customFormat="1" ht="12" hidden="1" customHeight="1">
      <c r="A8596" s="199"/>
    </row>
    <row r="8597" spans="1:1" s="200" customFormat="1" ht="12" hidden="1" customHeight="1">
      <c r="A8597" s="199"/>
    </row>
    <row r="8598" spans="1:1" s="200" customFormat="1" ht="12" hidden="1" customHeight="1">
      <c r="A8598" s="199"/>
    </row>
    <row r="8599" spans="1:1" s="200" customFormat="1" ht="12" hidden="1" customHeight="1">
      <c r="A8599" s="199"/>
    </row>
    <row r="8600" spans="1:1" s="200" customFormat="1" ht="12" hidden="1" customHeight="1">
      <c r="A8600" s="199"/>
    </row>
    <row r="8601" spans="1:1" s="200" customFormat="1" ht="12" hidden="1" customHeight="1">
      <c r="A8601" s="199"/>
    </row>
    <row r="8602" spans="1:1" s="200" customFormat="1" ht="12" hidden="1" customHeight="1">
      <c r="A8602" s="199"/>
    </row>
    <row r="8603" spans="1:1" s="200" customFormat="1" ht="12" hidden="1" customHeight="1">
      <c r="A8603" s="199"/>
    </row>
    <row r="8604" spans="1:1" s="200" customFormat="1" ht="12" hidden="1" customHeight="1">
      <c r="A8604" s="199"/>
    </row>
    <row r="8605" spans="1:1" s="200" customFormat="1" ht="12" hidden="1" customHeight="1">
      <c r="A8605" s="199"/>
    </row>
    <row r="8606" spans="1:1" s="200" customFormat="1" ht="12" hidden="1" customHeight="1">
      <c r="A8606" s="199"/>
    </row>
    <row r="8607" spans="1:1" s="200" customFormat="1" ht="12" hidden="1" customHeight="1">
      <c r="A8607" s="199"/>
    </row>
    <row r="8608" spans="1:1" s="200" customFormat="1" ht="12" hidden="1" customHeight="1">
      <c r="A8608" s="199"/>
    </row>
    <row r="8609" spans="1:1" s="200" customFormat="1" ht="12" hidden="1" customHeight="1">
      <c r="A8609" s="199"/>
    </row>
    <row r="8610" spans="1:1" s="200" customFormat="1" ht="12" hidden="1" customHeight="1">
      <c r="A8610" s="199"/>
    </row>
    <row r="8611" spans="1:1" s="200" customFormat="1" ht="12" hidden="1" customHeight="1">
      <c r="A8611" s="199"/>
    </row>
    <row r="8612" spans="1:1" s="200" customFormat="1" ht="12" hidden="1" customHeight="1">
      <c r="A8612" s="199"/>
    </row>
    <row r="8613" spans="1:1" s="200" customFormat="1" ht="12" hidden="1" customHeight="1">
      <c r="A8613" s="199"/>
    </row>
    <row r="8614" spans="1:1" s="200" customFormat="1" ht="12" hidden="1" customHeight="1">
      <c r="A8614" s="199"/>
    </row>
    <row r="8615" spans="1:1" s="200" customFormat="1" ht="12" hidden="1" customHeight="1">
      <c r="A8615" s="199"/>
    </row>
    <row r="8616" spans="1:1" s="200" customFormat="1" ht="12" hidden="1" customHeight="1">
      <c r="A8616" s="199"/>
    </row>
    <row r="8617" spans="1:1" s="200" customFormat="1" ht="12" hidden="1" customHeight="1">
      <c r="A8617" s="199"/>
    </row>
    <row r="8618" spans="1:1" s="200" customFormat="1" ht="12" hidden="1" customHeight="1">
      <c r="A8618" s="199"/>
    </row>
    <row r="8619" spans="1:1" s="200" customFormat="1" ht="12" hidden="1" customHeight="1">
      <c r="A8619" s="199"/>
    </row>
    <row r="8620" spans="1:1" s="200" customFormat="1" ht="12" hidden="1" customHeight="1">
      <c r="A8620" s="199"/>
    </row>
    <row r="8621" spans="1:1" s="200" customFormat="1" ht="12" hidden="1" customHeight="1">
      <c r="A8621" s="199"/>
    </row>
    <row r="8622" spans="1:1" s="200" customFormat="1" ht="12" hidden="1" customHeight="1">
      <c r="A8622" s="199"/>
    </row>
    <row r="8623" spans="1:1" s="200" customFormat="1" ht="12" hidden="1" customHeight="1">
      <c r="A8623" s="199"/>
    </row>
    <row r="8624" spans="1:1" s="200" customFormat="1" ht="12" hidden="1" customHeight="1">
      <c r="A8624" s="199"/>
    </row>
    <row r="8625" spans="1:1" s="200" customFormat="1" ht="12" hidden="1" customHeight="1">
      <c r="A8625" s="199"/>
    </row>
    <row r="8626" spans="1:1" s="200" customFormat="1" ht="12" hidden="1" customHeight="1">
      <c r="A8626" s="199"/>
    </row>
    <row r="8627" spans="1:1" s="200" customFormat="1" ht="12" hidden="1" customHeight="1">
      <c r="A8627" s="199"/>
    </row>
    <row r="8628" spans="1:1" s="200" customFormat="1" ht="12" hidden="1" customHeight="1">
      <c r="A8628" s="199"/>
    </row>
    <row r="8629" spans="1:1" s="200" customFormat="1" ht="12" hidden="1" customHeight="1">
      <c r="A8629" s="199"/>
    </row>
    <row r="8630" spans="1:1" s="200" customFormat="1" ht="12" hidden="1" customHeight="1">
      <c r="A8630" s="199"/>
    </row>
    <row r="8631" spans="1:1" s="200" customFormat="1" ht="12" hidden="1" customHeight="1">
      <c r="A8631" s="199"/>
    </row>
    <row r="8632" spans="1:1" s="200" customFormat="1" ht="12" hidden="1" customHeight="1">
      <c r="A8632" s="199"/>
    </row>
    <row r="8633" spans="1:1" s="200" customFormat="1" ht="12" hidden="1" customHeight="1">
      <c r="A8633" s="199"/>
    </row>
    <row r="8634" spans="1:1" s="200" customFormat="1" ht="12" hidden="1" customHeight="1">
      <c r="A8634" s="199"/>
    </row>
    <row r="8635" spans="1:1" s="200" customFormat="1" ht="12" hidden="1" customHeight="1">
      <c r="A8635" s="199"/>
    </row>
    <row r="8636" spans="1:1" s="200" customFormat="1" ht="12" hidden="1" customHeight="1">
      <c r="A8636" s="199"/>
    </row>
    <row r="8637" spans="1:1" s="200" customFormat="1" ht="12" hidden="1" customHeight="1">
      <c r="A8637" s="199"/>
    </row>
    <row r="8638" spans="1:1" s="200" customFormat="1" ht="12" hidden="1" customHeight="1">
      <c r="A8638" s="199"/>
    </row>
    <row r="8639" spans="1:1" s="200" customFormat="1" ht="12" hidden="1" customHeight="1">
      <c r="A8639" s="199"/>
    </row>
    <row r="8640" spans="1:1" s="200" customFormat="1" ht="12" hidden="1" customHeight="1">
      <c r="A8640" s="199"/>
    </row>
    <row r="8641" spans="1:1" s="200" customFormat="1" ht="12" hidden="1" customHeight="1">
      <c r="A8641" s="199"/>
    </row>
    <row r="8642" spans="1:1" s="200" customFormat="1" ht="12" hidden="1" customHeight="1">
      <c r="A8642" s="199"/>
    </row>
    <row r="8643" spans="1:1" s="200" customFormat="1" ht="12" hidden="1" customHeight="1">
      <c r="A8643" s="199"/>
    </row>
    <row r="8644" spans="1:1" s="200" customFormat="1" ht="12" hidden="1" customHeight="1">
      <c r="A8644" s="199"/>
    </row>
    <row r="8645" spans="1:1" s="200" customFormat="1" ht="12" hidden="1" customHeight="1">
      <c r="A8645" s="199"/>
    </row>
    <row r="8646" spans="1:1" s="200" customFormat="1" ht="12" hidden="1" customHeight="1">
      <c r="A8646" s="199"/>
    </row>
    <row r="8647" spans="1:1" s="200" customFormat="1" ht="12" hidden="1" customHeight="1">
      <c r="A8647" s="199"/>
    </row>
    <row r="8648" spans="1:1" s="200" customFormat="1" ht="12" hidden="1" customHeight="1">
      <c r="A8648" s="199"/>
    </row>
    <row r="8649" spans="1:1" s="200" customFormat="1" ht="12" hidden="1" customHeight="1">
      <c r="A8649" s="199"/>
    </row>
    <row r="8650" spans="1:1" s="200" customFormat="1" ht="12" hidden="1" customHeight="1">
      <c r="A8650" s="199"/>
    </row>
    <row r="8651" spans="1:1" s="200" customFormat="1" ht="12" hidden="1" customHeight="1">
      <c r="A8651" s="199"/>
    </row>
    <row r="8652" spans="1:1" s="200" customFormat="1" ht="12" hidden="1" customHeight="1">
      <c r="A8652" s="199"/>
    </row>
    <row r="8653" spans="1:1" s="200" customFormat="1" ht="12" hidden="1" customHeight="1">
      <c r="A8653" s="199"/>
    </row>
    <row r="8654" spans="1:1" s="200" customFormat="1" ht="12" hidden="1" customHeight="1">
      <c r="A8654" s="199"/>
    </row>
    <row r="8655" spans="1:1" s="200" customFormat="1" ht="12" hidden="1" customHeight="1">
      <c r="A8655" s="199"/>
    </row>
    <row r="8656" spans="1:1" s="200" customFormat="1" ht="12" hidden="1" customHeight="1">
      <c r="A8656" s="199"/>
    </row>
    <row r="8657" spans="1:1" s="200" customFormat="1" ht="12" hidden="1" customHeight="1">
      <c r="A8657" s="199"/>
    </row>
    <row r="8658" spans="1:1" s="200" customFormat="1" ht="12" hidden="1" customHeight="1">
      <c r="A8658" s="199"/>
    </row>
    <row r="8659" spans="1:1" s="200" customFormat="1" ht="12" hidden="1" customHeight="1">
      <c r="A8659" s="199"/>
    </row>
    <row r="8660" spans="1:1" s="200" customFormat="1" ht="12" hidden="1" customHeight="1">
      <c r="A8660" s="199"/>
    </row>
    <row r="8661" spans="1:1" s="200" customFormat="1" ht="12" hidden="1" customHeight="1">
      <c r="A8661" s="199"/>
    </row>
    <row r="8662" spans="1:1" s="200" customFormat="1" ht="12" hidden="1" customHeight="1">
      <c r="A8662" s="199"/>
    </row>
    <row r="8663" spans="1:1" s="200" customFormat="1" ht="12" hidden="1" customHeight="1">
      <c r="A8663" s="199"/>
    </row>
    <row r="8664" spans="1:1" s="200" customFormat="1" ht="12" hidden="1" customHeight="1">
      <c r="A8664" s="199"/>
    </row>
    <row r="8665" spans="1:1" s="200" customFormat="1" ht="12" hidden="1" customHeight="1">
      <c r="A8665" s="199"/>
    </row>
    <row r="8666" spans="1:1" s="200" customFormat="1" ht="12" hidden="1" customHeight="1">
      <c r="A8666" s="199"/>
    </row>
    <row r="8667" spans="1:1" s="200" customFormat="1" ht="12" hidden="1" customHeight="1">
      <c r="A8667" s="199"/>
    </row>
    <row r="8668" spans="1:1" s="200" customFormat="1" ht="12" hidden="1" customHeight="1">
      <c r="A8668" s="199"/>
    </row>
    <row r="8669" spans="1:1" s="200" customFormat="1" ht="12" hidden="1" customHeight="1">
      <c r="A8669" s="199"/>
    </row>
    <row r="8670" spans="1:1" s="200" customFormat="1" ht="12" hidden="1" customHeight="1">
      <c r="A8670" s="199"/>
    </row>
    <row r="8671" spans="1:1" s="200" customFormat="1" ht="12" hidden="1" customHeight="1">
      <c r="A8671" s="199"/>
    </row>
    <row r="8672" spans="1:1" s="200" customFormat="1" ht="12" hidden="1" customHeight="1">
      <c r="A8672" s="199"/>
    </row>
    <row r="8673" spans="1:1" s="200" customFormat="1" ht="12" hidden="1" customHeight="1">
      <c r="A8673" s="199"/>
    </row>
    <row r="8674" spans="1:1" s="200" customFormat="1" ht="12" hidden="1" customHeight="1">
      <c r="A8674" s="199"/>
    </row>
    <row r="8675" spans="1:1" s="200" customFormat="1" ht="12" hidden="1" customHeight="1">
      <c r="A8675" s="199"/>
    </row>
    <row r="8676" spans="1:1" s="200" customFormat="1" ht="12" hidden="1" customHeight="1">
      <c r="A8676" s="199"/>
    </row>
    <row r="8677" spans="1:1" s="200" customFormat="1" ht="12" hidden="1" customHeight="1">
      <c r="A8677" s="199"/>
    </row>
    <row r="8678" spans="1:1" s="200" customFormat="1" ht="12" hidden="1" customHeight="1">
      <c r="A8678" s="199"/>
    </row>
    <row r="8679" spans="1:1" s="200" customFormat="1" ht="12" hidden="1" customHeight="1">
      <c r="A8679" s="199"/>
    </row>
    <row r="8680" spans="1:1" s="200" customFormat="1" ht="12" hidden="1" customHeight="1">
      <c r="A8680" s="199"/>
    </row>
    <row r="8681" spans="1:1" s="200" customFormat="1" ht="12" hidden="1" customHeight="1">
      <c r="A8681" s="199"/>
    </row>
    <row r="8682" spans="1:1" s="200" customFormat="1" ht="12" hidden="1" customHeight="1">
      <c r="A8682" s="199"/>
    </row>
    <row r="8683" spans="1:1" s="200" customFormat="1" ht="12" hidden="1" customHeight="1">
      <c r="A8683" s="199"/>
    </row>
    <row r="8684" spans="1:1" s="200" customFormat="1" ht="12" hidden="1" customHeight="1">
      <c r="A8684" s="199"/>
    </row>
    <row r="8685" spans="1:1" s="200" customFormat="1" ht="12" hidden="1" customHeight="1">
      <c r="A8685" s="199"/>
    </row>
    <row r="8686" spans="1:1" s="200" customFormat="1" ht="12" hidden="1" customHeight="1">
      <c r="A8686" s="199"/>
    </row>
    <row r="8687" spans="1:1" s="200" customFormat="1" ht="12" hidden="1" customHeight="1">
      <c r="A8687" s="199"/>
    </row>
    <row r="8688" spans="1:1" s="200" customFormat="1" ht="12" hidden="1" customHeight="1">
      <c r="A8688" s="199"/>
    </row>
    <row r="8689" spans="1:1" s="200" customFormat="1" ht="12" hidden="1" customHeight="1">
      <c r="A8689" s="199"/>
    </row>
    <row r="8690" spans="1:1" s="200" customFormat="1" ht="12" hidden="1" customHeight="1">
      <c r="A8690" s="199"/>
    </row>
    <row r="8691" spans="1:1" s="200" customFormat="1" ht="12" hidden="1" customHeight="1">
      <c r="A8691" s="199"/>
    </row>
    <row r="8692" spans="1:1" s="200" customFormat="1" ht="12" hidden="1" customHeight="1">
      <c r="A8692" s="199"/>
    </row>
    <row r="8693" spans="1:1" s="200" customFormat="1" ht="12" hidden="1" customHeight="1">
      <c r="A8693" s="199"/>
    </row>
    <row r="8694" spans="1:1" s="200" customFormat="1" ht="12" hidden="1" customHeight="1">
      <c r="A8694" s="199"/>
    </row>
    <row r="8695" spans="1:1" s="200" customFormat="1" ht="12" hidden="1" customHeight="1">
      <c r="A8695" s="199"/>
    </row>
    <row r="8696" spans="1:1" s="200" customFormat="1" ht="12" hidden="1" customHeight="1">
      <c r="A8696" s="199"/>
    </row>
    <row r="8697" spans="1:1" s="200" customFormat="1" ht="12" hidden="1" customHeight="1">
      <c r="A8697" s="199"/>
    </row>
    <row r="8698" spans="1:1" s="200" customFormat="1" ht="12" hidden="1" customHeight="1">
      <c r="A8698" s="199"/>
    </row>
    <row r="8699" spans="1:1" s="200" customFormat="1" ht="12" hidden="1" customHeight="1">
      <c r="A8699" s="199"/>
    </row>
    <row r="8700" spans="1:1" s="200" customFormat="1" ht="12" hidden="1" customHeight="1">
      <c r="A8700" s="199"/>
    </row>
    <row r="8701" spans="1:1" s="200" customFormat="1" ht="12" hidden="1" customHeight="1">
      <c r="A8701" s="199"/>
    </row>
    <row r="8702" spans="1:1" s="200" customFormat="1" ht="12" hidden="1" customHeight="1">
      <c r="A8702" s="199"/>
    </row>
    <row r="8703" spans="1:1" s="200" customFormat="1" ht="12" hidden="1" customHeight="1">
      <c r="A8703" s="199"/>
    </row>
    <row r="8704" spans="1:1" s="200" customFormat="1" ht="12" hidden="1" customHeight="1">
      <c r="A8704" s="199"/>
    </row>
    <row r="8705" spans="1:1" s="200" customFormat="1" ht="12" hidden="1" customHeight="1">
      <c r="A8705" s="199"/>
    </row>
    <row r="8706" spans="1:1" s="200" customFormat="1" ht="12" hidden="1" customHeight="1">
      <c r="A8706" s="199"/>
    </row>
    <row r="8707" spans="1:1" s="200" customFormat="1" ht="12" hidden="1" customHeight="1">
      <c r="A8707" s="199"/>
    </row>
    <row r="8708" spans="1:1" s="200" customFormat="1" ht="12" hidden="1" customHeight="1">
      <c r="A8708" s="199"/>
    </row>
    <row r="8709" spans="1:1" s="200" customFormat="1" ht="12" hidden="1" customHeight="1">
      <c r="A8709" s="199"/>
    </row>
    <row r="8710" spans="1:1" s="200" customFormat="1" ht="12" hidden="1" customHeight="1">
      <c r="A8710" s="199"/>
    </row>
    <row r="8711" spans="1:1" s="200" customFormat="1" ht="12" hidden="1" customHeight="1">
      <c r="A8711" s="199"/>
    </row>
    <row r="8712" spans="1:1" s="200" customFormat="1" ht="12" hidden="1" customHeight="1">
      <c r="A8712" s="199"/>
    </row>
    <row r="8713" spans="1:1" s="200" customFormat="1" ht="12" hidden="1" customHeight="1">
      <c r="A8713" s="199"/>
    </row>
    <row r="8714" spans="1:1" s="200" customFormat="1" ht="12" hidden="1" customHeight="1">
      <c r="A8714" s="199"/>
    </row>
    <row r="8715" spans="1:1" s="200" customFormat="1" ht="12" hidden="1" customHeight="1">
      <c r="A8715" s="199"/>
    </row>
    <row r="8716" spans="1:1" s="200" customFormat="1" ht="12" hidden="1" customHeight="1">
      <c r="A8716" s="199"/>
    </row>
    <row r="8717" spans="1:1" s="200" customFormat="1" ht="12" hidden="1" customHeight="1">
      <c r="A8717" s="199"/>
    </row>
    <row r="8718" spans="1:1" s="200" customFormat="1" ht="12" hidden="1" customHeight="1">
      <c r="A8718" s="199"/>
    </row>
    <row r="8719" spans="1:1" s="200" customFormat="1" ht="12" hidden="1" customHeight="1">
      <c r="A8719" s="199"/>
    </row>
    <row r="8720" spans="1:1" s="200" customFormat="1" ht="12" hidden="1" customHeight="1">
      <c r="A8720" s="199"/>
    </row>
    <row r="8721" spans="1:1" s="200" customFormat="1" ht="12" hidden="1" customHeight="1">
      <c r="A8721" s="199"/>
    </row>
    <row r="8722" spans="1:1" s="200" customFormat="1" ht="12" hidden="1" customHeight="1">
      <c r="A8722" s="199"/>
    </row>
    <row r="8723" spans="1:1" s="200" customFormat="1" ht="12" hidden="1" customHeight="1">
      <c r="A8723" s="199"/>
    </row>
    <row r="8724" spans="1:1" s="200" customFormat="1" ht="12" hidden="1" customHeight="1">
      <c r="A8724" s="199"/>
    </row>
    <row r="8725" spans="1:1" s="200" customFormat="1" ht="12" hidden="1" customHeight="1">
      <c r="A8725" s="199"/>
    </row>
    <row r="8726" spans="1:1" s="200" customFormat="1" ht="12" hidden="1" customHeight="1">
      <c r="A8726" s="199"/>
    </row>
    <row r="8727" spans="1:1" s="200" customFormat="1" ht="12" hidden="1" customHeight="1">
      <c r="A8727" s="199"/>
    </row>
    <row r="8728" spans="1:1" s="200" customFormat="1" ht="12" hidden="1" customHeight="1">
      <c r="A8728" s="199"/>
    </row>
    <row r="8729" spans="1:1" s="200" customFormat="1" ht="12" hidden="1" customHeight="1">
      <c r="A8729" s="199"/>
    </row>
    <row r="8730" spans="1:1" s="200" customFormat="1" ht="12" hidden="1" customHeight="1">
      <c r="A8730" s="199"/>
    </row>
    <row r="8731" spans="1:1" s="200" customFormat="1" ht="12" hidden="1" customHeight="1">
      <c r="A8731" s="199"/>
    </row>
    <row r="8732" spans="1:1" s="200" customFormat="1" ht="12" hidden="1" customHeight="1">
      <c r="A8732" s="199"/>
    </row>
    <row r="8733" spans="1:1" s="200" customFormat="1" ht="12" hidden="1" customHeight="1">
      <c r="A8733" s="199"/>
    </row>
    <row r="8734" spans="1:1" s="200" customFormat="1" ht="12" hidden="1" customHeight="1">
      <c r="A8734" s="199"/>
    </row>
    <row r="8735" spans="1:1" s="200" customFormat="1" ht="12" hidden="1" customHeight="1">
      <c r="A8735" s="199"/>
    </row>
    <row r="8736" spans="1:1" s="200" customFormat="1" ht="12" hidden="1" customHeight="1">
      <c r="A8736" s="199"/>
    </row>
    <row r="8737" spans="1:1" s="200" customFormat="1" ht="12" hidden="1" customHeight="1">
      <c r="A8737" s="199"/>
    </row>
    <row r="8738" spans="1:1" s="200" customFormat="1" ht="12" hidden="1" customHeight="1">
      <c r="A8738" s="199"/>
    </row>
    <row r="8739" spans="1:1" s="200" customFormat="1" ht="12" hidden="1" customHeight="1">
      <c r="A8739" s="199"/>
    </row>
    <row r="8740" spans="1:1" s="200" customFormat="1" ht="12" hidden="1" customHeight="1">
      <c r="A8740" s="199"/>
    </row>
    <row r="8741" spans="1:1" s="200" customFormat="1" ht="12" hidden="1" customHeight="1">
      <c r="A8741" s="199"/>
    </row>
    <row r="8742" spans="1:1" s="200" customFormat="1" ht="12" hidden="1" customHeight="1">
      <c r="A8742" s="199"/>
    </row>
    <row r="8743" spans="1:1" s="200" customFormat="1" ht="12" hidden="1" customHeight="1">
      <c r="A8743" s="199"/>
    </row>
    <row r="8744" spans="1:1" s="200" customFormat="1" ht="12" hidden="1" customHeight="1">
      <c r="A8744" s="199"/>
    </row>
    <row r="8745" spans="1:1" s="200" customFormat="1" ht="12" hidden="1" customHeight="1">
      <c r="A8745" s="199"/>
    </row>
    <row r="8746" spans="1:1" s="200" customFormat="1" ht="12" hidden="1" customHeight="1">
      <c r="A8746" s="199"/>
    </row>
    <row r="8747" spans="1:1" s="200" customFormat="1" ht="12" hidden="1" customHeight="1">
      <c r="A8747" s="199"/>
    </row>
    <row r="8748" spans="1:1" s="200" customFormat="1" ht="12" hidden="1" customHeight="1">
      <c r="A8748" s="199"/>
    </row>
    <row r="8749" spans="1:1" s="200" customFormat="1" ht="12" hidden="1" customHeight="1">
      <c r="A8749" s="199"/>
    </row>
    <row r="8750" spans="1:1" s="200" customFormat="1" ht="12" hidden="1" customHeight="1">
      <c r="A8750" s="199"/>
    </row>
    <row r="8751" spans="1:1" s="200" customFormat="1" ht="12" hidden="1" customHeight="1">
      <c r="A8751" s="199"/>
    </row>
    <row r="8752" spans="1:1" s="200" customFormat="1" ht="12" hidden="1" customHeight="1">
      <c r="A8752" s="199"/>
    </row>
    <row r="8753" spans="1:1" s="200" customFormat="1" ht="12" hidden="1" customHeight="1">
      <c r="A8753" s="199"/>
    </row>
    <row r="8754" spans="1:1" s="200" customFormat="1" ht="12" hidden="1" customHeight="1">
      <c r="A8754" s="199"/>
    </row>
    <row r="8755" spans="1:1" s="200" customFormat="1" ht="12" hidden="1" customHeight="1">
      <c r="A8755" s="199"/>
    </row>
    <row r="8756" spans="1:1" s="200" customFormat="1" ht="12" hidden="1" customHeight="1">
      <c r="A8756" s="199"/>
    </row>
    <row r="8757" spans="1:1" s="200" customFormat="1" ht="12" hidden="1" customHeight="1">
      <c r="A8757" s="199"/>
    </row>
    <row r="8758" spans="1:1" s="200" customFormat="1" ht="12" hidden="1" customHeight="1">
      <c r="A8758" s="199"/>
    </row>
    <row r="8759" spans="1:1" s="200" customFormat="1" ht="12" hidden="1" customHeight="1">
      <c r="A8759" s="199"/>
    </row>
    <row r="8760" spans="1:1" s="200" customFormat="1" ht="12" hidden="1" customHeight="1">
      <c r="A8760" s="199"/>
    </row>
    <row r="8761" spans="1:1" s="200" customFormat="1" ht="12" hidden="1" customHeight="1">
      <c r="A8761" s="199"/>
    </row>
    <row r="8762" spans="1:1" s="200" customFormat="1" ht="12" hidden="1" customHeight="1">
      <c r="A8762" s="199"/>
    </row>
    <row r="8763" spans="1:1" s="200" customFormat="1" ht="12" hidden="1" customHeight="1">
      <c r="A8763" s="199"/>
    </row>
    <row r="8764" spans="1:1" s="200" customFormat="1" ht="12" hidden="1" customHeight="1">
      <c r="A8764" s="199"/>
    </row>
    <row r="8765" spans="1:1" s="200" customFormat="1" ht="12" hidden="1" customHeight="1">
      <c r="A8765" s="199"/>
    </row>
    <row r="8766" spans="1:1" s="200" customFormat="1" ht="12" hidden="1" customHeight="1">
      <c r="A8766" s="199"/>
    </row>
    <row r="8767" spans="1:1" s="200" customFormat="1" ht="12" hidden="1" customHeight="1">
      <c r="A8767" s="199"/>
    </row>
    <row r="8768" spans="1:1" s="200" customFormat="1" ht="12" hidden="1" customHeight="1">
      <c r="A8768" s="199"/>
    </row>
    <row r="8769" spans="1:1" s="200" customFormat="1" ht="12" hidden="1" customHeight="1">
      <c r="A8769" s="199"/>
    </row>
    <row r="8770" spans="1:1" s="200" customFormat="1" ht="12" hidden="1" customHeight="1">
      <c r="A8770" s="199"/>
    </row>
    <row r="8771" spans="1:1" s="200" customFormat="1" ht="12" hidden="1" customHeight="1">
      <c r="A8771" s="199"/>
    </row>
    <row r="8772" spans="1:1" s="200" customFormat="1" ht="12" hidden="1" customHeight="1">
      <c r="A8772" s="199"/>
    </row>
    <row r="8773" spans="1:1" s="200" customFormat="1" ht="12" hidden="1" customHeight="1">
      <c r="A8773" s="199"/>
    </row>
    <row r="8774" spans="1:1" s="200" customFormat="1" ht="12" hidden="1" customHeight="1">
      <c r="A8774" s="199"/>
    </row>
    <row r="8775" spans="1:1" s="200" customFormat="1" ht="12" hidden="1" customHeight="1">
      <c r="A8775" s="199"/>
    </row>
    <row r="8776" spans="1:1" s="200" customFormat="1" ht="12" hidden="1" customHeight="1">
      <c r="A8776" s="199"/>
    </row>
    <row r="8777" spans="1:1" s="200" customFormat="1" ht="12" hidden="1" customHeight="1">
      <c r="A8777" s="199"/>
    </row>
    <row r="8778" spans="1:1" s="200" customFormat="1" ht="12" hidden="1" customHeight="1">
      <c r="A8778" s="199"/>
    </row>
    <row r="8779" spans="1:1" s="200" customFormat="1" ht="12" hidden="1" customHeight="1">
      <c r="A8779" s="199"/>
    </row>
    <row r="8780" spans="1:1" s="200" customFormat="1" ht="12" hidden="1" customHeight="1">
      <c r="A8780" s="199"/>
    </row>
    <row r="8781" spans="1:1" s="200" customFormat="1" ht="12" hidden="1" customHeight="1">
      <c r="A8781" s="199"/>
    </row>
    <row r="8782" spans="1:1" s="200" customFormat="1" ht="12" hidden="1" customHeight="1">
      <c r="A8782" s="199"/>
    </row>
    <row r="8783" spans="1:1" s="200" customFormat="1" ht="12" hidden="1" customHeight="1">
      <c r="A8783" s="199"/>
    </row>
    <row r="8784" spans="1:1" s="200" customFormat="1" ht="12" hidden="1" customHeight="1">
      <c r="A8784" s="199"/>
    </row>
    <row r="8785" spans="1:1" s="200" customFormat="1" ht="12" hidden="1" customHeight="1">
      <c r="A8785" s="199"/>
    </row>
    <row r="8786" spans="1:1" s="200" customFormat="1" ht="12" hidden="1" customHeight="1">
      <c r="A8786" s="199"/>
    </row>
    <row r="8787" spans="1:1" s="200" customFormat="1" ht="12" hidden="1" customHeight="1">
      <c r="A8787" s="199"/>
    </row>
    <row r="8788" spans="1:1" s="200" customFormat="1" ht="12" hidden="1" customHeight="1">
      <c r="A8788" s="199"/>
    </row>
    <row r="8789" spans="1:1" s="200" customFormat="1" ht="12" hidden="1" customHeight="1">
      <c r="A8789" s="199"/>
    </row>
    <row r="8790" spans="1:1" s="200" customFormat="1" ht="12" hidden="1" customHeight="1">
      <c r="A8790" s="199"/>
    </row>
    <row r="8791" spans="1:1" s="200" customFormat="1" ht="12" hidden="1" customHeight="1">
      <c r="A8791" s="199"/>
    </row>
    <row r="8792" spans="1:1" s="200" customFormat="1" ht="12" hidden="1" customHeight="1">
      <c r="A8792" s="199"/>
    </row>
    <row r="8793" spans="1:1" s="200" customFormat="1" ht="12" hidden="1" customHeight="1">
      <c r="A8793" s="199"/>
    </row>
    <row r="8794" spans="1:1" s="200" customFormat="1" ht="12" hidden="1" customHeight="1">
      <c r="A8794" s="199"/>
    </row>
    <row r="8795" spans="1:1" s="200" customFormat="1" ht="12" hidden="1" customHeight="1">
      <c r="A8795" s="199"/>
    </row>
    <row r="8796" spans="1:1" s="200" customFormat="1" ht="12" hidden="1" customHeight="1">
      <c r="A8796" s="199"/>
    </row>
    <row r="8797" spans="1:1" s="200" customFormat="1" ht="12" hidden="1" customHeight="1">
      <c r="A8797" s="199"/>
    </row>
    <row r="8798" spans="1:1" s="200" customFormat="1" ht="12" hidden="1" customHeight="1">
      <c r="A8798" s="199"/>
    </row>
    <row r="8799" spans="1:1" s="200" customFormat="1" ht="12" hidden="1" customHeight="1">
      <c r="A8799" s="199"/>
    </row>
    <row r="8800" spans="1:1" s="200" customFormat="1" ht="12" hidden="1" customHeight="1">
      <c r="A8800" s="199"/>
    </row>
    <row r="8801" spans="1:1" s="200" customFormat="1" ht="12" hidden="1" customHeight="1">
      <c r="A8801" s="199"/>
    </row>
    <row r="8802" spans="1:1" s="200" customFormat="1" ht="12" hidden="1" customHeight="1">
      <c r="A8802" s="199"/>
    </row>
    <row r="8803" spans="1:1" s="200" customFormat="1" ht="12" hidden="1" customHeight="1">
      <c r="A8803" s="199"/>
    </row>
    <row r="8804" spans="1:1" s="200" customFormat="1" ht="12" hidden="1" customHeight="1">
      <c r="A8804" s="199"/>
    </row>
    <row r="8805" spans="1:1" s="200" customFormat="1" ht="12" hidden="1" customHeight="1">
      <c r="A8805" s="199"/>
    </row>
    <row r="8806" spans="1:1" s="200" customFormat="1" ht="12" hidden="1" customHeight="1">
      <c r="A8806" s="199"/>
    </row>
    <row r="8807" spans="1:1" s="200" customFormat="1" ht="12" hidden="1" customHeight="1">
      <c r="A8807" s="199"/>
    </row>
    <row r="8808" spans="1:1" s="200" customFormat="1" ht="12" hidden="1" customHeight="1">
      <c r="A8808" s="199"/>
    </row>
    <row r="8809" spans="1:1" s="200" customFormat="1" ht="12" hidden="1" customHeight="1">
      <c r="A8809" s="199"/>
    </row>
    <row r="8810" spans="1:1" s="200" customFormat="1" ht="12" hidden="1" customHeight="1">
      <c r="A8810" s="199"/>
    </row>
    <row r="8811" spans="1:1" s="200" customFormat="1" ht="12" hidden="1" customHeight="1">
      <c r="A8811" s="199"/>
    </row>
    <row r="8812" spans="1:1" s="200" customFormat="1" ht="12" hidden="1" customHeight="1">
      <c r="A8812" s="199"/>
    </row>
    <row r="8813" spans="1:1" s="200" customFormat="1" ht="12" hidden="1" customHeight="1">
      <c r="A8813" s="199"/>
    </row>
    <row r="8814" spans="1:1" s="200" customFormat="1" ht="12" hidden="1" customHeight="1">
      <c r="A8814" s="199"/>
    </row>
    <row r="8815" spans="1:1" s="200" customFormat="1" ht="12" hidden="1" customHeight="1">
      <c r="A8815" s="199"/>
    </row>
    <row r="8816" spans="1:1" s="200" customFormat="1" ht="12" hidden="1" customHeight="1">
      <c r="A8816" s="199"/>
    </row>
    <row r="8817" spans="1:1" s="200" customFormat="1" ht="12" hidden="1" customHeight="1">
      <c r="A8817" s="199"/>
    </row>
    <row r="8818" spans="1:1" s="200" customFormat="1" ht="12" hidden="1" customHeight="1">
      <c r="A8818" s="199"/>
    </row>
    <row r="8819" spans="1:1" s="200" customFormat="1" ht="12" hidden="1" customHeight="1">
      <c r="A8819" s="199"/>
    </row>
    <row r="8820" spans="1:1" s="200" customFormat="1" ht="12" hidden="1" customHeight="1">
      <c r="A8820" s="199"/>
    </row>
    <row r="8821" spans="1:1" s="200" customFormat="1" ht="12" hidden="1" customHeight="1">
      <c r="A8821" s="199"/>
    </row>
    <row r="8822" spans="1:1" s="200" customFormat="1" ht="12" hidden="1" customHeight="1">
      <c r="A8822" s="199"/>
    </row>
    <row r="8823" spans="1:1" s="200" customFormat="1" ht="12" hidden="1" customHeight="1">
      <c r="A8823" s="199"/>
    </row>
    <row r="8824" spans="1:1" s="200" customFormat="1" ht="12" hidden="1" customHeight="1">
      <c r="A8824" s="199"/>
    </row>
    <row r="8825" spans="1:1" s="200" customFormat="1" ht="12" hidden="1" customHeight="1">
      <c r="A8825" s="199"/>
    </row>
    <row r="8826" spans="1:1" s="200" customFormat="1" ht="12" hidden="1" customHeight="1">
      <c r="A8826" s="199"/>
    </row>
    <row r="8827" spans="1:1" s="200" customFormat="1" ht="12" hidden="1" customHeight="1">
      <c r="A8827" s="199"/>
    </row>
    <row r="8828" spans="1:1" s="200" customFormat="1" ht="12" hidden="1" customHeight="1">
      <c r="A8828" s="199"/>
    </row>
    <row r="8829" spans="1:1" s="200" customFormat="1" ht="12" hidden="1" customHeight="1">
      <c r="A8829" s="199"/>
    </row>
    <row r="8830" spans="1:1" s="200" customFormat="1" ht="12" hidden="1" customHeight="1">
      <c r="A8830" s="199"/>
    </row>
    <row r="8831" spans="1:1" s="200" customFormat="1" ht="12" hidden="1" customHeight="1">
      <c r="A8831" s="199"/>
    </row>
    <row r="8832" spans="1:1" s="200" customFormat="1" ht="12" hidden="1" customHeight="1">
      <c r="A8832" s="199"/>
    </row>
    <row r="8833" spans="1:1" s="200" customFormat="1" ht="12" hidden="1" customHeight="1">
      <c r="A8833" s="199"/>
    </row>
    <row r="8834" spans="1:1" s="200" customFormat="1" ht="12" hidden="1" customHeight="1">
      <c r="A8834" s="199"/>
    </row>
    <row r="8835" spans="1:1" s="200" customFormat="1" ht="12" hidden="1" customHeight="1">
      <c r="A8835" s="199"/>
    </row>
    <row r="8836" spans="1:1" s="200" customFormat="1" ht="12" hidden="1" customHeight="1">
      <c r="A8836" s="199"/>
    </row>
    <row r="8837" spans="1:1" s="200" customFormat="1" ht="12" hidden="1" customHeight="1">
      <c r="A8837" s="199"/>
    </row>
    <row r="8838" spans="1:1" s="200" customFormat="1" ht="12" hidden="1" customHeight="1">
      <c r="A8838" s="199"/>
    </row>
    <row r="8839" spans="1:1" s="200" customFormat="1" ht="12" hidden="1" customHeight="1">
      <c r="A8839" s="199"/>
    </row>
    <row r="8840" spans="1:1" s="200" customFormat="1" ht="12" hidden="1" customHeight="1">
      <c r="A8840" s="199"/>
    </row>
    <row r="8841" spans="1:1" s="200" customFormat="1" ht="12" hidden="1" customHeight="1">
      <c r="A8841" s="199"/>
    </row>
    <row r="8842" spans="1:1" s="200" customFormat="1" ht="12" hidden="1" customHeight="1">
      <c r="A8842" s="199"/>
    </row>
    <row r="8843" spans="1:1" s="200" customFormat="1" ht="12" hidden="1" customHeight="1">
      <c r="A8843" s="199"/>
    </row>
    <row r="8844" spans="1:1" s="200" customFormat="1" ht="12" hidden="1" customHeight="1">
      <c r="A8844" s="199"/>
    </row>
    <row r="8845" spans="1:1" s="200" customFormat="1" ht="12" hidden="1" customHeight="1">
      <c r="A8845" s="199"/>
    </row>
    <row r="8846" spans="1:1" s="200" customFormat="1" ht="12" hidden="1" customHeight="1">
      <c r="A8846" s="199"/>
    </row>
    <row r="8847" spans="1:1" s="200" customFormat="1" ht="12" hidden="1" customHeight="1">
      <c r="A8847" s="199"/>
    </row>
    <row r="8848" spans="1:1" s="200" customFormat="1" ht="12" hidden="1" customHeight="1">
      <c r="A8848" s="199"/>
    </row>
    <row r="8849" spans="1:1" s="200" customFormat="1" ht="12" hidden="1" customHeight="1">
      <c r="A8849" s="199"/>
    </row>
    <row r="8850" spans="1:1" s="200" customFormat="1" ht="12" hidden="1" customHeight="1">
      <c r="A8850" s="199"/>
    </row>
    <row r="8851" spans="1:1" s="200" customFormat="1" ht="12" hidden="1" customHeight="1">
      <c r="A8851" s="199"/>
    </row>
    <row r="8852" spans="1:1" s="200" customFormat="1" ht="12" hidden="1" customHeight="1">
      <c r="A8852" s="199"/>
    </row>
    <row r="8853" spans="1:1" s="200" customFormat="1" ht="12" hidden="1" customHeight="1">
      <c r="A8853" s="199"/>
    </row>
    <row r="8854" spans="1:1" s="200" customFormat="1" ht="12" hidden="1" customHeight="1">
      <c r="A8854" s="199"/>
    </row>
    <row r="8855" spans="1:1" s="200" customFormat="1" ht="12" hidden="1" customHeight="1">
      <c r="A8855" s="199"/>
    </row>
    <row r="8856" spans="1:1" s="200" customFormat="1" ht="12" hidden="1" customHeight="1">
      <c r="A8856" s="199"/>
    </row>
    <row r="8857" spans="1:1" s="200" customFormat="1" ht="12" hidden="1" customHeight="1">
      <c r="A8857" s="199"/>
    </row>
    <row r="8858" spans="1:1" s="200" customFormat="1" ht="12" hidden="1" customHeight="1">
      <c r="A8858" s="199"/>
    </row>
    <row r="8859" spans="1:1" s="200" customFormat="1" ht="12" hidden="1" customHeight="1">
      <c r="A8859" s="199"/>
    </row>
    <row r="8860" spans="1:1" s="200" customFormat="1" ht="12" hidden="1" customHeight="1">
      <c r="A8860" s="199"/>
    </row>
    <row r="8861" spans="1:1" s="200" customFormat="1" ht="12" hidden="1" customHeight="1">
      <c r="A8861" s="199"/>
    </row>
    <row r="8862" spans="1:1" s="200" customFormat="1" ht="12" hidden="1" customHeight="1">
      <c r="A8862" s="199"/>
    </row>
    <row r="8863" spans="1:1" s="200" customFormat="1" ht="12" hidden="1" customHeight="1">
      <c r="A8863" s="199"/>
    </row>
    <row r="8864" spans="1:1" s="200" customFormat="1" ht="12" hidden="1" customHeight="1">
      <c r="A8864" s="199"/>
    </row>
    <row r="8865" spans="1:1" s="200" customFormat="1" ht="12" hidden="1" customHeight="1">
      <c r="A8865" s="199"/>
    </row>
    <row r="8866" spans="1:1" s="200" customFormat="1" ht="12" hidden="1" customHeight="1">
      <c r="A8866" s="199"/>
    </row>
    <row r="8867" spans="1:1" s="200" customFormat="1" ht="12" hidden="1" customHeight="1">
      <c r="A8867" s="199"/>
    </row>
    <row r="8868" spans="1:1" s="200" customFormat="1" ht="12" hidden="1" customHeight="1">
      <c r="A8868" s="199"/>
    </row>
    <row r="8869" spans="1:1" s="200" customFormat="1" ht="12" hidden="1" customHeight="1">
      <c r="A8869" s="199"/>
    </row>
    <row r="8870" spans="1:1" s="200" customFormat="1" ht="12" hidden="1" customHeight="1">
      <c r="A8870" s="199"/>
    </row>
    <row r="8871" spans="1:1" s="200" customFormat="1" ht="12" hidden="1" customHeight="1">
      <c r="A8871" s="199"/>
    </row>
    <row r="8872" spans="1:1" s="200" customFormat="1" ht="12" hidden="1" customHeight="1">
      <c r="A8872" s="199"/>
    </row>
    <row r="8873" spans="1:1" s="200" customFormat="1" ht="12" hidden="1" customHeight="1">
      <c r="A8873" s="199"/>
    </row>
    <row r="8874" spans="1:1" s="200" customFormat="1" ht="12" hidden="1" customHeight="1">
      <c r="A8874" s="199"/>
    </row>
    <row r="8875" spans="1:1" s="200" customFormat="1" ht="12" hidden="1" customHeight="1">
      <c r="A8875" s="199"/>
    </row>
    <row r="8876" spans="1:1" s="200" customFormat="1" ht="12" hidden="1" customHeight="1">
      <c r="A8876" s="199"/>
    </row>
    <row r="8877" spans="1:1" s="200" customFormat="1" ht="12" hidden="1" customHeight="1">
      <c r="A8877" s="199"/>
    </row>
    <row r="8878" spans="1:1" s="200" customFormat="1" ht="12" hidden="1" customHeight="1">
      <c r="A8878" s="199"/>
    </row>
    <row r="8879" spans="1:1" s="200" customFormat="1" ht="12" hidden="1" customHeight="1">
      <c r="A8879" s="199"/>
    </row>
    <row r="8880" spans="1:1" s="200" customFormat="1" ht="12" hidden="1" customHeight="1">
      <c r="A8880" s="199"/>
    </row>
    <row r="8881" spans="1:1" s="200" customFormat="1" ht="12" hidden="1" customHeight="1">
      <c r="A8881" s="199"/>
    </row>
    <row r="8882" spans="1:1" s="200" customFormat="1" ht="12" hidden="1" customHeight="1">
      <c r="A8882" s="199"/>
    </row>
    <row r="8883" spans="1:1" s="200" customFormat="1" ht="12" hidden="1" customHeight="1">
      <c r="A8883" s="199"/>
    </row>
    <row r="8884" spans="1:1" s="200" customFormat="1" ht="12" hidden="1" customHeight="1">
      <c r="A8884" s="199"/>
    </row>
    <row r="8885" spans="1:1" s="200" customFormat="1" ht="12" hidden="1" customHeight="1">
      <c r="A8885" s="199"/>
    </row>
    <row r="8886" spans="1:1" s="200" customFormat="1" ht="12" hidden="1" customHeight="1">
      <c r="A8886" s="199"/>
    </row>
    <row r="8887" spans="1:1" s="200" customFormat="1" ht="12" hidden="1" customHeight="1">
      <c r="A8887" s="199"/>
    </row>
    <row r="8888" spans="1:1" s="200" customFormat="1" ht="12" hidden="1" customHeight="1">
      <c r="A8888" s="199"/>
    </row>
    <row r="8889" spans="1:1" s="200" customFormat="1" ht="12" hidden="1" customHeight="1">
      <c r="A8889" s="199"/>
    </row>
    <row r="8890" spans="1:1" s="200" customFormat="1" ht="12" hidden="1" customHeight="1">
      <c r="A8890" s="199"/>
    </row>
    <row r="8891" spans="1:1" s="200" customFormat="1" ht="12" hidden="1" customHeight="1">
      <c r="A8891" s="199"/>
    </row>
    <row r="8892" spans="1:1" s="200" customFormat="1" ht="12" hidden="1" customHeight="1">
      <c r="A8892" s="199"/>
    </row>
    <row r="8893" spans="1:1" s="200" customFormat="1" ht="12" hidden="1" customHeight="1">
      <c r="A8893" s="199"/>
    </row>
    <row r="8894" spans="1:1" s="200" customFormat="1" ht="12" hidden="1" customHeight="1">
      <c r="A8894" s="199"/>
    </row>
    <row r="8895" spans="1:1" s="200" customFormat="1" ht="12" hidden="1" customHeight="1">
      <c r="A8895" s="199"/>
    </row>
    <row r="8896" spans="1:1" s="200" customFormat="1" ht="12" hidden="1" customHeight="1">
      <c r="A8896" s="199"/>
    </row>
    <row r="8897" spans="1:1" s="200" customFormat="1" ht="12" hidden="1" customHeight="1">
      <c r="A8897" s="199"/>
    </row>
    <row r="8898" spans="1:1" s="200" customFormat="1" ht="12" hidden="1" customHeight="1">
      <c r="A8898" s="199"/>
    </row>
    <row r="8899" spans="1:1" s="200" customFormat="1" ht="12" hidden="1" customHeight="1">
      <c r="A8899" s="199"/>
    </row>
    <row r="8900" spans="1:1" s="200" customFormat="1" ht="12" hidden="1" customHeight="1">
      <c r="A8900" s="199"/>
    </row>
    <row r="8901" spans="1:1" s="200" customFormat="1" ht="12" hidden="1" customHeight="1">
      <c r="A8901" s="199"/>
    </row>
    <row r="8902" spans="1:1" s="200" customFormat="1" ht="12" hidden="1" customHeight="1">
      <c r="A8902" s="199"/>
    </row>
    <row r="8903" spans="1:1" s="200" customFormat="1" ht="12" hidden="1" customHeight="1">
      <c r="A8903" s="199"/>
    </row>
    <row r="8904" spans="1:1" s="200" customFormat="1" ht="12" hidden="1" customHeight="1">
      <c r="A8904" s="199"/>
    </row>
    <row r="8905" spans="1:1" s="200" customFormat="1" ht="12" hidden="1" customHeight="1">
      <c r="A8905" s="199"/>
    </row>
    <row r="8906" spans="1:1" s="200" customFormat="1" ht="12" hidden="1" customHeight="1">
      <c r="A8906" s="199"/>
    </row>
    <row r="8907" spans="1:1" s="200" customFormat="1" ht="12" hidden="1" customHeight="1">
      <c r="A8907" s="199"/>
    </row>
    <row r="8908" spans="1:1" s="200" customFormat="1" ht="12" hidden="1" customHeight="1">
      <c r="A8908" s="199"/>
    </row>
    <row r="8909" spans="1:1" s="200" customFormat="1" ht="12" hidden="1" customHeight="1">
      <c r="A8909" s="199"/>
    </row>
    <row r="8910" spans="1:1" s="200" customFormat="1" ht="12" hidden="1" customHeight="1">
      <c r="A8910" s="199"/>
    </row>
    <row r="8911" spans="1:1" s="200" customFormat="1" ht="12" hidden="1" customHeight="1">
      <c r="A8911" s="199"/>
    </row>
    <row r="8912" spans="1:1" s="200" customFormat="1" ht="12" hidden="1" customHeight="1">
      <c r="A8912" s="199"/>
    </row>
    <row r="8913" spans="1:1" s="200" customFormat="1" ht="12" hidden="1" customHeight="1">
      <c r="A8913" s="199"/>
    </row>
    <row r="8914" spans="1:1" s="200" customFormat="1" ht="12" hidden="1" customHeight="1">
      <c r="A8914" s="199"/>
    </row>
    <row r="8915" spans="1:1" s="200" customFormat="1" ht="12" hidden="1" customHeight="1">
      <c r="A8915" s="199"/>
    </row>
    <row r="8916" spans="1:1" s="200" customFormat="1" ht="12" hidden="1" customHeight="1">
      <c r="A8916" s="199"/>
    </row>
    <row r="8917" spans="1:1" s="200" customFormat="1" ht="12" hidden="1" customHeight="1">
      <c r="A8917" s="199"/>
    </row>
    <row r="8918" spans="1:1" s="200" customFormat="1" ht="12" hidden="1" customHeight="1">
      <c r="A8918" s="199"/>
    </row>
    <row r="8919" spans="1:1" s="200" customFormat="1" ht="12" hidden="1" customHeight="1">
      <c r="A8919" s="199"/>
    </row>
    <row r="8920" spans="1:1" s="200" customFormat="1" ht="12" hidden="1" customHeight="1">
      <c r="A8920" s="199"/>
    </row>
    <row r="8921" spans="1:1" s="200" customFormat="1" ht="12" hidden="1" customHeight="1">
      <c r="A8921" s="199"/>
    </row>
    <row r="8922" spans="1:1" s="200" customFormat="1" ht="12" hidden="1" customHeight="1">
      <c r="A8922" s="199"/>
    </row>
    <row r="8923" spans="1:1" s="200" customFormat="1" ht="12" hidden="1" customHeight="1">
      <c r="A8923" s="199"/>
    </row>
    <row r="8924" spans="1:1" s="200" customFormat="1" ht="12" hidden="1" customHeight="1">
      <c r="A8924" s="199"/>
    </row>
    <row r="8925" spans="1:1" s="200" customFormat="1" ht="12" hidden="1" customHeight="1">
      <c r="A8925" s="199"/>
    </row>
    <row r="8926" spans="1:1" s="200" customFormat="1" ht="12" hidden="1" customHeight="1">
      <c r="A8926" s="199"/>
    </row>
    <row r="8927" spans="1:1" s="200" customFormat="1" ht="12" hidden="1" customHeight="1">
      <c r="A8927" s="199"/>
    </row>
    <row r="8928" spans="1:1" s="200" customFormat="1" ht="12" hidden="1" customHeight="1">
      <c r="A8928" s="199"/>
    </row>
    <row r="8929" spans="1:1" s="200" customFormat="1" ht="12" hidden="1" customHeight="1">
      <c r="A8929" s="199"/>
    </row>
    <row r="8930" spans="1:1" s="200" customFormat="1" ht="12" hidden="1" customHeight="1">
      <c r="A8930" s="199"/>
    </row>
    <row r="8931" spans="1:1" s="200" customFormat="1" ht="12" hidden="1" customHeight="1">
      <c r="A8931" s="199"/>
    </row>
    <row r="8932" spans="1:1" s="200" customFormat="1" ht="12" hidden="1" customHeight="1">
      <c r="A8932" s="199"/>
    </row>
    <row r="8933" spans="1:1" s="200" customFormat="1" ht="12" hidden="1" customHeight="1">
      <c r="A8933" s="199"/>
    </row>
    <row r="8934" spans="1:1" s="200" customFormat="1" ht="12" hidden="1" customHeight="1">
      <c r="A8934" s="199"/>
    </row>
    <row r="8935" spans="1:1" s="200" customFormat="1" ht="12" hidden="1" customHeight="1">
      <c r="A8935" s="199"/>
    </row>
    <row r="8936" spans="1:1" s="200" customFormat="1" ht="12" hidden="1" customHeight="1">
      <c r="A8936" s="199"/>
    </row>
    <row r="8937" spans="1:1" s="200" customFormat="1" ht="12" hidden="1" customHeight="1">
      <c r="A8937" s="199"/>
    </row>
    <row r="8938" spans="1:1" s="200" customFormat="1" ht="12" hidden="1" customHeight="1">
      <c r="A8938" s="199"/>
    </row>
    <row r="8939" spans="1:1" s="200" customFormat="1" ht="12" hidden="1" customHeight="1">
      <c r="A8939" s="199"/>
    </row>
    <row r="8940" spans="1:1" s="200" customFormat="1" ht="12" hidden="1" customHeight="1">
      <c r="A8940" s="199"/>
    </row>
    <row r="8941" spans="1:1" s="200" customFormat="1" ht="12" hidden="1" customHeight="1">
      <c r="A8941" s="199"/>
    </row>
    <row r="8942" spans="1:1" s="200" customFormat="1" ht="12" hidden="1" customHeight="1">
      <c r="A8942" s="199"/>
    </row>
    <row r="8943" spans="1:1" s="200" customFormat="1" ht="12" hidden="1" customHeight="1">
      <c r="A8943" s="199"/>
    </row>
    <row r="8944" spans="1:1" s="200" customFormat="1" ht="12" hidden="1" customHeight="1">
      <c r="A8944" s="199"/>
    </row>
    <row r="8945" spans="1:1" s="200" customFormat="1" ht="12" hidden="1" customHeight="1">
      <c r="A8945" s="199"/>
    </row>
    <row r="8946" spans="1:1" s="200" customFormat="1" ht="12" hidden="1" customHeight="1">
      <c r="A8946" s="199"/>
    </row>
    <row r="8947" spans="1:1" s="200" customFormat="1" ht="12" hidden="1" customHeight="1">
      <c r="A8947" s="199"/>
    </row>
    <row r="8948" spans="1:1" s="200" customFormat="1" ht="12" hidden="1" customHeight="1">
      <c r="A8948" s="199"/>
    </row>
    <row r="8949" spans="1:1" s="200" customFormat="1" ht="12" hidden="1" customHeight="1">
      <c r="A8949" s="199"/>
    </row>
    <row r="8950" spans="1:1" s="200" customFormat="1" ht="12" hidden="1" customHeight="1">
      <c r="A8950" s="199"/>
    </row>
    <row r="8951" spans="1:1" s="200" customFormat="1" ht="12" hidden="1" customHeight="1">
      <c r="A8951" s="199"/>
    </row>
    <row r="8952" spans="1:1" s="200" customFormat="1" ht="12" hidden="1" customHeight="1">
      <c r="A8952" s="199"/>
    </row>
    <row r="8953" spans="1:1" s="200" customFormat="1" ht="12" hidden="1" customHeight="1">
      <c r="A8953" s="199"/>
    </row>
    <row r="8954" spans="1:1" s="200" customFormat="1" ht="12" hidden="1" customHeight="1">
      <c r="A8954" s="199"/>
    </row>
    <row r="8955" spans="1:1" s="200" customFormat="1" ht="12" hidden="1" customHeight="1">
      <c r="A8955" s="199"/>
    </row>
    <row r="8956" spans="1:1" s="200" customFormat="1" ht="12" hidden="1" customHeight="1">
      <c r="A8956" s="199"/>
    </row>
    <row r="8957" spans="1:1" s="200" customFormat="1" ht="12" hidden="1" customHeight="1">
      <c r="A8957" s="199"/>
    </row>
    <row r="8958" spans="1:1" s="200" customFormat="1" ht="12" hidden="1" customHeight="1">
      <c r="A8958" s="199"/>
    </row>
    <row r="8959" spans="1:1" s="200" customFormat="1" ht="12" hidden="1" customHeight="1">
      <c r="A8959" s="199"/>
    </row>
    <row r="8960" spans="1:1" s="200" customFormat="1" ht="12" hidden="1" customHeight="1">
      <c r="A8960" s="199"/>
    </row>
    <row r="8961" spans="1:1" s="200" customFormat="1" ht="12" hidden="1" customHeight="1">
      <c r="A8961" s="199"/>
    </row>
    <row r="8962" spans="1:1" s="200" customFormat="1" ht="12" hidden="1" customHeight="1">
      <c r="A8962" s="199"/>
    </row>
    <row r="8963" spans="1:1" s="200" customFormat="1" ht="12" hidden="1" customHeight="1">
      <c r="A8963" s="199"/>
    </row>
    <row r="8964" spans="1:1" s="200" customFormat="1" ht="12" hidden="1" customHeight="1">
      <c r="A8964" s="199"/>
    </row>
    <row r="8965" spans="1:1" s="200" customFormat="1" ht="12" hidden="1" customHeight="1">
      <c r="A8965" s="199"/>
    </row>
    <row r="8966" spans="1:1" s="200" customFormat="1" ht="12" hidden="1" customHeight="1">
      <c r="A8966" s="199"/>
    </row>
    <row r="8967" spans="1:1" s="200" customFormat="1" ht="12" hidden="1" customHeight="1">
      <c r="A8967" s="199"/>
    </row>
    <row r="8968" spans="1:1" s="200" customFormat="1" ht="12" hidden="1" customHeight="1">
      <c r="A8968" s="199"/>
    </row>
    <row r="8969" spans="1:1" s="200" customFormat="1" ht="12" hidden="1" customHeight="1">
      <c r="A8969" s="199"/>
    </row>
    <row r="8970" spans="1:1" s="200" customFormat="1" ht="12" hidden="1" customHeight="1">
      <c r="A8970" s="199"/>
    </row>
    <row r="8971" spans="1:1" s="200" customFormat="1" ht="12" hidden="1" customHeight="1">
      <c r="A8971" s="199"/>
    </row>
    <row r="8972" spans="1:1" s="200" customFormat="1" ht="12" hidden="1" customHeight="1">
      <c r="A8972" s="199"/>
    </row>
    <row r="8973" spans="1:1" s="200" customFormat="1" ht="12" hidden="1" customHeight="1">
      <c r="A8973" s="199"/>
    </row>
    <row r="8974" spans="1:1" s="200" customFormat="1" ht="12" hidden="1" customHeight="1">
      <c r="A8974" s="199"/>
    </row>
    <row r="8975" spans="1:1" s="200" customFormat="1" ht="12" hidden="1" customHeight="1">
      <c r="A8975" s="199"/>
    </row>
    <row r="8976" spans="1:1" s="200" customFormat="1" ht="12" hidden="1" customHeight="1">
      <c r="A8976" s="199"/>
    </row>
    <row r="8977" spans="1:1" s="200" customFormat="1" ht="12" hidden="1" customHeight="1">
      <c r="A8977" s="199"/>
    </row>
    <row r="8978" spans="1:1" s="200" customFormat="1" ht="12" hidden="1" customHeight="1">
      <c r="A8978" s="199"/>
    </row>
    <row r="8979" spans="1:1" s="200" customFormat="1" ht="12" hidden="1" customHeight="1">
      <c r="A8979" s="199"/>
    </row>
    <row r="8980" spans="1:1" s="200" customFormat="1" ht="12" hidden="1" customHeight="1">
      <c r="A8980" s="199"/>
    </row>
    <row r="8981" spans="1:1" s="200" customFormat="1" ht="12" hidden="1" customHeight="1">
      <c r="A8981" s="199"/>
    </row>
    <row r="8982" spans="1:1" s="200" customFormat="1" ht="12" hidden="1" customHeight="1">
      <c r="A8982" s="199"/>
    </row>
    <row r="8983" spans="1:1" s="200" customFormat="1" ht="12" hidden="1" customHeight="1">
      <c r="A8983" s="199"/>
    </row>
    <row r="8984" spans="1:1" s="200" customFormat="1" ht="12" hidden="1" customHeight="1">
      <c r="A8984" s="199"/>
    </row>
    <row r="8985" spans="1:1" s="200" customFormat="1" ht="12" hidden="1" customHeight="1">
      <c r="A8985" s="199"/>
    </row>
    <row r="8986" spans="1:1" s="200" customFormat="1" ht="12" hidden="1" customHeight="1">
      <c r="A8986" s="199"/>
    </row>
    <row r="8987" spans="1:1" s="200" customFormat="1" ht="12" hidden="1" customHeight="1">
      <c r="A8987" s="199"/>
    </row>
    <row r="8988" spans="1:1" s="200" customFormat="1" ht="12" hidden="1" customHeight="1">
      <c r="A8988" s="199"/>
    </row>
    <row r="8989" spans="1:1" s="200" customFormat="1" ht="12" hidden="1" customHeight="1">
      <c r="A8989" s="199"/>
    </row>
    <row r="8990" spans="1:1" s="200" customFormat="1" ht="12" hidden="1" customHeight="1">
      <c r="A8990" s="199"/>
    </row>
    <row r="8991" spans="1:1" s="200" customFormat="1" ht="12" hidden="1" customHeight="1">
      <c r="A8991" s="199"/>
    </row>
    <row r="8992" spans="1:1" s="200" customFormat="1" ht="12" hidden="1" customHeight="1">
      <c r="A8992" s="199"/>
    </row>
    <row r="8993" spans="1:1" s="200" customFormat="1" ht="12" hidden="1" customHeight="1">
      <c r="A8993" s="199"/>
    </row>
    <row r="8994" spans="1:1" s="200" customFormat="1" ht="12" hidden="1" customHeight="1">
      <c r="A8994" s="199"/>
    </row>
    <row r="8995" spans="1:1" s="200" customFormat="1" ht="12" hidden="1" customHeight="1">
      <c r="A8995" s="199"/>
    </row>
    <row r="8996" spans="1:1" s="200" customFormat="1" ht="12" hidden="1" customHeight="1">
      <c r="A8996" s="199"/>
    </row>
    <row r="8997" spans="1:1" s="200" customFormat="1" ht="12" hidden="1" customHeight="1">
      <c r="A8997" s="199"/>
    </row>
    <row r="8998" spans="1:1" s="200" customFormat="1" ht="12" hidden="1" customHeight="1">
      <c r="A8998" s="199"/>
    </row>
    <row r="8999" spans="1:1" s="200" customFormat="1" ht="12" hidden="1" customHeight="1">
      <c r="A8999" s="199"/>
    </row>
    <row r="9000" spans="1:1" s="200" customFormat="1" ht="12" hidden="1" customHeight="1">
      <c r="A9000" s="199"/>
    </row>
    <row r="9001" spans="1:1" s="200" customFormat="1" ht="12" hidden="1" customHeight="1">
      <c r="A9001" s="199"/>
    </row>
    <row r="9002" spans="1:1" s="200" customFormat="1" ht="12" hidden="1" customHeight="1">
      <c r="A9002" s="199"/>
    </row>
    <row r="9003" spans="1:1" s="200" customFormat="1" ht="12" hidden="1" customHeight="1">
      <c r="A9003" s="199"/>
    </row>
    <row r="9004" spans="1:1" s="200" customFormat="1" ht="12" hidden="1" customHeight="1">
      <c r="A9004" s="199"/>
    </row>
    <row r="9005" spans="1:1" s="200" customFormat="1" ht="12" hidden="1" customHeight="1">
      <c r="A9005" s="199"/>
    </row>
    <row r="9006" spans="1:1" s="200" customFormat="1" ht="12" hidden="1" customHeight="1">
      <c r="A9006" s="199"/>
    </row>
    <row r="9007" spans="1:1" s="200" customFormat="1" ht="12" hidden="1" customHeight="1">
      <c r="A9007" s="199"/>
    </row>
    <row r="9008" spans="1:1" s="200" customFormat="1" ht="12" hidden="1" customHeight="1">
      <c r="A9008" s="199"/>
    </row>
    <row r="9009" spans="1:1" s="200" customFormat="1" ht="12" hidden="1" customHeight="1">
      <c r="A9009" s="199"/>
    </row>
    <row r="9010" spans="1:1" s="200" customFormat="1" ht="12" hidden="1" customHeight="1">
      <c r="A9010" s="199"/>
    </row>
    <row r="9011" spans="1:1" s="200" customFormat="1" ht="12" hidden="1" customHeight="1">
      <c r="A9011" s="199"/>
    </row>
    <row r="9012" spans="1:1" s="200" customFormat="1" ht="12" hidden="1" customHeight="1">
      <c r="A9012" s="199"/>
    </row>
    <row r="9013" spans="1:1" s="200" customFormat="1" ht="12" hidden="1" customHeight="1">
      <c r="A9013" s="199"/>
    </row>
    <row r="9014" spans="1:1" s="200" customFormat="1" ht="12" hidden="1" customHeight="1">
      <c r="A9014" s="199"/>
    </row>
    <row r="9015" spans="1:1" s="200" customFormat="1" ht="12" hidden="1" customHeight="1">
      <c r="A9015" s="199"/>
    </row>
    <row r="9016" spans="1:1" s="200" customFormat="1" ht="12" hidden="1" customHeight="1">
      <c r="A9016" s="199"/>
    </row>
    <row r="9017" spans="1:1" s="200" customFormat="1" ht="12" hidden="1" customHeight="1">
      <c r="A9017" s="199"/>
    </row>
    <row r="9018" spans="1:1" s="200" customFormat="1" ht="12" hidden="1" customHeight="1">
      <c r="A9018" s="199"/>
    </row>
    <row r="9019" spans="1:1" s="200" customFormat="1" ht="12" hidden="1" customHeight="1">
      <c r="A9019" s="199"/>
    </row>
    <row r="9020" spans="1:1" s="200" customFormat="1" ht="12" hidden="1" customHeight="1">
      <c r="A9020" s="199"/>
    </row>
    <row r="9021" spans="1:1" s="200" customFormat="1" ht="12" hidden="1" customHeight="1">
      <c r="A9021" s="199"/>
    </row>
    <row r="9022" spans="1:1" s="200" customFormat="1" ht="12" hidden="1" customHeight="1">
      <c r="A9022" s="199"/>
    </row>
    <row r="9023" spans="1:1" s="200" customFormat="1" ht="12" hidden="1" customHeight="1">
      <c r="A9023" s="199"/>
    </row>
    <row r="9024" spans="1:1" s="200" customFormat="1" ht="12" hidden="1" customHeight="1">
      <c r="A9024" s="199"/>
    </row>
    <row r="9025" spans="1:1" s="200" customFormat="1" ht="12" hidden="1" customHeight="1">
      <c r="A9025" s="199"/>
    </row>
    <row r="9026" spans="1:1" s="200" customFormat="1" ht="12" hidden="1" customHeight="1">
      <c r="A9026" s="199"/>
    </row>
    <row r="9027" spans="1:1" s="200" customFormat="1" ht="12" hidden="1" customHeight="1">
      <c r="A9027" s="199"/>
    </row>
    <row r="9028" spans="1:1" s="200" customFormat="1" ht="12" hidden="1" customHeight="1">
      <c r="A9028" s="199"/>
    </row>
    <row r="9029" spans="1:1" s="200" customFormat="1" ht="12" hidden="1" customHeight="1">
      <c r="A9029" s="199"/>
    </row>
    <row r="9030" spans="1:1" s="200" customFormat="1" ht="12" hidden="1" customHeight="1">
      <c r="A9030" s="199"/>
    </row>
    <row r="9031" spans="1:1" s="200" customFormat="1" ht="12" hidden="1" customHeight="1">
      <c r="A9031" s="199"/>
    </row>
    <row r="9032" spans="1:1" s="200" customFormat="1" ht="12" hidden="1" customHeight="1">
      <c r="A9032" s="199"/>
    </row>
    <row r="9033" spans="1:1" s="200" customFormat="1" ht="12" hidden="1" customHeight="1">
      <c r="A9033" s="199"/>
    </row>
    <row r="9034" spans="1:1" s="200" customFormat="1" ht="12" hidden="1" customHeight="1">
      <c r="A9034" s="199"/>
    </row>
    <row r="9035" spans="1:1" s="200" customFormat="1" ht="12" hidden="1" customHeight="1">
      <c r="A9035" s="199"/>
    </row>
    <row r="9036" spans="1:1" s="200" customFormat="1" ht="12" hidden="1" customHeight="1">
      <c r="A9036" s="199"/>
    </row>
    <row r="9037" spans="1:1" s="200" customFormat="1" ht="12" hidden="1" customHeight="1">
      <c r="A9037" s="199"/>
    </row>
    <row r="9038" spans="1:1" s="200" customFormat="1" ht="12" hidden="1" customHeight="1">
      <c r="A9038" s="199"/>
    </row>
    <row r="9039" spans="1:1" s="200" customFormat="1" ht="12" hidden="1" customHeight="1">
      <c r="A9039" s="199"/>
    </row>
    <row r="9040" spans="1:1" s="200" customFormat="1" ht="12" hidden="1" customHeight="1">
      <c r="A9040" s="199"/>
    </row>
    <row r="9041" spans="1:1" s="200" customFormat="1" ht="12" hidden="1" customHeight="1">
      <c r="A9041" s="199"/>
    </row>
    <row r="9042" spans="1:1" s="200" customFormat="1" ht="12" hidden="1" customHeight="1">
      <c r="A9042" s="199"/>
    </row>
    <row r="9043" spans="1:1" s="200" customFormat="1" ht="12" hidden="1" customHeight="1">
      <c r="A9043" s="199"/>
    </row>
    <row r="9044" spans="1:1" s="200" customFormat="1" ht="12" hidden="1" customHeight="1">
      <c r="A9044" s="199"/>
    </row>
    <row r="9045" spans="1:1" s="200" customFormat="1" ht="12" hidden="1" customHeight="1">
      <c r="A9045" s="199"/>
    </row>
    <row r="9046" spans="1:1" s="200" customFormat="1" ht="12" hidden="1" customHeight="1">
      <c r="A9046" s="199"/>
    </row>
    <row r="9047" spans="1:1" s="200" customFormat="1" ht="12" hidden="1" customHeight="1">
      <c r="A9047" s="199"/>
    </row>
    <row r="9048" spans="1:1" s="200" customFormat="1" ht="12" hidden="1" customHeight="1">
      <c r="A9048" s="199"/>
    </row>
    <row r="9049" spans="1:1" s="200" customFormat="1" ht="12" hidden="1" customHeight="1">
      <c r="A9049" s="199"/>
    </row>
    <row r="9050" spans="1:1" s="200" customFormat="1" ht="12" hidden="1" customHeight="1">
      <c r="A9050" s="199"/>
    </row>
    <row r="9051" spans="1:1" s="200" customFormat="1" ht="12" hidden="1" customHeight="1">
      <c r="A9051" s="199"/>
    </row>
    <row r="9052" spans="1:1" s="200" customFormat="1" ht="12" hidden="1" customHeight="1">
      <c r="A9052" s="199"/>
    </row>
    <row r="9053" spans="1:1" s="200" customFormat="1" ht="12" hidden="1" customHeight="1">
      <c r="A9053" s="199"/>
    </row>
    <row r="9054" spans="1:1" s="200" customFormat="1" ht="12" hidden="1" customHeight="1">
      <c r="A9054" s="199"/>
    </row>
    <row r="9055" spans="1:1" s="200" customFormat="1" ht="12" hidden="1" customHeight="1">
      <c r="A9055" s="199"/>
    </row>
    <row r="9056" spans="1:1" s="200" customFormat="1" ht="12" hidden="1" customHeight="1">
      <c r="A9056" s="199"/>
    </row>
    <row r="9057" spans="1:1" s="200" customFormat="1" ht="12" hidden="1" customHeight="1">
      <c r="A9057" s="199"/>
    </row>
    <row r="9058" spans="1:1" s="200" customFormat="1" ht="12" hidden="1" customHeight="1">
      <c r="A9058" s="199"/>
    </row>
    <row r="9059" spans="1:1" s="200" customFormat="1" ht="12" hidden="1" customHeight="1">
      <c r="A9059" s="199"/>
    </row>
    <row r="9060" spans="1:1" s="200" customFormat="1" ht="12" hidden="1" customHeight="1">
      <c r="A9060" s="199"/>
    </row>
    <row r="9061" spans="1:1" s="200" customFormat="1" ht="12" hidden="1" customHeight="1">
      <c r="A9061" s="199"/>
    </row>
    <row r="9062" spans="1:1" s="200" customFormat="1" ht="12" hidden="1" customHeight="1">
      <c r="A9062" s="199"/>
    </row>
    <row r="9063" spans="1:1" s="200" customFormat="1" ht="12" hidden="1" customHeight="1">
      <c r="A9063" s="199"/>
    </row>
    <row r="9064" spans="1:1" s="200" customFormat="1" ht="12" hidden="1" customHeight="1">
      <c r="A9064" s="199"/>
    </row>
    <row r="9065" spans="1:1" s="200" customFormat="1" ht="12" hidden="1" customHeight="1">
      <c r="A9065" s="199"/>
    </row>
    <row r="9066" spans="1:1" s="200" customFormat="1" ht="12" hidden="1" customHeight="1">
      <c r="A9066" s="199"/>
    </row>
    <row r="9067" spans="1:1" s="200" customFormat="1" ht="12" hidden="1" customHeight="1">
      <c r="A9067" s="199"/>
    </row>
    <row r="9068" spans="1:1" s="200" customFormat="1" ht="12" hidden="1" customHeight="1">
      <c r="A9068" s="199"/>
    </row>
    <row r="9069" spans="1:1" s="200" customFormat="1" ht="12" hidden="1" customHeight="1">
      <c r="A9069" s="199"/>
    </row>
    <row r="9070" spans="1:1" s="200" customFormat="1" ht="12" hidden="1" customHeight="1">
      <c r="A9070" s="199"/>
    </row>
    <row r="9071" spans="1:1" s="200" customFormat="1" ht="12" hidden="1" customHeight="1">
      <c r="A9071" s="199"/>
    </row>
    <row r="9072" spans="1:1" s="200" customFormat="1" ht="12" hidden="1" customHeight="1">
      <c r="A9072" s="199"/>
    </row>
    <row r="9073" spans="1:1" s="200" customFormat="1" ht="12" hidden="1" customHeight="1">
      <c r="A9073" s="199"/>
    </row>
    <row r="9074" spans="1:1" s="200" customFormat="1" ht="12" hidden="1" customHeight="1">
      <c r="A9074" s="199"/>
    </row>
    <row r="9075" spans="1:1" s="200" customFormat="1" ht="12" hidden="1" customHeight="1">
      <c r="A9075" s="199"/>
    </row>
    <row r="9076" spans="1:1" s="200" customFormat="1" ht="12" hidden="1" customHeight="1">
      <c r="A9076" s="199"/>
    </row>
    <row r="9077" spans="1:1" s="200" customFormat="1" ht="12" hidden="1" customHeight="1">
      <c r="A9077" s="199"/>
    </row>
    <row r="9078" spans="1:1" s="200" customFormat="1" ht="12" hidden="1" customHeight="1">
      <c r="A9078" s="199"/>
    </row>
    <row r="9079" spans="1:1" s="200" customFormat="1" ht="12" hidden="1" customHeight="1">
      <c r="A9079" s="199"/>
    </row>
    <row r="9080" spans="1:1" s="200" customFormat="1" ht="12" hidden="1" customHeight="1">
      <c r="A9080" s="199"/>
    </row>
    <row r="9081" spans="1:1" s="200" customFormat="1" ht="12" hidden="1" customHeight="1">
      <c r="A9081" s="199"/>
    </row>
    <row r="9082" spans="1:1" s="200" customFormat="1" ht="12" hidden="1" customHeight="1">
      <c r="A9082" s="199"/>
    </row>
    <row r="9083" spans="1:1" s="200" customFormat="1" ht="12" hidden="1" customHeight="1">
      <c r="A9083" s="199"/>
    </row>
    <row r="9084" spans="1:1" s="200" customFormat="1" ht="12" hidden="1" customHeight="1">
      <c r="A9084" s="199"/>
    </row>
    <row r="9085" spans="1:1" s="200" customFormat="1" ht="12" hidden="1" customHeight="1">
      <c r="A9085" s="199"/>
    </row>
    <row r="9086" spans="1:1" s="200" customFormat="1" ht="12" hidden="1" customHeight="1">
      <c r="A9086" s="199"/>
    </row>
    <row r="9087" spans="1:1" s="200" customFormat="1" ht="12" hidden="1" customHeight="1">
      <c r="A9087" s="199"/>
    </row>
    <row r="9088" spans="1:1" s="200" customFormat="1" ht="12" hidden="1" customHeight="1">
      <c r="A9088" s="199"/>
    </row>
    <row r="9089" spans="1:1" s="200" customFormat="1" ht="12" hidden="1" customHeight="1">
      <c r="A9089" s="199"/>
    </row>
    <row r="9090" spans="1:1" s="200" customFormat="1" ht="12" hidden="1" customHeight="1">
      <c r="A9090" s="199"/>
    </row>
    <row r="9091" spans="1:1" s="200" customFormat="1" ht="12" hidden="1" customHeight="1">
      <c r="A9091" s="199"/>
    </row>
    <row r="9092" spans="1:1" s="200" customFormat="1" ht="12" hidden="1" customHeight="1">
      <c r="A9092" s="199"/>
    </row>
    <row r="9093" spans="1:1" s="200" customFormat="1" ht="12" hidden="1" customHeight="1">
      <c r="A9093" s="199"/>
    </row>
    <row r="9094" spans="1:1" s="200" customFormat="1" ht="12" hidden="1" customHeight="1">
      <c r="A9094" s="199"/>
    </row>
    <row r="9095" spans="1:1" s="200" customFormat="1" ht="12" hidden="1" customHeight="1">
      <c r="A9095" s="199"/>
    </row>
    <row r="9096" spans="1:1" s="200" customFormat="1" ht="12" hidden="1" customHeight="1">
      <c r="A9096" s="199"/>
    </row>
    <row r="9097" spans="1:1" s="200" customFormat="1" ht="12" hidden="1" customHeight="1">
      <c r="A9097" s="199"/>
    </row>
    <row r="9098" spans="1:1" s="200" customFormat="1" ht="12" hidden="1" customHeight="1">
      <c r="A9098" s="199"/>
    </row>
    <row r="9099" spans="1:1" s="200" customFormat="1" ht="12" hidden="1" customHeight="1">
      <c r="A9099" s="199"/>
    </row>
    <row r="9100" spans="1:1" s="200" customFormat="1" ht="12" hidden="1" customHeight="1">
      <c r="A9100" s="199"/>
    </row>
    <row r="9101" spans="1:1" s="200" customFormat="1" ht="12" hidden="1" customHeight="1">
      <c r="A9101" s="199"/>
    </row>
    <row r="9102" spans="1:1" s="200" customFormat="1" ht="12" hidden="1" customHeight="1">
      <c r="A9102" s="199"/>
    </row>
    <row r="9103" spans="1:1" s="200" customFormat="1" ht="12" hidden="1" customHeight="1">
      <c r="A9103" s="199"/>
    </row>
    <row r="9104" spans="1:1" s="200" customFormat="1" ht="12" hidden="1" customHeight="1">
      <c r="A9104" s="199"/>
    </row>
    <row r="9105" spans="1:1" s="200" customFormat="1" ht="12" hidden="1" customHeight="1">
      <c r="A9105" s="199"/>
    </row>
    <row r="9106" spans="1:1" s="200" customFormat="1" ht="12" hidden="1" customHeight="1">
      <c r="A9106" s="199"/>
    </row>
    <row r="9107" spans="1:1" s="200" customFormat="1" ht="12" hidden="1" customHeight="1">
      <c r="A9107" s="199"/>
    </row>
    <row r="9108" spans="1:1" s="200" customFormat="1" ht="12" hidden="1" customHeight="1">
      <c r="A9108" s="199"/>
    </row>
    <row r="9109" spans="1:1" s="200" customFormat="1" ht="12" hidden="1" customHeight="1">
      <c r="A9109" s="199"/>
    </row>
    <row r="9110" spans="1:1" s="200" customFormat="1" ht="12" hidden="1" customHeight="1">
      <c r="A9110" s="199"/>
    </row>
    <row r="9111" spans="1:1" s="200" customFormat="1" ht="12" hidden="1" customHeight="1">
      <c r="A9111" s="199"/>
    </row>
    <row r="9112" spans="1:1" s="200" customFormat="1" ht="12" hidden="1" customHeight="1">
      <c r="A9112" s="199"/>
    </row>
    <row r="9113" spans="1:1" s="200" customFormat="1" ht="12" hidden="1" customHeight="1">
      <c r="A9113" s="199"/>
    </row>
    <row r="9114" spans="1:1" s="200" customFormat="1" ht="12" hidden="1" customHeight="1">
      <c r="A9114" s="199"/>
    </row>
    <row r="9115" spans="1:1" s="200" customFormat="1" ht="12" hidden="1" customHeight="1">
      <c r="A9115" s="199"/>
    </row>
    <row r="9116" spans="1:1" s="200" customFormat="1" ht="12" hidden="1" customHeight="1">
      <c r="A9116" s="199"/>
    </row>
    <row r="9117" spans="1:1" s="200" customFormat="1" ht="12" hidden="1" customHeight="1">
      <c r="A9117" s="199"/>
    </row>
    <row r="9118" spans="1:1" s="200" customFormat="1" ht="12" hidden="1" customHeight="1">
      <c r="A9118" s="199"/>
    </row>
    <row r="9119" spans="1:1" s="200" customFormat="1" ht="12" hidden="1" customHeight="1">
      <c r="A9119" s="199"/>
    </row>
    <row r="9120" spans="1:1" s="200" customFormat="1" ht="12" hidden="1" customHeight="1">
      <c r="A9120" s="199"/>
    </row>
    <row r="9121" spans="1:1" s="200" customFormat="1" ht="12" hidden="1" customHeight="1">
      <c r="A9121" s="199"/>
    </row>
    <row r="9122" spans="1:1" s="200" customFormat="1" ht="12" hidden="1" customHeight="1">
      <c r="A9122" s="199"/>
    </row>
    <row r="9123" spans="1:1" s="200" customFormat="1" ht="12" hidden="1" customHeight="1">
      <c r="A9123" s="199"/>
    </row>
    <row r="9124" spans="1:1" s="200" customFormat="1" ht="12" hidden="1" customHeight="1">
      <c r="A9124" s="199"/>
    </row>
    <row r="9125" spans="1:1" s="200" customFormat="1" ht="12" hidden="1" customHeight="1">
      <c r="A9125" s="199"/>
    </row>
    <row r="9126" spans="1:1" s="200" customFormat="1" ht="12" hidden="1" customHeight="1">
      <c r="A9126" s="199"/>
    </row>
    <row r="9127" spans="1:1" s="200" customFormat="1" ht="12" hidden="1" customHeight="1">
      <c r="A9127" s="199"/>
    </row>
    <row r="9128" spans="1:1" s="200" customFormat="1" ht="12" hidden="1" customHeight="1">
      <c r="A9128" s="199"/>
    </row>
    <row r="9129" spans="1:1" s="200" customFormat="1" ht="12" hidden="1" customHeight="1">
      <c r="A9129" s="199"/>
    </row>
    <row r="9130" spans="1:1" s="200" customFormat="1" ht="12" hidden="1" customHeight="1">
      <c r="A9130" s="199"/>
    </row>
    <row r="9131" spans="1:1" s="200" customFormat="1" ht="12" hidden="1" customHeight="1">
      <c r="A9131" s="199"/>
    </row>
    <row r="9132" spans="1:1" s="200" customFormat="1" ht="12" hidden="1" customHeight="1">
      <c r="A9132" s="199"/>
    </row>
    <row r="9133" spans="1:1" s="200" customFormat="1" ht="12" hidden="1" customHeight="1">
      <c r="A9133" s="199"/>
    </row>
    <row r="9134" spans="1:1" s="200" customFormat="1" ht="12" hidden="1" customHeight="1">
      <c r="A9134" s="199"/>
    </row>
    <row r="9135" spans="1:1" s="200" customFormat="1" ht="12" hidden="1" customHeight="1">
      <c r="A9135" s="199"/>
    </row>
    <row r="9136" spans="1:1" s="200" customFormat="1" ht="12" hidden="1" customHeight="1">
      <c r="A9136" s="199"/>
    </row>
    <row r="9137" spans="1:1" s="200" customFormat="1" ht="12" hidden="1" customHeight="1">
      <c r="A9137" s="199"/>
    </row>
    <row r="9138" spans="1:1" s="200" customFormat="1" ht="12" hidden="1" customHeight="1">
      <c r="A9138" s="199"/>
    </row>
    <row r="9139" spans="1:1" s="200" customFormat="1" ht="12" hidden="1" customHeight="1">
      <c r="A9139" s="199"/>
    </row>
    <row r="9140" spans="1:1" s="200" customFormat="1" ht="12" hidden="1" customHeight="1">
      <c r="A9140" s="199"/>
    </row>
    <row r="9141" spans="1:1" s="200" customFormat="1" ht="12" hidden="1" customHeight="1">
      <c r="A9141" s="199"/>
    </row>
    <row r="9142" spans="1:1" s="200" customFormat="1" ht="12" hidden="1" customHeight="1">
      <c r="A9142" s="199"/>
    </row>
    <row r="9143" spans="1:1" s="200" customFormat="1" ht="12" hidden="1" customHeight="1">
      <c r="A9143" s="199"/>
    </row>
    <row r="9144" spans="1:1" s="200" customFormat="1" ht="12" hidden="1" customHeight="1">
      <c r="A9144" s="199"/>
    </row>
    <row r="9145" spans="1:1" s="200" customFormat="1" ht="12" hidden="1" customHeight="1">
      <c r="A9145" s="199"/>
    </row>
    <row r="9146" spans="1:1" s="200" customFormat="1" ht="12" hidden="1" customHeight="1">
      <c r="A9146" s="199"/>
    </row>
    <row r="9147" spans="1:1" s="200" customFormat="1" ht="12" hidden="1" customHeight="1">
      <c r="A9147" s="199"/>
    </row>
    <row r="9148" spans="1:1" s="200" customFormat="1" ht="12" hidden="1" customHeight="1">
      <c r="A9148" s="199"/>
    </row>
    <row r="9149" spans="1:1" s="200" customFormat="1" ht="12" hidden="1" customHeight="1">
      <c r="A9149" s="199"/>
    </row>
    <row r="9150" spans="1:1" s="200" customFormat="1" ht="12" hidden="1" customHeight="1">
      <c r="A9150" s="199"/>
    </row>
    <row r="9151" spans="1:1" s="200" customFormat="1" ht="12" hidden="1" customHeight="1">
      <c r="A9151" s="199"/>
    </row>
    <row r="9152" spans="1:1" s="200" customFormat="1" ht="12" hidden="1" customHeight="1">
      <c r="A9152" s="199"/>
    </row>
    <row r="9153" spans="1:1" s="200" customFormat="1" ht="12" hidden="1" customHeight="1">
      <c r="A9153" s="199"/>
    </row>
    <row r="9154" spans="1:1" s="200" customFormat="1" ht="12" hidden="1" customHeight="1">
      <c r="A9154" s="199"/>
    </row>
    <row r="9155" spans="1:1" s="200" customFormat="1" ht="12" hidden="1" customHeight="1">
      <c r="A9155" s="199"/>
    </row>
    <row r="9156" spans="1:1" s="200" customFormat="1" ht="12" hidden="1" customHeight="1">
      <c r="A9156" s="199"/>
    </row>
    <row r="9157" spans="1:1" s="200" customFormat="1" ht="12" hidden="1" customHeight="1">
      <c r="A9157" s="199"/>
    </row>
    <row r="9158" spans="1:1" s="200" customFormat="1" ht="12" hidden="1" customHeight="1">
      <c r="A9158" s="199"/>
    </row>
    <row r="9159" spans="1:1" s="200" customFormat="1" ht="12" hidden="1" customHeight="1">
      <c r="A9159" s="199"/>
    </row>
    <row r="9160" spans="1:1" s="200" customFormat="1" ht="12" hidden="1" customHeight="1">
      <c r="A9160" s="199"/>
    </row>
    <row r="9161" spans="1:1" s="200" customFormat="1" ht="12" hidden="1" customHeight="1">
      <c r="A9161" s="199"/>
    </row>
    <row r="9162" spans="1:1" s="200" customFormat="1" ht="12" hidden="1" customHeight="1">
      <c r="A9162" s="199"/>
    </row>
    <row r="9163" spans="1:1" s="200" customFormat="1" ht="12" hidden="1" customHeight="1">
      <c r="A9163" s="199"/>
    </row>
    <row r="9164" spans="1:1" s="200" customFormat="1" ht="12" hidden="1" customHeight="1">
      <c r="A9164" s="199"/>
    </row>
    <row r="9165" spans="1:1" s="200" customFormat="1" ht="12" hidden="1" customHeight="1">
      <c r="A9165" s="199"/>
    </row>
    <row r="9166" spans="1:1" s="200" customFormat="1" ht="12" hidden="1" customHeight="1">
      <c r="A9166" s="199"/>
    </row>
    <row r="9167" spans="1:1" s="200" customFormat="1" ht="12" hidden="1" customHeight="1">
      <c r="A9167" s="199"/>
    </row>
    <row r="9168" spans="1:1" s="200" customFormat="1" ht="12" hidden="1" customHeight="1">
      <c r="A9168" s="199"/>
    </row>
    <row r="9169" spans="1:1" s="200" customFormat="1" ht="12" hidden="1" customHeight="1">
      <c r="A9169" s="199"/>
    </row>
    <row r="9170" spans="1:1" s="200" customFormat="1" ht="12" hidden="1" customHeight="1">
      <c r="A9170" s="199"/>
    </row>
    <row r="9171" spans="1:1" s="200" customFormat="1" ht="12" hidden="1" customHeight="1">
      <c r="A9171" s="199"/>
    </row>
    <row r="9172" spans="1:1" s="200" customFormat="1" ht="12" hidden="1" customHeight="1">
      <c r="A9172" s="199"/>
    </row>
    <row r="9173" spans="1:1" s="200" customFormat="1" ht="12" hidden="1" customHeight="1">
      <c r="A9173" s="199"/>
    </row>
    <row r="9174" spans="1:1" s="200" customFormat="1" ht="12" hidden="1" customHeight="1">
      <c r="A9174" s="199"/>
    </row>
    <row r="9175" spans="1:1" s="200" customFormat="1" ht="12" hidden="1" customHeight="1">
      <c r="A9175" s="199"/>
    </row>
    <row r="9176" spans="1:1" s="200" customFormat="1" ht="12" hidden="1" customHeight="1">
      <c r="A9176" s="199"/>
    </row>
    <row r="9177" spans="1:1" s="200" customFormat="1" ht="12" hidden="1" customHeight="1">
      <c r="A9177" s="199"/>
    </row>
    <row r="9178" spans="1:1" s="200" customFormat="1" ht="12" hidden="1" customHeight="1">
      <c r="A9178" s="199"/>
    </row>
    <row r="9179" spans="1:1" s="200" customFormat="1" ht="12" hidden="1" customHeight="1">
      <c r="A9179" s="199"/>
    </row>
    <row r="9180" spans="1:1" s="200" customFormat="1" ht="12" hidden="1" customHeight="1">
      <c r="A9180" s="199"/>
    </row>
    <row r="9181" spans="1:1" s="200" customFormat="1" ht="12" hidden="1" customHeight="1">
      <c r="A9181" s="199"/>
    </row>
    <row r="9182" spans="1:1" s="200" customFormat="1" ht="12" hidden="1" customHeight="1">
      <c r="A9182" s="199"/>
    </row>
    <row r="9183" spans="1:1" s="200" customFormat="1" ht="12" hidden="1" customHeight="1">
      <c r="A9183" s="199"/>
    </row>
    <row r="9184" spans="1:1" s="200" customFormat="1" ht="12" hidden="1" customHeight="1">
      <c r="A9184" s="199"/>
    </row>
    <row r="9185" spans="1:1" s="200" customFormat="1" ht="12" hidden="1" customHeight="1">
      <c r="A9185" s="199"/>
    </row>
    <row r="9186" spans="1:1" s="200" customFormat="1" ht="12" hidden="1" customHeight="1">
      <c r="A9186" s="199"/>
    </row>
    <row r="9187" spans="1:1" s="200" customFormat="1" ht="12" hidden="1" customHeight="1">
      <c r="A9187" s="199"/>
    </row>
    <row r="9188" spans="1:1" s="200" customFormat="1" ht="12" hidden="1" customHeight="1">
      <c r="A9188" s="199"/>
    </row>
    <row r="9189" spans="1:1" s="200" customFormat="1" ht="12" hidden="1" customHeight="1">
      <c r="A9189" s="199"/>
    </row>
    <row r="9190" spans="1:1" s="200" customFormat="1" ht="12" hidden="1" customHeight="1">
      <c r="A9190" s="199"/>
    </row>
    <row r="9191" spans="1:1" s="200" customFormat="1" ht="12" hidden="1" customHeight="1">
      <c r="A9191" s="199"/>
    </row>
    <row r="9192" spans="1:1" s="200" customFormat="1" ht="12" hidden="1" customHeight="1">
      <c r="A9192" s="199"/>
    </row>
    <row r="9193" spans="1:1" s="200" customFormat="1" ht="12" hidden="1" customHeight="1">
      <c r="A9193" s="199"/>
    </row>
    <row r="9194" spans="1:1" s="200" customFormat="1" ht="12" hidden="1" customHeight="1">
      <c r="A9194" s="199"/>
    </row>
    <row r="9195" spans="1:1" s="200" customFormat="1" ht="12" hidden="1" customHeight="1">
      <c r="A9195" s="199"/>
    </row>
    <row r="9196" spans="1:1" s="200" customFormat="1" ht="12" hidden="1" customHeight="1">
      <c r="A9196" s="199"/>
    </row>
    <row r="9197" spans="1:1" s="200" customFormat="1" ht="12" hidden="1" customHeight="1">
      <c r="A9197" s="199"/>
    </row>
    <row r="9198" spans="1:1" s="200" customFormat="1" ht="12" hidden="1" customHeight="1">
      <c r="A9198" s="199"/>
    </row>
    <row r="9199" spans="1:1" s="200" customFormat="1" ht="12" hidden="1" customHeight="1">
      <c r="A9199" s="199"/>
    </row>
    <row r="9200" spans="1:1" s="200" customFormat="1" ht="12" hidden="1" customHeight="1">
      <c r="A9200" s="199"/>
    </row>
    <row r="9201" spans="1:1" s="200" customFormat="1" ht="12" hidden="1" customHeight="1">
      <c r="A9201" s="199"/>
    </row>
    <row r="9202" spans="1:1" s="200" customFormat="1" ht="12" hidden="1" customHeight="1">
      <c r="A9202" s="199"/>
    </row>
    <row r="9203" spans="1:1" s="200" customFormat="1" ht="12" hidden="1" customHeight="1">
      <c r="A9203" s="199"/>
    </row>
    <row r="9204" spans="1:1" s="200" customFormat="1" ht="12" hidden="1" customHeight="1">
      <c r="A9204" s="199"/>
    </row>
    <row r="9205" spans="1:1" s="200" customFormat="1" ht="12" hidden="1" customHeight="1">
      <c r="A9205" s="199"/>
    </row>
    <row r="9206" spans="1:1" s="200" customFormat="1" ht="12" hidden="1" customHeight="1">
      <c r="A9206" s="199"/>
    </row>
    <row r="9207" spans="1:1" s="200" customFormat="1" ht="12" hidden="1" customHeight="1">
      <c r="A9207" s="199"/>
    </row>
    <row r="9208" spans="1:1" s="200" customFormat="1" ht="12" hidden="1" customHeight="1">
      <c r="A9208" s="199"/>
    </row>
    <row r="9209" spans="1:1" s="200" customFormat="1" ht="12" hidden="1" customHeight="1">
      <c r="A9209" s="199"/>
    </row>
    <row r="9210" spans="1:1" s="200" customFormat="1" ht="12" hidden="1" customHeight="1">
      <c r="A9210" s="199"/>
    </row>
    <row r="9211" spans="1:1" s="200" customFormat="1" ht="12" hidden="1" customHeight="1">
      <c r="A9211" s="199"/>
    </row>
    <row r="9212" spans="1:1" s="200" customFormat="1" ht="12" hidden="1" customHeight="1">
      <c r="A9212" s="199"/>
    </row>
    <row r="9213" spans="1:1" s="200" customFormat="1" ht="12" hidden="1" customHeight="1">
      <c r="A9213" s="199"/>
    </row>
    <row r="9214" spans="1:1" s="200" customFormat="1" ht="12" hidden="1" customHeight="1">
      <c r="A9214" s="199"/>
    </row>
    <row r="9215" spans="1:1" s="200" customFormat="1" ht="12" hidden="1" customHeight="1">
      <c r="A9215" s="199"/>
    </row>
    <row r="9216" spans="1:1" s="200" customFormat="1" ht="12" hidden="1" customHeight="1">
      <c r="A9216" s="199"/>
    </row>
    <row r="9217" spans="1:1" s="200" customFormat="1" ht="12" hidden="1" customHeight="1">
      <c r="A9217" s="199"/>
    </row>
    <row r="9218" spans="1:1" s="200" customFormat="1" ht="12" hidden="1" customHeight="1">
      <c r="A9218" s="199"/>
    </row>
    <row r="9219" spans="1:1" s="200" customFormat="1" ht="12" hidden="1" customHeight="1">
      <c r="A9219" s="199"/>
    </row>
    <row r="9220" spans="1:1" s="200" customFormat="1" ht="12" hidden="1" customHeight="1">
      <c r="A9220" s="199"/>
    </row>
    <row r="9221" spans="1:1" s="200" customFormat="1" ht="12" hidden="1" customHeight="1">
      <c r="A9221" s="199"/>
    </row>
    <row r="9222" spans="1:1" s="200" customFormat="1" ht="12" hidden="1" customHeight="1">
      <c r="A9222" s="199"/>
    </row>
    <row r="9223" spans="1:1" s="200" customFormat="1" ht="12" hidden="1" customHeight="1">
      <c r="A9223" s="199"/>
    </row>
    <row r="9224" spans="1:1" s="200" customFormat="1" ht="12" hidden="1" customHeight="1">
      <c r="A9224" s="199"/>
    </row>
    <row r="9225" spans="1:1" s="200" customFormat="1" ht="12" hidden="1" customHeight="1">
      <c r="A9225" s="199"/>
    </row>
    <row r="9226" spans="1:1" s="200" customFormat="1" ht="12" hidden="1" customHeight="1">
      <c r="A9226" s="199"/>
    </row>
    <row r="9227" spans="1:1" s="200" customFormat="1" ht="12" hidden="1" customHeight="1">
      <c r="A9227" s="199"/>
    </row>
    <row r="9228" spans="1:1" s="200" customFormat="1" ht="12" hidden="1" customHeight="1">
      <c r="A9228" s="199"/>
    </row>
    <row r="9229" spans="1:1" s="200" customFormat="1" ht="12" hidden="1" customHeight="1">
      <c r="A9229" s="199"/>
    </row>
    <row r="9230" spans="1:1" s="200" customFormat="1" ht="12" hidden="1" customHeight="1">
      <c r="A9230" s="199"/>
    </row>
    <row r="9231" spans="1:1" s="200" customFormat="1" ht="12" hidden="1" customHeight="1">
      <c r="A9231" s="199"/>
    </row>
    <row r="9232" spans="1:1" s="200" customFormat="1" ht="12" hidden="1" customHeight="1">
      <c r="A9232" s="199"/>
    </row>
    <row r="9233" spans="1:1" s="200" customFormat="1" ht="12" hidden="1" customHeight="1">
      <c r="A9233" s="199"/>
    </row>
    <row r="9234" spans="1:1" s="200" customFormat="1" ht="12" hidden="1" customHeight="1">
      <c r="A9234" s="199"/>
    </row>
    <row r="9235" spans="1:1" s="200" customFormat="1" ht="12" hidden="1" customHeight="1">
      <c r="A9235" s="199"/>
    </row>
    <row r="9236" spans="1:1" s="200" customFormat="1" ht="12" hidden="1" customHeight="1">
      <c r="A9236" s="199"/>
    </row>
    <row r="9237" spans="1:1" s="200" customFormat="1" ht="12" hidden="1" customHeight="1">
      <c r="A9237" s="199"/>
    </row>
    <row r="9238" spans="1:1" s="200" customFormat="1" ht="12" hidden="1" customHeight="1">
      <c r="A9238" s="199"/>
    </row>
    <row r="9239" spans="1:1" s="200" customFormat="1" ht="12" hidden="1" customHeight="1">
      <c r="A9239" s="199"/>
    </row>
    <row r="9240" spans="1:1" s="200" customFormat="1" ht="12" hidden="1" customHeight="1">
      <c r="A9240" s="199"/>
    </row>
    <row r="9241" spans="1:1" s="200" customFormat="1" ht="12" hidden="1" customHeight="1">
      <c r="A9241" s="199"/>
    </row>
    <row r="9242" spans="1:1" s="200" customFormat="1" ht="12" hidden="1" customHeight="1">
      <c r="A9242" s="199"/>
    </row>
    <row r="9243" spans="1:1" s="200" customFormat="1" ht="12" hidden="1" customHeight="1">
      <c r="A9243" s="199"/>
    </row>
    <row r="9244" spans="1:1" s="200" customFormat="1" ht="12" hidden="1" customHeight="1">
      <c r="A9244" s="199"/>
    </row>
    <row r="9245" spans="1:1" s="200" customFormat="1" ht="12" hidden="1" customHeight="1">
      <c r="A9245" s="199"/>
    </row>
    <row r="9246" spans="1:1" s="200" customFormat="1" ht="12" hidden="1" customHeight="1">
      <c r="A9246" s="199"/>
    </row>
    <row r="9247" spans="1:1" s="200" customFormat="1" ht="12" hidden="1" customHeight="1">
      <c r="A9247" s="199"/>
    </row>
    <row r="9248" spans="1:1" s="200" customFormat="1" ht="12" hidden="1" customHeight="1">
      <c r="A9248" s="199"/>
    </row>
    <row r="9249" spans="1:1" s="200" customFormat="1" ht="12" hidden="1" customHeight="1">
      <c r="A9249" s="199"/>
    </row>
    <row r="9250" spans="1:1" s="200" customFormat="1" ht="12" hidden="1" customHeight="1">
      <c r="A9250" s="199"/>
    </row>
    <row r="9251" spans="1:1" s="200" customFormat="1" ht="12" hidden="1" customHeight="1">
      <c r="A9251" s="199"/>
    </row>
    <row r="9252" spans="1:1" s="200" customFormat="1" ht="12" hidden="1" customHeight="1">
      <c r="A9252" s="199"/>
    </row>
    <row r="9253" spans="1:1" s="200" customFormat="1" ht="12" hidden="1" customHeight="1">
      <c r="A9253" s="199"/>
    </row>
    <row r="9254" spans="1:1" s="200" customFormat="1" ht="12" hidden="1" customHeight="1">
      <c r="A9254" s="199"/>
    </row>
    <row r="9255" spans="1:1" s="200" customFormat="1" ht="12" hidden="1" customHeight="1">
      <c r="A9255" s="199"/>
    </row>
    <row r="9256" spans="1:1" s="200" customFormat="1" ht="12" hidden="1" customHeight="1">
      <c r="A9256" s="199"/>
    </row>
    <row r="9257" spans="1:1" s="200" customFormat="1" ht="12" hidden="1" customHeight="1">
      <c r="A9257" s="199"/>
    </row>
    <row r="9258" spans="1:1" s="200" customFormat="1" ht="12" hidden="1" customHeight="1">
      <c r="A9258" s="199"/>
    </row>
    <row r="9259" spans="1:1" s="200" customFormat="1" ht="12" hidden="1" customHeight="1">
      <c r="A9259" s="199"/>
    </row>
    <row r="9260" spans="1:1" s="200" customFormat="1" ht="12" hidden="1" customHeight="1">
      <c r="A9260" s="199"/>
    </row>
    <row r="9261" spans="1:1" s="200" customFormat="1" ht="12" hidden="1" customHeight="1">
      <c r="A9261" s="199"/>
    </row>
    <row r="9262" spans="1:1" s="200" customFormat="1" ht="12" hidden="1" customHeight="1">
      <c r="A9262" s="199"/>
    </row>
    <row r="9263" spans="1:1" s="200" customFormat="1" ht="12" hidden="1" customHeight="1">
      <c r="A9263" s="199"/>
    </row>
    <row r="9264" spans="1:1" s="200" customFormat="1" ht="12" hidden="1" customHeight="1">
      <c r="A9264" s="199"/>
    </row>
    <row r="9265" spans="1:1" s="200" customFormat="1" ht="12" hidden="1" customHeight="1">
      <c r="A9265" s="199"/>
    </row>
    <row r="9266" spans="1:1" s="200" customFormat="1" ht="12" hidden="1" customHeight="1">
      <c r="A9266" s="199"/>
    </row>
    <row r="9267" spans="1:1" s="200" customFormat="1" ht="12" hidden="1" customHeight="1">
      <c r="A9267" s="199"/>
    </row>
    <row r="9268" spans="1:1" s="200" customFormat="1" ht="12" hidden="1" customHeight="1">
      <c r="A9268" s="199"/>
    </row>
    <row r="9269" spans="1:1" s="200" customFormat="1" ht="12" hidden="1" customHeight="1">
      <c r="A9269" s="199"/>
    </row>
    <row r="9270" spans="1:1" s="200" customFormat="1" ht="12" hidden="1" customHeight="1">
      <c r="A9270" s="199"/>
    </row>
    <row r="9271" spans="1:1" s="200" customFormat="1" ht="12" hidden="1" customHeight="1">
      <c r="A9271" s="199"/>
    </row>
    <row r="9272" spans="1:1" s="200" customFormat="1" ht="12" hidden="1" customHeight="1">
      <c r="A9272" s="199"/>
    </row>
    <row r="9273" spans="1:1" s="200" customFormat="1" ht="12" hidden="1" customHeight="1">
      <c r="A9273" s="199"/>
    </row>
    <row r="9274" spans="1:1" s="200" customFormat="1" ht="12" hidden="1" customHeight="1">
      <c r="A9274" s="199"/>
    </row>
    <row r="9275" spans="1:1" s="200" customFormat="1" ht="12" hidden="1" customHeight="1">
      <c r="A9275" s="199"/>
    </row>
    <row r="9276" spans="1:1" s="200" customFormat="1" ht="12" hidden="1" customHeight="1">
      <c r="A9276" s="199"/>
    </row>
    <row r="9277" spans="1:1" s="200" customFormat="1" ht="12" hidden="1" customHeight="1">
      <c r="A9277" s="199"/>
    </row>
    <row r="9278" spans="1:1" s="200" customFormat="1" ht="12" hidden="1" customHeight="1">
      <c r="A9278" s="199"/>
    </row>
    <row r="9279" spans="1:1" s="200" customFormat="1" ht="12" hidden="1" customHeight="1">
      <c r="A9279" s="199"/>
    </row>
    <row r="9280" spans="1:1" s="200" customFormat="1" ht="12" hidden="1" customHeight="1">
      <c r="A9280" s="199"/>
    </row>
    <row r="9281" spans="1:1" s="200" customFormat="1" ht="12" hidden="1" customHeight="1">
      <c r="A9281" s="199"/>
    </row>
    <row r="9282" spans="1:1" s="200" customFormat="1" ht="12" hidden="1" customHeight="1">
      <c r="A9282" s="199"/>
    </row>
    <row r="9283" spans="1:1" s="200" customFormat="1" ht="12" hidden="1" customHeight="1">
      <c r="A9283" s="199"/>
    </row>
    <row r="9284" spans="1:1" s="200" customFormat="1" ht="12" hidden="1" customHeight="1">
      <c r="A9284" s="199"/>
    </row>
    <row r="9285" spans="1:1" s="200" customFormat="1" ht="12" hidden="1" customHeight="1">
      <c r="A9285" s="199"/>
    </row>
    <row r="9286" spans="1:1" s="200" customFormat="1" ht="12" hidden="1" customHeight="1">
      <c r="A9286" s="199"/>
    </row>
    <row r="9287" spans="1:1" s="200" customFormat="1" ht="12" hidden="1" customHeight="1">
      <c r="A9287" s="199"/>
    </row>
    <row r="9288" spans="1:1" s="200" customFormat="1" ht="12" hidden="1" customHeight="1">
      <c r="A9288" s="199"/>
    </row>
    <row r="9289" spans="1:1" s="200" customFormat="1" ht="12" hidden="1" customHeight="1">
      <c r="A9289" s="199"/>
    </row>
    <row r="9290" spans="1:1" s="200" customFormat="1" ht="12" hidden="1" customHeight="1">
      <c r="A9290" s="199"/>
    </row>
    <row r="9291" spans="1:1" s="200" customFormat="1" ht="12" hidden="1" customHeight="1">
      <c r="A9291" s="199"/>
    </row>
    <row r="9292" spans="1:1" s="200" customFormat="1" ht="12" hidden="1" customHeight="1">
      <c r="A9292" s="199"/>
    </row>
    <row r="9293" spans="1:1" s="200" customFormat="1" ht="12" hidden="1" customHeight="1">
      <c r="A9293" s="199"/>
    </row>
    <row r="9294" spans="1:1" s="200" customFormat="1" ht="12" hidden="1" customHeight="1">
      <c r="A9294" s="199"/>
    </row>
    <row r="9295" spans="1:1" s="200" customFormat="1" ht="12" hidden="1" customHeight="1">
      <c r="A9295" s="199"/>
    </row>
    <row r="9296" spans="1:1" s="200" customFormat="1" ht="12" hidden="1" customHeight="1">
      <c r="A9296" s="199"/>
    </row>
    <row r="9297" spans="1:1" s="200" customFormat="1" ht="12" hidden="1" customHeight="1">
      <c r="A9297" s="199"/>
    </row>
    <row r="9298" spans="1:1" s="200" customFormat="1" ht="12" hidden="1" customHeight="1">
      <c r="A9298" s="199"/>
    </row>
    <row r="9299" spans="1:1" s="200" customFormat="1" ht="12" hidden="1" customHeight="1">
      <c r="A9299" s="199"/>
    </row>
    <row r="9300" spans="1:1" s="200" customFormat="1" ht="12" hidden="1" customHeight="1">
      <c r="A9300" s="199"/>
    </row>
    <row r="9301" spans="1:1" s="200" customFormat="1" ht="12" hidden="1" customHeight="1">
      <c r="A9301" s="199"/>
    </row>
    <row r="9302" spans="1:1" s="200" customFormat="1" ht="12" hidden="1" customHeight="1">
      <c r="A9302" s="199"/>
    </row>
    <row r="9303" spans="1:1" s="200" customFormat="1" ht="12" hidden="1" customHeight="1">
      <c r="A9303" s="199"/>
    </row>
    <row r="9304" spans="1:1" s="200" customFormat="1" ht="12" hidden="1" customHeight="1">
      <c r="A9304" s="199"/>
    </row>
    <row r="9305" spans="1:1" s="200" customFormat="1" ht="12" hidden="1" customHeight="1">
      <c r="A9305" s="199"/>
    </row>
    <row r="9306" spans="1:1" s="200" customFormat="1" ht="12" hidden="1" customHeight="1">
      <c r="A9306" s="199"/>
    </row>
    <row r="9307" spans="1:1" s="200" customFormat="1" ht="12" hidden="1" customHeight="1">
      <c r="A9307" s="199"/>
    </row>
    <row r="9308" spans="1:1" s="200" customFormat="1" ht="12" hidden="1" customHeight="1">
      <c r="A9308" s="199"/>
    </row>
    <row r="9309" spans="1:1" s="200" customFormat="1" ht="12" hidden="1" customHeight="1">
      <c r="A9309" s="199"/>
    </row>
    <row r="9310" spans="1:1" s="200" customFormat="1" ht="12" hidden="1" customHeight="1">
      <c r="A9310" s="199"/>
    </row>
    <row r="9311" spans="1:1" s="200" customFormat="1" ht="12" hidden="1" customHeight="1">
      <c r="A9311" s="199"/>
    </row>
    <row r="9312" spans="1:1" s="200" customFormat="1" ht="12" hidden="1" customHeight="1">
      <c r="A9312" s="199"/>
    </row>
    <row r="9313" spans="1:1" s="200" customFormat="1" ht="12" hidden="1" customHeight="1">
      <c r="A9313" s="199"/>
    </row>
    <row r="9314" spans="1:1" s="200" customFormat="1" ht="12" hidden="1" customHeight="1">
      <c r="A9314" s="199"/>
    </row>
    <row r="9315" spans="1:1" s="200" customFormat="1" ht="12" hidden="1" customHeight="1">
      <c r="A9315" s="199"/>
    </row>
    <row r="9316" spans="1:1" s="200" customFormat="1" ht="12" hidden="1" customHeight="1">
      <c r="A9316" s="199"/>
    </row>
    <row r="9317" spans="1:1" s="200" customFormat="1" ht="12" hidden="1" customHeight="1">
      <c r="A9317" s="199"/>
    </row>
    <row r="9318" spans="1:1" s="200" customFormat="1" ht="12" hidden="1" customHeight="1">
      <c r="A9318" s="199"/>
    </row>
    <row r="9319" spans="1:1" s="200" customFormat="1" ht="12" hidden="1" customHeight="1">
      <c r="A9319" s="199"/>
    </row>
    <row r="9320" spans="1:1" s="200" customFormat="1" ht="12" hidden="1" customHeight="1">
      <c r="A9320" s="199"/>
    </row>
    <row r="9321" spans="1:1" s="200" customFormat="1" ht="12" hidden="1" customHeight="1">
      <c r="A9321" s="199"/>
    </row>
    <row r="9322" spans="1:1" s="200" customFormat="1" ht="12" hidden="1" customHeight="1">
      <c r="A9322" s="199"/>
    </row>
    <row r="9323" spans="1:1" s="200" customFormat="1" ht="12" hidden="1" customHeight="1">
      <c r="A9323" s="199"/>
    </row>
    <row r="9324" spans="1:1" s="200" customFormat="1" ht="12" hidden="1" customHeight="1">
      <c r="A9324" s="199"/>
    </row>
    <row r="9325" spans="1:1" s="200" customFormat="1" ht="12" hidden="1" customHeight="1">
      <c r="A9325" s="199"/>
    </row>
    <row r="9326" spans="1:1" s="200" customFormat="1" ht="12" hidden="1" customHeight="1">
      <c r="A9326" s="199"/>
    </row>
    <row r="9327" spans="1:1" s="200" customFormat="1" ht="12" hidden="1" customHeight="1">
      <c r="A9327" s="199"/>
    </row>
    <row r="9328" spans="1:1" s="200" customFormat="1" ht="12" hidden="1" customHeight="1">
      <c r="A9328" s="199"/>
    </row>
    <row r="9329" spans="1:1" s="200" customFormat="1" ht="12" hidden="1" customHeight="1">
      <c r="A9329" s="199"/>
    </row>
    <row r="9330" spans="1:1" s="200" customFormat="1" ht="12" hidden="1" customHeight="1">
      <c r="A9330" s="199"/>
    </row>
    <row r="9331" spans="1:1" s="200" customFormat="1" ht="12" hidden="1" customHeight="1">
      <c r="A9331" s="199"/>
    </row>
    <row r="9332" spans="1:1" s="200" customFormat="1" ht="12" hidden="1" customHeight="1">
      <c r="A9332" s="199"/>
    </row>
    <row r="9333" spans="1:1" s="200" customFormat="1" ht="12" hidden="1" customHeight="1">
      <c r="A9333" s="199"/>
    </row>
    <row r="9334" spans="1:1" s="200" customFormat="1" ht="12" hidden="1" customHeight="1">
      <c r="A9334" s="199"/>
    </row>
    <row r="9335" spans="1:1" s="200" customFormat="1" ht="12" hidden="1" customHeight="1">
      <c r="A9335" s="199"/>
    </row>
    <row r="9336" spans="1:1" s="200" customFormat="1" ht="12" hidden="1" customHeight="1">
      <c r="A9336" s="199"/>
    </row>
    <row r="9337" spans="1:1" s="200" customFormat="1" ht="12" hidden="1" customHeight="1">
      <c r="A9337" s="199"/>
    </row>
    <row r="9338" spans="1:1" s="200" customFormat="1" ht="12" hidden="1" customHeight="1">
      <c r="A9338" s="199"/>
    </row>
    <row r="9339" spans="1:1" s="200" customFormat="1" ht="12" hidden="1" customHeight="1">
      <c r="A9339" s="199"/>
    </row>
    <row r="9340" spans="1:1" s="200" customFormat="1" ht="12" hidden="1" customHeight="1">
      <c r="A9340" s="199"/>
    </row>
    <row r="9341" spans="1:1" s="200" customFormat="1" ht="12" hidden="1" customHeight="1">
      <c r="A9341" s="199"/>
    </row>
    <row r="9342" spans="1:1" s="200" customFormat="1" ht="12" hidden="1" customHeight="1">
      <c r="A9342" s="199"/>
    </row>
    <row r="9343" spans="1:1" s="200" customFormat="1" ht="12" hidden="1" customHeight="1">
      <c r="A9343" s="199"/>
    </row>
    <row r="9344" spans="1:1" s="200" customFormat="1" ht="12" hidden="1" customHeight="1">
      <c r="A9344" s="199"/>
    </row>
    <row r="9345" spans="1:1" s="200" customFormat="1" ht="12" hidden="1" customHeight="1">
      <c r="A9345" s="199"/>
    </row>
    <row r="9346" spans="1:1" s="200" customFormat="1" ht="12" hidden="1" customHeight="1">
      <c r="A9346" s="199"/>
    </row>
    <row r="9347" spans="1:1" s="200" customFormat="1" ht="12" hidden="1" customHeight="1">
      <c r="A9347" s="199"/>
    </row>
    <row r="9348" spans="1:1" s="200" customFormat="1" ht="12" hidden="1" customHeight="1">
      <c r="A9348" s="199"/>
    </row>
    <row r="9349" spans="1:1" s="200" customFormat="1" ht="12" hidden="1" customHeight="1">
      <c r="A9349" s="199"/>
    </row>
    <row r="9350" spans="1:1" s="200" customFormat="1" ht="12" hidden="1" customHeight="1">
      <c r="A9350" s="199"/>
    </row>
    <row r="9351" spans="1:1" s="200" customFormat="1" ht="12" hidden="1" customHeight="1">
      <c r="A9351" s="199"/>
    </row>
    <row r="9352" spans="1:1" s="200" customFormat="1" ht="12" hidden="1" customHeight="1">
      <c r="A9352" s="199"/>
    </row>
    <row r="9353" spans="1:1" s="200" customFormat="1" ht="12" hidden="1" customHeight="1">
      <c r="A9353" s="199"/>
    </row>
    <row r="9354" spans="1:1" s="200" customFormat="1" ht="12" hidden="1" customHeight="1">
      <c r="A9354" s="199"/>
    </row>
    <row r="9355" spans="1:1" s="200" customFormat="1" ht="12" hidden="1" customHeight="1">
      <c r="A9355" s="199"/>
    </row>
    <row r="9356" spans="1:1" s="200" customFormat="1" ht="12" hidden="1" customHeight="1">
      <c r="A9356" s="199"/>
    </row>
    <row r="9357" spans="1:1" s="200" customFormat="1" ht="12" hidden="1" customHeight="1">
      <c r="A9357" s="199"/>
    </row>
    <row r="9358" spans="1:1" s="200" customFormat="1" ht="12" hidden="1" customHeight="1">
      <c r="A9358" s="199"/>
    </row>
    <row r="9359" spans="1:1" s="200" customFormat="1" ht="12" hidden="1" customHeight="1">
      <c r="A9359" s="199"/>
    </row>
    <row r="9360" spans="1:1" s="200" customFormat="1" ht="12" hidden="1" customHeight="1">
      <c r="A9360" s="199"/>
    </row>
    <row r="9361" spans="1:1" s="200" customFormat="1" ht="12" hidden="1" customHeight="1">
      <c r="A9361" s="199"/>
    </row>
    <row r="9362" spans="1:1" s="200" customFormat="1" ht="12" hidden="1" customHeight="1">
      <c r="A9362" s="199"/>
    </row>
    <row r="9363" spans="1:1" s="200" customFormat="1" ht="12" hidden="1" customHeight="1">
      <c r="A9363" s="199"/>
    </row>
    <row r="9364" spans="1:1" s="200" customFormat="1" ht="12" hidden="1" customHeight="1">
      <c r="A9364" s="199"/>
    </row>
    <row r="9365" spans="1:1" s="200" customFormat="1" ht="12" hidden="1" customHeight="1">
      <c r="A9365" s="199"/>
    </row>
    <row r="9366" spans="1:1" s="200" customFormat="1" ht="12" hidden="1" customHeight="1">
      <c r="A9366" s="199"/>
    </row>
    <row r="9367" spans="1:1" s="200" customFormat="1" ht="12" hidden="1" customHeight="1">
      <c r="A9367" s="199"/>
    </row>
    <row r="9368" spans="1:1" s="200" customFormat="1" ht="12" hidden="1" customHeight="1">
      <c r="A9368" s="199"/>
    </row>
    <row r="9369" spans="1:1" s="200" customFormat="1" ht="12" hidden="1" customHeight="1">
      <c r="A9369" s="199"/>
    </row>
    <row r="9370" spans="1:1" s="200" customFormat="1" ht="12" hidden="1" customHeight="1">
      <c r="A9370" s="199"/>
    </row>
    <row r="9371" spans="1:1" s="200" customFormat="1" ht="12" hidden="1" customHeight="1">
      <c r="A9371" s="199"/>
    </row>
    <row r="9372" spans="1:1" s="200" customFormat="1" ht="12" hidden="1" customHeight="1">
      <c r="A9372" s="199"/>
    </row>
    <row r="9373" spans="1:1" s="200" customFormat="1" ht="12" hidden="1" customHeight="1">
      <c r="A9373" s="199"/>
    </row>
    <row r="9374" spans="1:1" s="200" customFormat="1" ht="12" hidden="1" customHeight="1">
      <c r="A9374" s="199"/>
    </row>
    <row r="9375" spans="1:1" s="200" customFormat="1" ht="12" hidden="1" customHeight="1">
      <c r="A9375" s="199"/>
    </row>
    <row r="9376" spans="1:1" s="200" customFormat="1" ht="12" hidden="1" customHeight="1">
      <c r="A9376" s="199"/>
    </row>
    <row r="9377" spans="1:1" s="200" customFormat="1" ht="12" hidden="1" customHeight="1">
      <c r="A9377" s="199"/>
    </row>
    <row r="9378" spans="1:1" s="200" customFormat="1" ht="12" hidden="1" customHeight="1">
      <c r="A9378" s="199"/>
    </row>
    <row r="9379" spans="1:1" s="200" customFormat="1" ht="12" hidden="1" customHeight="1">
      <c r="A9379" s="199"/>
    </row>
    <row r="9380" spans="1:1" s="200" customFormat="1" ht="12" hidden="1" customHeight="1">
      <c r="A9380" s="199"/>
    </row>
    <row r="9381" spans="1:1" s="200" customFormat="1" ht="12" hidden="1" customHeight="1">
      <c r="A9381" s="199"/>
    </row>
    <row r="9382" spans="1:1" s="200" customFormat="1" ht="12" hidden="1" customHeight="1">
      <c r="A9382" s="199"/>
    </row>
    <row r="9383" spans="1:1" s="200" customFormat="1" ht="12" hidden="1" customHeight="1">
      <c r="A9383" s="199"/>
    </row>
    <row r="9384" spans="1:1" s="200" customFormat="1" ht="12" hidden="1" customHeight="1">
      <c r="A9384" s="199"/>
    </row>
    <row r="9385" spans="1:1" s="200" customFormat="1" ht="12" hidden="1" customHeight="1">
      <c r="A9385" s="199"/>
    </row>
    <row r="9386" spans="1:1" s="200" customFormat="1" ht="12" hidden="1" customHeight="1">
      <c r="A9386" s="199"/>
    </row>
    <row r="9387" spans="1:1" s="200" customFormat="1" ht="12" hidden="1" customHeight="1">
      <c r="A9387" s="199"/>
    </row>
    <row r="9388" spans="1:1" s="200" customFormat="1" ht="12" hidden="1" customHeight="1">
      <c r="A9388" s="199"/>
    </row>
    <row r="9389" spans="1:1" s="200" customFormat="1" ht="12" hidden="1" customHeight="1">
      <c r="A9389" s="199"/>
    </row>
    <row r="9390" spans="1:1" s="200" customFormat="1" ht="12" hidden="1" customHeight="1">
      <c r="A9390" s="199"/>
    </row>
    <row r="9391" spans="1:1" s="200" customFormat="1" ht="12" hidden="1" customHeight="1">
      <c r="A9391" s="199"/>
    </row>
    <row r="9392" spans="1:1" s="200" customFormat="1" ht="12" hidden="1" customHeight="1">
      <c r="A9392" s="199"/>
    </row>
    <row r="9393" spans="1:1" s="200" customFormat="1" ht="12" hidden="1" customHeight="1">
      <c r="A9393" s="199"/>
    </row>
    <row r="9394" spans="1:1" s="200" customFormat="1" ht="12" hidden="1" customHeight="1">
      <c r="A9394" s="199"/>
    </row>
    <row r="9395" spans="1:1" s="200" customFormat="1" ht="12" hidden="1" customHeight="1">
      <c r="A9395" s="199"/>
    </row>
    <row r="9396" spans="1:1" s="200" customFormat="1" ht="12" hidden="1" customHeight="1">
      <c r="A9396" s="199"/>
    </row>
    <row r="9397" spans="1:1" s="200" customFormat="1" ht="12" hidden="1" customHeight="1">
      <c r="A9397" s="199"/>
    </row>
    <row r="9398" spans="1:1" s="200" customFormat="1" ht="12" hidden="1" customHeight="1">
      <c r="A9398" s="199"/>
    </row>
    <row r="9399" spans="1:1" s="200" customFormat="1" ht="12" hidden="1" customHeight="1">
      <c r="A9399" s="199"/>
    </row>
    <row r="9400" spans="1:1" s="200" customFormat="1" ht="12" hidden="1" customHeight="1">
      <c r="A9400" s="199"/>
    </row>
    <row r="9401" spans="1:1" s="200" customFormat="1" ht="12" hidden="1" customHeight="1">
      <c r="A9401" s="199"/>
    </row>
    <row r="9402" spans="1:1" s="200" customFormat="1" ht="12" hidden="1" customHeight="1">
      <c r="A9402" s="199"/>
    </row>
    <row r="9403" spans="1:1" s="200" customFormat="1" ht="12" hidden="1" customHeight="1">
      <c r="A9403" s="199"/>
    </row>
    <row r="9404" spans="1:1" s="200" customFormat="1" ht="12" hidden="1" customHeight="1">
      <c r="A9404" s="199"/>
    </row>
    <row r="9405" spans="1:1" s="200" customFormat="1" ht="12" hidden="1" customHeight="1">
      <c r="A9405" s="199"/>
    </row>
    <row r="9406" spans="1:1" s="200" customFormat="1" ht="12" hidden="1" customHeight="1">
      <c r="A9406" s="199"/>
    </row>
    <row r="9407" spans="1:1" s="200" customFormat="1" ht="12" hidden="1" customHeight="1">
      <c r="A9407" s="199"/>
    </row>
    <row r="9408" spans="1:1" s="200" customFormat="1" ht="12" hidden="1" customHeight="1">
      <c r="A9408" s="199"/>
    </row>
    <row r="9409" spans="1:1" s="200" customFormat="1" ht="12" hidden="1" customHeight="1">
      <c r="A9409" s="199"/>
    </row>
    <row r="9410" spans="1:1" s="200" customFormat="1" ht="12" hidden="1" customHeight="1">
      <c r="A9410" s="199"/>
    </row>
    <row r="9411" spans="1:1" s="200" customFormat="1" ht="12" hidden="1" customHeight="1">
      <c r="A9411" s="199"/>
    </row>
    <row r="9412" spans="1:1" s="200" customFormat="1" ht="12" hidden="1" customHeight="1">
      <c r="A9412" s="199"/>
    </row>
    <row r="9413" spans="1:1" s="200" customFormat="1" ht="12" hidden="1" customHeight="1">
      <c r="A9413" s="199"/>
    </row>
    <row r="9414" spans="1:1" s="200" customFormat="1" ht="12" hidden="1" customHeight="1">
      <c r="A9414" s="199"/>
    </row>
    <row r="9415" spans="1:1" s="200" customFormat="1" ht="12" hidden="1" customHeight="1">
      <c r="A9415" s="199"/>
    </row>
    <row r="9416" spans="1:1" s="200" customFormat="1" ht="12" hidden="1" customHeight="1">
      <c r="A9416" s="199"/>
    </row>
    <row r="9417" spans="1:1" s="200" customFormat="1" ht="12" hidden="1" customHeight="1">
      <c r="A9417" s="199"/>
    </row>
    <row r="9418" spans="1:1" s="200" customFormat="1" ht="12" hidden="1" customHeight="1">
      <c r="A9418" s="199"/>
    </row>
    <row r="9419" spans="1:1" s="200" customFormat="1" ht="12" hidden="1" customHeight="1">
      <c r="A9419" s="199"/>
    </row>
    <row r="9420" spans="1:1" s="200" customFormat="1" ht="12" hidden="1" customHeight="1">
      <c r="A9420" s="199"/>
    </row>
    <row r="9421" spans="1:1" s="200" customFormat="1" ht="12" hidden="1" customHeight="1">
      <c r="A9421" s="199"/>
    </row>
    <row r="9422" spans="1:1" s="200" customFormat="1" ht="12" hidden="1" customHeight="1">
      <c r="A9422" s="199"/>
    </row>
    <row r="9423" spans="1:1" s="200" customFormat="1" ht="12" hidden="1" customHeight="1">
      <c r="A9423" s="199"/>
    </row>
    <row r="9424" spans="1:1" s="200" customFormat="1" ht="12" hidden="1" customHeight="1">
      <c r="A9424" s="199"/>
    </row>
    <row r="9425" spans="1:1" s="200" customFormat="1" ht="12" hidden="1" customHeight="1">
      <c r="A9425" s="199"/>
    </row>
    <row r="9426" spans="1:1" s="200" customFormat="1" ht="12" hidden="1" customHeight="1">
      <c r="A9426" s="199"/>
    </row>
    <row r="9427" spans="1:1" s="200" customFormat="1" ht="12" hidden="1" customHeight="1">
      <c r="A9427" s="199"/>
    </row>
    <row r="9428" spans="1:1" s="200" customFormat="1" ht="12" hidden="1" customHeight="1">
      <c r="A9428" s="199"/>
    </row>
    <row r="9429" spans="1:1" s="200" customFormat="1" ht="12" hidden="1" customHeight="1">
      <c r="A9429" s="199"/>
    </row>
    <row r="9430" spans="1:1" s="200" customFormat="1" ht="12" hidden="1" customHeight="1">
      <c r="A9430" s="199"/>
    </row>
    <row r="9431" spans="1:1" s="200" customFormat="1" ht="12" hidden="1" customHeight="1">
      <c r="A9431" s="199"/>
    </row>
    <row r="9432" spans="1:1" s="200" customFormat="1" ht="12" hidden="1" customHeight="1">
      <c r="A9432" s="199"/>
    </row>
    <row r="9433" spans="1:1" s="200" customFormat="1" ht="12" hidden="1" customHeight="1">
      <c r="A9433" s="199"/>
    </row>
    <row r="9434" spans="1:1" s="200" customFormat="1" ht="12" hidden="1" customHeight="1">
      <c r="A9434" s="199"/>
    </row>
    <row r="9435" spans="1:1" s="200" customFormat="1" ht="12" hidden="1" customHeight="1">
      <c r="A9435" s="199"/>
    </row>
    <row r="9436" spans="1:1" s="200" customFormat="1" ht="12" hidden="1" customHeight="1">
      <c r="A9436" s="199"/>
    </row>
    <row r="9437" spans="1:1" s="200" customFormat="1" ht="12" hidden="1" customHeight="1">
      <c r="A9437" s="199"/>
    </row>
    <row r="9438" spans="1:1" s="200" customFormat="1" ht="12" hidden="1" customHeight="1">
      <c r="A9438" s="199"/>
    </row>
    <row r="9439" spans="1:1" s="200" customFormat="1" ht="12" hidden="1" customHeight="1">
      <c r="A9439" s="199"/>
    </row>
    <row r="9440" spans="1:1" s="200" customFormat="1" ht="12" hidden="1" customHeight="1">
      <c r="A9440" s="199"/>
    </row>
    <row r="9441" spans="1:1" s="200" customFormat="1" ht="12" hidden="1" customHeight="1">
      <c r="A9441" s="199"/>
    </row>
    <row r="9442" spans="1:1" s="200" customFormat="1" ht="12" hidden="1" customHeight="1">
      <c r="A9442" s="199"/>
    </row>
    <row r="9443" spans="1:1" s="200" customFormat="1" ht="12" hidden="1" customHeight="1">
      <c r="A9443" s="199"/>
    </row>
    <row r="9444" spans="1:1" s="200" customFormat="1" ht="12" hidden="1" customHeight="1">
      <c r="A9444" s="199"/>
    </row>
    <row r="9445" spans="1:1" s="200" customFormat="1" ht="12" hidden="1" customHeight="1">
      <c r="A9445" s="199"/>
    </row>
    <row r="9446" spans="1:1" s="200" customFormat="1" ht="12" hidden="1" customHeight="1">
      <c r="A9446" s="199"/>
    </row>
    <row r="9447" spans="1:1" s="200" customFormat="1" ht="12" hidden="1" customHeight="1">
      <c r="A9447" s="199"/>
    </row>
    <row r="9448" spans="1:1" s="200" customFormat="1" ht="12" hidden="1" customHeight="1">
      <c r="A9448" s="199"/>
    </row>
    <row r="9449" spans="1:1" s="200" customFormat="1" ht="12" hidden="1" customHeight="1">
      <c r="A9449" s="199"/>
    </row>
    <row r="9450" spans="1:1" s="200" customFormat="1" ht="12" hidden="1" customHeight="1">
      <c r="A9450" s="199"/>
    </row>
    <row r="9451" spans="1:1" s="200" customFormat="1" ht="12" hidden="1" customHeight="1">
      <c r="A9451" s="199"/>
    </row>
    <row r="9452" spans="1:1" s="200" customFormat="1" ht="12" hidden="1" customHeight="1">
      <c r="A9452" s="199"/>
    </row>
    <row r="9453" spans="1:1" s="200" customFormat="1" ht="12" hidden="1" customHeight="1">
      <c r="A9453" s="199"/>
    </row>
    <row r="9454" spans="1:1" s="200" customFormat="1" ht="12" hidden="1" customHeight="1">
      <c r="A9454" s="199"/>
    </row>
    <row r="9455" spans="1:1" s="200" customFormat="1" ht="12" hidden="1" customHeight="1">
      <c r="A9455" s="199"/>
    </row>
    <row r="9456" spans="1:1" s="200" customFormat="1" ht="12" hidden="1" customHeight="1">
      <c r="A9456" s="199"/>
    </row>
    <row r="9457" spans="1:1" s="200" customFormat="1" ht="12" hidden="1" customHeight="1">
      <c r="A9457" s="199"/>
    </row>
    <row r="9458" spans="1:1" s="200" customFormat="1" ht="12" hidden="1" customHeight="1">
      <c r="A9458" s="199"/>
    </row>
    <row r="9459" spans="1:1" s="200" customFormat="1" ht="12" hidden="1" customHeight="1">
      <c r="A9459" s="199"/>
    </row>
    <row r="9460" spans="1:1" s="200" customFormat="1" ht="12" hidden="1" customHeight="1">
      <c r="A9460" s="199"/>
    </row>
    <row r="9461" spans="1:1" s="200" customFormat="1" ht="12" hidden="1" customHeight="1">
      <c r="A9461" s="199"/>
    </row>
    <row r="9462" spans="1:1" s="200" customFormat="1" ht="12" hidden="1" customHeight="1">
      <c r="A9462" s="199"/>
    </row>
    <row r="9463" spans="1:1" s="200" customFormat="1" ht="12" hidden="1" customHeight="1">
      <c r="A9463" s="199"/>
    </row>
    <row r="9464" spans="1:1" s="200" customFormat="1" ht="12" hidden="1" customHeight="1">
      <c r="A9464" s="199"/>
    </row>
    <row r="9465" spans="1:1" s="200" customFormat="1" ht="12" hidden="1" customHeight="1">
      <c r="A9465" s="199"/>
    </row>
    <row r="9466" spans="1:1" s="200" customFormat="1" ht="12" hidden="1" customHeight="1">
      <c r="A9466" s="199"/>
    </row>
    <row r="9467" spans="1:1" s="200" customFormat="1" ht="12" hidden="1" customHeight="1">
      <c r="A9467" s="199"/>
    </row>
    <row r="9468" spans="1:1" s="200" customFormat="1" ht="12" hidden="1" customHeight="1">
      <c r="A9468" s="199"/>
    </row>
    <row r="9469" spans="1:1" s="200" customFormat="1" ht="12" hidden="1" customHeight="1">
      <c r="A9469" s="199"/>
    </row>
    <row r="9470" spans="1:1" s="200" customFormat="1" ht="12" hidden="1" customHeight="1">
      <c r="A9470" s="199"/>
    </row>
    <row r="9471" spans="1:1" s="200" customFormat="1" ht="12" hidden="1" customHeight="1">
      <c r="A9471" s="199"/>
    </row>
    <row r="9472" spans="1:1" s="200" customFormat="1" ht="12" hidden="1" customHeight="1">
      <c r="A9472" s="199"/>
    </row>
    <row r="9473" spans="1:1" s="200" customFormat="1" ht="12" hidden="1" customHeight="1">
      <c r="A9473" s="199"/>
    </row>
    <row r="9474" spans="1:1" s="200" customFormat="1" ht="12" hidden="1" customHeight="1">
      <c r="A9474" s="199"/>
    </row>
    <row r="9475" spans="1:1" s="200" customFormat="1" ht="12" hidden="1" customHeight="1">
      <c r="A9475" s="199"/>
    </row>
    <row r="9476" spans="1:1" s="200" customFormat="1" ht="12" hidden="1" customHeight="1">
      <c r="A9476" s="199"/>
    </row>
    <row r="9477" spans="1:1" s="200" customFormat="1" ht="12" hidden="1" customHeight="1">
      <c r="A9477" s="199"/>
    </row>
    <row r="9478" spans="1:1" s="200" customFormat="1" ht="12" hidden="1" customHeight="1">
      <c r="A9478" s="199"/>
    </row>
    <row r="9479" spans="1:1" s="200" customFormat="1" ht="12" hidden="1" customHeight="1">
      <c r="A9479" s="199"/>
    </row>
    <row r="9480" spans="1:1" s="200" customFormat="1" ht="12" hidden="1" customHeight="1">
      <c r="A9480" s="199"/>
    </row>
    <row r="9481" spans="1:1" s="200" customFormat="1" ht="12" hidden="1" customHeight="1">
      <c r="A9481" s="199"/>
    </row>
    <row r="9482" spans="1:1" s="200" customFormat="1" ht="12" hidden="1" customHeight="1">
      <c r="A9482" s="199"/>
    </row>
    <row r="9483" spans="1:1" s="200" customFormat="1" ht="12" hidden="1" customHeight="1">
      <c r="A9483" s="199"/>
    </row>
    <row r="9484" spans="1:1" s="200" customFormat="1" ht="12" hidden="1" customHeight="1">
      <c r="A9484" s="199"/>
    </row>
    <row r="9485" spans="1:1" s="200" customFormat="1" ht="12" hidden="1" customHeight="1">
      <c r="A9485" s="199"/>
    </row>
    <row r="9486" spans="1:1" s="200" customFormat="1" ht="12" hidden="1" customHeight="1">
      <c r="A9486" s="199"/>
    </row>
    <row r="9487" spans="1:1" s="200" customFormat="1" ht="12" hidden="1" customHeight="1">
      <c r="A9487" s="199"/>
    </row>
    <row r="9488" spans="1:1" s="200" customFormat="1" ht="12" hidden="1" customHeight="1">
      <c r="A9488" s="199"/>
    </row>
    <row r="9489" spans="1:1" s="200" customFormat="1" ht="12" hidden="1" customHeight="1">
      <c r="A9489" s="199"/>
    </row>
    <row r="9490" spans="1:1" s="200" customFormat="1" ht="12" hidden="1" customHeight="1">
      <c r="A9490" s="199"/>
    </row>
    <row r="9491" spans="1:1" s="200" customFormat="1" ht="12" hidden="1" customHeight="1">
      <c r="A9491" s="199"/>
    </row>
    <row r="9492" spans="1:1" s="200" customFormat="1" ht="12" hidden="1" customHeight="1">
      <c r="A9492" s="199"/>
    </row>
    <row r="9493" spans="1:1" s="200" customFormat="1" ht="12" hidden="1" customHeight="1">
      <c r="A9493" s="199"/>
    </row>
    <row r="9494" spans="1:1" s="200" customFormat="1" ht="12" hidden="1" customHeight="1">
      <c r="A9494" s="199"/>
    </row>
    <row r="9495" spans="1:1" s="200" customFormat="1" ht="12" hidden="1" customHeight="1">
      <c r="A9495" s="199"/>
    </row>
    <row r="9496" spans="1:1" s="200" customFormat="1" ht="12" hidden="1" customHeight="1">
      <c r="A9496" s="199"/>
    </row>
    <row r="9497" spans="1:1" s="200" customFormat="1" ht="12" hidden="1" customHeight="1">
      <c r="A9497" s="199"/>
    </row>
    <row r="9498" spans="1:1" s="200" customFormat="1" ht="12" hidden="1" customHeight="1">
      <c r="A9498" s="199"/>
    </row>
    <row r="9499" spans="1:1" s="200" customFormat="1" ht="12" hidden="1" customHeight="1">
      <c r="A9499" s="199"/>
    </row>
    <row r="9500" spans="1:1" s="200" customFormat="1" ht="12" hidden="1" customHeight="1">
      <c r="A9500" s="199"/>
    </row>
    <row r="9501" spans="1:1" s="200" customFormat="1" ht="12" hidden="1" customHeight="1">
      <c r="A9501" s="199"/>
    </row>
    <row r="9502" spans="1:1" s="200" customFormat="1" ht="12" hidden="1" customHeight="1">
      <c r="A9502" s="199"/>
    </row>
    <row r="9503" spans="1:1" s="200" customFormat="1" ht="12" hidden="1" customHeight="1">
      <c r="A9503" s="199"/>
    </row>
    <row r="9504" spans="1:1" s="200" customFormat="1" ht="12" hidden="1" customHeight="1">
      <c r="A9504" s="199"/>
    </row>
    <row r="9505" spans="1:1" s="200" customFormat="1" ht="12" hidden="1" customHeight="1">
      <c r="A9505" s="199"/>
    </row>
    <row r="9506" spans="1:1" s="200" customFormat="1" ht="12" hidden="1" customHeight="1">
      <c r="A9506" s="199"/>
    </row>
    <row r="9507" spans="1:1" s="200" customFormat="1" ht="12" hidden="1" customHeight="1">
      <c r="A9507" s="199"/>
    </row>
    <row r="9508" spans="1:1" s="200" customFormat="1" ht="12" hidden="1" customHeight="1">
      <c r="A9508" s="199"/>
    </row>
    <row r="9509" spans="1:1" s="200" customFormat="1" ht="12" hidden="1" customHeight="1">
      <c r="A9509" s="199"/>
    </row>
    <row r="9510" spans="1:1" s="200" customFormat="1" ht="12" hidden="1" customHeight="1">
      <c r="A9510" s="199"/>
    </row>
    <row r="9511" spans="1:1" s="200" customFormat="1" ht="12" hidden="1" customHeight="1">
      <c r="A9511" s="199"/>
    </row>
    <row r="9512" spans="1:1" s="200" customFormat="1" ht="12" hidden="1" customHeight="1">
      <c r="A9512" s="199"/>
    </row>
    <row r="9513" spans="1:1" s="200" customFormat="1" ht="12" hidden="1" customHeight="1">
      <c r="A9513" s="199"/>
    </row>
    <row r="9514" spans="1:1" s="200" customFormat="1" ht="12" hidden="1" customHeight="1">
      <c r="A9514" s="199"/>
    </row>
    <row r="9515" spans="1:1" s="200" customFormat="1" ht="12" hidden="1" customHeight="1">
      <c r="A9515" s="199"/>
    </row>
    <row r="9516" spans="1:1" s="200" customFormat="1" ht="12" hidden="1" customHeight="1">
      <c r="A9516" s="199"/>
    </row>
    <row r="9517" spans="1:1" s="200" customFormat="1" ht="12" hidden="1" customHeight="1">
      <c r="A9517" s="199"/>
    </row>
    <row r="9518" spans="1:1" s="200" customFormat="1" ht="12" hidden="1" customHeight="1">
      <c r="A9518" s="199"/>
    </row>
    <row r="9519" spans="1:1" s="200" customFormat="1" ht="12" hidden="1" customHeight="1">
      <c r="A9519" s="199"/>
    </row>
    <row r="9520" spans="1:1" s="200" customFormat="1" ht="12" hidden="1" customHeight="1">
      <c r="A9520" s="199"/>
    </row>
    <row r="9521" spans="1:1" s="200" customFormat="1" ht="12" hidden="1" customHeight="1">
      <c r="A9521" s="199"/>
    </row>
    <row r="9522" spans="1:1" s="200" customFormat="1" ht="12" hidden="1" customHeight="1">
      <c r="A9522" s="199"/>
    </row>
    <row r="9523" spans="1:1" s="200" customFormat="1" ht="12" hidden="1" customHeight="1">
      <c r="A9523" s="199"/>
    </row>
    <row r="9524" spans="1:1" s="200" customFormat="1" ht="12" hidden="1" customHeight="1">
      <c r="A9524" s="199"/>
    </row>
    <row r="9525" spans="1:1" s="200" customFormat="1" ht="12" hidden="1" customHeight="1">
      <c r="A9525" s="199"/>
    </row>
    <row r="9526" spans="1:1" s="200" customFormat="1" ht="12" hidden="1" customHeight="1">
      <c r="A9526" s="199"/>
    </row>
    <row r="9527" spans="1:1" s="200" customFormat="1" ht="12" hidden="1" customHeight="1">
      <c r="A9527" s="199"/>
    </row>
    <row r="9528" spans="1:1" s="200" customFormat="1" ht="12" hidden="1" customHeight="1">
      <c r="A9528" s="199"/>
    </row>
    <row r="9529" spans="1:1" s="200" customFormat="1" ht="12" hidden="1" customHeight="1">
      <c r="A9529" s="199"/>
    </row>
    <row r="9530" spans="1:1" s="200" customFormat="1" ht="12" hidden="1" customHeight="1">
      <c r="A9530" s="199"/>
    </row>
    <row r="9531" spans="1:1" s="200" customFormat="1" ht="12" hidden="1" customHeight="1">
      <c r="A9531" s="199"/>
    </row>
    <row r="9532" spans="1:1" s="200" customFormat="1" ht="12" hidden="1" customHeight="1">
      <c r="A9532" s="199"/>
    </row>
    <row r="9533" spans="1:1" s="200" customFormat="1" ht="12" hidden="1" customHeight="1">
      <c r="A9533" s="199"/>
    </row>
    <row r="9534" spans="1:1" s="200" customFormat="1" ht="12" hidden="1" customHeight="1">
      <c r="A9534" s="199"/>
    </row>
    <row r="9535" spans="1:1" s="200" customFormat="1" ht="12" hidden="1" customHeight="1">
      <c r="A9535" s="199"/>
    </row>
    <row r="9536" spans="1:1" s="200" customFormat="1" ht="12" hidden="1" customHeight="1">
      <c r="A9536" s="199"/>
    </row>
    <row r="9537" spans="1:1" s="200" customFormat="1" ht="12" hidden="1" customHeight="1">
      <c r="A9537" s="199"/>
    </row>
    <row r="9538" spans="1:1" s="200" customFormat="1" ht="12" hidden="1" customHeight="1">
      <c r="A9538" s="199"/>
    </row>
    <row r="9539" spans="1:1" s="200" customFormat="1" ht="12" hidden="1" customHeight="1">
      <c r="A9539" s="199"/>
    </row>
    <row r="9540" spans="1:1" s="200" customFormat="1" ht="12" hidden="1" customHeight="1">
      <c r="A9540" s="199"/>
    </row>
    <row r="9541" spans="1:1" s="200" customFormat="1" ht="12" hidden="1" customHeight="1">
      <c r="A9541" s="199"/>
    </row>
    <row r="9542" spans="1:1" s="200" customFormat="1" ht="12" hidden="1" customHeight="1">
      <c r="A9542" s="199"/>
    </row>
    <row r="9543" spans="1:1" s="200" customFormat="1" ht="12" hidden="1" customHeight="1">
      <c r="A9543" s="199"/>
    </row>
    <row r="9544" spans="1:1" s="200" customFormat="1" ht="12" hidden="1" customHeight="1">
      <c r="A9544" s="199"/>
    </row>
    <row r="9545" spans="1:1" s="200" customFormat="1" ht="12" hidden="1" customHeight="1">
      <c r="A9545" s="199"/>
    </row>
    <row r="9546" spans="1:1" s="200" customFormat="1" ht="12" hidden="1" customHeight="1">
      <c r="A9546" s="199"/>
    </row>
    <row r="9547" spans="1:1" s="200" customFormat="1" ht="12" hidden="1" customHeight="1">
      <c r="A9547" s="199"/>
    </row>
    <row r="9548" spans="1:1" s="200" customFormat="1" ht="12" hidden="1" customHeight="1">
      <c r="A9548" s="199"/>
    </row>
    <row r="9549" spans="1:1" s="200" customFormat="1" ht="12" hidden="1" customHeight="1">
      <c r="A9549" s="199"/>
    </row>
    <row r="9550" spans="1:1" s="200" customFormat="1" ht="12" hidden="1" customHeight="1">
      <c r="A9550" s="199"/>
    </row>
    <row r="9551" spans="1:1" s="200" customFormat="1" ht="12" hidden="1" customHeight="1">
      <c r="A9551" s="199"/>
    </row>
    <row r="9552" spans="1:1" s="200" customFormat="1" ht="12" hidden="1" customHeight="1">
      <c r="A9552" s="199"/>
    </row>
    <row r="9553" spans="1:1" s="200" customFormat="1" ht="12" hidden="1" customHeight="1">
      <c r="A9553" s="199"/>
    </row>
    <row r="9554" spans="1:1" s="200" customFormat="1" ht="12" hidden="1" customHeight="1">
      <c r="A9554" s="199"/>
    </row>
    <row r="9555" spans="1:1" s="200" customFormat="1" ht="12" hidden="1" customHeight="1">
      <c r="A9555" s="199"/>
    </row>
    <row r="9556" spans="1:1" s="200" customFormat="1" ht="12" hidden="1" customHeight="1">
      <c r="A9556" s="199"/>
    </row>
    <row r="9557" spans="1:1" s="200" customFormat="1" ht="12" hidden="1" customHeight="1">
      <c r="A9557" s="199"/>
    </row>
    <row r="9558" spans="1:1" s="200" customFormat="1" ht="12" hidden="1" customHeight="1">
      <c r="A9558" s="199"/>
    </row>
    <row r="9559" spans="1:1" s="200" customFormat="1" ht="12" hidden="1" customHeight="1">
      <c r="A9559" s="199"/>
    </row>
    <row r="9560" spans="1:1" s="200" customFormat="1" ht="12" hidden="1" customHeight="1">
      <c r="A9560" s="199"/>
    </row>
    <row r="9561" spans="1:1" s="200" customFormat="1" ht="12" hidden="1" customHeight="1">
      <c r="A9561" s="199"/>
    </row>
    <row r="9562" spans="1:1" s="200" customFormat="1" ht="12" hidden="1" customHeight="1">
      <c r="A9562" s="199"/>
    </row>
    <row r="9563" spans="1:1" s="200" customFormat="1" ht="12" hidden="1" customHeight="1">
      <c r="A9563" s="199"/>
    </row>
    <row r="9564" spans="1:1" s="200" customFormat="1" ht="12" hidden="1" customHeight="1">
      <c r="A9564" s="199"/>
    </row>
    <row r="9565" spans="1:1" s="200" customFormat="1" ht="12" hidden="1" customHeight="1">
      <c r="A9565" s="199"/>
    </row>
    <row r="9566" spans="1:1" s="200" customFormat="1" ht="12" hidden="1" customHeight="1">
      <c r="A9566" s="199"/>
    </row>
    <row r="9567" spans="1:1" s="200" customFormat="1" ht="12" hidden="1" customHeight="1">
      <c r="A9567" s="199"/>
    </row>
    <row r="9568" spans="1:1" s="200" customFormat="1" ht="12" hidden="1" customHeight="1">
      <c r="A9568" s="199"/>
    </row>
    <row r="9569" spans="1:1" s="200" customFormat="1" ht="12" hidden="1" customHeight="1">
      <c r="A9569" s="199"/>
    </row>
    <row r="9570" spans="1:1" s="200" customFormat="1" ht="12" hidden="1" customHeight="1">
      <c r="A9570" s="199"/>
    </row>
    <row r="9571" spans="1:1" s="200" customFormat="1" ht="12" hidden="1" customHeight="1">
      <c r="A9571" s="199"/>
    </row>
    <row r="9572" spans="1:1" s="200" customFormat="1" ht="12" hidden="1" customHeight="1">
      <c r="A9572" s="199"/>
    </row>
    <row r="9573" spans="1:1" s="200" customFormat="1" ht="12" hidden="1" customHeight="1">
      <c r="A9573" s="199"/>
    </row>
    <row r="9574" spans="1:1" s="200" customFormat="1" ht="12" hidden="1" customHeight="1">
      <c r="A9574" s="199"/>
    </row>
    <row r="9575" spans="1:1" s="200" customFormat="1" ht="12" hidden="1" customHeight="1">
      <c r="A9575" s="199"/>
    </row>
    <row r="9576" spans="1:1" s="200" customFormat="1" ht="12" hidden="1" customHeight="1">
      <c r="A9576" s="199"/>
    </row>
    <row r="9577" spans="1:1" s="200" customFormat="1" ht="12" hidden="1" customHeight="1">
      <c r="A9577" s="199"/>
    </row>
    <row r="9578" spans="1:1" s="200" customFormat="1" ht="12" hidden="1" customHeight="1">
      <c r="A9578" s="199"/>
    </row>
    <row r="9579" spans="1:1" s="200" customFormat="1" ht="12" hidden="1" customHeight="1">
      <c r="A9579" s="199"/>
    </row>
    <row r="9580" spans="1:1" s="200" customFormat="1" ht="12" hidden="1" customHeight="1">
      <c r="A9580" s="199"/>
    </row>
    <row r="9581" spans="1:1" s="200" customFormat="1" ht="12" hidden="1" customHeight="1">
      <c r="A9581" s="199"/>
    </row>
    <row r="9582" spans="1:1" s="200" customFormat="1" ht="12" hidden="1" customHeight="1">
      <c r="A9582" s="199"/>
    </row>
    <row r="9583" spans="1:1" s="200" customFormat="1" ht="12" hidden="1" customHeight="1">
      <c r="A9583" s="199"/>
    </row>
    <row r="9584" spans="1:1" s="200" customFormat="1" ht="12" hidden="1" customHeight="1">
      <c r="A9584" s="199"/>
    </row>
    <row r="9585" spans="1:1" s="200" customFormat="1" ht="12" hidden="1" customHeight="1">
      <c r="A9585" s="199"/>
    </row>
    <row r="9586" spans="1:1" s="200" customFormat="1" ht="12" hidden="1" customHeight="1">
      <c r="A9586" s="199"/>
    </row>
    <row r="9587" spans="1:1" s="200" customFormat="1" ht="12" hidden="1" customHeight="1">
      <c r="A9587" s="199"/>
    </row>
    <row r="9588" spans="1:1" s="200" customFormat="1" ht="12" hidden="1" customHeight="1">
      <c r="A9588" s="199"/>
    </row>
    <row r="9589" spans="1:1" s="200" customFormat="1" ht="12" hidden="1" customHeight="1">
      <c r="A9589" s="199"/>
    </row>
    <row r="9590" spans="1:1" s="200" customFormat="1" ht="12" hidden="1" customHeight="1">
      <c r="A9590" s="199"/>
    </row>
    <row r="9591" spans="1:1" s="200" customFormat="1" ht="12" hidden="1" customHeight="1">
      <c r="A9591" s="199"/>
    </row>
    <row r="9592" spans="1:1" s="200" customFormat="1" ht="12" hidden="1" customHeight="1">
      <c r="A9592" s="199"/>
    </row>
    <row r="9593" spans="1:1" s="200" customFormat="1" ht="12" hidden="1" customHeight="1">
      <c r="A9593" s="199"/>
    </row>
    <row r="9594" spans="1:1" s="200" customFormat="1" ht="12" hidden="1" customHeight="1">
      <c r="A9594" s="199"/>
    </row>
    <row r="9595" spans="1:1" s="200" customFormat="1" ht="12" hidden="1" customHeight="1">
      <c r="A9595" s="199"/>
    </row>
    <row r="9596" spans="1:1" s="200" customFormat="1" ht="12" hidden="1" customHeight="1">
      <c r="A9596" s="199"/>
    </row>
    <row r="9597" spans="1:1" s="200" customFormat="1" ht="12" hidden="1" customHeight="1">
      <c r="A9597" s="199"/>
    </row>
    <row r="9598" spans="1:1" s="200" customFormat="1" ht="12" hidden="1" customHeight="1">
      <c r="A9598" s="199"/>
    </row>
    <row r="9599" spans="1:1" s="200" customFormat="1" ht="12" hidden="1" customHeight="1">
      <c r="A9599" s="199"/>
    </row>
    <row r="9600" spans="1:1" s="200" customFormat="1" ht="12" hidden="1" customHeight="1">
      <c r="A9600" s="199"/>
    </row>
    <row r="9601" spans="1:1" s="200" customFormat="1" ht="12" hidden="1" customHeight="1">
      <c r="A9601" s="199"/>
    </row>
    <row r="9602" spans="1:1" s="200" customFormat="1" ht="12" hidden="1" customHeight="1">
      <c r="A9602" s="199"/>
    </row>
    <row r="9603" spans="1:1" s="200" customFormat="1" ht="12" hidden="1" customHeight="1">
      <c r="A9603" s="199"/>
    </row>
    <row r="9604" spans="1:1" s="200" customFormat="1" ht="12" hidden="1" customHeight="1">
      <c r="A9604" s="199"/>
    </row>
    <row r="9605" spans="1:1" s="200" customFormat="1" ht="12" hidden="1" customHeight="1">
      <c r="A9605" s="199"/>
    </row>
    <row r="9606" spans="1:1" s="200" customFormat="1" ht="12" hidden="1" customHeight="1">
      <c r="A9606" s="199"/>
    </row>
    <row r="9607" spans="1:1" s="200" customFormat="1" ht="12" hidden="1" customHeight="1">
      <c r="A9607" s="199"/>
    </row>
    <row r="9608" spans="1:1" s="200" customFormat="1" ht="12" hidden="1" customHeight="1">
      <c r="A9608" s="199"/>
    </row>
    <row r="9609" spans="1:1" s="200" customFormat="1" ht="12" hidden="1" customHeight="1">
      <c r="A9609" s="199"/>
    </row>
    <row r="9610" spans="1:1" s="200" customFormat="1" ht="12" hidden="1" customHeight="1">
      <c r="A9610" s="199"/>
    </row>
    <row r="9611" spans="1:1" s="200" customFormat="1" ht="12" hidden="1" customHeight="1">
      <c r="A9611" s="199"/>
    </row>
    <row r="9612" spans="1:1" s="200" customFormat="1" ht="12" hidden="1" customHeight="1">
      <c r="A9612" s="199"/>
    </row>
    <row r="9613" spans="1:1" s="200" customFormat="1" ht="12" hidden="1" customHeight="1">
      <c r="A9613" s="199"/>
    </row>
    <row r="9614" spans="1:1" s="200" customFormat="1" ht="12" hidden="1" customHeight="1">
      <c r="A9614" s="199"/>
    </row>
    <row r="9615" spans="1:1" s="200" customFormat="1" ht="12" hidden="1" customHeight="1">
      <c r="A9615" s="199"/>
    </row>
    <row r="9616" spans="1:1" s="200" customFormat="1" ht="12" hidden="1" customHeight="1">
      <c r="A9616" s="199"/>
    </row>
    <row r="9617" spans="1:1" s="200" customFormat="1" ht="12" hidden="1" customHeight="1">
      <c r="A9617" s="199"/>
    </row>
    <row r="9618" spans="1:1" s="200" customFormat="1" ht="12" hidden="1" customHeight="1">
      <c r="A9618" s="199"/>
    </row>
    <row r="9619" spans="1:1" s="200" customFormat="1" ht="12" hidden="1" customHeight="1">
      <c r="A9619" s="199"/>
    </row>
    <row r="9620" spans="1:1" s="200" customFormat="1" ht="12" hidden="1" customHeight="1">
      <c r="A9620" s="199"/>
    </row>
    <row r="9621" spans="1:1" s="200" customFormat="1" ht="12" hidden="1" customHeight="1">
      <c r="A9621" s="199"/>
    </row>
    <row r="9622" spans="1:1" s="200" customFormat="1" ht="12" hidden="1" customHeight="1">
      <c r="A9622" s="199"/>
    </row>
    <row r="9623" spans="1:1" s="200" customFormat="1" ht="12" hidden="1" customHeight="1">
      <c r="A9623" s="199"/>
    </row>
    <row r="9624" spans="1:1" s="200" customFormat="1" ht="12" hidden="1" customHeight="1">
      <c r="A9624" s="199"/>
    </row>
    <row r="9625" spans="1:1" s="200" customFormat="1" ht="12" hidden="1" customHeight="1">
      <c r="A9625" s="199"/>
    </row>
    <row r="9626" spans="1:1" s="200" customFormat="1" ht="12" hidden="1" customHeight="1">
      <c r="A9626" s="199"/>
    </row>
    <row r="9627" spans="1:1" s="200" customFormat="1" ht="12" hidden="1" customHeight="1">
      <c r="A9627" s="199"/>
    </row>
    <row r="9628" spans="1:1" s="200" customFormat="1" ht="12" hidden="1" customHeight="1">
      <c r="A9628" s="199"/>
    </row>
    <row r="9629" spans="1:1" s="200" customFormat="1" ht="12" hidden="1" customHeight="1">
      <c r="A9629" s="199"/>
    </row>
    <row r="9630" spans="1:1" s="200" customFormat="1" ht="12" hidden="1" customHeight="1">
      <c r="A9630" s="199"/>
    </row>
    <row r="9631" spans="1:1" s="200" customFormat="1" ht="12" hidden="1" customHeight="1">
      <c r="A9631" s="199"/>
    </row>
    <row r="9632" spans="1:1" s="200" customFormat="1" ht="12" hidden="1" customHeight="1">
      <c r="A9632" s="199"/>
    </row>
    <row r="9633" spans="1:1" s="200" customFormat="1" ht="12" hidden="1" customHeight="1">
      <c r="A9633" s="199"/>
    </row>
    <row r="9634" spans="1:1" s="200" customFormat="1" ht="12" hidden="1" customHeight="1">
      <c r="A9634" s="199"/>
    </row>
    <row r="9635" spans="1:1" s="200" customFormat="1" ht="12" hidden="1" customHeight="1">
      <c r="A9635" s="199"/>
    </row>
    <row r="9636" spans="1:1" s="200" customFormat="1" ht="12" hidden="1" customHeight="1">
      <c r="A9636" s="199"/>
    </row>
    <row r="9637" spans="1:1" s="200" customFormat="1" ht="12" hidden="1" customHeight="1">
      <c r="A9637" s="199"/>
    </row>
    <row r="9638" spans="1:1" s="200" customFormat="1" ht="12" hidden="1" customHeight="1">
      <c r="A9638" s="199"/>
    </row>
    <row r="9639" spans="1:1" s="200" customFormat="1" ht="12" hidden="1" customHeight="1">
      <c r="A9639" s="199"/>
    </row>
    <row r="9640" spans="1:1" s="200" customFormat="1" ht="12" hidden="1" customHeight="1">
      <c r="A9640" s="199"/>
    </row>
    <row r="9641" spans="1:1" s="200" customFormat="1" ht="12" hidden="1" customHeight="1">
      <c r="A9641" s="199"/>
    </row>
    <row r="9642" spans="1:1" s="200" customFormat="1" ht="12" hidden="1" customHeight="1">
      <c r="A9642" s="199"/>
    </row>
    <row r="9643" spans="1:1" s="200" customFormat="1" ht="12" hidden="1" customHeight="1">
      <c r="A9643" s="199"/>
    </row>
    <row r="9644" spans="1:1" s="200" customFormat="1" ht="12" hidden="1" customHeight="1">
      <c r="A9644" s="199"/>
    </row>
    <row r="9645" spans="1:1" s="200" customFormat="1" ht="12" hidden="1" customHeight="1">
      <c r="A9645" s="199"/>
    </row>
    <row r="9646" spans="1:1" s="200" customFormat="1" ht="12" hidden="1" customHeight="1">
      <c r="A9646" s="199"/>
    </row>
    <row r="9647" spans="1:1" s="200" customFormat="1" ht="12" hidden="1" customHeight="1">
      <c r="A9647" s="199"/>
    </row>
    <row r="9648" spans="1:1" s="200" customFormat="1" ht="12" hidden="1" customHeight="1">
      <c r="A9648" s="199"/>
    </row>
    <row r="9649" spans="1:1" s="200" customFormat="1" ht="12" hidden="1" customHeight="1">
      <c r="A9649" s="199"/>
    </row>
    <row r="9650" spans="1:1" s="200" customFormat="1" ht="12" hidden="1" customHeight="1">
      <c r="A9650" s="199"/>
    </row>
    <row r="9651" spans="1:1" s="200" customFormat="1" ht="12" hidden="1" customHeight="1">
      <c r="A9651" s="199"/>
    </row>
    <row r="9652" spans="1:1" s="200" customFormat="1" ht="12" hidden="1" customHeight="1">
      <c r="A9652" s="199"/>
    </row>
    <row r="9653" spans="1:1" s="200" customFormat="1" ht="12" hidden="1" customHeight="1">
      <c r="A9653" s="199"/>
    </row>
    <row r="9654" spans="1:1" s="200" customFormat="1" ht="12" hidden="1" customHeight="1">
      <c r="A9654" s="199"/>
    </row>
    <row r="9655" spans="1:1" s="200" customFormat="1" ht="12" hidden="1" customHeight="1">
      <c r="A9655" s="199"/>
    </row>
    <row r="9656" spans="1:1" s="200" customFormat="1" ht="12" hidden="1" customHeight="1">
      <c r="A9656" s="199"/>
    </row>
    <row r="9657" spans="1:1" s="200" customFormat="1" ht="12" hidden="1" customHeight="1">
      <c r="A9657" s="199"/>
    </row>
    <row r="9658" spans="1:1" s="200" customFormat="1" ht="12" hidden="1" customHeight="1">
      <c r="A9658" s="199"/>
    </row>
    <row r="9659" spans="1:1" s="200" customFormat="1" ht="12" hidden="1" customHeight="1">
      <c r="A9659" s="199"/>
    </row>
    <row r="9660" spans="1:1" s="200" customFormat="1" ht="12" hidden="1" customHeight="1">
      <c r="A9660" s="199"/>
    </row>
    <row r="9661" spans="1:1" s="200" customFormat="1" ht="12" hidden="1" customHeight="1">
      <c r="A9661" s="199"/>
    </row>
    <row r="9662" spans="1:1" s="200" customFormat="1" ht="12" hidden="1" customHeight="1">
      <c r="A9662" s="199"/>
    </row>
    <row r="9663" spans="1:1" s="200" customFormat="1" ht="12" hidden="1" customHeight="1">
      <c r="A9663" s="199"/>
    </row>
    <row r="9664" spans="1:1" s="200" customFormat="1" ht="12" hidden="1" customHeight="1">
      <c r="A9664" s="199"/>
    </row>
    <row r="9665" spans="1:1" s="200" customFormat="1" ht="12" hidden="1" customHeight="1">
      <c r="A9665" s="199"/>
    </row>
    <row r="9666" spans="1:1" s="200" customFormat="1" ht="12" hidden="1" customHeight="1">
      <c r="A9666" s="199"/>
    </row>
    <row r="9667" spans="1:1" s="200" customFormat="1" ht="12" hidden="1" customHeight="1">
      <c r="A9667" s="199"/>
    </row>
    <row r="9668" spans="1:1" s="200" customFormat="1" ht="12" hidden="1" customHeight="1">
      <c r="A9668" s="199"/>
    </row>
    <row r="9669" spans="1:1" s="200" customFormat="1" ht="12" hidden="1" customHeight="1">
      <c r="A9669" s="199"/>
    </row>
    <row r="9670" spans="1:1" s="200" customFormat="1" ht="12" hidden="1" customHeight="1">
      <c r="A9670" s="199"/>
    </row>
    <row r="9671" spans="1:1" s="200" customFormat="1" ht="12" hidden="1" customHeight="1">
      <c r="A9671" s="199"/>
    </row>
    <row r="9672" spans="1:1" s="200" customFormat="1" ht="12" hidden="1" customHeight="1">
      <c r="A9672" s="199"/>
    </row>
    <row r="9673" spans="1:1" s="200" customFormat="1" ht="12" hidden="1" customHeight="1">
      <c r="A9673" s="199"/>
    </row>
    <row r="9674" spans="1:1" s="200" customFormat="1" ht="12" hidden="1" customHeight="1">
      <c r="A9674" s="199"/>
    </row>
    <row r="9675" spans="1:1" s="200" customFormat="1" ht="12" hidden="1" customHeight="1">
      <c r="A9675" s="199"/>
    </row>
    <row r="9676" spans="1:1" s="200" customFormat="1" ht="12" hidden="1" customHeight="1">
      <c r="A9676" s="199"/>
    </row>
    <row r="9677" spans="1:1" s="200" customFormat="1" ht="12" hidden="1" customHeight="1">
      <c r="A9677" s="199"/>
    </row>
    <row r="9678" spans="1:1" s="200" customFormat="1" ht="12" hidden="1" customHeight="1">
      <c r="A9678" s="199"/>
    </row>
    <row r="9679" spans="1:1" s="200" customFormat="1" ht="12" hidden="1" customHeight="1">
      <c r="A9679" s="199"/>
    </row>
    <row r="9680" spans="1:1" s="200" customFormat="1" ht="12" hidden="1" customHeight="1">
      <c r="A9680" s="199"/>
    </row>
    <row r="9681" spans="1:1" s="200" customFormat="1" ht="12" hidden="1" customHeight="1">
      <c r="A9681" s="199"/>
    </row>
    <row r="9682" spans="1:1" s="200" customFormat="1" ht="12" hidden="1" customHeight="1">
      <c r="A9682" s="199"/>
    </row>
    <row r="9683" spans="1:1" s="200" customFormat="1" ht="12" hidden="1" customHeight="1">
      <c r="A9683" s="199"/>
    </row>
    <row r="9684" spans="1:1" s="200" customFormat="1" ht="12" hidden="1" customHeight="1">
      <c r="A9684" s="199"/>
    </row>
    <row r="9685" spans="1:1" s="200" customFormat="1" ht="12" hidden="1" customHeight="1">
      <c r="A9685" s="199"/>
    </row>
    <row r="9686" spans="1:1" s="200" customFormat="1" ht="12" hidden="1" customHeight="1">
      <c r="A9686" s="199"/>
    </row>
    <row r="9687" spans="1:1" s="200" customFormat="1" ht="12" hidden="1" customHeight="1">
      <c r="A9687" s="199"/>
    </row>
    <row r="9688" spans="1:1" s="200" customFormat="1" ht="12" hidden="1" customHeight="1">
      <c r="A9688" s="199"/>
    </row>
    <row r="9689" spans="1:1" s="200" customFormat="1" ht="12" hidden="1" customHeight="1">
      <c r="A9689" s="199"/>
    </row>
    <row r="9690" spans="1:1" s="200" customFormat="1" ht="12" hidden="1" customHeight="1">
      <c r="A9690" s="199"/>
    </row>
    <row r="9691" spans="1:1" s="200" customFormat="1" ht="12" hidden="1" customHeight="1">
      <c r="A9691" s="199"/>
    </row>
    <row r="9692" spans="1:1" s="200" customFormat="1" ht="12" hidden="1" customHeight="1">
      <c r="A9692" s="199"/>
    </row>
    <row r="9693" spans="1:1" s="200" customFormat="1" ht="12" hidden="1" customHeight="1">
      <c r="A9693" s="199"/>
    </row>
    <row r="9694" spans="1:1" s="200" customFormat="1" ht="12" hidden="1" customHeight="1">
      <c r="A9694" s="199"/>
    </row>
    <row r="9695" spans="1:1" s="200" customFormat="1" ht="12" hidden="1" customHeight="1">
      <c r="A9695" s="199"/>
    </row>
    <row r="9696" spans="1:1" s="200" customFormat="1" ht="12" hidden="1" customHeight="1">
      <c r="A9696" s="199"/>
    </row>
    <row r="9697" spans="1:1" s="200" customFormat="1" ht="12" hidden="1" customHeight="1">
      <c r="A9697" s="199"/>
    </row>
    <row r="9698" spans="1:1" s="200" customFormat="1" ht="12" hidden="1" customHeight="1">
      <c r="A9698" s="199"/>
    </row>
    <row r="9699" spans="1:1" s="200" customFormat="1" ht="12" hidden="1" customHeight="1">
      <c r="A9699" s="199"/>
    </row>
    <row r="9700" spans="1:1" s="200" customFormat="1" ht="12" hidden="1" customHeight="1">
      <c r="A9700" s="199"/>
    </row>
    <row r="9701" spans="1:1" s="200" customFormat="1" ht="12" hidden="1" customHeight="1">
      <c r="A9701" s="199"/>
    </row>
    <row r="9702" spans="1:1" s="200" customFormat="1" ht="12" hidden="1" customHeight="1">
      <c r="A9702" s="199"/>
    </row>
    <row r="9703" spans="1:1" s="200" customFormat="1" ht="12" hidden="1" customHeight="1">
      <c r="A9703" s="199"/>
    </row>
    <row r="9704" spans="1:1" s="200" customFormat="1" ht="12" hidden="1" customHeight="1">
      <c r="A9704" s="199"/>
    </row>
    <row r="9705" spans="1:1" s="200" customFormat="1" ht="12" hidden="1" customHeight="1">
      <c r="A9705" s="199"/>
    </row>
    <row r="9706" spans="1:1" s="200" customFormat="1" ht="12" hidden="1" customHeight="1">
      <c r="A9706" s="199"/>
    </row>
    <row r="9707" spans="1:1" s="200" customFormat="1" ht="12" hidden="1" customHeight="1">
      <c r="A9707" s="199"/>
    </row>
    <row r="9708" spans="1:1" s="200" customFormat="1" ht="12" hidden="1" customHeight="1">
      <c r="A9708" s="199"/>
    </row>
    <row r="9709" spans="1:1" s="200" customFormat="1" ht="12" hidden="1" customHeight="1">
      <c r="A9709" s="199"/>
    </row>
    <row r="9710" spans="1:1" s="200" customFormat="1" ht="12" hidden="1" customHeight="1">
      <c r="A9710" s="199"/>
    </row>
    <row r="9711" spans="1:1" s="200" customFormat="1" ht="12" hidden="1" customHeight="1">
      <c r="A9711" s="199"/>
    </row>
    <row r="9712" spans="1:1" s="200" customFormat="1" ht="12" hidden="1" customHeight="1">
      <c r="A9712" s="199"/>
    </row>
    <row r="9713" spans="1:1" s="200" customFormat="1" ht="12" hidden="1" customHeight="1">
      <c r="A9713" s="199"/>
    </row>
    <row r="9714" spans="1:1" s="200" customFormat="1" ht="12" hidden="1" customHeight="1">
      <c r="A9714" s="199"/>
    </row>
    <row r="9715" spans="1:1" s="200" customFormat="1" ht="12" hidden="1" customHeight="1">
      <c r="A9715" s="199"/>
    </row>
    <row r="9716" spans="1:1" s="200" customFormat="1" ht="12" hidden="1" customHeight="1">
      <c r="A9716" s="199"/>
    </row>
    <row r="9717" spans="1:1" s="200" customFormat="1" ht="12" hidden="1" customHeight="1">
      <c r="A9717" s="199"/>
    </row>
    <row r="9718" spans="1:1" s="200" customFormat="1" ht="12" hidden="1" customHeight="1">
      <c r="A9718" s="199"/>
    </row>
    <row r="9719" spans="1:1" s="200" customFormat="1" ht="12" hidden="1" customHeight="1">
      <c r="A9719" s="199"/>
    </row>
    <row r="9720" spans="1:1" s="200" customFormat="1" ht="12" hidden="1" customHeight="1">
      <c r="A9720" s="199"/>
    </row>
    <row r="9721" spans="1:1" s="200" customFormat="1" ht="12" hidden="1" customHeight="1">
      <c r="A9721" s="199"/>
    </row>
    <row r="9722" spans="1:1" s="200" customFormat="1" ht="12" hidden="1" customHeight="1">
      <c r="A9722" s="199"/>
    </row>
    <row r="9723" spans="1:1" s="200" customFormat="1" ht="12" hidden="1" customHeight="1">
      <c r="A9723" s="199"/>
    </row>
    <row r="9724" spans="1:1" s="200" customFormat="1" ht="12" hidden="1" customHeight="1">
      <c r="A9724" s="199"/>
    </row>
    <row r="9725" spans="1:1" s="200" customFormat="1" ht="12" hidden="1" customHeight="1">
      <c r="A9725" s="199"/>
    </row>
    <row r="9726" spans="1:1" s="200" customFormat="1" ht="12" hidden="1" customHeight="1">
      <c r="A9726" s="199"/>
    </row>
    <row r="9727" spans="1:1" s="200" customFormat="1" ht="12" hidden="1" customHeight="1">
      <c r="A9727" s="199"/>
    </row>
    <row r="9728" spans="1:1" s="200" customFormat="1" ht="12" hidden="1" customHeight="1">
      <c r="A9728" s="199"/>
    </row>
    <row r="9729" spans="1:1" s="200" customFormat="1" ht="12" hidden="1" customHeight="1">
      <c r="A9729" s="199"/>
    </row>
    <row r="9730" spans="1:1" s="200" customFormat="1" ht="12" hidden="1" customHeight="1">
      <c r="A9730" s="199"/>
    </row>
    <row r="9731" spans="1:1" s="200" customFormat="1" ht="12" hidden="1" customHeight="1">
      <c r="A9731" s="199"/>
    </row>
    <row r="9732" spans="1:1" s="200" customFormat="1" ht="12" hidden="1" customHeight="1">
      <c r="A9732" s="199"/>
    </row>
    <row r="9733" spans="1:1" s="200" customFormat="1" ht="12" hidden="1" customHeight="1">
      <c r="A9733" s="199"/>
    </row>
    <row r="9734" spans="1:1" s="200" customFormat="1" ht="12" hidden="1" customHeight="1">
      <c r="A9734" s="199"/>
    </row>
    <row r="9735" spans="1:1" s="200" customFormat="1" ht="12" hidden="1" customHeight="1">
      <c r="A9735" s="199"/>
    </row>
    <row r="9736" spans="1:1" s="200" customFormat="1" ht="12" hidden="1" customHeight="1">
      <c r="A9736" s="199"/>
    </row>
    <row r="9737" spans="1:1" s="200" customFormat="1" ht="12" hidden="1" customHeight="1">
      <c r="A9737" s="199"/>
    </row>
    <row r="9738" spans="1:1" s="200" customFormat="1" ht="12" hidden="1" customHeight="1">
      <c r="A9738" s="199"/>
    </row>
    <row r="9739" spans="1:1" s="200" customFormat="1" ht="12" hidden="1" customHeight="1">
      <c r="A9739" s="199"/>
    </row>
    <row r="9740" spans="1:1" s="200" customFormat="1" ht="12" hidden="1" customHeight="1">
      <c r="A9740" s="199"/>
    </row>
    <row r="9741" spans="1:1" s="200" customFormat="1" ht="12" hidden="1" customHeight="1">
      <c r="A9741" s="199"/>
    </row>
    <row r="9742" spans="1:1" s="200" customFormat="1" ht="12" hidden="1" customHeight="1">
      <c r="A9742" s="199"/>
    </row>
    <row r="9743" spans="1:1" s="200" customFormat="1" ht="12" hidden="1" customHeight="1">
      <c r="A9743" s="199"/>
    </row>
    <row r="9744" spans="1:1" s="200" customFormat="1" ht="12" hidden="1" customHeight="1">
      <c r="A9744" s="199"/>
    </row>
    <row r="9745" spans="1:1" s="200" customFormat="1" ht="12" hidden="1" customHeight="1">
      <c r="A9745" s="199"/>
    </row>
    <row r="9746" spans="1:1" s="200" customFormat="1" ht="12" hidden="1" customHeight="1">
      <c r="A9746" s="199"/>
    </row>
    <row r="9747" spans="1:1" s="200" customFormat="1" ht="12" hidden="1" customHeight="1">
      <c r="A9747" s="199"/>
    </row>
    <row r="9748" spans="1:1" s="200" customFormat="1" ht="12" hidden="1" customHeight="1">
      <c r="A9748" s="199"/>
    </row>
    <row r="9749" spans="1:1" s="200" customFormat="1" ht="12" hidden="1" customHeight="1">
      <c r="A9749" s="199"/>
    </row>
    <row r="9750" spans="1:1" s="200" customFormat="1" ht="12" hidden="1" customHeight="1">
      <c r="A9750" s="199"/>
    </row>
    <row r="9751" spans="1:1" s="200" customFormat="1" ht="12" hidden="1" customHeight="1">
      <c r="A9751" s="199"/>
    </row>
    <row r="9752" spans="1:1" s="200" customFormat="1" ht="12" hidden="1" customHeight="1">
      <c r="A9752" s="199"/>
    </row>
    <row r="9753" spans="1:1" s="200" customFormat="1" ht="12" hidden="1" customHeight="1">
      <c r="A9753" s="199"/>
    </row>
    <row r="9754" spans="1:1" s="200" customFormat="1" ht="12" hidden="1" customHeight="1">
      <c r="A9754" s="199"/>
    </row>
    <row r="9755" spans="1:1" s="200" customFormat="1" ht="12" hidden="1" customHeight="1">
      <c r="A9755" s="199"/>
    </row>
    <row r="9756" spans="1:1" s="200" customFormat="1" ht="12" hidden="1" customHeight="1">
      <c r="A9756" s="199"/>
    </row>
    <row r="9757" spans="1:1" s="200" customFormat="1" ht="12" hidden="1" customHeight="1">
      <c r="A9757" s="199"/>
    </row>
    <row r="9758" spans="1:1" s="200" customFormat="1" ht="12" hidden="1" customHeight="1">
      <c r="A9758" s="199"/>
    </row>
    <row r="9759" spans="1:1" s="200" customFormat="1" ht="12" hidden="1" customHeight="1">
      <c r="A9759" s="199"/>
    </row>
    <row r="9760" spans="1:1" s="200" customFormat="1" ht="12" hidden="1" customHeight="1">
      <c r="A9760" s="199"/>
    </row>
    <row r="9761" spans="1:1" s="200" customFormat="1" ht="12" hidden="1" customHeight="1">
      <c r="A9761" s="199"/>
    </row>
    <row r="9762" spans="1:1" s="200" customFormat="1" ht="12" hidden="1" customHeight="1">
      <c r="A9762" s="199"/>
    </row>
    <row r="9763" spans="1:1" s="200" customFormat="1" ht="12" hidden="1" customHeight="1">
      <c r="A9763" s="199"/>
    </row>
    <row r="9764" spans="1:1" s="200" customFormat="1" ht="12" hidden="1" customHeight="1">
      <c r="A9764" s="199"/>
    </row>
    <row r="9765" spans="1:1" s="200" customFormat="1" ht="12" hidden="1" customHeight="1">
      <c r="A9765" s="199"/>
    </row>
    <row r="9766" spans="1:1" s="200" customFormat="1" ht="12" hidden="1" customHeight="1">
      <c r="A9766" s="199"/>
    </row>
    <row r="9767" spans="1:1" s="200" customFormat="1" ht="12" hidden="1" customHeight="1">
      <c r="A9767" s="199"/>
    </row>
    <row r="9768" spans="1:1" s="200" customFormat="1" ht="12" hidden="1" customHeight="1">
      <c r="A9768" s="199"/>
    </row>
    <row r="9769" spans="1:1" s="200" customFormat="1" ht="12" hidden="1" customHeight="1">
      <c r="A9769" s="199"/>
    </row>
    <row r="9770" spans="1:1" s="200" customFormat="1" ht="12" hidden="1" customHeight="1">
      <c r="A9770" s="199"/>
    </row>
    <row r="9771" spans="1:1" s="200" customFormat="1" ht="12" hidden="1" customHeight="1">
      <c r="A9771" s="199"/>
    </row>
    <row r="9772" spans="1:1" s="200" customFormat="1" ht="12" hidden="1" customHeight="1">
      <c r="A9772" s="199"/>
    </row>
    <row r="9773" spans="1:1" s="200" customFormat="1" ht="12" hidden="1" customHeight="1">
      <c r="A9773" s="199"/>
    </row>
    <row r="9774" spans="1:1" s="200" customFormat="1" ht="12" hidden="1" customHeight="1">
      <c r="A9774" s="199"/>
    </row>
    <row r="9775" spans="1:1" s="200" customFormat="1" ht="12" hidden="1" customHeight="1">
      <c r="A9775" s="199"/>
    </row>
    <row r="9776" spans="1:1" s="200" customFormat="1" ht="12" hidden="1" customHeight="1">
      <c r="A9776" s="199"/>
    </row>
    <row r="9777" spans="1:1" s="200" customFormat="1" ht="12" hidden="1" customHeight="1">
      <c r="A9777" s="199"/>
    </row>
    <row r="9778" spans="1:1" s="200" customFormat="1" ht="12" hidden="1" customHeight="1">
      <c r="A9778" s="199"/>
    </row>
    <row r="9779" spans="1:1" s="200" customFormat="1" ht="12" hidden="1" customHeight="1">
      <c r="A9779" s="199"/>
    </row>
    <row r="9780" spans="1:1" s="200" customFormat="1" ht="12" hidden="1" customHeight="1">
      <c r="A9780" s="199"/>
    </row>
    <row r="9781" spans="1:1" s="200" customFormat="1" ht="12" hidden="1" customHeight="1">
      <c r="A9781" s="199"/>
    </row>
    <row r="9782" spans="1:1" s="200" customFormat="1" ht="12" hidden="1" customHeight="1">
      <c r="A9782" s="199"/>
    </row>
    <row r="9783" spans="1:1" s="200" customFormat="1" ht="12" hidden="1" customHeight="1">
      <c r="A9783" s="199"/>
    </row>
    <row r="9784" spans="1:1" s="200" customFormat="1" ht="12" hidden="1" customHeight="1">
      <c r="A9784" s="199"/>
    </row>
    <row r="9785" spans="1:1" s="200" customFormat="1" ht="12" hidden="1" customHeight="1">
      <c r="A9785" s="199"/>
    </row>
    <row r="9786" spans="1:1" s="200" customFormat="1" ht="12" hidden="1" customHeight="1">
      <c r="A9786" s="199"/>
    </row>
    <row r="9787" spans="1:1" s="200" customFormat="1" ht="12" hidden="1" customHeight="1">
      <c r="A9787" s="199"/>
    </row>
    <row r="9788" spans="1:1" s="200" customFormat="1" ht="12" hidden="1" customHeight="1">
      <c r="A9788" s="199"/>
    </row>
    <row r="9789" spans="1:1" s="200" customFormat="1" ht="12" hidden="1" customHeight="1">
      <c r="A9789" s="199"/>
    </row>
    <row r="9790" spans="1:1" s="200" customFormat="1" ht="12" hidden="1" customHeight="1">
      <c r="A9790" s="199"/>
    </row>
    <row r="9791" spans="1:1" s="200" customFormat="1" ht="12" hidden="1" customHeight="1">
      <c r="A9791" s="199"/>
    </row>
    <row r="9792" spans="1:1" s="200" customFormat="1" ht="12" hidden="1" customHeight="1">
      <c r="A9792" s="199"/>
    </row>
    <row r="9793" spans="1:1" s="200" customFormat="1" ht="12" hidden="1" customHeight="1">
      <c r="A9793" s="199"/>
    </row>
    <row r="9794" spans="1:1" s="200" customFormat="1" ht="12" hidden="1" customHeight="1">
      <c r="A9794" s="199"/>
    </row>
    <row r="9795" spans="1:1" s="200" customFormat="1" ht="12" hidden="1" customHeight="1">
      <c r="A9795" s="199"/>
    </row>
    <row r="9796" spans="1:1" s="200" customFormat="1" ht="12" hidden="1" customHeight="1">
      <c r="A9796" s="199"/>
    </row>
    <row r="9797" spans="1:1" s="200" customFormat="1" ht="12" hidden="1" customHeight="1">
      <c r="A9797" s="199"/>
    </row>
    <row r="9798" spans="1:1" s="200" customFormat="1" ht="12" hidden="1" customHeight="1">
      <c r="A9798" s="199"/>
    </row>
    <row r="9799" spans="1:1" s="200" customFormat="1" ht="12" hidden="1" customHeight="1">
      <c r="A9799" s="199"/>
    </row>
    <row r="9800" spans="1:1" s="200" customFormat="1" ht="12" hidden="1" customHeight="1">
      <c r="A9800" s="199"/>
    </row>
    <row r="9801" spans="1:1" s="200" customFormat="1" ht="12" hidden="1" customHeight="1">
      <c r="A9801" s="199"/>
    </row>
    <row r="9802" spans="1:1" s="200" customFormat="1" ht="12" hidden="1" customHeight="1">
      <c r="A9802" s="199"/>
    </row>
    <row r="9803" spans="1:1" s="200" customFormat="1" ht="12" hidden="1" customHeight="1">
      <c r="A9803" s="199"/>
    </row>
    <row r="9804" spans="1:1" s="200" customFormat="1" ht="12" hidden="1" customHeight="1">
      <c r="A9804" s="199"/>
    </row>
    <row r="9805" spans="1:1" s="200" customFormat="1" ht="12" hidden="1" customHeight="1">
      <c r="A9805" s="199"/>
    </row>
    <row r="9806" spans="1:1" s="200" customFormat="1" ht="12" hidden="1" customHeight="1">
      <c r="A9806" s="199"/>
    </row>
    <row r="9807" spans="1:1" s="200" customFormat="1" ht="12" hidden="1" customHeight="1">
      <c r="A9807" s="199"/>
    </row>
    <row r="9808" spans="1:1" s="200" customFormat="1" ht="12" hidden="1" customHeight="1">
      <c r="A9808" s="199"/>
    </row>
    <row r="9809" spans="1:1" s="200" customFormat="1" ht="12" hidden="1" customHeight="1">
      <c r="A9809" s="199"/>
    </row>
    <row r="9810" spans="1:1" s="200" customFormat="1" ht="12" hidden="1" customHeight="1">
      <c r="A9810" s="199"/>
    </row>
    <row r="9811" spans="1:1" s="200" customFormat="1" ht="12" hidden="1" customHeight="1">
      <c r="A9811" s="199"/>
    </row>
    <row r="9812" spans="1:1" s="200" customFormat="1" ht="12" hidden="1" customHeight="1">
      <c r="A9812" s="199"/>
    </row>
    <row r="9813" spans="1:1" s="200" customFormat="1" ht="12" hidden="1" customHeight="1">
      <c r="A9813" s="199"/>
    </row>
    <row r="9814" spans="1:1" s="200" customFormat="1" ht="12" hidden="1" customHeight="1">
      <c r="A9814" s="199"/>
    </row>
    <row r="9815" spans="1:1" s="200" customFormat="1" ht="12" hidden="1" customHeight="1">
      <c r="A9815" s="199"/>
    </row>
    <row r="9816" spans="1:1" s="200" customFormat="1" ht="12" hidden="1" customHeight="1">
      <c r="A9816" s="199"/>
    </row>
    <row r="9817" spans="1:1" s="200" customFormat="1" ht="12" hidden="1" customHeight="1">
      <c r="A9817" s="199"/>
    </row>
    <row r="9818" spans="1:1" s="200" customFormat="1" ht="12" hidden="1" customHeight="1">
      <c r="A9818" s="199"/>
    </row>
    <row r="9819" spans="1:1" s="200" customFormat="1" ht="12" hidden="1" customHeight="1">
      <c r="A9819" s="199"/>
    </row>
    <row r="9820" spans="1:1" s="200" customFormat="1" ht="12" hidden="1" customHeight="1">
      <c r="A9820" s="199"/>
    </row>
    <row r="9821" spans="1:1" s="200" customFormat="1" ht="12" hidden="1" customHeight="1">
      <c r="A9821" s="199"/>
    </row>
    <row r="9822" spans="1:1" s="200" customFormat="1" ht="12" hidden="1" customHeight="1">
      <c r="A9822" s="199"/>
    </row>
    <row r="9823" spans="1:1" s="200" customFormat="1" ht="12" hidden="1" customHeight="1">
      <c r="A9823" s="199"/>
    </row>
    <row r="9824" spans="1:1" s="200" customFormat="1" ht="12" hidden="1" customHeight="1">
      <c r="A9824" s="199"/>
    </row>
    <row r="9825" spans="1:1" s="200" customFormat="1" ht="12" hidden="1" customHeight="1">
      <c r="A9825" s="199"/>
    </row>
    <row r="9826" spans="1:1" s="200" customFormat="1" ht="12" hidden="1" customHeight="1">
      <c r="A9826" s="199"/>
    </row>
    <row r="9827" spans="1:1" s="200" customFormat="1" ht="12" hidden="1" customHeight="1">
      <c r="A9827" s="199"/>
    </row>
    <row r="9828" spans="1:1" s="200" customFormat="1" ht="12" hidden="1" customHeight="1">
      <c r="A9828" s="199"/>
    </row>
    <row r="9829" spans="1:1" s="200" customFormat="1" ht="12" hidden="1" customHeight="1">
      <c r="A9829" s="199"/>
    </row>
    <row r="9830" spans="1:1" s="200" customFormat="1" ht="12" hidden="1" customHeight="1">
      <c r="A9830" s="199"/>
    </row>
    <row r="9831" spans="1:1" s="200" customFormat="1" ht="12" hidden="1" customHeight="1">
      <c r="A9831" s="199"/>
    </row>
    <row r="9832" spans="1:1" s="200" customFormat="1" ht="12" hidden="1" customHeight="1">
      <c r="A9832" s="199"/>
    </row>
    <row r="9833" spans="1:1" s="200" customFormat="1" ht="12" hidden="1" customHeight="1">
      <c r="A9833" s="199"/>
    </row>
    <row r="9834" spans="1:1" s="200" customFormat="1" ht="12" hidden="1" customHeight="1">
      <c r="A9834" s="199"/>
    </row>
    <row r="9835" spans="1:1" s="200" customFormat="1" ht="12" hidden="1" customHeight="1">
      <c r="A9835" s="199"/>
    </row>
    <row r="9836" spans="1:1" s="200" customFormat="1" ht="12" hidden="1" customHeight="1">
      <c r="A9836" s="199"/>
    </row>
    <row r="9837" spans="1:1" s="200" customFormat="1" ht="12" hidden="1" customHeight="1">
      <c r="A9837" s="199"/>
    </row>
    <row r="9838" spans="1:1" s="200" customFormat="1" ht="12" hidden="1" customHeight="1">
      <c r="A9838" s="199"/>
    </row>
    <row r="9839" spans="1:1" s="200" customFormat="1" ht="12" hidden="1" customHeight="1">
      <c r="A9839" s="199"/>
    </row>
    <row r="9840" spans="1:1" s="200" customFormat="1" ht="12" hidden="1" customHeight="1">
      <c r="A9840" s="199"/>
    </row>
    <row r="9841" spans="1:1" s="200" customFormat="1" ht="12" hidden="1" customHeight="1">
      <c r="A9841" s="199"/>
    </row>
    <row r="9842" spans="1:1" s="200" customFormat="1" ht="12" hidden="1" customHeight="1">
      <c r="A9842" s="199"/>
    </row>
    <row r="9843" spans="1:1" s="200" customFormat="1" ht="12" hidden="1" customHeight="1">
      <c r="A9843" s="199"/>
    </row>
    <row r="9844" spans="1:1" s="200" customFormat="1" ht="12" hidden="1" customHeight="1">
      <c r="A9844" s="199"/>
    </row>
    <row r="9845" spans="1:1" s="200" customFormat="1" ht="12" hidden="1" customHeight="1">
      <c r="A9845" s="199"/>
    </row>
    <row r="9846" spans="1:1" s="200" customFormat="1" ht="12" hidden="1" customHeight="1">
      <c r="A9846" s="199"/>
    </row>
    <row r="9847" spans="1:1" s="200" customFormat="1" ht="12" hidden="1" customHeight="1">
      <c r="A9847" s="199"/>
    </row>
    <row r="9848" spans="1:1" s="200" customFormat="1" ht="12" hidden="1" customHeight="1">
      <c r="A9848" s="199"/>
    </row>
    <row r="9849" spans="1:1" s="200" customFormat="1" ht="12" hidden="1" customHeight="1">
      <c r="A9849" s="199"/>
    </row>
    <row r="9850" spans="1:1" s="200" customFormat="1" ht="12" hidden="1" customHeight="1">
      <c r="A9850" s="199"/>
    </row>
    <row r="9851" spans="1:1" s="200" customFormat="1" ht="12" hidden="1" customHeight="1">
      <c r="A9851" s="199"/>
    </row>
    <row r="9852" spans="1:1" s="200" customFormat="1" ht="12" hidden="1" customHeight="1">
      <c r="A9852" s="199"/>
    </row>
    <row r="9853" spans="1:1" s="200" customFormat="1" ht="12" hidden="1" customHeight="1">
      <c r="A9853" s="199"/>
    </row>
    <row r="9854" spans="1:1" s="200" customFormat="1" ht="12" hidden="1" customHeight="1">
      <c r="A9854" s="199"/>
    </row>
    <row r="9855" spans="1:1" s="200" customFormat="1" ht="12" hidden="1" customHeight="1">
      <c r="A9855" s="199"/>
    </row>
    <row r="9856" spans="1:1" s="200" customFormat="1" ht="12" hidden="1" customHeight="1">
      <c r="A9856" s="199"/>
    </row>
    <row r="9857" spans="1:1" s="200" customFormat="1" ht="12" hidden="1" customHeight="1">
      <c r="A9857" s="199"/>
    </row>
    <row r="9858" spans="1:1" s="200" customFormat="1" ht="12" hidden="1" customHeight="1">
      <c r="A9858" s="199"/>
    </row>
    <row r="9859" spans="1:1" s="200" customFormat="1" ht="12" hidden="1" customHeight="1">
      <c r="A9859" s="199"/>
    </row>
    <row r="9860" spans="1:1" s="200" customFormat="1" ht="12" hidden="1" customHeight="1">
      <c r="A9860" s="199"/>
    </row>
    <row r="9861" spans="1:1" s="200" customFormat="1" ht="12" hidden="1" customHeight="1">
      <c r="A9861" s="199"/>
    </row>
    <row r="9862" spans="1:1" s="200" customFormat="1" ht="12" hidden="1" customHeight="1">
      <c r="A9862" s="199"/>
    </row>
    <row r="9863" spans="1:1" s="200" customFormat="1" ht="12" hidden="1" customHeight="1">
      <c r="A9863" s="199"/>
    </row>
    <row r="9864" spans="1:1" s="200" customFormat="1" ht="12" hidden="1" customHeight="1">
      <c r="A9864" s="199"/>
    </row>
    <row r="9865" spans="1:1" s="200" customFormat="1" ht="12" hidden="1" customHeight="1">
      <c r="A9865" s="199"/>
    </row>
    <row r="9866" spans="1:1" s="200" customFormat="1" ht="12" hidden="1" customHeight="1">
      <c r="A9866" s="199"/>
    </row>
    <row r="9867" spans="1:1" s="200" customFormat="1" ht="12" hidden="1" customHeight="1">
      <c r="A9867" s="199"/>
    </row>
    <row r="9868" spans="1:1" s="200" customFormat="1" ht="12" hidden="1" customHeight="1">
      <c r="A9868" s="199"/>
    </row>
    <row r="9869" spans="1:1" s="200" customFormat="1" ht="12" hidden="1" customHeight="1">
      <c r="A9869" s="199"/>
    </row>
    <row r="9870" spans="1:1" s="200" customFormat="1" ht="12" hidden="1" customHeight="1">
      <c r="A9870" s="199"/>
    </row>
    <row r="9871" spans="1:1" s="200" customFormat="1" ht="12" hidden="1" customHeight="1">
      <c r="A9871" s="199"/>
    </row>
    <row r="9872" spans="1:1" s="200" customFormat="1" ht="12" hidden="1" customHeight="1">
      <c r="A9872" s="199"/>
    </row>
    <row r="9873" spans="1:1" s="200" customFormat="1" ht="12" hidden="1" customHeight="1">
      <c r="A9873" s="199"/>
    </row>
    <row r="9874" spans="1:1" s="200" customFormat="1" ht="12" hidden="1" customHeight="1">
      <c r="A9874" s="199"/>
    </row>
    <row r="9875" spans="1:1" s="200" customFormat="1" ht="12" hidden="1" customHeight="1">
      <c r="A9875" s="199"/>
    </row>
    <row r="9876" spans="1:1" s="200" customFormat="1" ht="12" hidden="1" customHeight="1">
      <c r="A9876" s="199"/>
    </row>
    <row r="9877" spans="1:1" s="200" customFormat="1" ht="12" hidden="1" customHeight="1">
      <c r="A9877" s="199"/>
    </row>
    <row r="9878" spans="1:1" s="200" customFormat="1" ht="12" hidden="1" customHeight="1">
      <c r="A9878" s="199"/>
    </row>
    <row r="9879" spans="1:1" s="200" customFormat="1" ht="12" hidden="1" customHeight="1">
      <c r="A9879" s="199"/>
    </row>
    <row r="9880" spans="1:1" s="200" customFormat="1" ht="12" hidden="1" customHeight="1">
      <c r="A9880" s="199"/>
    </row>
    <row r="9881" spans="1:1" s="200" customFormat="1" ht="12" hidden="1" customHeight="1">
      <c r="A9881" s="199"/>
    </row>
    <row r="9882" spans="1:1" s="200" customFormat="1" ht="12" hidden="1" customHeight="1">
      <c r="A9882" s="199"/>
    </row>
    <row r="9883" spans="1:1" s="200" customFormat="1" ht="12" hidden="1" customHeight="1">
      <c r="A9883" s="199"/>
    </row>
    <row r="9884" spans="1:1" s="200" customFormat="1" ht="12" hidden="1" customHeight="1">
      <c r="A9884" s="199"/>
    </row>
    <row r="9885" spans="1:1" s="200" customFormat="1" ht="12" hidden="1" customHeight="1">
      <c r="A9885" s="199"/>
    </row>
    <row r="9886" spans="1:1" s="200" customFormat="1" ht="12" hidden="1" customHeight="1">
      <c r="A9886" s="199"/>
    </row>
    <row r="9887" spans="1:1" s="200" customFormat="1" ht="12" hidden="1" customHeight="1">
      <c r="A9887" s="199"/>
    </row>
    <row r="9888" spans="1:1" s="200" customFormat="1" ht="12" hidden="1" customHeight="1">
      <c r="A9888" s="199"/>
    </row>
    <row r="9889" spans="1:1" s="200" customFormat="1" ht="12" hidden="1" customHeight="1">
      <c r="A9889" s="199"/>
    </row>
    <row r="9890" spans="1:1" s="200" customFormat="1" ht="12" hidden="1" customHeight="1">
      <c r="A9890" s="199"/>
    </row>
    <row r="9891" spans="1:1" s="200" customFormat="1" ht="12" hidden="1" customHeight="1">
      <c r="A9891" s="199"/>
    </row>
    <row r="9892" spans="1:1" s="200" customFormat="1" ht="12" hidden="1" customHeight="1">
      <c r="A9892" s="199"/>
    </row>
    <row r="9893" spans="1:1" s="200" customFormat="1" ht="12" hidden="1" customHeight="1">
      <c r="A9893" s="199"/>
    </row>
    <row r="9894" spans="1:1" s="200" customFormat="1" ht="12" hidden="1" customHeight="1">
      <c r="A9894" s="199"/>
    </row>
    <row r="9895" spans="1:1" s="200" customFormat="1" ht="12" hidden="1" customHeight="1">
      <c r="A9895" s="199"/>
    </row>
    <row r="9896" spans="1:1" s="200" customFormat="1" ht="12" hidden="1" customHeight="1">
      <c r="A9896" s="199"/>
    </row>
    <row r="9897" spans="1:1" s="200" customFormat="1" ht="12" hidden="1" customHeight="1">
      <c r="A9897" s="199"/>
    </row>
    <row r="9898" spans="1:1" s="200" customFormat="1" ht="12" hidden="1" customHeight="1">
      <c r="A9898" s="199"/>
    </row>
    <row r="9899" spans="1:1" s="200" customFormat="1" ht="12" hidden="1" customHeight="1">
      <c r="A9899" s="199"/>
    </row>
    <row r="9900" spans="1:1" s="200" customFormat="1" ht="12" hidden="1" customHeight="1">
      <c r="A9900" s="199"/>
    </row>
    <row r="9901" spans="1:1" s="200" customFormat="1" ht="12" hidden="1" customHeight="1">
      <c r="A9901" s="199"/>
    </row>
    <row r="9902" spans="1:1" s="200" customFormat="1" ht="12" hidden="1" customHeight="1">
      <c r="A9902" s="199"/>
    </row>
    <row r="9903" spans="1:1" s="200" customFormat="1" ht="12" hidden="1" customHeight="1">
      <c r="A9903" s="199"/>
    </row>
    <row r="9904" spans="1:1" s="200" customFormat="1" ht="12" hidden="1" customHeight="1">
      <c r="A9904" s="199"/>
    </row>
    <row r="9905" spans="1:1" s="200" customFormat="1" ht="12" hidden="1" customHeight="1">
      <c r="A9905" s="199"/>
    </row>
    <row r="9906" spans="1:1" s="200" customFormat="1" ht="12" hidden="1" customHeight="1">
      <c r="A9906" s="199"/>
    </row>
    <row r="9907" spans="1:1" s="200" customFormat="1" ht="12" hidden="1" customHeight="1">
      <c r="A9907" s="199"/>
    </row>
    <row r="9908" spans="1:1" s="200" customFormat="1" ht="12" hidden="1" customHeight="1">
      <c r="A9908" s="199"/>
    </row>
    <row r="9909" spans="1:1" s="200" customFormat="1" ht="12" hidden="1" customHeight="1">
      <c r="A9909" s="199"/>
    </row>
    <row r="9910" spans="1:1" s="200" customFormat="1" ht="12" hidden="1" customHeight="1">
      <c r="A9910" s="199"/>
    </row>
    <row r="9911" spans="1:1" s="200" customFormat="1" ht="12" hidden="1" customHeight="1">
      <c r="A9911" s="199"/>
    </row>
    <row r="9912" spans="1:1" s="200" customFormat="1" ht="12" hidden="1" customHeight="1">
      <c r="A9912" s="199"/>
    </row>
    <row r="9913" spans="1:1" s="200" customFormat="1" ht="12" hidden="1" customHeight="1">
      <c r="A9913" s="199"/>
    </row>
    <row r="9914" spans="1:1" s="200" customFormat="1" ht="12" hidden="1" customHeight="1">
      <c r="A9914" s="199"/>
    </row>
    <row r="9915" spans="1:1" s="200" customFormat="1" ht="12" hidden="1" customHeight="1">
      <c r="A9915" s="199"/>
    </row>
    <row r="9916" spans="1:1" s="200" customFormat="1" ht="12" hidden="1" customHeight="1">
      <c r="A9916" s="199"/>
    </row>
    <row r="9917" spans="1:1" s="200" customFormat="1" ht="12" hidden="1" customHeight="1">
      <c r="A9917" s="199"/>
    </row>
    <row r="9918" spans="1:1" s="200" customFormat="1" ht="12" hidden="1" customHeight="1">
      <c r="A9918" s="199"/>
    </row>
    <row r="9919" spans="1:1" s="200" customFormat="1" ht="12" hidden="1" customHeight="1">
      <c r="A9919" s="199"/>
    </row>
    <row r="9920" spans="1:1" s="200" customFormat="1" ht="12" hidden="1" customHeight="1">
      <c r="A9920" s="199"/>
    </row>
    <row r="9921" spans="1:1" s="200" customFormat="1" ht="12" hidden="1" customHeight="1">
      <c r="A9921" s="199"/>
    </row>
    <row r="9922" spans="1:1" s="200" customFormat="1" ht="12" hidden="1" customHeight="1">
      <c r="A9922" s="199"/>
    </row>
    <row r="9923" spans="1:1" s="200" customFormat="1" ht="12" hidden="1" customHeight="1">
      <c r="A9923" s="199"/>
    </row>
    <row r="9924" spans="1:1" s="200" customFormat="1" ht="12" hidden="1" customHeight="1">
      <c r="A9924" s="199"/>
    </row>
    <row r="9925" spans="1:1" s="200" customFormat="1" ht="12" hidden="1" customHeight="1">
      <c r="A9925" s="199"/>
    </row>
    <row r="9926" spans="1:1" s="200" customFormat="1" ht="12" hidden="1" customHeight="1">
      <c r="A9926" s="199"/>
    </row>
    <row r="9927" spans="1:1" s="200" customFormat="1" ht="12" hidden="1" customHeight="1">
      <c r="A9927" s="199"/>
    </row>
    <row r="9928" spans="1:1" s="200" customFormat="1" ht="12" hidden="1" customHeight="1">
      <c r="A9928" s="199"/>
    </row>
    <row r="9929" spans="1:1" s="200" customFormat="1" ht="12" hidden="1" customHeight="1">
      <c r="A9929" s="199"/>
    </row>
    <row r="9930" spans="1:1" s="200" customFormat="1" ht="12" hidden="1" customHeight="1">
      <c r="A9930" s="199"/>
    </row>
    <row r="9931" spans="1:1" s="200" customFormat="1" ht="12" hidden="1" customHeight="1">
      <c r="A9931" s="199"/>
    </row>
    <row r="9932" spans="1:1" s="200" customFormat="1" ht="12" hidden="1" customHeight="1">
      <c r="A9932" s="199"/>
    </row>
    <row r="9933" spans="1:1" s="200" customFormat="1" ht="12" hidden="1" customHeight="1">
      <c r="A9933" s="199"/>
    </row>
    <row r="9934" spans="1:1" s="200" customFormat="1" ht="12" hidden="1" customHeight="1">
      <c r="A9934" s="199"/>
    </row>
    <row r="9935" spans="1:1" s="200" customFormat="1" ht="12" hidden="1" customHeight="1">
      <c r="A9935" s="199"/>
    </row>
    <row r="9936" spans="1:1" s="200" customFormat="1" ht="12" hidden="1" customHeight="1">
      <c r="A9936" s="199"/>
    </row>
    <row r="9937" spans="1:1" s="200" customFormat="1" ht="12" hidden="1" customHeight="1">
      <c r="A9937" s="199"/>
    </row>
    <row r="9938" spans="1:1" s="200" customFormat="1" ht="12" hidden="1" customHeight="1">
      <c r="A9938" s="199"/>
    </row>
    <row r="9939" spans="1:1" s="200" customFormat="1" ht="12" hidden="1" customHeight="1">
      <c r="A9939" s="199"/>
    </row>
    <row r="9940" spans="1:1" s="200" customFormat="1" ht="12" hidden="1" customHeight="1">
      <c r="A9940" s="199"/>
    </row>
    <row r="9941" spans="1:1" s="200" customFormat="1" ht="12" hidden="1" customHeight="1">
      <c r="A9941" s="199"/>
    </row>
    <row r="9942" spans="1:1" s="200" customFormat="1" ht="12" hidden="1" customHeight="1">
      <c r="A9942" s="199"/>
    </row>
    <row r="9943" spans="1:1" s="200" customFormat="1" ht="12" hidden="1" customHeight="1">
      <c r="A9943" s="199"/>
    </row>
    <row r="9944" spans="1:1" s="200" customFormat="1" ht="12" hidden="1" customHeight="1">
      <c r="A9944" s="199"/>
    </row>
    <row r="9945" spans="1:1" s="200" customFormat="1" ht="12" hidden="1" customHeight="1">
      <c r="A9945" s="199"/>
    </row>
    <row r="9946" spans="1:1" s="200" customFormat="1" ht="12" hidden="1" customHeight="1">
      <c r="A9946" s="199"/>
    </row>
    <row r="9947" spans="1:1" s="200" customFormat="1" ht="12" hidden="1" customHeight="1">
      <c r="A9947" s="199"/>
    </row>
    <row r="9948" spans="1:1" s="200" customFormat="1" ht="12" hidden="1" customHeight="1">
      <c r="A9948" s="199"/>
    </row>
    <row r="9949" spans="1:1" s="200" customFormat="1" ht="12" hidden="1" customHeight="1">
      <c r="A9949" s="199"/>
    </row>
    <row r="9950" spans="1:1" s="200" customFormat="1" ht="12" hidden="1" customHeight="1">
      <c r="A9950" s="199"/>
    </row>
    <row r="9951" spans="1:1" s="200" customFormat="1" ht="12" hidden="1" customHeight="1">
      <c r="A9951" s="199"/>
    </row>
    <row r="9952" spans="1:1" s="200" customFormat="1" ht="12" hidden="1" customHeight="1">
      <c r="A9952" s="199"/>
    </row>
    <row r="9953" spans="1:1" s="200" customFormat="1" ht="12" hidden="1" customHeight="1">
      <c r="A9953" s="199"/>
    </row>
    <row r="9954" spans="1:1" s="200" customFormat="1" ht="12" hidden="1" customHeight="1">
      <c r="A9954" s="199"/>
    </row>
    <row r="9955" spans="1:1" s="200" customFormat="1" ht="12" hidden="1" customHeight="1">
      <c r="A9955" s="199"/>
    </row>
    <row r="9956" spans="1:1" s="200" customFormat="1" ht="12" hidden="1" customHeight="1">
      <c r="A9956" s="199"/>
    </row>
    <row r="9957" spans="1:1" s="200" customFormat="1" ht="12" hidden="1" customHeight="1">
      <c r="A9957" s="199"/>
    </row>
    <row r="9958" spans="1:1" s="200" customFormat="1" ht="12" hidden="1" customHeight="1">
      <c r="A9958" s="199"/>
    </row>
    <row r="9959" spans="1:1" s="200" customFormat="1" ht="12" hidden="1" customHeight="1">
      <c r="A9959" s="199"/>
    </row>
    <row r="9960" spans="1:1" s="200" customFormat="1" ht="12" hidden="1" customHeight="1">
      <c r="A9960" s="199"/>
    </row>
    <row r="9961" spans="1:1" s="200" customFormat="1" ht="12" hidden="1" customHeight="1">
      <c r="A9961" s="199"/>
    </row>
    <row r="9962" spans="1:1" s="200" customFormat="1" ht="12" hidden="1" customHeight="1">
      <c r="A9962" s="199"/>
    </row>
    <row r="9963" spans="1:1" s="200" customFormat="1" ht="12" hidden="1" customHeight="1">
      <c r="A9963" s="199"/>
    </row>
    <row r="9964" spans="1:1" s="200" customFormat="1" ht="12" hidden="1" customHeight="1">
      <c r="A9964" s="199"/>
    </row>
    <row r="9965" spans="1:1" s="200" customFormat="1" ht="12" hidden="1" customHeight="1">
      <c r="A9965" s="199"/>
    </row>
    <row r="9966" spans="1:1" s="200" customFormat="1" ht="12" hidden="1" customHeight="1">
      <c r="A9966" s="199"/>
    </row>
    <row r="9967" spans="1:1" s="200" customFormat="1" ht="12" hidden="1" customHeight="1">
      <c r="A9967" s="199"/>
    </row>
    <row r="9968" spans="1:1" s="200" customFormat="1" ht="12" hidden="1" customHeight="1">
      <c r="A9968" s="199"/>
    </row>
    <row r="9969" spans="1:1" s="200" customFormat="1" ht="12" hidden="1" customHeight="1">
      <c r="A9969" s="199"/>
    </row>
    <row r="9970" spans="1:1" s="200" customFormat="1" ht="12" hidden="1" customHeight="1">
      <c r="A9970" s="199"/>
    </row>
    <row r="9971" spans="1:1" s="200" customFormat="1" ht="12" hidden="1" customHeight="1">
      <c r="A9971" s="199"/>
    </row>
    <row r="9972" spans="1:1" s="200" customFormat="1" ht="12" hidden="1" customHeight="1">
      <c r="A9972" s="199"/>
    </row>
    <row r="9973" spans="1:1" s="200" customFormat="1" ht="12" hidden="1" customHeight="1">
      <c r="A9973" s="199"/>
    </row>
    <row r="9974" spans="1:1" s="200" customFormat="1" ht="12" hidden="1" customHeight="1">
      <c r="A9974" s="199"/>
    </row>
    <row r="9975" spans="1:1" s="200" customFormat="1" ht="12" hidden="1" customHeight="1">
      <c r="A9975" s="199"/>
    </row>
    <row r="9976" spans="1:1" s="200" customFormat="1" ht="12" hidden="1" customHeight="1">
      <c r="A9976" s="199"/>
    </row>
    <row r="9977" spans="1:1" s="200" customFormat="1" ht="12" hidden="1" customHeight="1">
      <c r="A9977" s="199"/>
    </row>
    <row r="9978" spans="1:1" s="200" customFormat="1" ht="12" hidden="1" customHeight="1">
      <c r="A9978" s="199"/>
    </row>
    <row r="9979" spans="1:1" s="200" customFormat="1" ht="12" hidden="1" customHeight="1">
      <c r="A9979" s="199"/>
    </row>
    <row r="9980" spans="1:1" s="200" customFormat="1" ht="12" hidden="1" customHeight="1">
      <c r="A9980" s="199"/>
    </row>
    <row r="9981" spans="1:1" s="200" customFormat="1" ht="12" hidden="1" customHeight="1">
      <c r="A9981" s="199"/>
    </row>
    <row r="9982" spans="1:1" s="200" customFormat="1" ht="12" hidden="1" customHeight="1">
      <c r="A9982" s="199"/>
    </row>
    <row r="9983" spans="1:1" s="200" customFormat="1" ht="12" hidden="1" customHeight="1">
      <c r="A9983" s="199"/>
    </row>
    <row r="9984" spans="1:1" s="200" customFormat="1" ht="12" hidden="1" customHeight="1">
      <c r="A9984" s="199"/>
    </row>
    <row r="9985" spans="1:1" s="200" customFormat="1" ht="12" hidden="1" customHeight="1">
      <c r="A9985" s="199"/>
    </row>
    <row r="9986" spans="1:1" s="200" customFormat="1" ht="12" hidden="1" customHeight="1">
      <c r="A9986" s="199"/>
    </row>
    <row r="9987" spans="1:1" s="200" customFormat="1" ht="12" hidden="1" customHeight="1">
      <c r="A9987" s="199"/>
    </row>
    <row r="9988" spans="1:1" s="200" customFormat="1" ht="12" hidden="1" customHeight="1">
      <c r="A9988" s="199"/>
    </row>
    <row r="9989" spans="1:1" s="200" customFormat="1" ht="12" hidden="1" customHeight="1">
      <c r="A9989" s="199"/>
    </row>
    <row r="9990" spans="1:1" s="200" customFormat="1" ht="12" hidden="1" customHeight="1">
      <c r="A9990" s="199"/>
    </row>
    <row r="9991" spans="1:1" s="200" customFormat="1" ht="12" hidden="1" customHeight="1">
      <c r="A9991" s="199"/>
    </row>
    <row r="9992" spans="1:1" s="200" customFormat="1" ht="12" hidden="1" customHeight="1">
      <c r="A9992" s="199"/>
    </row>
    <row r="9993" spans="1:1" s="200" customFormat="1" ht="12" hidden="1" customHeight="1">
      <c r="A9993" s="199"/>
    </row>
    <row r="9994" spans="1:1" s="200" customFormat="1" ht="12" hidden="1" customHeight="1">
      <c r="A9994" s="199"/>
    </row>
    <row r="9995" spans="1:1" s="200" customFormat="1" ht="12" hidden="1" customHeight="1">
      <c r="A9995" s="199"/>
    </row>
    <row r="9996" spans="1:1" s="200" customFormat="1" ht="12" hidden="1" customHeight="1">
      <c r="A9996" s="199"/>
    </row>
    <row r="9997" spans="1:1" s="200" customFormat="1" ht="12" hidden="1" customHeight="1">
      <c r="A9997" s="199"/>
    </row>
    <row r="9998" spans="1:1" s="200" customFormat="1" ht="12" hidden="1" customHeight="1">
      <c r="A9998" s="199"/>
    </row>
    <row r="9999" spans="1:1" s="200" customFormat="1" ht="12" hidden="1" customHeight="1">
      <c r="A9999" s="199"/>
    </row>
    <row r="10000" spans="1:1" s="200" customFormat="1" ht="12" hidden="1" customHeight="1">
      <c r="A10000" s="199"/>
    </row>
    <row r="10001" spans="1:1" s="200" customFormat="1" ht="12" hidden="1" customHeight="1">
      <c r="A10001" s="199"/>
    </row>
    <row r="10002" spans="1:1" s="200" customFormat="1" ht="12" hidden="1" customHeight="1">
      <c r="A10002" s="199"/>
    </row>
    <row r="10003" spans="1:1" s="200" customFormat="1" ht="12" hidden="1" customHeight="1">
      <c r="A10003" s="199"/>
    </row>
    <row r="10004" spans="1:1" s="200" customFormat="1" ht="12" hidden="1" customHeight="1">
      <c r="A10004" s="199"/>
    </row>
    <row r="10005" spans="1:1" s="200" customFormat="1" ht="12" hidden="1" customHeight="1">
      <c r="A10005" s="199"/>
    </row>
    <row r="10006" spans="1:1" s="200" customFormat="1" ht="12" hidden="1" customHeight="1">
      <c r="A10006" s="199"/>
    </row>
    <row r="10007" spans="1:1" s="200" customFormat="1" ht="12" hidden="1" customHeight="1">
      <c r="A10007" s="199"/>
    </row>
    <row r="10008" spans="1:1" s="200" customFormat="1" ht="12" hidden="1" customHeight="1">
      <c r="A10008" s="199"/>
    </row>
    <row r="10009" spans="1:1" s="200" customFormat="1" ht="12" hidden="1" customHeight="1">
      <c r="A10009" s="199"/>
    </row>
    <row r="10010" spans="1:1" s="200" customFormat="1" ht="12" hidden="1" customHeight="1">
      <c r="A10010" s="199"/>
    </row>
    <row r="10011" spans="1:1" s="200" customFormat="1" ht="12" hidden="1" customHeight="1">
      <c r="A10011" s="199"/>
    </row>
    <row r="10012" spans="1:1" s="200" customFormat="1" ht="12" hidden="1" customHeight="1">
      <c r="A10012" s="199"/>
    </row>
    <row r="10013" spans="1:1" s="200" customFormat="1" ht="12" hidden="1" customHeight="1">
      <c r="A10013" s="199"/>
    </row>
    <row r="10014" spans="1:1" s="200" customFormat="1" ht="12" hidden="1" customHeight="1">
      <c r="A10014" s="199"/>
    </row>
    <row r="10015" spans="1:1" s="200" customFormat="1" ht="12" hidden="1" customHeight="1">
      <c r="A10015" s="199"/>
    </row>
    <row r="10016" spans="1:1" s="200" customFormat="1" ht="12" hidden="1" customHeight="1">
      <c r="A10016" s="199"/>
    </row>
    <row r="10017" spans="1:1" s="200" customFormat="1" ht="12" hidden="1" customHeight="1">
      <c r="A10017" s="199"/>
    </row>
    <row r="10018" spans="1:1" s="200" customFormat="1" ht="12" hidden="1" customHeight="1">
      <c r="A10018" s="199"/>
    </row>
    <row r="10019" spans="1:1" s="200" customFormat="1" ht="12" hidden="1" customHeight="1">
      <c r="A10019" s="199"/>
    </row>
    <row r="10020" spans="1:1" s="200" customFormat="1" ht="12" hidden="1" customHeight="1">
      <c r="A10020" s="199"/>
    </row>
    <row r="10021" spans="1:1" s="200" customFormat="1" ht="12" hidden="1" customHeight="1">
      <c r="A10021" s="199"/>
    </row>
    <row r="10022" spans="1:1" s="200" customFormat="1" ht="12" hidden="1" customHeight="1">
      <c r="A10022" s="199"/>
    </row>
    <row r="10023" spans="1:1" s="200" customFormat="1" ht="12" hidden="1" customHeight="1">
      <c r="A10023" s="199"/>
    </row>
    <row r="10024" spans="1:1" s="200" customFormat="1" ht="12" hidden="1" customHeight="1">
      <c r="A10024" s="199"/>
    </row>
    <row r="10025" spans="1:1" s="200" customFormat="1" ht="12" hidden="1" customHeight="1">
      <c r="A10025" s="199"/>
    </row>
    <row r="10026" spans="1:1" s="200" customFormat="1" ht="12" hidden="1" customHeight="1">
      <c r="A10026" s="199"/>
    </row>
    <row r="10027" spans="1:1" s="200" customFormat="1" ht="12" hidden="1" customHeight="1">
      <c r="A10027" s="199"/>
    </row>
    <row r="10028" spans="1:1" s="200" customFormat="1" ht="12" hidden="1" customHeight="1">
      <c r="A10028" s="199"/>
    </row>
    <row r="10029" spans="1:1" s="200" customFormat="1" ht="12" hidden="1" customHeight="1">
      <c r="A10029" s="199"/>
    </row>
    <row r="10030" spans="1:1" s="200" customFormat="1" ht="12" hidden="1" customHeight="1">
      <c r="A10030" s="199"/>
    </row>
    <row r="10031" spans="1:1" s="200" customFormat="1" ht="12" hidden="1" customHeight="1">
      <c r="A10031" s="199"/>
    </row>
    <row r="10032" spans="1:1" s="200" customFormat="1" ht="12" hidden="1" customHeight="1">
      <c r="A10032" s="199"/>
    </row>
    <row r="10033" spans="1:1" s="200" customFormat="1" ht="12" hidden="1" customHeight="1">
      <c r="A10033" s="199"/>
    </row>
    <row r="10034" spans="1:1" s="200" customFormat="1" ht="12" hidden="1" customHeight="1">
      <c r="A10034" s="199"/>
    </row>
    <row r="10035" spans="1:1" s="200" customFormat="1" ht="12" hidden="1" customHeight="1">
      <c r="A10035" s="199"/>
    </row>
    <row r="10036" spans="1:1" s="200" customFormat="1" ht="12" hidden="1" customHeight="1">
      <c r="A10036" s="199"/>
    </row>
    <row r="10037" spans="1:1" s="200" customFormat="1" ht="12" hidden="1" customHeight="1">
      <c r="A10037" s="199"/>
    </row>
    <row r="10038" spans="1:1" s="200" customFormat="1" ht="12" hidden="1" customHeight="1">
      <c r="A10038" s="199"/>
    </row>
    <row r="10039" spans="1:1" s="200" customFormat="1" ht="12" hidden="1" customHeight="1">
      <c r="A10039" s="199"/>
    </row>
    <row r="10040" spans="1:1" s="200" customFormat="1" ht="12" hidden="1" customHeight="1">
      <c r="A10040" s="199"/>
    </row>
    <row r="10041" spans="1:1" s="200" customFormat="1" ht="12" hidden="1" customHeight="1">
      <c r="A10041" s="199"/>
    </row>
    <row r="10042" spans="1:1" s="200" customFormat="1" ht="12" hidden="1" customHeight="1">
      <c r="A10042" s="199"/>
    </row>
    <row r="10043" spans="1:1" s="200" customFormat="1" ht="12" hidden="1" customHeight="1">
      <c r="A10043" s="199"/>
    </row>
    <row r="10044" spans="1:1" s="200" customFormat="1" ht="12" hidden="1" customHeight="1">
      <c r="A10044" s="199"/>
    </row>
    <row r="10045" spans="1:1" s="200" customFormat="1" ht="12" hidden="1" customHeight="1">
      <c r="A10045" s="199"/>
    </row>
    <row r="10046" spans="1:1" s="200" customFormat="1" ht="12" hidden="1" customHeight="1">
      <c r="A10046" s="199"/>
    </row>
    <row r="10047" spans="1:1" s="200" customFormat="1" ht="12" hidden="1" customHeight="1">
      <c r="A10047" s="199"/>
    </row>
    <row r="10048" spans="1:1" s="200" customFormat="1" ht="12" hidden="1" customHeight="1">
      <c r="A10048" s="199"/>
    </row>
    <row r="10049" spans="1:1" s="200" customFormat="1" ht="12" hidden="1" customHeight="1">
      <c r="A10049" s="199"/>
    </row>
    <row r="10050" spans="1:1" s="200" customFormat="1" ht="12" hidden="1" customHeight="1">
      <c r="A10050" s="199"/>
    </row>
    <row r="10051" spans="1:1" s="200" customFormat="1" ht="12" hidden="1" customHeight="1">
      <c r="A10051" s="199"/>
    </row>
    <row r="10052" spans="1:1" s="200" customFormat="1" ht="12" hidden="1" customHeight="1">
      <c r="A10052" s="199"/>
    </row>
    <row r="10053" spans="1:1" s="200" customFormat="1" ht="12" hidden="1" customHeight="1">
      <c r="A10053" s="199"/>
    </row>
    <row r="10054" spans="1:1" s="200" customFormat="1" ht="12" hidden="1" customHeight="1">
      <c r="A10054" s="199"/>
    </row>
    <row r="10055" spans="1:1" s="200" customFormat="1" ht="12" hidden="1" customHeight="1">
      <c r="A10055" s="199"/>
    </row>
    <row r="10056" spans="1:1" s="200" customFormat="1" ht="12" hidden="1" customHeight="1">
      <c r="A10056" s="199"/>
    </row>
    <row r="10057" spans="1:1" s="200" customFormat="1" ht="12" hidden="1" customHeight="1">
      <c r="A10057" s="199"/>
    </row>
    <row r="10058" spans="1:1" s="200" customFormat="1" ht="12" hidden="1" customHeight="1">
      <c r="A10058" s="199"/>
    </row>
    <row r="10059" spans="1:1" s="200" customFormat="1" ht="12" hidden="1" customHeight="1">
      <c r="A10059" s="199"/>
    </row>
    <row r="10060" spans="1:1" s="200" customFormat="1" ht="12" hidden="1" customHeight="1">
      <c r="A10060" s="199"/>
    </row>
    <row r="10061" spans="1:1" s="200" customFormat="1" ht="12" hidden="1" customHeight="1">
      <c r="A10061" s="199"/>
    </row>
    <row r="10062" spans="1:1" s="200" customFormat="1" ht="12" hidden="1" customHeight="1">
      <c r="A10062" s="199"/>
    </row>
    <row r="10063" spans="1:1" s="200" customFormat="1" ht="12" hidden="1" customHeight="1">
      <c r="A10063" s="199"/>
    </row>
    <row r="10064" spans="1:1" s="200" customFormat="1" ht="12" hidden="1" customHeight="1">
      <c r="A10064" s="199"/>
    </row>
    <row r="10065" spans="1:1" s="200" customFormat="1" ht="12" hidden="1" customHeight="1">
      <c r="A10065" s="199"/>
    </row>
    <row r="10066" spans="1:1" s="200" customFormat="1" ht="12" hidden="1" customHeight="1">
      <c r="A10066" s="199"/>
    </row>
    <row r="10067" spans="1:1" s="200" customFormat="1" ht="12" hidden="1" customHeight="1">
      <c r="A10067" s="199"/>
    </row>
    <row r="10068" spans="1:1" s="200" customFormat="1" ht="12" hidden="1" customHeight="1">
      <c r="A10068" s="199"/>
    </row>
    <row r="10069" spans="1:1" s="200" customFormat="1" ht="12" hidden="1" customHeight="1">
      <c r="A10069" s="199"/>
    </row>
    <row r="10070" spans="1:1" s="200" customFormat="1" ht="12" hidden="1" customHeight="1">
      <c r="A10070" s="199"/>
    </row>
    <row r="10071" spans="1:1" s="200" customFormat="1" ht="12" hidden="1" customHeight="1">
      <c r="A10071" s="199"/>
    </row>
    <row r="10072" spans="1:1" s="200" customFormat="1" ht="12" hidden="1" customHeight="1">
      <c r="A10072" s="199"/>
    </row>
    <row r="10073" spans="1:1" s="200" customFormat="1" ht="12" hidden="1" customHeight="1">
      <c r="A10073" s="199"/>
    </row>
    <row r="10074" spans="1:1" s="200" customFormat="1" ht="12" hidden="1" customHeight="1">
      <c r="A10074" s="199"/>
    </row>
    <row r="10075" spans="1:1" s="200" customFormat="1" ht="12" hidden="1" customHeight="1">
      <c r="A10075" s="199"/>
    </row>
    <row r="10076" spans="1:1" s="200" customFormat="1" ht="12" hidden="1" customHeight="1">
      <c r="A10076" s="199"/>
    </row>
    <row r="10077" spans="1:1" s="200" customFormat="1" ht="12" hidden="1" customHeight="1">
      <c r="A10077" s="199"/>
    </row>
    <row r="10078" spans="1:1" s="200" customFormat="1" ht="12" hidden="1" customHeight="1">
      <c r="A10078" s="199"/>
    </row>
    <row r="10079" spans="1:1" s="200" customFormat="1" ht="12" hidden="1" customHeight="1">
      <c r="A10079" s="199"/>
    </row>
    <row r="10080" spans="1:1" s="200" customFormat="1" ht="12" hidden="1" customHeight="1">
      <c r="A10080" s="199"/>
    </row>
    <row r="10081" spans="1:1" s="200" customFormat="1" ht="12" hidden="1" customHeight="1">
      <c r="A10081" s="199"/>
    </row>
    <row r="10082" spans="1:1" s="200" customFormat="1" ht="12" hidden="1" customHeight="1">
      <c r="A10082" s="199"/>
    </row>
    <row r="10083" spans="1:1" s="200" customFormat="1" ht="12" hidden="1" customHeight="1">
      <c r="A10083" s="199"/>
    </row>
    <row r="10084" spans="1:1" s="200" customFormat="1" ht="12" hidden="1" customHeight="1">
      <c r="A10084" s="199"/>
    </row>
    <row r="10085" spans="1:1" s="200" customFormat="1" ht="12" hidden="1" customHeight="1">
      <c r="A10085" s="199"/>
    </row>
    <row r="10086" spans="1:1" s="200" customFormat="1" ht="12" hidden="1" customHeight="1">
      <c r="A10086" s="199"/>
    </row>
    <row r="10087" spans="1:1" s="200" customFormat="1" ht="12" hidden="1" customHeight="1">
      <c r="A10087" s="199"/>
    </row>
    <row r="10088" spans="1:1" s="200" customFormat="1" ht="12" hidden="1" customHeight="1">
      <c r="A10088" s="199"/>
    </row>
    <row r="10089" spans="1:1" s="200" customFormat="1" ht="12" hidden="1" customHeight="1">
      <c r="A10089" s="199"/>
    </row>
    <row r="10090" spans="1:1" s="200" customFormat="1" ht="12" hidden="1" customHeight="1">
      <c r="A10090" s="199"/>
    </row>
    <row r="10091" spans="1:1" s="200" customFormat="1" ht="12" hidden="1" customHeight="1">
      <c r="A10091" s="199"/>
    </row>
    <row r="10092" spans="1:1" s="200" customFormat="1" ht="12" hidden="1" customHeight="1">
      <c r="A10092" s="199"/>
    </row>
    <row r="10093" spans="1:1" s="200" customFormat="1" ht="12" hidden="1" customHeight="1">
      <c r="A10093" s="199"/>
    </row>
    <row r="10094" spans="1:1" s="200" customFormat="1" ht="12" hidden="1" customHeight="1">
      <c r="A10094" s="199"/>
    </row>
    <row r="10095" spans="1:1" s="200" customFormat="1" ht="12" hidden="1" customHeight="1">
      <c r="A10095" s="199"/>
    </row>
    <row r="10096" spans="1:1" s="200" customFormat="1" ht="12" hidden="1" customHeight="1">
      <c r="A10096" s="199"/>
    </row>
    <row r="10097" spans="1:1" s="200" customFormat="1" ht="12" hidden="1" customHeight="1">
      <c r="A10097" s="199"/>
    </row>
    <row r="10098" spans="1:1" s="200" customFormat="1" ht="12" hidden="1" customHeight="1">
      <c r="A10098" s="199"/>
    </row>
    <row r="10099" spans="1:1" s="200" customFormat="1" ht="12" hidden="1" customHeight="1">
      <c r="A10099" s="199"/>
    </row>
    <row r="10100" spans="1:1" s="200" customFormat="1" ht="12" hidden="1" customHeight="1">
      <c r="A10100" s="199"/>
    </row>
    <row r="10101" spans="1:1" s="200" customFormat="1" ht="12" hidden="1" customHeight="1">
      <c r="A10101" s="199"/>
    </row>
    <row r="10102" spans="1:1" s="200" customFormat="1" ht="12" hidden="1" customHeight="1">
      <c r="A10102" s="199"/>
    </row>
    <row r="10103" spans="1:1" s="200" customFormat="1" ht="12" hidden="1" customHeight="1">
      <c r="A10103" s="199"/>
    </row>
    <row r="10104" spans="1:1" s="200" customFormat="1" ht="12" hidden="1" customHeight="1">
      <c r="A10104" s="199"/>
    </row>
    <row r="10105" spans="1:1" s="200" customFormat="1" ht="12" hidden="1" customHeight="1">
      <c r="A10105" s="199"/>
    </row>
    <row r="10106" spans="1:1" s="200" customFormat="1" ht="12" hidden="1" customHeight="1">
      <c r="A10106" s="199"/>
    </row>
    <row r="10107" spans="1:1" s="200" customFormat="1" ht="12" hidden="1" customHeight="1">
      <c r="A10107" s="199"/>
    </row>
    <row r="10108" spans="1:1" s="200" customFormat="1" ht="12" hidden="1" customHeight="1">
      <c r="A10108" s="199"/>
    </row>
    <row r="10109" spans="1:1" s="200" customFormat="1" ht="12" hidden="1" customHeight="1">
      <c r="A10109" s="199"/>
    </row>
    <row r="10110" spans="1:1" s="200" customFormat="1" ht="12" hidden="1" customHeight="1">
      <c r="A10110" s="199"/>
    </row>
    <row r="10111" spans="1:1" s="200" customFormat="1" ht="12" hidden="1" customHeight="1">
      <c r="A10111" s="199"/>
    </row>
    <row r="10112" spans="1:1" s="200" customFormat="1" ht="12" hidden="1" customHeight="1">
      <c r="A10112" s="199"/>
    </row>
    <row r="10113" spans="1:1" s="200" customFormat="1" ht="12" hidden="1" customHeight="1">
      <c r="A10113" s="199"/>
    </row>
    <row r="10114" spans="1:1" s="200" customFormat="1" ht="12" hidden="1" customHeight="1">
      <c r="A10114" s="199"/>
    </row>
    <row r="10115" spans="1:1" s="200" customFormat="1" ht="12" hidden="1" customHeight="1">
      <c r="A10115" s="199"/>
    </row>
    <row r="10116" spans="1:1" s="200" customFormat="1" ht="12" hidden="1" customHeight="1">
      <c r="A10116" s="199"/>
    </row>
    <row r="10117" spans="1:1" s="200" customFormat="1" ht="12" hidden="1" customHeight="1">
      <c r="A10117" s="199"/>
    </row>
    <row r="10118" spans="1:1" s="200" customFormat="1" ht="12" hidden="1" customHeight="1">
      <c r="A10118" s="199"/>
    </row>
    <row r="10119" spans="1:1" s="200" customFormat="1" ht="12" hidden="1" customHeight="1">
      <c r="A10119" s="199"/>
    </row>
    <row r="10120" spans="1:1" s="200" customFormat="1" ht="12" hidden="1" customHeight="1">
      <c r="A10120" s="199"/>
    </row>
    <row r="10121" spans="1:1" s="200" customFormat="1" ht="12" hidden="1" customHeight="1">
      <c r="A10121" s="199"/>
    </row>
    <row r="10122" spans="1:1" s="200" customFormat="1" ht="12" hidden="1" customHeight="1">
      <c r="A10122" s="199"/>
    </row>
    <row r="10123" spans="1:1" s="200" customFormat="1" ht="12" hidden="1" customHeight="1">
      <c r="A10123" s="199"/>
    </row>
    <row r="10124" spans="1:1" s="200" customFormat="1" ht="12" hidden="1" customHeight="1">
      <c r="A10124" s="199"/>
    </row>
    <row r="10125" spans="1:1" s="200" customFormat="1" ht="12" hidden="1" customHeight="1">
      <c r="A10125" s="199"/>
    </row>
    <row r="10126" spans="1:1" s="200" customFormat="1" ht="12" hidden="1" customHeight="1">
      <c r="A10126" s="199"/>
    </row>
    <row r="10127" spans="1:1" s="200" customFormat="1" ht="12" hidden="1" customHeight="1">
      <c r="A10127" s="199"/>
    </row>
    <row r="10128" spans="1:1" s="200" customFormat="1" ht="12" hidden="1" customHeight="1">
      <c r="A10128" s="199"/>
    </row>
    <row r="10129" spans="1:1" s="200" customFormat="1" ht="12" hidden="1" customHeight="1">
      <c r="A10129" s="199"/>
    </row>
    <row r="10130" spans="1:1" s="200" customFormat="1" ht="12" hidden="1" customHeight="1">
      <c r="A10130" s="199"/>
    </row>
    <row r="10131" spans="1:1" s="200" customFormat="1" ht="12" hidden="1" customHeight="1">
      <c r="A10131" s="199"/>
    </row>
    <row r="10132" spans="1:1" s="200" customFormat="1" ht="12" hidden="1" customHeight="1">
      <c r="A10132" s="199"/>
    </row>
    <row r="10133" spans="1:1" s="200" customFormat="1" ht="12" hidden="1" customHeight="1">
      <c r="A10133" s="199"/>
    </row>
    <row r="10134" spans="1:1" s="200" customFormat="1" ht="12" hidden="1" customHeight="1">
      <c r="A10134" s="199"/>
    </row>
    <row r="10135" spans="1:1" s="200" customFormat="1" ht="12" hidden="1" customHeight="1">
      <c r="A10135" s="199"/>
    </row>
    <row r="10136" spans="1:1" s="200" customFormat="1" ht="12" hidden="1" customHeight="1">
      <c r="A10136" s="199"/>
    </row>
    <row r="10137" spans="1:1" s="200" customFormat="1" ht="12" hidden="1" customHeight="1">
      <c r="A10137" s="199"/>
    </row>
    <row r="10138" spans="1:1" s="200" customFormat="1" ht="12" hidden="1" customHeight="1">
      <c r="A10138" s="199"/>
    </row>
    <row r="10139" spans="1:1" s="200" customFormat="1" ht="12" hidden="1" customHeight="1">
      <c r="A10139" s="199"/>
    </row>
    <row r="10140" spans="1:1" s="200" customFormat="1" ht="12" hidden="1" customHeight="1">
      <c r="A10140" s="199"/>
    </row>
    <row r="10141" spans="1:1" s="200" customFormat="1" ht="12" hidden="1" customHeight="1">
      <c r="A10141" s="199"/>
    </row>
    <row r="10142" spans="1:1" s="200" customFormat="1" ht="12" hidden="1" customHeight="1">
      <c r="A10142" s="199"/>
    </row>
    <row r="10143" spans="1:1" s="200" customFormat="1" ht="12" hidden="1" customHeight="1">
      <c r="A10143" s="199"/>
    </row>
    <row r="10144" spans="1:1" s="200" customFormat="1" ht="12" hidden="1" customHeight="1">
      <c r="A10144" s="199"/>
    </row>
    <row r="10145" spans="1:1" s="200" customFormat="1" ht="12" hidden="1" customHeight="1">
      <c r="A10145" s="199"/>
    </row>
    <row r="10146" spans="1:1" s="200" customFormat="1" ht="12" hidden="1" customHeight="1">
      <c r="A10146" s="199"/>
    </row>
    <row r="10147" spans="1:1" s="200" customFormat="1" ht="12" hidden="1" customHeight="1">
      <c r="A10147" s="199"/>
    </row>
    <row r="10148" spans="1:1" s="200" customFormat="1" ht="12" hidden="1" customHeight="1">
      <c r="A10148" s="199"/>
    </row>
    <row r="10149" spans="1:1" s="200" customFormat="1" ht="12" hidden="1" customHeight="1">
      <c r="A10149" s="199"/>
    </row>
    <row r="10150" spans="1:1" s="200" customFormat="1" ht="12" hidden="1" customHeight="1">
      <c r="A10150" s="199"/>
    </row>
    <row r="10151" spans="1:1" s="200" customFormat="1" ht="12" hidden="1" customHeight="1">
      <c r="A10151" s="199"/>
    </row>
    <row r="10152" spans="1:1" s="200" customFormat="1" ht="12" hidden="1" customHeight="1">
      <c r="A10152" s="199"/>
    </row>
    <row r="10153" spans="1:1" s="200" customFormat="1" ht="12" hidden="1" customHeight="1">
      <c r="A10153" s="199"/>
    </row>
    <row r="10154" spans="1:1" s="200" customFormat="1" ht="12" hidden="1" customHeight="1">
      <c r="A10154" s="199"/>
    </row>
    <row r="10155" spans="1:1" s="200" customFormat="1" ht="12" hidden="1" customHeight="1">
      <c r="A10155" s="199"/>
    </row>
    <row r="10156" spans="1:1" s="200" customFormat="1" ht="12" hidden="1" customHeight="1">
      <c r="A10156" s="199"/>
    </row>
    <row r="10157" spans="1:1" s="200" customFormat="1" ht="12" hidden="1" customHeight="1">
      <c r="A10157" s="199"/>
    </row>
    <row r="10158" spans="1:1" s="200" customFormat="1" ht="12" hidden="1" customHeight="1">
      <c r="A10158" s="199"/>
    </row>
    <row r="10159" spans="1:1" s="200" customFormat="1" ht="12" hidden="1" customHeight="1">
      <c r="A10159" s="199"/>
    </row>
    <row r="10160" spans="1:1" s="200" customFormat="1" ht="12" hidden="1" customHeight="1">
      <c r="A10160" s="199"/>
    </row>
    <row r="10161" spans="1:1" s="200" customFormat="1" ht="12" hidden="1" customHeight="1">
      <c r="A10161" s="199"/>
    </row>
    <row r="10162" spans="1:1" s="200" customFormat="1" ht="12" hidden="1" customHeight="1">
      <c r="A10162" s="199"/>
    </row>
    <row r="10163" spans="1:1" s="200" customFormat="1" ht="12" hidden="1" customHeight="1">
      <c r="A10163" s="199"/>
    </row>
    <row r="10164" spans="1:1" s="200" customFormat="1" ht="12" hidden="1" customHeight="1">
      <c r="A10164" s="199"/>
    </row>
    <row r="10165" spans="1:1" s="200" customFormat="1" ht="12" hidden="1" customHeight="1">
      <c r="A10165" s="199"/>
    </row>
    <row r="10166" spans="1:1" s="200" customFormat="1" ht="12" hidden="1" customHeight="1">
      <c r="A10166" s="199"/>
    </row>
    <row r="10167" spans="1:1" s="200" customFormat="1" ht="12" hidden="1" customHeight="1">
      <c r="A10167" s="199"/>
    </row>
    <row r="10168" spans="1:1" s="200" customFormat="1" ht="12" hidden="1" customHeight="1">
      <c r="A10168" s="199"/>
    </row>
    <row r="10169" spans="1:1" s="200" customFormat="1" ht="12" hidden="1" customHeight="1">
      <c r="A10169" s="199"/>
    </row>
    <row r="10170" spans="1:1" s="200" customFormat="1" ht="12" hidden="1" customHeight="1">
      <c r="A10170" s="199"/>
    </row>
    <row r="10171" spans="1:1" s="200" customFormat="1" ht="12" hidden="1" customHeight="1">
      <c r="A10171" s="199"/>
    </row>
    <row r="10172" spans="1:1" s="200" customFormat="1" ht="12" hidden="1" customHeight="1">
      <c r="A10172" s="199"/>
    </row>
    <row r="10173" spans="1:1" s="200" customFormat="1" ht="12" hidden="1" customHeight="1">
      <c r="A10173" s="199"/>
    </row>
    <row r="10174" spans="1:1" s="200" customFormat="1" ht="12" hidden="1" customHeight="1">
      <c r="A10174" s="199"/>
    </row>
    <row r="10175" spans="1:1" s="200" customFormat="1" ht="12" hidden="1" customHeight="1">
      <c r="A10175" s="199"/>
    </row>
    <row r="10176" spans="1:1" s="200" customFormat="1" ht="12" hidden="1" customHeight="1">
      <c r="A10176" s="199"/>
    </row>
    <row r="10177" spans="1:1" s="200" customFormat="1" ht="12" hidden="1" customHeight="1">
      <c r="A10177" s="199"/>
    </row>
    <row r="10178" spans="1:1" s="200" customFormat="1" ht="12" hidden="1" customHeight="1">
      <c r="A10178" s="199"/>
    </row>
    <row r="10179" spans="1:1" s="200" customFormat="1" ht="12" hidden="1" customHeight="1">
      <c r="A10179" s="199"/>
    </row>
    <row r="10180" spans="1:1" s="200" customFormat="1" ht="12" hidden="1" customHeight="1">
      <c r="A10180" s="199"/>
    </row>
    <row r="10181" spans="1:1" s="200" customFormat="1" ht="12" hidden="1" customHeight="1">
      <c r="A10181" s="199"/>
    </row>
    <row r="10182" spans="1:1" s="200" customFormat="1" ht="12" hidden="1" customHeight="1">
      <c r="A10182" s="199"/>
    </row>
    <row r="10183" spans="1:1" s="200" customFormat="1" ht="12" hidden="1" customHeight="1">
      <c r="A10183" s="199"/>
    </row>
    <row r="10184" spans="1:1" s="200" customFormat="1" ht="12" hidden="1" customHeight="1">
      <c r="A10184" s="199"/>
    </row>
    <row r="10185" spans="1:1" s="200" customFormat="1" ht="12" hidden="1" customHeight="1">
      <c r="A10185" s="199"/>
    </row>
    <row r="10186" spans="1:1" s="200" customFormat="1" ht="12" hidden="1" customHeight="1">
      <c r="A10186" s="199"/>
    </row>
    <row r="10187" spans="1:1" s="200" customFormat="1" ht="12" hidden="1" customHeight="1">
      <c r="A10187" s="199"/>
    </row>
    <row r="10188" spans="1:1" s="200" customFormat="1" ht="12" hidden="1" customHeight="1">
      <c r="A10188" s="199"/>
    </row>
    <row r="10189" spans="1:1" s="200" customFormat="1" ht="12" hidden="1" customHeight="1">
      <c r="A10189" s="199"/>
    </row>
    <row r="10190" spans="1:1" s="200" customFormat="1" ht="12" hidden="1" customHeight="1">
      <c r="A10190" s="199"/>
    </row>
    <row r="10191" spans="1:1" s="200" customFormat="1" ht="12" hidden="1" customHeight="1">
      <c r="A10191" s="199"/>
    </row>
    <row r="10192" spans="1:1" s="200" customFormat="1" ht="12" hidden="1" customHeight="1">
      <c r="A10192" s="199"/>
    </row>
    <row r="10193" spans="1:1" s="200" customFormat="1" ht="12" hidden="1" customHeight="1">
      <c r="A10193" s="199"/>
    </row>
    <row r="10194" spans="1:1" s="200" customFormat="1" ht="12" hidden="1" customHeight="1">
      <c r="A10194" s="199"/>
    </row>
    <row r="10195" spans="1:1" s="200" customFormat="1" ht="12" hidden="1" customHeight="1">
      <c r="A10195" s="199"/>
    </row>
    <row r="10196" spans="1:1" s="200" customFormat="1" ht="12" hidden="1" customHeight="1">
      <c r="A10196" s="199"/>
    </row>
    <row r="10197" spans="1:1" s="200" customFormat="1" ht="12" hidden="1" customHeight="1">
      <c r="A10197" s="199"/>
    </row>
    <row r="10198" spans="1:1" s="200" customFormat="1" ht="12" hidden="1" customHeight="1">
      <c r="A10198" s="199"/>
    </row>
    <row r="10199" spans="1:1" s="200" customFormat="1" ht="12" hidden="1" customHeight="1">
      <c r="A10199" s="199"/>
    </row>
    <row r="10200" spans="1:1" s="200" customFormat="1" ht="12" hidden="1" customHeight="1">
      <c r="A10200" s="199"/>
    </row>
    <row r="10201" spans="1:1" s="200" customFormat="1" ht="12" hidden="1" customHeight="1">
      <c r="A10201" s="199"/>
    </row>
    <row r="10202" spans="1:1" s="200" customFormat="1" ht="12" hidden="1" customHeight="1">
      <c r="A10202" s="199"/>
    </row>
    <row r="10203" spans="1:1" s="200" customFormat="1" ht="12" hidden="1" customHeight="1">
      <c r="A10203" s="199"/>
    </row>
    <row r="10204" spans="1:1" s="200" customFormat="1" ht="12" hidden="1" customHeight="1">
      <c r="A10204" s="199"/>
    </row>
    <row r="10205" spans="1:1" s="200" customFormat="1" ht="12" hidden="1" customHeight="1">
      <c r="A10205" s="199"/>
    </row>
    <row r="10206" spans="1:1" s="200" customFormat="1" ht="12" hidden="1" customHeight="1">
      <c r="A10206" s="199"/>
    </row>
    <row r="10207" spans="1:1" s="200" customFormat="1" ht="12" hidden="1" customHeight="1">
      <c r="A10207" s="199"/>
    </row>
    <row r="10208" spans="1:1" s="200" customFormat="1" ht="12" hidden="1" customHeight="1">
      <c r="A10208" s="199"/>
    </row>
    <row r="10209" spans="1:1" s="200" customFormat="1" ht="12" hidden="1" customHeight="1">
      <c r="A10209" s="199"/>
    </row>
    <row r="10210" spans="1:1" s="200" customFormat="1" ht="12" hidden="1" customHeight="1">
      <c r="A10210" s="199"/>
    </row>
    <row r="10211" spans="1:1" s="200" customFormat="1" ht="12" hidden="1" customHeight="1">
      <c r="A10211" s="199"/>
    </row>
    <row r="10212" spans="1:1" s="200" customFormat="1" ht="12" hidden="1" customHeight="1">
      <c r="A10212" s="199"/>
    </row>
    <row r="10213" spans="1:1" s="200" customFormat="1" ht="12" hidden="1" customHeight="1">
      <c r="A10213" s="199"/>
    </row>
    <row r="10214" spans="1:1" s="200" customFormat="1" ht="12" hidden="1" customHeight="1">
      <c r="A10214" s="199"/>
    </row>
    <row r="10215" spans="1:1" s="200" customFormat="1" ht="12" hidden="1" customHeight="1">
      <c r="A10215" s="199"/>
    </row>
    <row r="10216" spans="1:1" s="200" customFormat="1" ht="12" hidden="1" customHeight="1">
      <c r="A10216" s="199"/>
    </row>
    <row r="10217" spans="1:1" s="200" customFormat="1" ht="12" hidden="1" customHeight="1">
      <c r="A10217" s="199"/>
    </row>
    <row r="10218" spans="1:1" s="200" customFormat="1" ht="12" hidden="1" customHeight="1">
      <c r="A10218" s="199"/>
    </row>
    <row r="10219" spans="1:1" s="200" customFormat="1" ht="12" hidden="1" customHeight="1">
      <c r="A10219" s="199"/>
    </row>
    <row r="10220" spans="1:1" s="200" customFormat="1" ht="12" hidden="1" customHeight="1">
      <c r="A10220" s="199"/>
    </row>
    <row r="10221" spans="1:1" s="200" customFormat="1" ht="12" hidden="1" customHeight="1">
      <c r="A10221" s="199"/>
    </row>
    <row r="10222" spans="1:1" s="200" customFormat="1" ht="12" hidden="1" customHeight="1">
      <c r="A10222" s="199"/>
    </row>
    <row r="10223" spans="1:1" s="200" customFormat="1" ht="12" hidden="1" customHeight="1">
      <c r="A10223" s="199"/>
    </row>
    <row r="10224" spans="1:1" s="200" customFormat="1" ht="12" hidden="1" customHeight="1">
      <c r="A10224" s="199"/>
    </row>
    <row r="10225" spans="1:1" s="200" customFormat="1" ht="12" hidden="1" customHeight="1">
      <c r="A10225" s="199"/>
    </row>
    <row r="10226" spans="1:1" s="200" customFormat="1" ht="12" hidden="1" customHeight="1">
      <c r="A10226" s="199"/>
    </row>
    <row r="10227" spans="1:1" s="200" customFormat="1" ht="12" hidden="1" customHeight="1">
      <c r="A10227" s="199"/>
    </row>
    <row r="10228" spans="1:1" s="200" customFormat="1" ht="12" hidden="1" customHeight="1">
      <c r="A10228" s="199"/>
    </row>
    <row r="10229" spans="1:1" s="200" customFormat="1" ht="12" hidden="1" customHeight="1">
      <c r="A10229" s="199"/>
    </row>
    <row r="10230" spans="1:1" s="200" customFormat="1" ht="12" hidden="1" customHeight="1">
      <c r="A10230" s="199"/>
    </row>
    <row r="10231" spans="1:1" s="200" customFormat="1" ht="12" hidden="1" customHeight="1">
      <c r="A10231" s="199"/>
    </row>
    <row r="10232" spans="1:1" s="200" customFormat="1" ht="12" hidden="1" customHeight="1">
      <c r="A10232" s="199"/>
    </row>
    <row r="10233" spans="1:1" s="200" customFormat="1" ht="12" hidden="1" customHeight="1">
      <c r="A10233" s="199"/>
    </row>
    <row r="10234" spans="1:1" s="200" customFormat="1" ht="12" hidden="1" customHeight="1">
      <c r="A10234" s="199"/>
    </row>
    <row r="10235" spans="1:1" s="200" customFormat="1" ht="12" hidden="1" customHeight="1">
      <c r="A10235" s="199"/>
    </row>
    <row r="10236" spans="1:1" s="200" customFormat="1" ht="12" hidden="1" customHeight="1">
      <c r="A10236" s="199"/>
    </row>
    <row r="10237" spans="1:1" s="200" customFormat="1" ht="12" hidden="1" customHeight="1">
      <c r="A10237" s="199"/>
    </row>
    <row r="10238" spans="1:1" s="200" customFormat="1" ht="12" hidden="1" customHeight="1">
      <c r="A10238" s="199"/>
    </row>
    <row r="10239" spans="1:1" s="200" customFormat="1" ht="12" hidden="1" customHeight="1">
      <c r="A10239" s="199"/>
    </row>
    <row r="10240" spans="1:1" s="200" customFormat="1" ht="12" hidden="1" customHeight="1">
      <c r="A10240" s="199"/>
    </row>
    <row r="10241" spans="1:1" s="200" customFormat="1" ht="12" hidden="1" customHeight="1">
      <c r="A10241" s="199"/>
    </row>
    <row r="10242" spans="1:1" s="200" customFormat="1" ht="12" hidden="1" customHeight="1">
      <c r="A10242" s="199"/>
    </row>
    <row r="10243" spans="1:1" s="200" customFormat="1" ht="12" hidden="1" customHeight="1">
      <c r="A10243" s="199"/>
    </row>
    <row r="10244" spans="1:1" s="200" customFormat="1" ht="12" hidden="1" customHeight="1">
      <c r="A10244" s="199"/>
    </row>
    <row r="10245" spans="1:1" s="200" customFormat="1" ht="12" hidden="1" customHeight="1">
      <c r="A10245" s="199"/>
    </row>
    <row r="10246" spans="1:1" s="200" customFormat="1" ht="12" hidden="1" customHeight="1">
      <c r="A10246" s="199"/>
    </row>
    <row r="10247" spans="1:1" s="200" customFormat="1" ht="12" hidden="1" customHeight="1">
      <c r="A10247" s="199"/>
    </row>
    <row r="10248" spans="1:1" s="200" customFormat="1" ht="12" hidden="1" customHeight="1">
      <c r="A10248" s="199"/>
    </row>
    <row r="10249" spans="1:1" s="200" customFormat="1" ht="12" hidden="1" customHeight="1">
      <c r="A10249" s="199"/>
    </row>
    <row r="10250" spans="1:1" s="200" customFormat="1" ht="12" hidden="1" customHeight="1">
      <c r="A10250" s="199"/>
    </row>
    <row r="10251" spans="1:1" s="200" customFormat="1" ht="12" hidden="1" customHeight="1">
      <c r="A10251" s="199"/>
    </row>
    <row r="10252" spans="1:1" s="200" customFormat="1" ht="12" hidden="1" customHeight="1">
      <c r="A10252" s="199"/>
    </row>
    <row r="10253" spans="1:1" s="200" customFormat="1" ht="12" hidden="1" customHeight="1">
      <c r="A10253" s="199"/>
    </row>
    <row r="10254" spans="1:1" s="200" customFormat="1" ht="12" hidden="1" customHeight="1">
      <c r="A10254" s="199"/>
    </row>
    <row r="10255" spans="1:1" s="200" customFormat="1" ht="12" hidden="1" customHeight="1">
      <c r="A10255" s="199"/>
    </row>
    <row r="10256" spans="1:1" s="200" customFormat="1" ht="12" hidden="1" customHeight="1">
      <c r="A10256" s="199"/>
    </row>
    <row r="10257" spans="1:1" s="200" customFormat="1" ht="12" hidden="1" customHeight="1">
      <c r="A10257" s="199"/>
    </row>
    <row r="10258" spans="1:1" s="200" customFormat="1" ht="12" hidden="1" customHeight="1">
      <c r="A10258" s="199"/>
    </row>
    <row r="10259" spans="1:1" s="200" customFormat="1" ht="12" hidden="1" customHeight="1">
      <c r="A10259" s="199"/>
    </row>
    <row r="10260" spans="1:1" s="200" customFormat="1" ht="12" hidden="1" customHeight="1">
      <c r="A10260" s="199"/>
    </row>
    <row r="10261" spans="1:1" s="200" customFormat="1" ht="12" hidden="1" customHeight="1">
      <c r="A10261" s="199"/>
    </row>
    <row r="10262" spans="1:1" s="200" customFormat="1" ht="12" hidden="1" customHeight="1">
      <c r="A10262" s="199"/>
    </row>
    <row r="10263" spans="1:1" s="200" customFormat="1" ht="12" hidden="1" customHeight="1">
      <c r="A10263" s="199"/>
    </row>
    <row r="10264" spans="1:1" s="200" customFormat="1" ht="12" hidden="1" customHeight="1">
      <c r="A10264" s="199"/>
    </row>
    <row r="10265" spans="1:1" s="200" customFormat="1" ht="12" hidden="1" customHeight="1">
      <c r="A10265" s="199"/>
    </row>
    <row r="10266" spans="1:1" s="200" customFormat="1" ht="12" hidden="1" customHeight="1">
      <c r="A10266" s="199"/>
    </row>
    <row r="10267" spans="1:1" s="200" customFormat="1" ht="12" hidden="1" customHeight="1">
      <c r="A10267" s="199"/>
    </row>
    <row r="10268" spans="1:1" s="200" customFormat="1" ht="12" hidden="1" customHeight="1">
      <c r="A10268" s="199"/>
    </row>
    <row r="10269" spans="1:1" s="200" customFormat="1" ht="12" hidden="1" customHeight="1">
      <c r="A10269" s="199"/>
    </row>
    <row r="10270" spans="1:1" s="200" customFormat="1" ht="12" hidden="1" customHeight="1">
      <c r="A10270" s="199"/>
    </row>
    <row r="10271" spans="1:1" s="200" customFormat="1" ht="12" hidden="1" customHeight="1">
      <c r="A10271" s="199"/>
    </row>
    <row r="10272" spans="1:1" s="200" customFormat="1" ht="12" hidden="1" customHeight="1">
      <c r="A10272" s="199"/>
    </row>
    <row r="10273" spans="1:1" s="200" customFormat="1" ht="12" hidden="1" customHeight="1">
      <c r="A10273" s="199"/>
    </row>
    <row r="10274" spans="1:1" s="200" customFormat="1" ht="12" hidden="1" customHeight="1">
      <c r="A10274" s="199"/>
    </row>
    <row r="10275" spans="1:1" s="200" customFormat="1" ht="12" hidden="1" customHeight="1">
      <c r="A10275" s="199"/>
    </row>
    <row r="10276" spans="1:1" s="200" customFormat="1" ht="12" hidden="1" customHeight="1">
      <c r="A10276" s="199"/>
    </row>
    <row r="10277" spans="1:1" s="200" customFormat="1" ht="12" hidden="1" customHeight="1">
      <c r="A10277" s="199"/>
    </row>
    <row r="10278" spans="1:1" s="200" customFormat="1" ht="12" hidden="1" customHeight="1">
      <c r="A10278" s="199"/>
    </row>
    <row r="10279" spans="1:1" s="200" customFormat="1" ht="12" hidden="1" customHeight="1">
      <c r="A10279" s="199"/>
    </row>
    <row r="10280" spans="1:1" s="200" customFormat="1" ht="12" hidden="1" customHeight="1">
      <c r="A10280" s="199"/>
    </row>
    <row r="10281" spans="1:1" s="200" customFormat="1" ht="12" hidden="1" customHeight="1">
      <c r="A10281" s="199"/>
    </row>
    <row r="10282" spans="1:1" s="200" customFormat="1" ht="12" hidden="1" customHeight="1">
      <c r="A10282" s="199"/>
    </row>
    <row r="10283" spans="1:1" s="200" customFormat="1" ht="12" hidden="1" customHeight="1">
      <c r="A10283" s="199"/>
    </row>
    <row r="10284" spans="1:1" s="200" customFormat="1" ht="12" hidden="1" customHeight="1">
      <c r="A10284" s="199"/>
    </row>
    <row r="10285" spans="1:1" s="200" customFormat="1" ht="12" hidden="1" customHeight="1">
      <c r="A10285" s="199"/>
    </row>
    <row r="10286" spans="1:1" s="200" customFormat="1" ht="12" hidden="1" customHeight="1">
      <c r="A10286" s="199"/>
    </row>
    <row r="10287" spans="1:1" s="200" customFormat="1" ht="12" hidden="1" customHeight="1">
      <c r="A10287" s="199"/>
    </row>
    <row r="10288" spans="1:1" s="200" customFormat="1" ht="12" hidden="1" customHeight="1">
      <c r="A10288" s="199"/>
    </row>
    <row r="10289" spans="1:1" s="200" customFormat="1" ht="12" hidden="1" customHeight="1">
      <c r="A10289" s="199"/>
    </row>
    <row r="10290" spans="1:1" s="200" customFormat="1" ht="12" hidden="1" customHeight="1">
      <c r="A10290" s="199"/>
    </row>
    <row r="10291" spans="1:1" s="200" customFormat="1" ht="12" hidden="1" customHeight="1">
      <c r="A10291" s="199"/>
    </row>
    <row r="10292" spans="1:1" s="200" customFormat="1" ht="12" hidden="1" customHeight="1">
      <c r="A10292" s="199"/>
    </row>
    <row r="10293" spans="1:1" s="200" customFormat="1" ht="12" hidden="1" customHeight="1">
      <c r="A10293" s="199"/>
    </row>
    <row r="10294" spans="1:1" s="200" customFormat="1" ht="12" hidden="1" customHeight="1">
      <c r="A10294" s="199"/>
    </row>
    <row r="10295" spans="1:1" s="200" customFormat="1" ht="12" hidden="1" customHeight="1">
      <c r="A10295" s="199"/>
    </row>
    <row r="10296" spans="1:1" s="200" customFormat="1" ht="12" hidden="1" customHeight="1">
      <c r="A10296" s="199"/>
    </row>
    <row r="10297" spans="1:1" s="200" customFormat="1" ht="12" hidden="1" customHeight="1">
      <c r="A10297" s="199"/>
    </row>
    <row r="10298" spans="1:1" s="200" customFormat="1" ht="12" hidden="1" customHeight="1">
      <c r="A10298" s="199"/>
    </row>
    <row r="10299" spans="1:1" s="200" customFormat="1" ht="12" hidden="1" customHeight="1">
      <c r="A10299" s="199"/>
    </row>
    <row r="10300" spans="1:1" s="200" customFormat="1" ht="12" hidden="1" customHeight="1">
      <c r="A10300" s="199"/>
    </row>
    <row r="10301" spans="1:1" s="200" customFormat="1" ht="12" hidden="1" customHeight="1">
      <c r="A10301" s="199"/>
    </row>
    <row r="10302" spans="1:1" s="200" customFormat="1" ht="12" hidden="1" customHeight="1">
      <c r="A10302" s="199"/>
    </row>
    <row r="10303" spans="1:1" s="200" customFormat="1" ht="12" hidden="1" customHeight="1">
      <c r="A10303" s="199"/>
    </row>
    <row r="10304" spans="1:1" s="200" customFormat="1" ht="12" hidden="1" customHeight="1">
      <c r="A10304" s="199"/>
    </row>
    <row r="10305" spans="1:1" s="200" customFormat="1" ht="12" hidden="1" customHeight="1">
      <c r="A10305" s="199"/>
    </row>
    <row r="10306" spans="1:1" s="200" customFormat="1" ht="12" hidden="1" customHeight="1">
      <c r="A10306" s="199"/>
    </row>
    <row r="10307" spans="1:1" s="200" customFormat="1" ht="12" hidden="1" customHeight="1">
      <c r="A10307" s="199"/>
    </row>
    <row r="10308" spans="1:1" s="200" customFormat="1" ht="12" hidden="1" customHeight="1">
      <c r="A10308" s="199"/>
    </row>
    <row r="10309" spans="1:1" s="200" customFormat="1" ht="12" hidden="1" customHeight="1">
      <c r="A10309" s="199"/>
    </row>
    <row r="10310" spans="1:1" s="200" customFormat="1" ht="12" hidden="1" customHeight="1">
      <c r="A10310" s="199"/>
    </row>
    <row r="10311" spans="1:1" s="200" customFormat="1" ht="12" hidden="1" customHeight="1">
      <c r="A10311" s="199"/>
    </row>
    <row r="10312" spans="1:1" s="200" customFormat="1" ht="12" hidden="1" customHeight="1">
      <c r="A10312" s="199"/>
    </row>
    <row r="10313" spans="1:1" s="200" customFormat="1" ht="12" hidden="1" customHeight="1">
      <c r="A10313" s="199"/>
    </row>
    <row r="10314" spans="1:1" s="200" customFormat="1" ht="12" hidden="1" customHeight="1">
      <c r="A10314" s="199"/>
    </row>
    <row r="10315" spans="1:1" s="200" customFormat="1" ht="12" hidden="1" customHeight="1">
      <c r="A10315" s="199"/>
    </row>
    <row r="10316" spans="1:1" s="200" customFormat="1" ht="12" hidden="1" customHeight="1">
      <c r="A10316" s="199"/>
    </row>
    <row r="10317" spans="1:1" s="200" customFormat="1" ht="12" hidden="1" customHeight="1">
      <c r="A10317" s="199"/>
    </row>
    <row r="10318" spans="1:1" s="200" customFormat="1" ht="12" hidden="1" customHeight="1">
      <c r="A10318" s="199"/>
    </row>
    <row r="10319" spans="1:1" s="200" customFormat="1" ht="12" hidden="1" customHeight="1">
      <c r="A10319" s="199"/>
    </row>
    <row r="10320" spans="1:1" s="200" customFormat="1" ht="12" hidden="1" customHeight="1">
      <c r="A10320" s="199"/>
    </row>
    <row r="10321" spans="1:1" s="200" customFormat="1" ht="12" hidden="1" customHeight="1">
      <c r="A10321" s="199"/>
    </row>
    <row r="10322" spans="1:1" s="200" customFormat="1" ht="12" hidden="1" customHeight="1">
      <c r="A10322" s="199"/>
    </row>
    <row r="10323" spans="1:1" s="200" customFormat="1" ht="12" hidden="1" customHeight="1">
      <c r="A10323" s="199"/>
    </row>
    <row r="10324" spans="1:1" s="200" customFormat="1" ht="12" hidden="1" customHeight="1">
      <c r="A10324" s="199"/>
    </row>
    <row r="10325" spans="1:1" s="200" customFormat="1" ht="12" hidden="1" customHeight="1">
      <c r="A10325" s="199"/>
    </row>
    <row r="10326" spans="1:1" s="200" customFormat="1" ht="12" hidden="1" customHeight="1">
      <c r="A10326" s="199"/>
    </row>
    <row r="10327" spans="1:1" s="200" customFormat="1" ht="12" hidden="1" customHeight="1">
      <c r="A10327" s="199"/>
    </row>
    <row r="10328" spans="1:1" s="200" customFormat="1" ht="12" hidden="1" customHeight="1">
      <c r="A10328" s="199"/>
    </row>
    <row r="10329" spans="1:1" s="200" customFormat="1" ht="12" hidden="1" customHeight="1">
      <c r="A10329" s="199"/>
    </row>
    <row r="10330" spans="1:1" s="200" customFormat="1" ht="12" hidden="1" customHeight="1">
      <c r="A10330" s="199"/>
    </row>
    <row r="10331" spans="1:1" s="200" customFormat="1" ht="12" hidden="1" customHeight="1">
      <c r="A10331" s="199"/>
    </row>
    <row r="10332" spans="1:1" s="200" customFormat="1" ht="12" hidden="1" customHeight="1">
      <c r="A10332" s="199"/>
    </row>
    <row r="10333" spans="1:1" s="200" customFormat="1" ht="12" hidden="1" customHeight="1">
      <c r="A10333" s="199"/>
    </row>
    <row r="10334" spans="1:1" s="200" customFormat="1" ht="12" hidden="1" customHeight="1">
      <c r="A10334" s="199"/>
    </row>
    <row r="10335" spans="1:1" s="200" customFormat="1" ht="12" hidden="1" customHeight="1">
      <c r="A10335" s="199"/>
    </row>
    <row r="10336" spans="1:1" s="200" customFormat="1" ht="12" hidden="1" customHeight="1">
      <c r="A10336" s="199"/>
    </row>
    <row r="10337" spans="1:1" s="200" customFormat="1" ht="12" hidden="1" customHeight="1">
      <c r="A10337" s="199"/>
    </row>
    <row r="10338" spans="1:1" s="200" customFormat="1" ht="12" hidden="1" customHeight="1">
      <c r="A10338" s="199"/>
    </row>
    <row r="10339" spans="1:1" s="200" customFormat="1" ht="12" hidden="1" customHeight="1">
      <c r="A10339" s="199"/>
    </row>
    <row r="10340" spans="1:1" s="200" customFormat="1" ht="12" hidden="1" customHeight="1">
      <c r="A10340" s="199"/>
    </row>
    <row r="10341" spans="1:1" s="200" customFormat="1" ht="12" hidden="1" customHeight="1">
      <c r="A10341" s="199"/>
    </row>
    <row r="10342" spans="1:1" s="200" customFormat="1" ht="12" hidden="1" customHeight="1">
      <c r="A10342" s="199"/>
    </row>
    <row r="10343" spans="1:1" s="200" customFormat="1" ht="12" hidden="1" customHeight="1">
      <c r="A10343" s="199"/>
    </row>
    <row r="10344" spans="1:1" s="200" customFormat="1" ht="12" hidden="1" customHeight="1">
      <c r="A10344" s="199"/>
    </row>
    <row r="10345" spans="1:1" s="200" customFormat="1" ht="12" hidden="1" customHeight="1">
      <c r="A10345" s="199"/>
    </row>
    <row r="10346" spans="1:1" s="200" customFormat="1" ht="12" hidden="1" customHeight="1">
      <c r="A10346" s="199"/>
    </row>
    <row r="10347" spans="1:1" s="200" customFormat="1" ht="12" hidden="1" customHeight="1">
      <c r="A10347" s="199"/>
    </row>
    <row r="10348" spans="1:1" s="200" customFormat="1" ht="12" hidden="1" customHeight="1">
      <c r="A10348" s="199"/>
    </row>
    <row r="10349" spans="1:1" s="200" customFormat="1" ht="12" hidden="1" customHeight="1">
      <c r="A10349" s="199"/>
    </row>
    <row r="10350" spans="1:1" s="200" customFormat="1" ht="12" hidden="1" customHeight="1">
      <c r="A10350" s="199"/>
    </row>
    <row r="10351" spans="1:1" s="200" customFormat="1" ht="12" hidden="1" customHeight="1">
      <c r="A10351" s="199"/>
    </row>
    <row r="10352" spans="1:1" s="200" customFormat="1" ht="12" hidden="1" customHeight="1">
      <c r="A10352" s="199"/>
    </row>
    <row r="10353" spans="1:1" s="200" customFormat="1" ht="12" hidden="1" customHeight="1">
      <c r="A10353" s="199"/>
    </row>
    <row r="10354" spans="1:1" s="200" customFormat="1" ht="12" hidden="1" customHeight="1">
      <c r="A10354" s="199"/>
    </row>
    <row r="10355" spans="1:1" s="200" customFormat="1" ht="12" hidden="1" customHeight="1">
      <c r="A10355" s="199"/>
    </row>
    <row r="10356" spans="1:1" s="200" customFormat="1" ht="12" hidden="1" customHeight="1">
      <c r="A10356" s="199"/>
    </row>
    <row r="10357" spans="1:1" s="200" customFormat="1" ht="12" hidden="1" customHeight="1">
      <c r="A10357" s="199"/>
    </row>
    <row r="10358" spans="1:1" s="200" customFormat="1" ht="12" hidden="1" customHeight="1">
      <c r="A10358" s="199"/>
    </row>
    <row r="10359" spans="1:1" s="200" customFormat="1" ht="12" hidden="1" customHeight="1">
      <c r="A10359" s="199"/>
    </row>
    <row r="10360" spans="1:1" s="200" customFormat="1" ht="12" hidden="1" customHeight="1">
      <c r="A10360" s="199"/>
    </row>
    <row r="10361" spans="1:1" s="200" customFormat="1" ht="12" hidden="1" customHeight="1">
      <c r="A10361" s="199"/>
    </row>
    <row r="10362" spans="1:1" s="200" customFormat="1" ht="12" hidden="1" customHeight="1">
      <c r="A10362" s="199"/>
    </row>
    <row r="10363" spans="1:1" s="200" customFormat="1" ht="12" hidden="1" customHeight="1">
      <c r="A10363" s="199"/>
    </row>
    <row r="10364" spans="1:1" s="200" customFormat="1" ht="12" hidden="1" customHeight="1">
      <c r="A10364" s="199"/>
    </row>
    <row r="10365" spans="1:1" s="200" customFormat="1" ht="12" hidden="1" customHeight="1">
      <c r="A10365" s="199"/>
    </row>
    <row r="10366" spans="1:1" s="200" customFormat="1" ht="12" hidden="1" customHeight="1">
      <c r="A10366" s="199"/>
    </row>
    <row r="10367" spans="1:1" s="200" customFormat="1" ht="12" hidden="1" customHeight="1">
      <c r="A10367" s="199"/>
    </row>
    <row r="10368" spans="1:1" s="200" customFormat="1" ht="12" hidden="1" customHeight="1">
      <c r="A10368" s="199"/>
    </row>
    <row r="10369" spans="1:1" s="200" customFormat="1" ht="12" hidden="1" customHeight="1">
      <c r="A10369" s="199"/>
    </row>
    <row r="10370" spans="1:1" s="200" customFormat="1" ht="12" hidden="1" customHeight="1">
      <c r="A10370" s="199"/>
    </row>
    <row r="10371" spans="1:1" s="200" customFormat="1" ht="12" hidden="1" customHeight="1">
      <c r="A10371" s="199"/>
    </row>
    <row r="10372" spans="1:1" s="200" customFormat="1" ht="12" hidden="1" customHeight="1">
      <c r="A10372" s="199"/>
    </row>
    <row r="10373" spans="1:1" s="200" customFormat="1" ht="12" hidden="1" customHeight="1">
      <c r="A10373" s="199"/>
    </row>
    <row r="10374" spans="1:1" s="200" customFormat="1" ht="12" hidden="1" customHeight="1">
      <c r="A10374" s="199"/>
    </row>
    <row r="10375" spans="1:1" s="200" customFormat="1" ht="12" hidden="1" customHeight="1">
      <c r="A10375" s="199"/>
    </row>
    <row r="10376" spans="1:1" s="200" customFormat="1" ht="12" hidden="1" customHeight="1">
      <c r="A10376" s="199"/>
    </row>
    <row r="10377" spans="1:1" s="200" customFormat="1" ht="12" hidden="1" customHeight="1">
      <c r="A10377" s="199"/>
    </row>
    <row r="10378" spans="1:1" s="200" customFormat="1" ht="12" hidden="1" customHeight="1">
      <c r="A10378" s="199"/>
    </row>
    <row r="10379" spans="1:1" s="200" customFormat="1" ht="12" hidden="1" customHeight="1">
      <c r="A10379" s="199"/>
    </row>
    <row r="10380" spans="1:1" s="200" customFormat="1" ht="12" hidden="1" customHeight="1">
      <c r="A10380" s="199"/>
    </row>
    <row r="10381" spans="1:1" s="200" customFormat="1" ht="12" hidden="1" customHeight="1">
      <c r="A10381" s="199"/>
    </row>
    <row r="10382" spans="1:1" s="200" customFormat="1" ht="12" hidden="1" customHeight="1">
      <c r="A10382" s="199"/>
    </row>
    <row r="10383" spans="1:1" s="200" customFormat="1" ht="12" hidden="1" customHeight="1">
      <c r="A10383" s="199"/>
    </row>
    <row r="10384" spans="1:1" s="200" customFormat="1" ht="12" hidden="1" customHeight="1">
      <c r="A10384" s="199"/>
    </row>
    <row r="10385" spans="1:1" s="200" customFormat="1" ht="12" hidden="1" customHeight="1">
      <c r="A10385" s="199"/>
    </row>
    <row r="10386" spans="1:1" s="200" customFormat="1" ht="12" hidden="1" customHeight="1">
      <c r="A10386" s="199"/>
    </row>
    <row r="10387" spans="1:1" s="200" customFormat="1" ht="12" hidden="1" customHeight="1">
      <c r="A10387" s="199"/>
    </row>
    <row r="10388" spans="1:1" s="200" customFormat="1" ht="12" hidden="1" customHeight="1">
      <c r="A10388" s="199"/>
    </row>
    <row r="10389" spans="1:1" s="200" customFormat="1" ht="12" hidden="1" customHeight="1">
      <c r="A10389" s="199"/>
    </row>
    <row r="10390" spans="1:1" s="200" customFormat="1" ht="12" hidden="1" customHeight="1">
      <c r="A10390" s="199"/>
    </row>
    <row r="10391" spans="1:1" s="200" customFormat="1" ht="12" hidden="1" customHeight="1">
      <c r="A10391" s="199"/>
    </row>
    <row r="10392" spans="1:1" s="200" customFormat="1" ht="12" hidden="1" customHeight="1">
      <c r="A10392" s="199"/>
    </row>
    <row r="10393" spans="1:1" s="200" customFormat="1" ht="12" hidden="1" customHeight="1">
      <c r="A10393" s="199"/>
    </row>
    <row r="10394" spans="1:1" s="200" customFormat="1" ht="12" hidden="1" customHeight="1">
      <c r="A10394" s="199"/>
    </row>
    <row r="10395" spans="1:1" s="200" customFormat="1" ht="12" hidden="1" customHeight="1">
      <c r="A10395" s="199"/>
    </row>
    <row r="10396" spans="1:1" s="200" customFormat="1" ht="12" hidden="1" customHeight="1">
      <c r="A10396" s="199"/>
    </row>
    <row r="10397" spans="1:1" s="200" customFormat="1" ht="12" hidden="1" customHeight="1">
      <c r="A10397" s="199"/>
    </row>
    <row r="10398" spans="1:1" s="200" customFormat="1" ht="12" hidden="1" customHeight="1">
      <c r="A10398" s="199"/>
    </row>
    <row r="10399" spans="1:1" s="200" customFormat="1" ht="12" hidden="1" customHeight="1">
      <c r="A10399" s="199"/>
    </row>
    <row r="10400" spans="1:1" s="200" customFormat="1" ht="12" hidden="1" customHeight="1">
      <c r="A10400" s="199"/>
    </row>
    <row r="10401" spans="1:1" s="200" customFormat="1" ht="12" hidden="1" customHeight="1">
      <c r="A10401" s="199"/>
    </row>
    <row r="10402" spans="1:1" s="200" customFormat="1" ht="12" hidden="1" customHeight="1">
      <c r="A10402" s="199"/>
    </row>
    <row r="10403" spans="1:1" s="200" customFormat="1" ht="12" hidden="1" customHeight="1">
      <c r="A10403" s="199"/>
    </row>
    <row r="10404" spans="1:1" s="200" customFormat="1" ht="12" hidden="1" customHeight="1">
      <c r="A10404" s="199"/>
    </row>
    <row r="10405" spans="1:1" s="200" customFormat="1" ht="12" hidden="1" customHeight="1">
      <c r="A10405" s="199"/>
    </row>
    <row r="10406" spans="1:1" s="200" customFormat="1" ht="12" hidden="1" customHeight="1">
      <c r="A10406" s="199"/>
    </row>
    <row r="10407" spans="1:1" s="200" customFormat="1" ht="12" hidden="1" customHeight="1">
      <c r="A10407" s="199"/>
    </row>
    <row r="10408" spans="1:1" s="200" customFormat="1" ht="12" hidden="1" customHeight="1">
      <c r="A10408" s="199"/>
    </row>
    <row r="10409" spans="1:1" s="200" customFormat="1" ht="12" hidden="1" customHeight="1">
      <c r="A10409" s="199"/>
    </row>
    <row r="10410" spans="1:1" s="200" customFormat="1" ht="12" hidden="1" customHeight="1">
      <c r="A10410" s="199"/>
    </row>
    <row r="10411" spans="1:1" s="200" customFormat="1" ht="12" hidden="1" customHeight="1">
      <c r="A10411" s="199"/>
    </row>
    <row r="10412" spans="1:1" s="200" customFormat="1" ht="12" hidden="1" customHeight="1">
      <c r="A10412" s="199"/>
    </row>
    <row r="10413" spans="1:1" s="200" customFormat="1" ht="12" hidden="1" customHeight="1">
      <c r="A10413" s="199"/>
    </row>
    <row r="10414" spans="1:1" s="200" customFormat="1" ht="12" hidden="1" customHeight="1">
      <c r="A10414" s="199"/>
    </row>
    <row r="10415" spans="1:1" s="200" customFormat="1" ht="12" hidden="1" customHeight="1">
      <c r="A10415" s="199"/>
    </row>
    <row r="10416" spans="1:1" s="200" customFormat="1" ht="12" hidden="1" customHeight="1">
      <c r="A10416" s="199"/>
    </row>
    <row r="10417" spans="1:1" s="200" customFormat="1" ht="12" hidden="1" customHeight="1">
      <c r="A10417" s="199"/>
    </row>
    <row r="10418" spans="1:1" s="200" customFormat="1" ht="12" hidden="1" customHeight="1">
      <c r="A10418" s="199"/>
    </row>
    <row r="10419" spans="1:1" s="200" customFormat="1" ht="12" hidden="1" customHeight="1">
      <c r="A10419" s="199"/>
    </row>
    <row r="10420" spans="1:1" s="200" customFormat="1" ht="12" hidden="1" customHeight="1">
      <c r="A10420" s="199"/>
    </row>
    <row r="10421" spans="1:1" s="200" customFormat="1" ht="12" hidden="1" customHeight="1">
      <c r="A10421" s="199"/>
    </row>
    <row r="10422" spans="1:1" s="200" customFormat="1" ht="12" hidden="1" customHeight="1">
      <c r="A10422" s="199"/>
    </row>
    <row r="10423" spans="1:1" s="200" customFormat="1" ht="12" hidden="1" customHeight="1">
      <c r="A10423" s="199"/>
    </row>
    <row r="10424" spans="1:1" s="200" customFormat="1" ht="12" hidden="1" customHeight="1">
      <c r="A10424" s="199"/>
    </row>
    <row r="10425" spans="1:1" s="200" customFormat="1" ht="12" hidden="1" customHeight="1">
      <c r="A10425" s="199"/>
    </row>
    <row r="10426" spans="1:1" s="200" customFormat="1" ht="12" hidden="1" customHeight="1">
      <c r="A10426" s="199"/>
    </row>
    <row r="10427" spans="1:1" s="200" customFormat="1" ht="12" hidden="1" customHeight="1">
      <c r="A10427" s="199"/>
    </row>
    <row r="10428" spans="1:1" s="200" customFormat="1" ht="12" hidden="1" customHeight="1">
      <c r="A10428" s="199"/>
    </row>
    <row r="10429" spans="1:1" s="200" customFormat="1" ht="12" hidden="1" customHeight="1">
      <c r="A10429" s="199"/>
    </row>
    <row r="10430" spans="1:1" s="200" customFormat="1" ht="12" hidden="1" customHeight="1">
      <c r="A10430" s="199"/>
    </row>
    <row r="10431" spans="1:1" s="200" customFormat="1" ht="12" hidden="1" customHeight="1">
      <c r="A10431" s="199"/>
    </row>
    <row r="10432" spans="1:1" s="200" customFormat="1" ht="12" hidden="1" customHeight="1">
      <c r="A10432" s="199"/>
    </row>
    <row r="10433" spans="1:1" s="200" customFormat="1" ht="12" hidden="1" customHeight="1">
      <c r="A10433" s="199"/>
    </row>
    <row r="10434" spans="1:1" s="200" customFormat="1" ht="12" hidden="1" customHeight="1">
      <c r="A10434" s="199"/>
    </row>
    <row r="10435" spans="1:1" s="200" customFormat="1" ht="12" hidden="1" customHeight="1">
      <c r="A10435" s="199"/>
    </row>
    <row r="10436" spans="1:1" s="200" customFormat="1" ht="12" hidden="1" customHeight="1">
      <c r="A10436" s="199"/>
    </row>
    <row r="10437" spans="1:1" s="200" customFormat="1" ht="12" hidden="1" customHeight="1">
      <c r="A10437" s="199"/>
    </row>
    <row r="10438" spans="1:1" s="200" customFormat="1" ht="12" hidden="1" customHeight="1">
      <c r="A10438" s="199"/>
    </row>
    <row r="10439" spans="1:1" s="200" customFormat="1" ht="12" hidden="1" customHeight="1">
      <c r="A10439" s="199"/>
    </row>
    <row r="10440" spans="1:1" s="200" customFormat="1" ht="12" hidden="1" customHeight="1">
      <c r="A10440" s="199"/>
    </row>
    <row r="10441" spans="1:1" s="200" customFormat="1" ht="12" hidden="1" customHeight="1">
      <c r="A10441" s="199"/>
    </row>
    <row r="10442" spans="1:1" s="200" customFormat="1" ht="12" hidden="1" customHeight="1">
      <c r="A10442" s="199"/>
    </row>
    <row r="10443" spans="1:1" s="200" customFormat="1" ht="12" hidden="1" customHeight="1">
      <c r="A10443" s="199"/>
    </row>
    <row r="10444" spans="1:1" s="200" customFormat="1" ht="12" hidden="1" customHeight="1">
      <c r="A10444" s="199"/>
    </row>
    <row r="10445" spans="1:1" s="200" customFormat="1" ht="12" hidden="1" customHeight="1">
      <c r="A10445" s="199"/>
    </row>
    <row r="10446" spans="1:1" s="200" customFormat="1" ht="12" hidden="1" customHeight="1">
      <c r="A10446" s="199"/>
    </row>
    <row r="10447" spans="1:1" s="200" customFormat="1" ht="12" hidden="1" customHeight="1">
      <c r="A10447" s="199"/>
    </row>
    <row r="10448" spans="1:1" s="200" customFormat="1" ht="12" hidden="1" customHeight="1">
      <c r="A10448" s="199"/>
    </row>
    <row r="10449" spans="1:1" s="200" customFormat="1" ht="12" hidden="1" customHeight="1">
      <c r="A10449" s="199"/>
    </row>
    <row r="10450" spans="1:1" s="200" customFormat="1" ht="12" hidden="1" customHeight="1">
      <c r="A10450" s="199"/>
    </row>
    <row r="10451" spans="1:1" s="200" customFormat="1" ht="12" hidden="1" customHeight="1">
      <c r="A10451" s="199"/>
    </row>
    <row r="10452" spans="1:1" s="200" customFormat="1" ht="12" hidden="1" customHeight="1">
      <c r="A10452" s="199"/>
    </row>
    <row r="10453" spans="1:1" s="200" customFormat="1" ht="12" hidden="1" customHeight="1">
      <c r="A10453" s="199"/>
    </row>
    <row r="10454" spans="1:1" s="200" customFormat="1" ht="12" hidden="1" customHeight="1">
      <c r="A10454" s="199"/>
    </row>
    <row r="10455" spans="1:1" s="200" customFormat="1" ht="12" hidden="1" customHeight="1">
      <c r="A10455" s="199"/>
    </row>
    <row r="10456" spans="1:1" s="200" customFormat="1" ht="12" hidden="1" customHeight="1">
      <c r="A10456" s="199"/>
    </row>
    <row r="10457" spans="1:1" s="200" customFormat="1" ht="12" hidden="1" customHeight="1">
      <c r="A10457" s="199"/>
    </row>
    <row r="10458" spans="1:1" s="200" customFormat="1" ht="12" hidden="1" customHeight="1">
      <c r="A10458" s="199"/>
    </row>
    <row r="10459" spans="1:1" s="200" customFormat="1" ht="12" hidden="1" customHeight="1">
      <c r="A10459" s="199"/>
    </row>
    <row r="10460" spans="1:1" s="200" customFormat="1" ht="12" hidden="1" customHeight="1">
      <c r="A10460" s="199"/>
    </row>
    <row r="10461" spans="1:1" s="200" customFormat="1" ht="12" hidden="1" customHeight="1">
      <c r="A10461" s="199"/>
    </row>
    <row r="10462" spans="1:1" s="200" customFormat="1" ht="12" hidden="1" customHeight="1">
      <c r="A10462" s="199"/>
    </row>
    <row r="10463" spans="1:1" s="200" customFormat="1" ht="12" hidden="1" customHeight="1">
      <c r="A10463" s="199"/>
    </row>
    <row r="10464" spans="1:1" s="200" customFormat="1" ht="12" hidden="1" customHeight="1">
      <c r="A10464" s="199"/>
    </row>
    <row r="10465" spans="1:1" s="200" customFormat="1" ht="12" hidden="1" customHeight="1">
      <c r="A10465" s="199"/>
    </row>
    <row r="10466" spans="1:1" s="200" customFormat="1" ht="12" hidden="1" customHeight="1">
      <c r="A10466" s="199"/>
    </row>
    <row r="10467" spans="1:1" s="200" customFormat="1" ht="12" hidden="1" customHeight="1">
      <c r="A10467" s="199"/>
    </row>
    <row r="10468" spans="1:1" s="200" customFormat="1" ht="12" hidden="1" customHeight="1">
      <c r="A10468" s="199"/>
    </row>
    <row r="10469" spans="1:1" s="200" customFormat="1" ht="12" hidden="1" customHeight="1">
      <c r="A10469" s="199"/>
    </row>
    <row r="10470" spans="1:1" s="200" customFormat="1" ht="12" hidden="1" customHeight="1">
      <c r="A10470" s="199"/>
    </row>
    <row r="10471" spans="1:1" s="200" customFormat="1" ht="12" hidden="1" customHeight="1">
      <c r="A10471" s="199"/>
    </row>
    <row r="10472" spans="1:1" s="200" customFormat="1" ht="12" hidden="1" customHeight="1">
      <c r="A10472" s="199"/>
    </row>
    <row r="10473" spans="1:1" s="200" customFormat="1" ht="12" hidden="1" customHeight="1">
      <c r="A10473" s="199"/>
    </row>
    <row r="10474" spans="1:1" s="200" customFormat="1" ht="12" hidden="1" customHeight="1">
      <c r="A10474" s="199"/>
    </row>
    <row r="10475" spans="1:1" s="200" customFormat="1" ht="12" hidden="1" customHeight="1">
      <c r="A10475" s="199"/>
    </row>
    <row r="10476" spans="1:1" s="200" customFormat="1" ht="12" hidden="1" customHeight="1">
      <c r="A10476" s="199"/>
    </row>
    <row r="10477" spans="1:1" s="200" customFormat="1" ht="12" hidden="1" customHeight="1">
      <c r="A10477" s="199"/>
    </row>
    <row r="10478" spans="1:1" s="200" customFormat="1" ht="12" hidden="1" customHeight="1">
      <c r="A10478" s="199"/>
    </row>
    <row r="10479" spans="1:1" s="200" customFormat="1" ht="12" hidden="1" customHeight="1">
      <c r="A10479" s="199"/>
    </row>
    <row r="10480" spans="1:1" s="200" customFormat="1" ht="12" hidden="1" customHeight="1">
      <c r="A10480" s="199"/>
    </row>
    <row r="10481" spans="1:1" s="200" customFormat="1" ht="12" hidden="1" customHeight="1">
      <c r="A10481" s="199"/>
    </row>
    <row r="10482" spans="1:1" s="200" customFormat="1" ht="12" hidden="1" customHeight="1">
      <c r="A10482" s="199"/>
    </row>
    <row r="10483" spans="1:1" s="200" customFormat="1" ht="12" hidden="1" customHeight="1">
      <c r="A10483" s="199"/>
    </row>
    <row r="10484" spans="1:1" s="200" customFormat="1" ht="12" hidden="1" customHeight="1">
      <c r="A10484" s="199"/>
    </row>
    <row r="10485" spans="1:1" s="200" customFormat="1" ht="12" hidden="1" customHeight="1">
      <c r="A10485" s="199"/>
    </row>
    <row r="10486" spans="1:1" s="200" customFormat="1" ht="12" hidden="1" customHeight="1">
      <c r="A10486" s="199"/>
    </row>
    <row r="10487" spans="1:1" s="200" customFormat="1" ht="12" hidden="1" customHeight="1">
      <c r="A10487" s="199"/>
    </row>
    <row r="10488" spans="1:1" s="200" customFormat="1" ht="12" hidden="1" customHeight="1">
      <c r="A10488" s="199"/>
    </row>
    <row r="10489" spans="1:1" s="200" customFormat="1" ht="12" hidden="1" customHeight="1">
      <c r="A10489" s="199"/>
    </row>
    <row r="10490" spans="1:1" s="200" customFormat="1" ht="12" hidden="1" customHeight="1">
      <c r="A10490" s="199"/>
    </row>
    <row r="10491" spans="1:1" s="200" customFormat="1" ht="12" hidden="1" customHeight="1">
      <c r="A10491" s="199"/>
    </row>
    <row r="10492" spans="1:1" s="200" customFormat="1" ht="12" hidden="1" customHeight="1">
      <c r="A10492" s="199"/>
    </row>
    <row r="10493" spans="1:1" s="200" customFormat="1" ht="12" hidden="1" customHeight="1">
      <c r="A10493" s="199"/>
    </row>
    <row r="10494" spans="1:1" s="200" customFormat="1" ht="12" hidden="1" customHeight="1">
      <c r="A10494" s="199"/>
    </row>
    <row r="10495" spans="1:1" s="200" customFormat="1" ht="12" hidden="1" customHeight="1">
      <c r="A10495" s="199"/>
    </row>
    <row r="10496" spans="1:1" s="200" customFormat="1" ht="12" hidden="1" customHeight="1">
      <c r="A10496" s="199"/>
    </row>
    <row r="10497" spans="1:1" s="200" customFormat="1" ht="12" hidden="1" customHeight="1">
      <c r="A10497" s="199"/>
    </row>
    <row r="10498" spans="1:1" s="200" customFormat="1" ht="12" hidden="1" customHeight="1">
      <c r="A10498" s="199"/>
    </row>
    <row r="10499" spans="1:1" s="200" customFormat="1" ht="12" hidden="1" customHeight="1">
      <c r="A10499" s="199"/>
    </row>
    <row r="10500" spans="1:1" s="200" customFormat="1" ht="12" hidden="1" customHeight="1">
      <c r="A10500" s="199"/>
    </row>
    <row r="10501" spans="1:1" s="200" customFormat="1" ht="12" hidden="1" customHeight="1">
      <c r="A10501" s="199"/>
    </row>
    <row r="10502" spans="1:1" s="200" customFormat="1" ht="12" hidden="1" customHeight="1">
      <c r="A10502" s="199"/>
    </row>
    <row r="10503" spans="1:1" s="200" customFormat="1" ht="12" hidden="1" customHeight="1">
      <c r="A10503" s="199"/>
    </row>
    <row r="10504" spans="1:1" s="200" customFormat="1" ht="12" hidden="1" customHeight="1">
      <c r="A10504" s="199"/>
    </row>
    <row r="10505" spans="1:1" s="200" customFormat="1" ht="12" hidden="1" customHeight="1">
      <c r="A10505" s="199"/>
    </row>
    <row r="10506" spans="1:1" s="200" customFormat="1" ht="12" hidden="1" customHeight="1">
      <c r="A10506" s="199"/>
    </row>
    <row r="10507" spans="1:1" s="200" customFormat="1" ht="12" hidden="1" customHeight="1">
      <c r="A10507" s="199"/>
    </row>
    <row r="10508" spans="1:1" s="200" customFormat="1" ht="12" hidden="1" customHeight="1">
      <c r="A10508" s="199"/>
    </row>
    <row r="10509" spans="1:1" s="200" customFormat="1" ht="12" hidden="1" customHeight="1">
      <c r="A10509" s="199"/>
    </row>
    <row r="10510" spans="1:1" s="200" customFormat="1" ht="12" hidden="1" customHeight="1">
      <c r="A10510" s="199"/>
    </row>
    <row r="10511" spans="1:1" s="200" customFormat="1" ht="12" hidden="1" customHeight="1">
      <c r="A10511" s="199"/>
    </row>
    <row r="10512" spans="1:1" s="200" customFormat="1" ht="12" hidden="1" customHeight="1">
      <c r="A10512" s="199"/>
    </row>
    <row r="10513" spans="1:1" s="200" customFormat="1" ht="12" hidden="1" customHeight="1">
      <c r="A10513" s="199"/>
    </row>
    <row r="10514" spans="1:1" s="200" customFormat="1" ht="12" hidden="1" customHeight="1">
      <c r="A10514" s="199"/>
    </row>
    <row r="10515" spans="1:1" s="200" customFormat="1" ht="12" hidden="1" customHeight="1">
      <c r="A10515" s="199"/>
    </row>
    <row r="10516" spans="1:1" s="200" customFormat="1" ht="12" hidden="1" customHeight="1">
      <c r="A10516" s="199"/>
    </row>
    <row r="10517" spans="1:1" s="200" customFormat="1" ht="12" hidden="1" customHeight="1">
      <c r="A10517" s="199"/>
    </row>
    <row r="10518" spans="1:1" s="200" customFormat="1" ht="12" hidden="1" customHeight="1">
      <c r="A10518" s="199"/>
    </row>
    <row r="10519" spans="1:1" s="200" customFormat="1" ht="12" hidden="1" customHeight="1">
      <c r="A10519" s="199"/>
    </row>
    <row r="10520" spans="1:1" s="200" customFormat="1" ht="12" hidden="1" customHeight="1">
      <c r="A10520" s="199"/>
    </row>
    <row r="10521" spans="1:1" s="200" customFormat="1" ht="12" hidden="1" customHeight="1">
      <c r="A10521" s="199"/>
    </row>
    <row r="10522" spans="1:1" s="200" customFormat="1" ht="12" hidden="1" customHeight="1">
      <c r="A10522" s="199"/>
    </row>
    <row r="10523" spans="1:1" s="200" customFormat="1" ht="12" hidden="1" customHeight="1">
      <c r="A10523" s="199"/>
    </row>
    <row r="10524" spans="1:1" s="200" customFormat="1" ht="12" hidden="1" customHeight="1">
      <c r="A10524" s="199"/>
    </row>
    <row r="10525" spans="1:1" s="200" customFormat="1" ht="12" hidden="1" customHeight="1">
      <c r="A10525" s="199"/>
    </row>
    <row r="10526" spans="1:1" s="200" customFormat="1" ht="12" hidden="1" customHeight="1">
      <c r="A10526" s="199"/>
    </row>
    <row r="10527" spans="1:1" s="200" customFormat="1" ht="12" hidden="1" customHeight="1">
      <c r="A10527" s="199"/>
    </row>
    <row r="10528" spans="1:1" s="200" customFormat="1" ht="12" hidden="1" customHeight="1">
      <c r="A10528" s="199"/>
    </row>
    <row r="10529" spans="1:1" s="200" customFormat="1" ht="12" hidden="1" customHeight="1">
      <c r="A10529" s="199"/>
    </row>
    <row r="10530" spans="1:1" s="200" customFormat="1" ht="12" hidden="1" customHeight="1">
      <c r="A10530" s="199"/>
    </row>
    <row r="10531" spans="1:1" s="200" customFormat="1" ht="12" hidden="1" customHeight="1">
      <c r="A10531" s="199"/>
    </row>
    <row r="10532" spans="1:1" s="200" customFormat="1" ht="12" hidden="1" customHeight="1">
      <c r="A10532" s="199"/>
    </row>
    <row r="10533" spans="1:1" s="200" customFormat="1" ht="12" hidden="1" customHeight="1">
      <c r="A10533" s="199"/>
    </row>
    <row r="10534" spans="1:1" s="200" customFormat="1" ht="12" hidden="1" customHeight="1">
      <c r="A10534" s="199"/>
    </row>
    <row r="10535" spans="1:1" s="200" customFormat="1" ht="12" hidden="1" customHeight="1">
      <c r="A10535" s="199"/>
    </row>
    <row r="10536" spans="1:1" s="200" customFormat="1" ht="12" hidden="1" customHeight="1">
      <c r="A10536" s="199"/>
    </row>
    <row r="10537" spans="1:1" s="200" customFormat="1" ht="12" hidden="1" customHeight="1">
      <c r="A10537" s="199"/>
    </row>
    <row r="10538" spans="1:1" s="200" customFormat="1" ht="12" hidden="1" customHeight="1">
      <c r="A10538" s="199"/>
    </row>
    <row r="10539" spans="1:1" s="200" customFormat="1" ht="12" hidden="1" customHeight="1">
      <c r="A10539" s="199"/>
    </row>
    <row r="10540" spans="1:1" s="200" customFormat="1" ht="12" hidden="1" customHeight="1">
      <c r="A10540" s="199"/>
    </row>
    <row r="10541" spans="1:1" s="200" customFormat="1" ht="12" hidden="1" customHeight="1">
      <c r="A10541" s="199"/>
    </row>
    <row r="10542" spans="1:1" s="200" customFormat="1" ht="12" hidden="1" customHeight="1">
      <c r="A10542" s="199"/>
    </row>
    <row r="10543" spans="1:1" s="200" customFormat="1" ht="12" hidden="1" customHeight="1">
      <c r="A10543" s="199"/>
    </row>
    <row r="10544" spans="1:1" s="200" customFormat="1" ht="12" hidden="1" customHeight="1">
      <c r="A10544" s="199"/>
    </row>
    <row r="10545" spans="1:1" s="200" customFormat="1" ht="12" hidden="1" customHeight="1">
      <c r="A10545" s="199"/>
    </row>
    <row r="10546" spans="1:1" s="200" customFormat="1" ht="12" hidden="1" customHeight="1">
      <c r="A10546" s="199"/>
    </row>
    <row r="10547" spans="1:1" s="200" customFormat="1" ht="12" hidden="1" customHeight="1">
      <c r="A10547" s="199"/>
    </row>
    <row r="10548" spans="1:1" s="200" customFormat="1" ht="12" hidden="1" customHeight="1">
      <c r="A10548" s="199"/>
    </row>
    <row r="10549" spans="1:1" s="200" customFormat="1" ht="12" hidden="1" customHeight="1">
      <c r="A10549" s="199"/>
    </row>
    <row r="10550" spans="1:1" s="200" customFormat="1" ht="12" hidden="1" customHeight="1">
      <c r="A10550" s="199"/>
    </row>
    <row r="10551" spans="1:1" s="200" customFormat="1" ht="12" hidden="1" customHeight="1">
      <c r="A10551" s="199"/>
    </row>
    <row r="10552" spans="1:1" s="200" customFormat="1" ht="12" hidden="1" customHeight="1">
      <c r="A10552" s="199"/>
    </row>
    <row r="10553" spans="1:1" s="200" customFormat="1" ht="12" hidden="1" customHeight="1">
      <c r="A10553" s="199"/>
    </row>
    <row r="10554" spans="1:1" s="200" customFormat="1" ht="12" hidden="1" customHeight="1">
      <c r="A10554" s="199"/>
    </row>
    <row r="10555" spans="1:1" s="200" customFormat="1" ht="12" hidden="1" customHeight="1">
      <c r="A10555" s="199"/>
    </row>
    <row r="10556" spans="1:1" s="200" customFormat="1" ht="12" hidden="1" customHeight="1">
      <c r="A10556" s="199"/>
    </row>
    <row r="10557" spans="1:1" s="200" customFormat="1" ht="12" hidden="1" customHeight="1">
      <c r="A10557" s="199"/>
    </row>
    <row r="10558" spans="1:1" s="200" customFormat="1" ht="12" hidden="1" customHeight="1">
      <c r="A10558" s="199"/>
    </row>
    <row r="10559" spans="1:1" s="200" customFormat="1" ht="12" hidden="1" customHeight="1">
      <c r="A10559" s="199"/>
    </row>
    <row r="10560" spans="1:1" s="200" customFormat="1" ht="12" hidden="1" customHeight="1">
      <c r="A10560" s="199"/>
    </row>
    <row r="10561" spans="1:1" s="200" customFormat="1" ht="12" hidden="1" customHeight="1">
      <c r="A10561" s="199"/>
    </row>
    <row r="10562" spans="1:1" s="200" customFormat="1" ht="12" hidden="1" customHeight="1">
      <c r="A10562" s="199"/>
    </row>
    <row r="10563" spans="1:1" s="200" customFormat="1" ht="12" hidden="1" customHeight="1">
      <c r="A10563" s="199"/>
    </row>
    <row r="10564" spans="1:1" s="200" customFormat="1" ht="12" hidden="1" customHeight="1">
      <c r="A10564" s="199"/>
    </row>
    <row r="10565" spans="1:1" s="200" customFormat="1" ht="12" hidden="1" customHeight="1">
      <c r="A10565" s="199"/>
    </row>
    <row r="10566" spans="1:1" s="200" customFormat="1" ht="12" hidden="1" customHeight="1">
      <c r="A10566" s="199"/>
    </row>
    <row r="10567" spans="1:1" s="200" customFormat="1" ht="12" hidden="1" customHeight="1">
      <c r="A10567" s="199"/>
    </row>
    <row r="10568" spans="1:1" s="200" customFormat="1" ht="12" hidden="1" customHeight="1">
      <c r="A10568" s="199"/>
    </row>
    <row r="10569" spans="1:1" s="200" customFormat="1" ht="12" hidden="1" customHeight="1">
      <c r="A10569" s="199"/>
    </row>
    <row r="10570" spans="1:1" s="200" customFormat="1" ht="12" hidden="1" customHeight="1">
      <c r="A10570" s="199"/>
    </row>
    <row r="10571" spans="1:1" s="200" customFormat="1" ht="12" hidden="1" customHeight="1">
      <c r="A10571" s="199"/>
    </row>
    <row r="10572" spans="1:1" s="200" customFormat="1" ht="12" hidden="1" customHeight="1">
      <c r="A10572" s="199"/>
    </row>
    <row r="10573" spans="1:1" s="200" customFormat="1" ht="12" hidden="1" customHeight="1">
      <c r="A10573" s="199"/>
    </row>
    <row r="10574" spans="1:1" s="200" customFormat="1" ht="12" hidden="1" customHeight="1">
      <c r="A10574" s="199"/>
    </row>
    <row r="10575" spans="1:1" s="200" customFormat="1" ht="12" hidden="1" customHeight="1">
      <c r="A10575" s="199"/>
    </row>
    <row r="10576" spans="1:1" s="200" customFormat="1" ht="12" hidden="1" customHeight="1">
      <c r="A10576" s="199"/>
    </row>
    <row r="10577" spans="1:1" s="200" customFormat="1" ht="12" hidden="1" customHeight="1">
      <c r="A10577" s="199"/>
    </row>
    <row r="10578" spans="1:1" s="200" customFormat="1" ht="12" hidden="1" customHeight="1">
      <c r="A10578" s="199"/>
    </row>
    <row r="10579" spans="1:1" s="200" customFormat="1" ht="12" hidden="1" customHeight="1">
      <c r="A10579" s="199"/>
    </row>
    <row r="10580" spans="1:1" s="200" customFormat="1" ht="12" hidden="1" customHeight="1">
      <c r="A10580" s="199"/>
    </row>
    <row r="10581" spans="1:1" s="200" customFormat="1" ht="12" hidden="1" customHeight="1">
      <c r="A10581" s="199"/>
    </row>
    <row r="10582" spans="1:1" s="200" customFormat="1" ht="12" hidden="1" customHeight="1">
      <c r="A10582" s="199"/>
    </row>
    <row r="10583" spans="1:1" s="200" customFormat="1" ht="12" hidden="1" customHeight="1">
      <c r="A10583" s="199"/>
    </row>
    <row r="10584" spans="1:1" s="200" customFormat="1" ht="12" hidden="1" customHeight="1">
      <c r="A10584" s="199"/>
    </row>
    <row r="10585" spans="1:1" s="200" customFormat="1" ht="12" hidden="1" customHeight="1">
      <c r="A10585" s="199"/>
    </row>
    <row r="10586" spans="1:1" s="200" customFormat="1" ht="12" hidden="1" customHeight="1">
      <c r="A10586" s="199"/>
    </row>
    <row r="10587" spans="1:1" s="200" customFormat="1" ht="12" hidden="1" customHeight="1">
      <c r="A10587" s="199"/>
    </row>
    <row r="10588" spans="1:1" s="200" customFormat="1" ht="12" hidden="1" customHeight="1">
      <c r="A10588" s="199"/>
    </row>
    <row r="10589" spans="1:1" s="200" customFormat="1" ht="12" hidden="1" customHeight="1">
      <c r="A10589" s="199"/>
    </row>
    <row r="10590" spans="1:1" s="200" customFormat="1" ht="12" hidden="1" customHeight="1">
      <c r="A10590" s="199"/>
    </row>
    <row r="10591" spans="1:1" s="200" customFormat="1" ht="12" hidden="1" customHeight="1">
      <c r="A10591" s="199"/>
    </row>
    <row r="10592" spans="1:1" s="200" customFormat="1" ht="12" hidden="1" customHeight="1">
      <c r="A10592" s="199"/>
    </row>
    <row r="10593" spans="1:1" s="200" customFormat="1" ht="12" hidden="1" customHeight="1">
      <c r="A10593" s="199"/>
    </row>
    <row r="10594" spans="1:1" s="200" customFormat="1" ht="12" hidden="1" customHeight="1">
      <c r="A10594" s="199"/>
    </row>
    <row r="10595" spans="1:1" s="200" customFormat="1" ht="12" hidden="1" customHeight="1">
      <c r="A10595" s="199"/>
    </row>
    <row r="10596" spans="1:1" s="200" customFormat="1" ht="12" hidden="1" customHeight="1">
      <c r="A10596" s="199"/>
    </row>
    <row r="10597" spans="1:1" s="200" customFormat="1" ht="12" hidden="1" customHeight="1">
      <c r="A10597" s="199"/>
    </row>
    <row r="10598" spans="1:1" s="200" customFormat="1" ht="12" hidden="1" customHeight="1">
      <c r="A10598" s="199"/>
    </row>
    <row r="10599" spans="1:1" s="200" customFormat="1" ht="12" hidden="1" customHeight="1">
      <c r="A10599" s="199"/>
    </row>
    <row r="10600" spans="1:1" s="200" customFormat="1" ht="12" hidden="1" customHeight="1">
      <c r="A10600" s="199"/>
    </row>
    <row r="10601" spans="1:1" s="200" customFormat="1" ht="12" hidden="1" customHeight="1">
      <c r="A10601" s="199"/>
    </row>
    <row r="10602" spans="1:1" s="200" customFormat="1" ht="12" hidden="1" customHeight="1">
      <c r="A10602" s="199"/>
    </row>
    <row r="10603" spans="1:1" s="200" customFormat="1" ht="12" hidden="1" customHeight="1">
      <c r="A10603" s="199"/>
    </row>
    <row r="10604" spans="1:1" s="200" customFormat="1" ht="12" hidden="1" customHeight="1">
      <c r="A10604" s="199"/>
    </row>
    <row r="10605" spans="1:1" s="200" customFormat="1" ht="12" hidden="1" customHeight="1">
      <c r="A10605" s="199"/>
    </row>
    <row r="10606" spans="1:1" s="200" customFormat="1" ht="12" hidden="1" customHeight="1">
      <c r="A10606" s="199"/>
    </row>
    <row r="10607" spans="1:1" s="200" customFormat="1" ht="12" hidden="1" customHeight="1">
      <c r="A10607" s="199"/>
    </row>
    <row r="10608" spans="1:1" s="200" customFormat="1" ht="12" hidden="1" customHeight="1">
      <c r="A10608" s="199"/>
    </row>
    <row r="10609" spans="1:1" s="200" customFormat="1" ht="12" hidden="1" customHeight="1">
      <c r="A10609" s="199"/>
    </row>
    <row r="10610" spans="1:1" s="200" customFormat="1" ht="12" hidden="1" customHeight="1">
      <c r="A10610" s="199"/>
    </row>
    <row r="10611" spans="1:1" s="200" customFormat="1" ht="12" hidden="1" customHeight="1">
      <c r="A10611" s="199"/>
    </row>
    <row r="10612" spans="1:1" s="200" customFormat="1" ht="12" hidden="1" customHeight="1">
      <c r="A10612" s="199"/>
    </row>
    <row r="10613" spans="1:1" s="200" customFormat="1" ht="12" hidden="1" customHeight="1">
      <c r="A10613" s="199"/>
    </row>
    <row r="10614" spans="1:1" s="200" customFormat="1" ht="12" hidden="1" customHeight="1">
      <c r="A10614" s="199"/>
    </row>
    <row r="10615" spans="1:1" s="200" customFormat="1" ht="12" hidden="1" customHeight="1">
      <c r="A10615" s="199"/>
    </row>
    <row r="10616" spans="1:1" s="200" customFormat="1" ht="12" hidden="1" customHeight="1">
      <c r="A10616" s="199"/>
    </row>
    <row r="10617" spans="1:1" s="200" customFormat="1" ht="12" hidden="1" customHeight="1">
      <c r="A10617" s="199"/>
    </row>
    <row r="10618" spans="1:1" s="200" customFormat="1" ht="12" hidden="1" customHeight="1">
      <c r="A10618" s="199"/>
    </row>
    <row r="10619" spans="1:1" s="200" customFormat="1" ht="12" hidden="1" customHeight="1">
      <c r="A10619" s="199"/>
    </row>
    <row r="10620" spans="1:1" s="200" customFormat="1" ht="12" hidden="1" customHeight="1">
      <c r="A10620" s="199"/>
    </row>
    <row r="10621" spans="1:1" s="200" customFormat="1" ht="12" hidden="1" customHeight="1">
      <c r="A10621" s="199"/>
    </row>
    <row r="10622" spans="1:1" s="200" customFormat="1" ht="12" hidden="1" customHeight="1">
      <c r="A10622" s="199"/>
    </row>
    <row r="10623" spans="1:1" s="200" customFormat="1" ht="12" hidden="1" customHeight="1">
      <c r="A10623" s="199"/>
    </row>
    <row r="10624" spans="1:1" s="200" customFormat="1" ht="12" hidden="1" customHeight="1">
      <c r="A10624" s="199"/>
    </row>
    <row r="10625" spans="1:1" s="200" customFormat="1" ht="12" hidden="1" customHeight="1">
      <c r="A10625" s="199"/>
    </row>
    <row r="10626" spans="1:1" s="200" customFormat="1" ht="12" hidden="1" customHeight="1">
      <c r="A10626" s="199"/>
    </row>
    <row r="10627" spans="1:1" s="200" customFormat="1" ht="12" hidden="1" customHeight="1">
      <c r="A10627" s="199"/>
    </row>
    <row r="10628" spans="1:1" s="200" customFormat="1" ht="12" hidden="1" customHeight="1">
      <c r="A10628" s="199"/>
    </row>
    <row r="10629" spans="1:1" s="200" customFormat="1" ht="12" hidden="1" customHeight="1">
      <c r="A10629" s="199"/>
    </row>
    <row r="10630" spans="1:1" s="200" customFormat="1" ht="12" hidden="1" customHeight="1">
      <c r="A10630" s="199"/>
    </row>
    <row r="10631" spans="1:1" s="200" customFormat="1" ht="12" hidden="1" customHeight="1">
      <c r="A10631" s="199"/>
    </row>
    <row r="10632" spans="1:1" s="200" customFormat="1" ht="12" hidden="1" customHeight="1">
      <c r="A10632" s="199"/>
    </row>
    <row r="10633" spans="1:1" s="200" customFormat="1" ht="12" hidden="1" customHeight="1">
      <c r="A10633" s="199"/>
    </row>
    <row r="10634" spans="1:1" s="200" customFormat="1" ht="12" hidden="1" customHeight="1">
      <c r="A10634" s="199"/>
    </row>
    <row r="10635" spans="1:1" s="200" customFormat="1" ht="12" hidden="1" customHeight="1">
      <c r="A10635" s="199"/>
    </row>
    <row r="10636" spans="1:1" s="200" customFormat="1" ht="12" hidden="1" customHeight="1">
      <c r="A10636" s="199"/>
    </row>
    <row r="10637" spans="1:1" s="200" customFormat="1" ht="12" hidden="1" customHeight="1">
      <c r="A10637" s="199"/>
    </row>
    <row r="10638" spans="1:1" s="200" customFormat="1" ht="12" hidden="1" customHeight="1">
      <c r="A10638" s="199"/>
    </row>
    <row r="10639" spans="1:1" s="200" customFormat="1" ht="12" hidden="1" customHeight="1">
      <c r="A10639" s="199"/>
    </row>
    <row r="10640" spans="1:1" s="200" customFormat="1" ht="12" hidden="1" customHeight="1">
      <c r="A10640" s="199"/>
    </row>
    <row r="10641" spans="1:1" s="200" customFormat="1" ht="12" hidden="1" customHeight="1">
      <c r="A10641" s="199"/>
    </row>
    <row r="10642" spans="1:1" s="200" customFormat="1" ht="12" hidden="1" customHeight="1">
      <c r="A10642" s="199"/>
    </row>
    <row r="10643" spans="1:1" s="200" customFormat="1" ht="12" hidden="1" customHeight="1">
      <c r="A10643" s="199"/>
    </row>
    <row r="10644" spans="1:1" s="200" customFormat="1" ht="12" hidden="1" customHeight="1">
      <c r="A10644" s="199"/>
    </row>
    <row r="10645" spans="1:1" s="200" customFormat="1" ht="12" hidden="1" customHeight="1">
      <c r="A10645" s="199"/>
    </row>
    <row r="10646" spans="1:1" s="200" customFormat="1" ht="12" hidden="1" customHeight="1">
      <c r="A10646" s="199"/>
    </row>
    <row r="10647" spans="1:1" s="200" customFormat="1" ht="12" hidden="1" customHeight="1">
      <c r="A10647" s="199"/>
    </row>
    <row r="10648" spans="1:1" s="200" customFormat="1" ht="12" hidden="1" customHeight="1">
      <c r="A10648" s="199"/>
    </row>
    <row r="10649" spans="1:1" s="200" customFormat="1" ht="12" hidden="1" customHeight="1">
      <c r="A10649" s="199"/>
    </row>
    <row r="10650" spans="1:1" s="200" customFormat="1" ht="12" hidden="1" customHeight="1">
      <c r="A10650" s="199"/>
    </row>
    <row r="10651" spans="1:1" s="200" customFormat="1" ht="12" hidden="1" customHeight="1">
      <c r="A10651" s="199"/>
    </row>
    <row r="10652" spans="1:1" s="200" customFormat="1" ht="12" hidden="1" customHeight="1">
      <c r="A10652" s="199"/>
    </row>
    <row r="10653" spans="1:1" s="200" customFormat="1" ht="12" hidden="1" customHeight="1">
      <c r="A10653" s="199"/>
    </row>
    <row r="10654" spans="1:1" s="200" customFormat="1" ht="12" hidden="1" customHeight="1">
      <c r="A10654" s="199"/>
    </row>
    <row r="10655" spans="1:1" s="200" customFormat="1" ht="12" hidden="1" customHeight="1">
      <c r="A10655" s="199"/>
    </row>
    <row r="10656" spans="1:1" s="200" customFormat="1" ht="12" hidden="1" customHeight="1">
      <c r="A10656" s="199"/>
    </row>
    <row r="10657" spans="1:1" s="200" customFormat="1" ht="12" hidden="1" customHeight="1">
      <c r="A10657" s="199"/>
    </row>
    <row r="10658" spans="1:1" s="200" customFormat="1" ht="12" hidden="1" customHeight="1">
      <c r="A10658" s="199"/>
    </row>
    <row r="10659" spans="1:1" s="200" customFormat="1" ht="12" hidden="1" customHeight="1">
      <c r="A10659" s="199"/>
    </row>
    <row r="10660" spans="1:1" s="200" customFormat="1" ht="12" hidden="1" customHeight="1">
      <c r="A10660" s="199"/>
    </row>
    <row r="10661" spans="1:1" s="200" customFormat="1" ht="12" hidden="1" customHeight="1">
      <c r="A10661" s="199"/>
    </row>
    <row r="10662" spans="1:1" s="200" customFormat="1" ht="12" hidden="1" customHeight="1">
      <c r="A10662" s="199"/>
    </row>
    <row r="10663" spans="1:1" s="200" customFormat="1" ht="12" hidden="1" customHeight="1">
      <c r="A10663" s="199"/>
    </row>
    <row r="10664" spans="1:1" s="200" customFormat="1" ht="12" hidden="1" customHeight="1">
      <c r="A10664" s="199"/>
    </row>
    <row r="10665" spans="1:1" s="200" customFormat="1" ht="12" hidden="1" customHeight="1">
      <c r="A10665" s="199"/>
    </row>
    <row r="10666" spans="1:1" s="200" customFormat="1" ht="12" hidden="1" customHeight="1">
      <c r="A10666" s="199"/>
    </row>
    <row r="10667" spans="1:1" s="200" customFormat="1" ht="12" hidden="1" customHeight="1">
      <c r="A10667" s="199"/>
    </row>
    <row r="10668" spans="1:1" s="200" customFormat="1" ht="12" hidden="1" customHeight="1">
      <c r="A10668" s="199"/>
    </row>
    <row r="10669" spans="1:1" s="200" customFormat="1" ht="12" hidden="1" customHeight="1">
      <c r="A10669" s="199"/>
    </row>
    <row r="10670" spans="1:1" s="200" customFormat="1" ht="12" hidden="1" customHeight="1">
      <c r="A10670" s="199"/>
    </row>
    <row r="10671" spans="1:1" s="200" customFormat="1" ht="12" hidden="1" customHeight="1">
      <c r="A10671" s="199"/>
    </row>
    <row r="10672" spans="1:1" s="200" customFormat="1" ht="12" hidden="1" customHeight="1">
      <c r="A10672" s="199"/>
    </row>
    <row r="10673" spans="1:1" s="200" customFormat="1" ht="12" hidden="1" customHeight="1">
      <c r="A10673" s="199"/>
    </row>
    <row r="10674" spans="1:1" s="200" customFormat="1" ht="12" hidden="1" customHeight="1">
      <c r="A10674" s="199"/>
    </row>
    <row r="10675" spans="1:1" s="200" customFormat="1" ht="12" hidden="1" customHeight="1">
      <c r="A10675" s="199"/>
    </row>
    <row r="10676" spans="1:1" s="200" customFormat="1" ht="12" hidden="1" customHeight="1">
      <c r="A10676" s="199"/>
    </row>
    <row r="10677" spans="1:1" s="200" customFormat="1" ht="12" hidden="1" customHeight="1">
      <c r="A10677" s="199"/>
    </row>
    <row r="10678" spans="1:1" s="200" customFormat="1" ht="12" hidden="1" customHeight="1">
      <c r="A10678" s="199"/>
    </row>
    <row r="10679" spans="1:1" s="200" customFormat="1" ht="12" hidden="1" customHeight="1">
      <c r="A10679" s="199"/>
    </row>
    <row r="10680" spans="1:1" s="200" customFormat="1" ht="12" hidden="1" customHeight="1">
      <c r="A10680" s="199"/>
    </row>
    <row r="10681" spans="1:1" s="200" customFormat="1" ht="12" hidden="1" customHeight="1">
      <c r="A10681" s="199"/>
    </row>
    <row r="10682" spans="1:1" s="200" customFormat="1" ht="12" hidden="1" customHeight="1">
      <c r="A10682" s="199"/>
    </row>
    <row r="10683" spans="1:1" s="200" customFormat="1" ht="12" hidden="1" customHeight="1">
      <c r="A10683" s="199"/>
    </row>
    <row r="10684" spans="1:1" s="200" customFormat="1" ht="12" hidden="1" customHeight="1">
      <c r="A10684" s="199"/>
    </row>
    <row r="10685" spans="1:1" s="200" customFormat="1" ht="12" hidden="1" customHeight="1">
      <c r="A10685" s="199"/>
    </row>
    <row r="10686" spans="1:1" s="200" customFormat="1" ht="12" hidden="1" customHeight="1">
      <c r="A10686" s="199"/>
    </row>
    <row r="10687" spans="1:1" s="200" customFormat="1" ht="12" hidden="1" customHeight="1">
      <c r="A10687" s="199"/>
    </row>
    <row r="10688" spans="1:1" s="200" customFormat="1" ht="12" hidden="1" customHeight="1">
      <c r="A10688" s="199"/>
    </row>
    <row r="10689" spans="1:1" s="200" customFormat="1" ht="12" hidden="1" customHeight="1">
      <c r="A10689" s="199"/>
    </row>
    <row r="10690" spans="1:1" s="200" customFormat="1" ht="12" hidden="1" customHeight="1">
      <c r="A10690" s="199"/>
    </row>
    <row r="10691" spans="1:1" s="200" customFormat="1" ht="12" hidden="1" customHeight="1">
      <c r="A10691" s="199"/>
    </row>
    <row r="10692" spans="1:1" s="200" customFormat="1" ht="12" hidden="1" customHeight="1">
      <c r="A10692" s="199"/>
    </row>
    <row r="10693" spans="1:1" s="200" customFormat="1" ht="12" hidden="1" customHeight="1">
      <c r="A10693" s="199"/>
    </row>
    <row r="10694" spans="1:1" s="200" customFormat="1" ht="12" hidden="1" customHeight="1">
      <c r="A10694" s="199"/>
    </row>
    <row r="10695" spans="1:1" s="200" customFormat="1" ht="12" hidden="1" customHeight="1">
      <c r="A10695" s="199"/>
    </row>
    <row r="10696" spans="1:1" s="200" customFormat="1" ht="12" hidden="1" customHeight="1">
      <c r="A10696" s="199"/>
    </row>
    <row r="10697" spans="1:1" s="200" customFormat="1" ht="12" hidden="1" customHeight="1">
      <c r="A10697" s="199"/>
    </row>
    <row r="10698" spans="1:1" s="200" customFormat="1" ht="12" hidden="1" customHeight="1">
      <c r="A10698" s="199"/>
    </row>
    <row r="10699" spans="1:1" s="200" customFormat="1" ht="12" hidden="1" customHeight="1">
      <c r="A10699" s="199"/>
    </row>
    <row r="10700" spans="1:1" s="200" customFormat="1" ht="12" hidden="1" customHeight="1">
      <c r="A10700" s="199"/>
    </row>
    <row r="10701" spans="1:1" s="200" customFormat="1" ht="12" hidden="1" customHeight="1">
      <c r="A10701" s="199"/>
    </row>
    <row r="10702" spans="1:1" s="200" customFormat="1" ht="12" hidden="1" customHeight="1">
      <c r="A10702" s="199"/>
    </row>
    <row r="10703" spans="1:1" s="200" customFormat="1" ht="12" hidden="1" customHeight="1">
      <c r="A10703" s="199"/>
    </row>
    <row r="10704" spans="1:1" s="200" customFormat="1" ht="12" hidden="1" customHeight="1">
      <c r="A10704" s="199"/>
    </row>
    <row r="10705" spans="1:1" s="200" customFormat="1" ht="12" hidden="1" customHeight="1">
      <c r="A10705" s="199"/>
    </row>
    <row r="10706" spans="1:1" s="200" customFormat="1" ht="12" hidden="1" customHeight="1">
      <c r="A10706" s="199"/>
    </row>
    <row r="10707" spans="1:1" s="200" customFormat="1" ht="12" hidden="1" customHeight="1">
      <c r="A10707" s="199"/>
    </row>
    <row r="10708" spans="1:1" s="200" customFormat="1" ht="12" hidden="1" customHeight="1">
      <c r="A10708" s="199"/>
    </row>
    <row r="10709" spans="1:1" s="200" customFormat="1" ht="12" hidden="1" customHeight="1">
      <c r="A10709" s="199"/>
    </row>
    <row r="10710" spans="1:1" s="200" customFormat="1" ht="12" hidden="1" customHeight="1">
      <c r="A10710" s="199"/>
    </row>
    <row r="10711" spans="1:1" s="200" customFormat="1" ht="12" hidden="1" customHeight="1">
      <c r="A10711" s="199"/>
    </row>
    <row r="10712" spans="1:1" s="200" customFormat="1" ht="12" hidden="1" customHeight="1">
      <c r="A10712" s="199"/>
    </row>
    <row r="10713" spans="1:1" s="200" customFormat="1" ht="12" hidden="1" customHeight="1">
      <c r="A10713" s="199"/>
    </row>
    <row r="10714" spans="1:1" s="200" customFormat="1" ht="12" hidden="1" customHeight="1">
      <c r="A10714" s="199"/>
    </row>
    <row r="10715" spans="1:1" s="200" customFormat="1" ht="12" hidden="1" customHeight="1">
      <c r="A10715" s="199"/>
    </row>
    <row r="10716" spans="1:1" s="200" customFormat="1" ht="12" hidden="1" customHeight="1">
      <c r="A10716" s="199"/>
    </row>
    <row r="10717" spans="1:1" s="200" customFormat="1" ht="12" hidden="1" customHeight="1">
      <c r="A10717" s="199"/>
    </row>
    <row r="10718" spans="1:1" s="200" customFormat="1" ht="12" hidden="1" customHeight="1">
      <c r="A10718" s="199"/>
    </row>
    <row r="10719" spans="1:1" s="200" customFormat="1" ht="12" hidden="1" customHeight="1">
      <c r="A10719" s="199"/>
    </row>
    <row r="10720" spans="1:1" s="200" customFormat="1" ht="12" hidden="1" customHeight="1">
      <c r="A10720" s="199"/>
    </row>
    <row r="10721" spans="1:1" s="200" customFormat="1" ht="12" hidden="1" customHeight="1">
      <c r="A10721" s="199"/>
    </row>
    <row r="10722" spans="1:1" s="200" customFormat="1" ht="12" hidden="1" customHeight="1">
      <c r="A10722" s="199"/>
    </row>
    <row r="10723" spans="1:1" s="200" customFormat="1" ht="12" hidden="1" customHeight="1">
      <c r="A10723" s="199"/>
    </row>
    <row r="10724" spans="1:1" s="200" customFormat="1" ht="12" hidden="1" customHeight="1">
      <c r="A10724" s="199"/>
    </row>
    <row r="10725" spans="1:1" s="200" customFormat="1" ht="12" hidden="1" customHeight="1">
      <c r="A10725" s="199"/>
    </row>
    <row r="10726" spans="1:1" s="200" customFormat="1" ht="12" hidden="1" customHeight="1">
      <c r="A10726" s="199"/>
    </row>
    <row r="10727" spans="1:1" s="200" customFormat="1" ht="12" hidden="1" customHeight="1">
      <c r="A10727" s="199"/>
    </row>
    <row r="10728" spans="1:1" s="200" customFormat="1" ht="12" hidden="1" customHeight="1">
      <c r="A10728" s="199"/>
    </row>
    <row r="10729" spans="1:1" s="200" customFormat="1" ht="12" hidden="1" customHeight="1">
      <c r="A10729" s="199"/>
    </row>
    <row r="10730" spans="1:1" s="200" customFormat="1" ht="12" hidden="1" customHeight="1">
      <c r="A10730" s="199"/>
    </row>
    <row r="10731" spans="1:1" s="200" customFormat="1" ht="12" hidden="1" customHeight="1">
      <c r="A10731" s="199"/>
    </row>
    <row r="10732" spans="1:1" s="200" customFormat="1" ht="12" hidden="1" customHeight="1">
      <c r="A10732" s="199"/>
    </row>
    <row r="10733" spans="1:1" s="200" customFormat="1" ht="12" hidden="1" customHeight="1">
      <c r="A10733" s="199"/>
    </row>
    <row r="10734" spans="1:1" s="200" customFormat="1" ht="12" hidden="1" customHeight="1">
      <c r="A10734" s="199"/>
    </row>
    <row r="10735" spans="1:1" s="200" customFormat="1" ht="12" hidden="1" customHeight="1">
      <c r="A10735" s="199"/>
    </row>
    <row r="10736" spans="1:1" s="200" customFormat="1" ht="12" hidden="1" customHeight="1">
      <c r="A10736" s="199"/>
    </row>
    <row r="10737" spans="1:1" s="200" customFormat="1" ht="12" hidden="1" customHeight="1">
      <c r="A10737" s="199"/>
    </row>
    <row r="10738" spans="1:1" s="200" customFormat="1" ht="12" hidden="1" customHeight="1">
      <c r="A10738" s="199"/>
    </row>
    <row r="10739" spans="1:1" s="200" customFormat="1" ht="12" hidden="1" customHeight="1">
      <c r="A10739" s="199"/>
    </row>
    <row r="10740" spans="1:1" s="200" customFormat="1" ht="12" hidden="1" customHeight="1">
      <c r="A10740" s="199"/>
    </row>
    <row r="10741" spans="1:1" s="200" customFormat="1" ht="12" hidden="1" customHeight="1">
      <c r="A10741" s="199"/>
    </row>
    <row r="10742" spans="1:1" s="200" customFormat="1" ht="12" hidden="1" customHeight="1">
      <c r="A10742" s="199"/>
    </row>
    <row r="10743" spans="1:1" s="200" customFormat="1" ht="12" hidden="1" customHeight="1">
      <c r="A10743" s="199"/>
    </row>
    <row r="10744" spans="1:1" s="200" customFormat="1" ht="12" hidden="1" customHeight="1">
      <c r="A10744" s="199"/>
    </row>
    <row r="10745" spans="1:1" s="200" customFormat="1" ht="12" hidden="1" customHeight="1">
      <c r="A10745" s="199"/>
    </row>
    <row r="10746" spans="1:1" s="200" customFormat="1" ht="12" hidden="1" customHeight="1">
      <c r="A10746" s="199"/>
    </row>
    <row r="10747" spans="1:1" s="200" customFormat="1" ht="12" hidden="1" customHeight="1">
      <c r="A10747" s="199"/>
    </row>
    <row r="10748" spans="1:1" s="200" customFormat="1" ht="12" hidden="1" customHeight="1">
      <c r="A10748" s="199"/>
    </row>
    <row r="10749" spans="1:1" s="200" customFormat="1" ht="12" hidden="1" customHeight="1">
      <c r="A10749" s="199"/>
    </row>
    <row r="10750" spans="1:1" s="200" customFormat="1" ht="12" hidden="1" customHeight="1">
      <c r="A10750" s="199"/>
    </row>
    <row r="10751" spans="1:1" s="200" customFormat="1" ht="12" hidden="1" customHeight="1">
      <c r="A10751" s="199"/>
    </row>
    <row r="10752" spans="1:1" s="200" customFormat="1" ht="12" hidden="1" customHeight="1">
      <c r="A10752" s="199"/>
    </row>
    <row r="10753" spans="1:1" s="200" customFormat="1" ht="12" hidden="1" customHeight="1">
      <c r="A10753" s="199"/>
    </row>
    <row r="10754" spans="1:1" s="200" customFormat="1" ht="12" hidden="1" customHeight="1">
      <c r="A10754" s="199"/>
    </row>
    <row r="10755" spans="1:1" s="200" customFormat="1" ht="12" hidden="1" customHeight="1">
      <c r="A10755" s="199"/>
    </row>
    <row r="10756" spans="1:1" s="200" customFormat="1" ht="12" hidden="1" customHeight="1">
      <c r="A10756" s="199"/>
    </row>
    <row r="10757" spans="1:1" s="200" customFormat="1" ht="12" hidden="1" customHeight="1">
      <c r="A10757" s="199"/>
    </row>
    <row r="10758" spans="1:1" s="200" customFormat="1" ht="12" hidden="1" customHeight="1">
      <c r="A10758" s="199"/>
    </row>
    <row r="10759" spans="1:1" s="200" customFormat="1" ht="12" hidden="1" customHeight="1">
      <c r="A10759" s="199"/>
    </row>
    <row r="10760" spans="1:1" s="200" customFormat="1" ht="12" hidden="1" customHeight="1">
      <c r="A10760" s="199"/>
    </row>
    <row r="10761" spans="1:1" s="200" customFormat="1" ht="12" hidden="1" customHeight="1">
      <c r="A10761" s="199"/>
    </row>
    <row r="10762" spans="1:1" s="200" customFormat="1" ht="12" hidden="1" customHeight="1">
      <c r="A10762" s="199"/>
    </row>
    <row r="10763" spans="1:1" s="200" customFormat="1" ht="12" hidden="1" customHeight="1">
      <c r="A10763" s="199"/>
    </row>
    <row r="10764" spans="1:1" s="200" customFormat="1" ht="12" hidden="1" customHeight="1">
      <c r="A10764" s="199"/>
    </row>
    <row r="10765" spans="1:1" s="200" customFormat="1" ht="12" hidden="1" customHeight="1">
      <c r="A10765" s="199"/>
    </row>
    <row r="10766" spans="1:1" s="200" customFormat="1" ht="12" hidden="1" customHeight="1">
      <c r="A10766" s="199"/>
    </row>
    <row r="10767" spans="1:1" s="200" customFormat="1" ht="12" hidden="1" customHeight="1">
      <c r="A10767" s="199"/>
    </row>
    <row r="10768" spans="1:1" s="200" customFormat="1" ht="12" hidden="1" customHeight="1">
      <c r="A10768" s="199"/>
    </row>
    <row r="10769" spans="1:1" s="200" customFormat="1" ht="12" hidden="1" customHeight="1">
      <c r="A10769" s="199"/>
    </row>
    <row r="10770" spans="1:1" s="200" customFormat="1" ht="12" hidden="1" customHeight="1">
      <c r="A10770" s="199"/>
    </row>
    <row r="10771" spans="1:1" s="200" customFormat="1" ht="12" hidden="1" customHeight="1">
      <c r="A10771" s="199"/>
    </row>
    <row r="10772" spans="1:1" s="200" customFormat="1" ht="12" hidden="1" customHeight="1">
      <c r="A10772" s="199"/>
    </row>
    <row r="10773" spans="1:1" s="200" customFormat="1" ht="12" hidden="1" customHeight="1">
      <c r="A10773" s="199"/>
    </row>
    <row r="10774" spans="1:1" s="200" customFormat="1" ht="12" hidden="1" customHeight="1">
      <c r="A10774" s="199"/>
    </row>
    <row r="10775" spans="1:1" s="200" customFormat="1" ht="12" hidden="1" customHeight="1">
      <c r="A10775" s="199"/>
    </row>
    <row r="10776" spans="1:1" s="200" customFormat="1" ht="12" hidden="1" customHeight="1">
      <c r="A10776" s="199"/>
    </row>
    <row r="10777" spans="1:1" s="200" customFormat="1" ht="12" hidden="1" customHeight="1">
      <c r="A10777" s="199"/>
    </row>
    <row r="10778" spans="1:1" s="200" customFormat="1" ht="12" hidden="1" customHeight="1">
      <c r="A10778" s="199"/>
    </row>
    <row r="10779" spans="1:1" s="200" customFormat="1" ht="12" hidden="1" customHeight="1">
      <c r="A10779" s="199"/>
    </row>
    <row r="10780" spans="1:1" s="200" customFormat="1" ht="12" hidden="1" customHeight="1">
      <c r="A10780" s="199"/>
    </row>
    <row r="10781" spans="1:1" s="200" customFormat="1" ht="12" hidden="1" customHeight="1">
      <c r="A10781" s="199"/>
    </row>
    <row r="10782" spans="1:1" s="200" customFormat="1" ht="12" hidden="1" customHeight="1">
      <c r="A10782" s="199"/>
    </row>
    <row r="10783" spans="1:1" s="200" customFormat="1" ht="12" hidden="1" customHeight="1">
      <c r="A10783" s="199"/>
    </row>
    <row r="10784" spans="1:1" s="200" customFormat="1" ht="12" hidden="1" customHeight="1">
      <c r="A10784" s="199"/>
    </row>
    <row r="10785" spans="1:1" s="200" customFormat="1" ht="12" hidden="1" customHeight="1">
      <c r="A10785" s="199"/>
    </row>
    <row r="10786" spans="1:1" s="200" customFormat="1" ht="12" hidden="1" customHeight="1">
      <c r="A10786" s="199"/>
    </row>
    <row r="10787" spans="1:1" s="200" customFormat="1" ht="12" hidden="1" customHeight="1">
      <c r="A10787" s="199"/>
    </row>
    <row r="10788" spans="1:1" s="200" customFormat="1" ht="12" hidden="1" customHeight="1">
      <c r="A10788" s="199"/>
    </row>
    <row r="10789" spans="1:1" s="200" customFormat="1" ht="12" hidden="1" customHeight="1">
      <c r="A10789" s="199"/>
    </row>
    <row r="10790" spans="1:1" s="200" customFormat="1" ht="12" hidden="1" customHeight="1">
      <c r="A10790" s="199"/>
    </row>
    <row r="10791" spans="1:1" s="200" customFormat="1" ht="12" hidden="1" customHeight="1">
      <c r="A10791" s="199"/>
    </row>
    <row r="10792" spans="1:1" s="200" customFormat="1" ht="12" hidden="1" customHeight="1">
      <c r="A10792" s="199"/>
    </row>
    <row r="10793" spans="1:1" s="200" customFormat="1" ht="12" hidden="1" customHeight="1">
      <c r="A10793" s="199"/>
    </row>
    <row r="10794" spans="1:1" s="200" customFormat="1" ht="12" hidden="1" customHeight="1">
      <c r="A10794" s="199"/>
    </row>
    <row r="10795" spans="1:1" s="200" customFormat="1" ht="12" hidden="1" customHeight="1">
      <c r="A10795" s="199"/>
    </row>
    <row r="10796" spans="1:1" s="200" customFormat="1" ht="12" hidden="1" customHeight="1">
      <c r="A10796" s="199"/>
    </row>
    <row r="10797" spans="1:1" s="200" customFormat="1" ht="12" hidden="1" customHeight="1">
      <c r="A10797" s="199"/>
    </row>
    <row r="10798" spans="1:1" s="200" customFormat="1" ht="12" hidden="1" customHeight="1">
      <c r="A10798" s="199"/>
    </row>
    <row r="10799" spans="1:1" s="200" customFormat="1" ht="12" hidden="1" customHeight="1">
      <c r="A10799" s="199"/>
    </row>
    <row r="10800" spans="1:1" s="200" customFormat="1" ht="12" hidden="1" customHeight="1">
      <c r="A10800" s="199"/>
    </row>
    <row r="10801" spans="1:1" s="200" customFormat="1" ht="12" hidden="1" customHeight="1">
      <c r="A10801" s="199"/>
    </row>
    <row r="10802" spans="1:1" s="200" customFormat="1" ht="12" hidden="1" customHeight="1">
      <c r="A10802" s="199"/>
    </row>
    <row r="10803" spans="1:1" s="200" customFormat="1" ht="12" hidden="1" customHeight="1">
      <c r="A10803" s="199"/>
    </row>
    <row r="10804" spans="1:1" s="200" customFormat="1" ht="12" hidden="1" customHeight="1">
      <c r="A10804" s="199"/>
    </row>
    <row r="10805" spans="1:1" s="200" customFormat="1" ht="12" hidden="1" customHeight="1">
      <c r="A10805" s="199"/>
    </row>
    <row r="10806" spans="1:1" s="200" customFormat="1" ht="12" hidden="1" customHeight="1">
      <c r="A10806" s="199"/>
    </row>
    <row r="10807" spans="1:1" s="200" customFormat="1" ht="12" hidden="1" customHeight="1">
      <c r="A10807" s="199"/>
    </row>
    <row r="10808" spans="1:1" s="200" customFormat="1" ht="12" hidden="1" customHeight="1">
      <c r="A10808" s="199"/>
    </row>
    <row r="10809" spans="1:1" s="200" customFormat="1" ht="12" hidden="1" customHeight="1">
      <c r="A10809" s="199"/>
    </row>
    <row r="10810" spans="1:1" s="200" customFormat="1" ht="12" hidden="1" customHeight="1">
      <c r="A10810" s="199"/>
    </row>
    <row r="10811" spans="1:1" s="200" customFormat="1" ht="12" hidden="1" customHeight="1">
      <c r="A10811" s="199"/>
    </row>
    <row r="10812" spans="1:1" s="200" customFormat="1" ht="12" hidden="1" customHeight="1">
      <c r="A10812" s="199"/>
    </row>
    <row r="10813" spans="1:1" s="200" customFormat="1" ht="12" hidden="1" customHeight="1">
      <c r="A10813" s="199"/>
    </row>
    <row r="10814" spans="1:1" s="200" customFormat="1" ht="12" hidden="1" customHeight="1">
      <c r="A10814" s="199"/>
    </row>
    <row r="10815" spans="1:1" s="200" customFormat="1" ht="12" hidden="1" customHeight="1">
      <c r="A10815" s="199"/>
    </row>
    <row r="10816" spans="1:1" s="200" customFormat="1" ht="12" hidden="1" customHeight="1">
      <c r="A10816" s="199"/>
    </row>
    <row r="10817" spans="1:1" s="200" customFormat="1" ht="12" hidden="1" customHeight="1">
      <c r="A10817" s="199"/>
    </row>
    <row r="10818" spans="1:1" s="200" customFormat="1" ht="12" hidden="1" customHeight="1">
      <c r="A10818" s="199"/>
    </row>
    <row r="10819" spans="1:1" s="200" customFormat="1" ht="12" hidden="1" customHeight="1">
      <c r="A10819" s="199"/>
    </row>
    <row r="10820" spans="1:1" s="200" customFormat="1" ht="12" hidden="1" customHeight="1">
      <c r="A10820" s="199"/>
    </row>
    <row r="10821" spans="1:1" s="200" customFormat="1" ht="12" hidden="1" customHeight="1">
      <c r="A10821" s="199"/>
    </row>
    <row r="10822" spans="1:1" s="200" customFormat="1" ht="12" hidden="1" customHeight="1">
      <c r="A10822" s="199"/>
    </row>
    <row r="10823" spans="1:1" s="200" customFormat="1" ht="12" hidden="1" customHeight="1">
      <c r="A10823" s="199"/>
    </row>
    <row r="10824" spans="1:1" s="200" customFormat="1" ht="12" hidden="1" customHeight="1">
      <c r="A10824" s="199"/>
    </row>
    <row r="10825" spans="1:1" s="200" customFormat="1" ht="12" hidden="1" customHeight="1">
      <c r="A10825" s="199"/>
    </row>
    <row r="10826" spans="1:1" s="200" customFormat="1" ht="12" hidden="1" customHeight="1">
      <c r="A10826" s="199"/>
    </row>
    <row r="10827" spans="1:1" s="200" customFormat="1" ht="12" hidden="1" customHeight="1">
      <c r="A10827" s="199"/>
    </row>
    <row r="10828" spans="1:1" s="200" customFormat="1" ht="12" hidden="1" customHeight="1">
      <c r="A10828" s="199"/>
    </row>
    <row r="10829" spans="1:1" s="200" customFormat="1" ht="12" hidden="1" customHeight="1">
      <c r="A10829" s="199"/>
    </row>
    <row r="10830" spans="1:1" s="200" customFormat="1" ht="12" hidden="1" customHeight="1">
      <c r="A10830" s="199"/>
    </row>
    <row r="10831" spans="1:1" s="200" customFormat="1" ht="12" hidden="1" customHeight="1">
      <c r="A10831" s="199"/>
    </row>
    <row r="10832" spans="1:1" s="200" customFormat="1" ht="12" hidden="1" customHeight="1">
      <c r="A10832" s="199"/>
    </row>
    <row r="10833" spans="1:1" s="200" customFormat="1" ht="12" hidden="1" customHeight="1">
      <c r="A10833" s="199"/>
    </row>
    <row r="10834" spans="1:1" s="200" customFormat="1" ht="12" hidden="1" customHeight="1">
      <c r="A10834" s="199"/>
    </row>
    <row r="10835" spans="1:1" s="200" customFormat="1" ht="12" hidden="1" customHeight="1">
      <c r="A10835" s="199"/>
    </row>
    <row r="10836" spans="1:1" s="200" customFormat="1" ht="12" hidden="1" customHeight="1">
      <c r="A10836" s="199"/>
    </row>
    <row r="10837" spans="1:1" s="200" customFormat="1" ht="12" hidden="1" customHeight="1">
      <c r="A10837" s="199"/>
    </row>
    <row r="10838" spans="1:1" s="200" customFormat="1" ht="12" hidden="1" customHeight="1">
      <c r="A10838" s="199"/>
    </row>
    <row r="10839" spans="1:1" s="200" customFormat="1" ht="12" hidden="1" customHeight="1">
      <c r="A10839" s="199"/>
    </row>
    <row r="10840" spans="1:1" s="200" customFormat="1" ht="12" hidden="1" customHeight="1">
      <c r="A10840" s="199"/>
    </row>
    <row r="10841" spans="1:1" s="200" customFormat="1" ht="12" hidden="1" customHeight="1">
      <c r="A10841" s="199"/>
    </row>
    <row r="10842" spans="1:1" s="200" customFormat="1" ht="12" hidden="1" customHeight="1">
      <c r="A10842" s="199"/>
    </row>
    <row r="10843" spans="1:1" s="200" customFormat="1" ht="12" hidden="1" customHeight="1">
      <c r="A10843" s="199"/>
    </row>
    <row r="10844" spans="1:1" s="200" customFormat="1" ht="12" hidden="1" customHeight="1">
      <c r="A10844" s="199"/>
    </row>
    <row r="10845" spans="1:1" s="200" customFormat="1" ht="12" hidden="1" customHeight="1">
      <c r="A10845" s="199"/>
    </row>
    <row r="10846" spans="1:1" s="200" customFormat="1" ht="12" hidden="1" customHeight="1">
      <c r="A10846" s="199"/>
    </row>
    <row r="10847" spans="1:1" s="200" customFormat="1" ht="12" hidden="1" customHeight="1">
      <c r="A10847" s="199"/>
    </row>
    <row r="10848" spans="1:1" s="200" customFormat="1" ht="12" hidden="1" customHeight="1">
      <c r="A10848" s="199"/>
    </row>
    <row r="10849" spans="1:1" s="200" customFormat="1" ht="12" hidden="1" customHeight="1">
      <c r="A10849" s="199"/>
    </row>
    <row r="10850" spans="1:1" s="200" customFormat="1" ht="12" hidden="1" customHeight="1">
      <c r="A10850" s="199"/>
    </row>
    <row r="10851" spans="1:1" s="200" customFormat="1" ht="12" hidden="1" customHeight="1">
      <c r="A10851" s="199"/>
    </row>
    <row r="10852" spans="1:1" s="200" customFormat="1" ht="12" hidden="1" customHeight="1">
      <c r="A10852" s="199"/>
    </row>
    <row r="10853" spans="1:1" s="200" customFormat="1" ht="12" hidden="1" customHeight="1">
      <c r="A10853" s="199"/>
    </row>
    <row r="10854" spans="1:1" s="200" customFormat="1" ht="12" hidden="1" customHeight="1">
      <c r="A10854" s="199"/>
    </row>
    <row r="10855" spans="1:1" s="200" customFormat="1" ht="12" hidden="1" customHeight="1">
      <c r="A10855" s="199"/>
    </row>
    <row r="10856" spans="1:1" s="200" customFormat="1" ht="12" hidden="1" customHeight="1">
      <c r="A10856" s="199"/>
    </row>
    <row r="10857" spans="1:1" s="200" customFormat="1" ht="12" hidden="1" customHeight="1">
      <c r="A10857" s="199"/>
    </row>
    <row r="10858" spans="1:1" s="200" customFormat="1" ht="12" hidden="1" customHeight="1">
      <c r="A10858" s="199"/>
    </row>
    <row r="10859" spans="1:1" s="200" customFormat="1" ht="12" hidden="1" customHeight="1">
      <c r="A10859" s="199"/>
    </row>
    <row r="10860" spans="1:1" s="200" customFormat="1" ht="12" hidden="1" customHeight="1">
      <c r="A10860" s="199"/>
    </row>
    <row r="10861" spans="1:1" s="200" customFormat="1" ht="12" hidden="1" customHeight="1">
      <c r="A10861" s="199"/>
    </row>
    <row r="10862" spans="1:1" s="200" customFormat="1" ht="12" hidden="1" customHeight="1">
      <c r="A10862" s="199"/>
    </row>
    <row r="10863" spans="1:1" s="200" customFormat="1" ht="12" hidden="1" customHeight="1">
      <c r="A10863" s="199"/>
    </row>
    <row r="10864" spans="1:1" s="200" customFormat="1" ht="12" hidden="1" customHeight="1">
      <c r="A10864" s="199"/>
    </row>
    <row r="10865" spans="1:1" s="200" customFormat="1" ht="12" hidden="1" customHeight="1">
      <c r="A10865" s="199"/>
    </row>
    <row r="10866" spans="1:1" s="200" customFormat="1" ht="12" hidden="1" customHeight="1">
      <c r="A10866" s="199"/>
    </row>
    <row r="10867" spans="1:1" s="200" customFormat="1" ht="12" hidden="1" customHeight="1">
      <c r="A10867" s="199"/>
    </row>
    <row r="10868" spans="1:1" s="200" customFormat="1" ht="12" hidden="1" customHeight="1">
      <c r="A10868" s="199"/>
    </row>
    <row r="10869" spans="1:1" s="200" customFormat="1" ht="12" hidden="1" customHeight="1">
      <c r="A10869" s="199"/>
    </row>
    <row r="10870" spans="1:1" s="200" customFormat="1" ht="12" hidden="1" customHeight="1">
      <c r="A10870" s="199"/>
    </row>
    <row r="10871" spans="1:1" s="200" customFormat="1" ht="12" hidden="1" customHeight="1">
      <c r="A10871" s="199"/>
    </row>
    <row r="10872" spans="1:1" s="200" customFormat="1" ht="12" hidden="1" customHeight="1">
      <c r="A10872" s="199"/>
    </row>
    <row r="10873" spans="1:1" s="200" customFormat="1" ht="12" hidden="1" customHeight="1">
      <c r="A10873" s="199"/>
    </row>
    <row r="10874" spans="1:1" s="200" customFormat="1" ht="12" hidden="1" customHeight="1">
      <c r="A10874" s="199"/>
    </row>
    <row r="10875" spans="1:1" s="200" customFormat="1" ht="12" hidden="1" customHeight="1">
      <c r="A10875" s="199"/>
    </row>
    <row r="10876" spans="1:1" s="200" customFormat="1" ht="12" hidden="1" customHeight="1">
      <c r="A10876" s="199"/>
    </row>
    <row r="10877" spans="1:1" s="200" customFormat="1" ht="12" hidden="1" customHeight="1">
      <c r="A10877" s="199"/>
    </row>
    <row r="10878" spans="1:1" s="200" customFormat="1" ht="12" hidden="1" customHeight="1">
      <c r="A10878" s="199"/>
    </row>
    <row r="10879" spans="1:1" s="200" customFormat="1" ht="12" hidden="1" customHeight="1">
      <c r="A10879" s="199"/>
    </row>
    <row r="10880" spans="1:1" s="200" customFormat="1" ht="12" hidden="1" customHeight="1">
      <c r="A10880" s="199"/>
    </row>
    <row r="10881" spans="1:1" s="200" customFormat="1" ht="12" hidden="1" customHeight="1">
      <c r="A10881" s="199"/>
    </row>
    <row r="10882" spans="1:1" s="200" customFormat="1" ht="12" hidden="1" customHeight="1">
      <c r="A10882" s="199"/>
    </row>
    <row r="10883" spans="1:1" s="200" customFormat="1" ht="12" hidden="1" customHeight="1">
      <c r="A10883" s="199"/>
    </row>
    <row r="10884" spans="1:1" s="200" customFormat="1" ht="12" hidden="1" customHeight="1">
      <c r="A10884" s="199"/>
    </row>
    <row r="10885" spans="1:1" s="200" customFormat="1" ht="12" hidden="1" customHeight="1">
      <c r="A10885" s="199"/>
    </row>
    <row r="10886" spans="1:1" s="200" customFormat="1" ht="12" hidden="1" customHeight="1">
      <c r="A10886" s="199"/>
    </row>
    <row r="10887" spans="1:1" s="200" customFormat="1" ht="12" hidden="1" customHeight="1">
      <c r="A10887" s="199"/>
    </row>
    <row r="10888" spans="1:1" s="200" customFormat="1" ht="12" hidden="1" customHeight="1">
      <c r="A10888" s="199"/>
    </row>
    <row r="10889" spans="1:1" s="200" customFormat="1" ht="12" hidden="1" customHeight="1">
      <c r="A10889" s="199"/>
    </row>
    <row r="10890" spans="1:1" s="200" customFormat="1" ht="12" hidden="1" customHeight="1">
      <c r="A10890" s="199"/>
    </row>
    <row r="10891" spans="1:1" s="200" customFormat="1" ht="12" hidden="1" customHeight="1">
      <c r="A10891" s="199"/>
    </row>
    <row r="10892" spans="1:1" s="200" customFormat="1" ht="12" hidden="1" customHeight="1">
      <c r="A10892" s="199"/>
    </row>
    <row r="10893" spans="1:1" s="200" customFormat="1" ht="12" hidden="1" customHeight="1">
      <c r="A10893" s="199"/>
    </row>
    <row r="10894" spans="1:1" s="200" customFormat="1" ht="12" hidden="1" customHeight="1">
      <c r="A10894" s="199"/>
    </row>
    <row r="10895" spans="1:1" s="200" customFormat="1" ht="12" hidden="1" customHeight="1">
      <c r="A10895" s="199"/>
    </row>
    <row r="10896" spans="1:1" s="200" customFormat="1" ht="12" hidden="1" customHeight="1">
      <c r="A10896" s="199"/>
    </row>
    <row r="10897" spans="1:1" s="200" customFormat="1" ht="12" hidden="1" customHeight="1">
      <c r="A10897" s="199"/>
    </row>
    <row r="10898" spans="1:1" s="200" customFormat="1" ht="12" hidden="1" customHeight="1">
      <c r="A10898" s="199"/>
    </row>
    <row r="10899" spans="1:1" s="200" customFormat="1" ht="12" hidden="1" customHeight="1">
      <c r="A10899" s="199"/>
    </row>
    <row r="10900" spans="1:1" s="200" customFormat="1" ht="12" hidden="1" customHeight="1">
      <c r="A10900" s="199"/>
    </row>
    <row r="10901" spans="1:1" s="200" customFormat="1" ht="12" hidden="1" customHeight="1">
      <c r="A10901" s="199"/>
    </row>
    <row r="10902" spans="1:1" s="200" customFormat="1" ht="12" hidden="1" customHeight="1">
      <c r="A10902" s="199"/>
    </row>
    <row r="10903" spans="1:1" s="200" customFormat="1" ht="12" hidden="1" customHeight="1">
      <c r="A10903" s="199"/>
    </row>
    <row r="10904" spans="1:1" s="200" customFormat="1" ht="12" hidden="1" customHeight="1">
      <c r="A10904" s="199"/>
    </row>
    <row r="10905" spans="1:1" s="200" customFormat="1" ht="12" hidden="1" customHeight="1">
      <c r="A10905" s="199"/>
    </row>
    <row r="10906" spans="1:1" s="200" customFormat="1" ht="12" hidden="1" customHeight="1">
      <c r="A10906" s="199"/>
    </row>
    <row r="10907" spans="1:1" s="200" customFormat="1" ht="12" hidden="1" customHeight="1">
      <c r="A10907" s="199"/>
    </row>
    <row r="10908" spans="1:1" s="200" customFormat="1" ht="12" hidden="1" customHeight="1">
      <c r="A10908" s="199"/>
    </row>
    <row r="10909" spans="1:1" s="200" customFormat="1" ht="12" hidden="1" customHeight="1">
      <c r="A10909" s="199"/>
    </row>
    <row r="10910" spans="1:1" s="200" customFormat="1" ht="12" hidden="1" customHeight="1">
      <c r="A10910" s="199"/>
    </row>
    <row r="10911" spans="1:1" s="200" customFormat="1" ht="12" hidden="1" customHeight="1">
      <c r="A10911" s="199"/>
    </row>
    <row r="10912" spans="1:1" s="200" customFormat="1" ht="12" hidden="1" customHeight="1">
      <c r="A10912" s="199"/>
    </row>
    <row r="10913" spans="1:1" s="200" customFormat="1" ht="12" hidden="1" customHeight="1">
      <c r="A10913" s="199"/>
    </row>
    <row r="10914" spans="1:1" s="200" customFormat="1" ht="12" hidden="1" customHeight="1">
      <c r="A10914" s="199"/>
    </row>
    <row r="10915" spans="1:1" s="200" customFormat="1" ht="12" hidden="1" customHeight="1">
      <c r="A10915" s="199"/>
    </row>
    <row r="10916" spans="1:1" s="200" customFormat="1" ht="12" hidden="1" customHeight="1">
      <c r="A10916" s="199"/>
    </row>
    <row r="10917" spans="1:1" s="200" customFormat="1" ht="12" hidden="1" customHeight="1">
      <c r="A10917" s="199"/>
    </row>
    <row r="10918" spans="1:1" s="200" customFormat="1" ht="12" hidden="1" customHeight="1">
      <c r="A10918" s="199"/>
    </row>
    <row r="10919" spans="1:1" s="200" customFormat="1" ht="12" hidden="1" customHeight="1">
      <c r="A10919" s="199"/>
    </row>
    <row r="10920" spans="1:1" s="200" customFormat="1" ht="12" hidden="1" customHeight="1">
      <c r="A10920" s="199"/>
    </row>
    <row r="10921" spans="1:1" s="200" customFormat="1" ht="12" hidden="1" customHeight="1">
      <c r="A10921" s="199"/>
    </row>
    <row r="10922" spans="1:1" s="200" customFormat="1" ht="12" hidden="1" customHeight="1">
      <c r="A10922" s="199"/>
    </row>
    <row r="10923" spans="1:1" s="200" customFormat="1" ht="12" hidden="1" customHeight="1">
      <c r="A10923" s="199"/>
    </row>
    <row r="10924" spans="1:1" s="200" customFormat="1" ht="12" hidden="1" customHeight="1">
      <c r="A10924" s="199"/>
    </row>
    <row r="10925" spans="1:1" s="200" customFormat="1" ht="12" hidden="1" customHeight="1">
      <c r="A10925" s="199"/>
    </row>
    <row r="10926" spans="1:1" s="200" customFormat="1" ht="12" hidden="1" customHeight="1">
      <c r="A10926" s="199"/>
    </row>
    <row r="10927" spans="1:1" s="200" customFormat="1" ht="12" hidden="1" customHeight="1">
      <c r="A10927" s="199"/>
    </row>
    <row r="10928" spans="1:1" s="200" customFormat="1" ht="12" hidden="1" customHeight="1">
      <c r="A10928" s="199"/>
    </row>
    <row r="10929" spans="1:1" s="200" customFormat="1" ht="12" hidden="1" customHeight="1">
      <c r="A10929" s="199"/>
    </row>
    <row r="10930" spans="1:1" s="200" customFormat="1" ht="12" hidden="1" customHeight="1">
      <c r="A10930" s="199"/>
    </row>
    <row r="10931" spans="1:1" s="200" customFormat="1" ht="12" hidden="1" customHeight="1">
      <c r="A10931" s="199"/>
    </row>
    <row r="10932" spans="1:1" s="200" customFormat="1" ht="12" hidden="1" customHeight="1">
      <c r="A10932" s="199"/>
    </row>
    <row r="10933" spans="1:1" s="200" customFormat="1" ht="12" hidden="1" customHeight="1">
      <c r="A10933" s="199"/>
    </row>
    <row r="10934" spans="1:1" s="200" customFormat="1" ht="12" hidden="1" customHeight="1">
      <c r="A10934" s="199"/>
    </row>
    <row r="10935" spans="1:1" s="200" customFormat="1" ht="12" hidden="1" customHeight="1">
      <c r="A10935" s="199"/>
    </row>
    <row r="10936" spans="1:1" s="200" customFormat="1" ht="12" hidden="1" customHeight="1">
      <c r="A10936" s="199"/>
    </row>
    <row r="10937" spans="1:1" s="200" customFormat="1" ht="12" hidden="1" customHeight="1">
      <c r="A10937" s="199"/>
    </row>
    <row r="10938" spans="1:1" s="200" customFormat="1" ht="12" hidden="1" customHeight="1">
      <c r="A10938" s="199"/>
    </row>
    <row r="10939" spans="1:1" s="200" customFormat="1" ht="12" hidden="1" customHeight="1">
      <c r="A10939" s="199"/>
    </row>
    <row r="10940" spans="1:1" s="200" customFormat="1" ht="12" hidden="1" customHeight="1">
      <c r="A10940" s="199"/>
    </row>
    <row r="10941" spans="1:1" s="200" customFormat="1" ht="12" hidden="1" customHeight="1">
      <c r="A10941" s="199"/>
    </row>
    <row r="10942" spans="1:1" s="200" customFormat="1" ht="12" hidden="1" customHeight="1">
      <c r="A10942" s="199"/>
    </row>
    <row r="10943" spans="1:1" s="200" customFormat="1" ht="12" hidden="1" customHeight="1">
      <c r="A10943" s="199"/>
    </row>
    <row r="10944" spans="1:1" s="200" customFormat="1" ht="12" hidden="1" customHeight="1">
      <c r="A10944" s="199"/>
    </row>
    <row r="10945" spans="1:1" s="200" customFormat="1" ht="12" hidden="1" customHeight="1">
      <c r="A10945" s="199"/>
    </row>
    <row r="10946" spans="1:1" s="200" customFormat="1" ht="12" hidden="1" customHeight="1">
      <c r="A10946" s="199"/>
    </row>
    <row r="10947" spans="1:1" s="200" customFormat="1" ht="12" hidden="1" customHeight="1">
      <c r="A10947" s="199"/>
    </row>
    <row r="10948" spans="1:1" s="200" customFormat="1" ht="12" hidden="1" customHeight="1">
      <c r="A10948" s="199"/>
    </row>
    <row r="10949" spans="1:1" s="200" customFormat="1" ht="12" hidden="1" customHeight="1">
      <c r="A10949" s="199"/>
    </row>
    <row r="10950" spans="1:1" s="200" customFormat="1" ht="12" hidden="1" customHeight="1">
      <c r="A10950" s="199"/>
    </row>
    <row r="10951" spans="1:1" s="200" customFormat="1" ht="12" hidden="1" customHeight="1">
      <c r="A10951" s="199"/>
    </row>
    <row r="10952" spans="1:1" s="200" customFormat="1" ht="12" hidden="1" customHeight="1">
      <c r="A10952" s="199"/>
    </row>
    <row r="10953" spans="1:1" s="200" customFormat="1" ht="12" hidden="1" customHeight="1">
      <c r="A10953" s="199"/>
    </row>
    <row r="10954" spans="1:1" s="200" customFormat="1" ht="12" hidden="1" customHeight="1">
      <c r="A10954" s="199"/>
    </row>
    <row r="10955" spans="1:1" s="200" customFormat="1" ht="12" hidden="1" customHeight="1">
      <c r="A10955" s="199"/>
    </row>
    <row r="10956" spans="1:1" s="200" customFormat="1" ht="12" hidden="1" customHeight="1">
      <c r="A10956" s="199"/>
    </row>
    <row r="10957" spans="1:1" s="200" customFormat="1" ht="12" hidden="1" customHeight="1">
      <c r="A10957" s="199"/>
    </row>
    <row r="10958" spans="1:1" s="200" customFormat="1" ht="12" hidden="1" customHeight="1">
      <c r="A10958" s="199"/>
    </row>
    <row r="10959" spans="1:1" s="200" customFormat="1" ht="12" hidden="1" customHeight="1">
      <c r="A10959" s="199"/>
    </row>
    <row r="10960" spans="1:1" s="200" customFormat="1" ht="12" hidden="1" customHeight="1">
      <c r="A10960" s="199"/>
    </row>
    <row r="10961" spans="1:1" s="200" customFormat="1" ht="12" hidden="1" customHeight="1">
      <c r="A10961" s="199"/>
    </row>
    <row r="10962" spans="1:1" s="200" customFormat="1" ht="12" hidden="1" customHeight="1">
      <c r="A10962" s="199"/>
    </row>
    <row r="10963" spans="1:1" s="200" customFormat="1" ht="12" hidden="1" customHeight="1">
      <c r="A10963" s="199"/>
    </row>
    <row r="10964" spans="1:1" s="200" customFormat="1" ht="12" hidden="1" customHeight="1">
      <c r="A10964" s="199"/>
    </row>
    <row r="10965" spans="1:1" s="200" customFormat="1" ht="12" hidden="1" customHeight="1">
      <c r="A10965" s="199"/>
    </row>
    <row r="10966" spans="1:1" s="200" customFormat="1" ht="12" hidden="1" customHeight="1">
      <c r="A10966" s="199"/>
    </row>
    <row r="10967" spans="1:1" s="200" customFormat="1" ht="12" hidden="1" customHeight="1">
      <c r="A10967" s="199"/>
    </row>
    <row r="10968" spans="1:1" s="200" customFormat="1" ht="12" hidden="1" customHeight="1">
      <c r="A10968" s="199"/>
    </row>
    <row r="10969" spans="1:1" s="200" customFormat="1" ht="12" hidden="1" customHeight="1">
      <c r="A10969" s="199"/>
    </row>
    <row r="10970" spans="1:1" s="200" customFormat="1" ht="12" hidden="1" customHeight="1">
      <c r="A10970" s="199"/>
    </row>
    <row r="10971" spans="1:1" s="200" customFormat="1" ht="12" hidden="1" customHeight="1">
      <c r="A10971" s="199"/>
    </row>
    <row r="10972" spans="1:1" s="200" customFormat="1" ht="12" hidden="1" customHeight="1">
      <c r="A10972" s="199"/>
    </row>
    <row r="10973" spans="1:1" s="200" customFormat="1" ht="12" hidden="1" customHeight="1">
      <c r="A10973" s="199"/>
    </row>
    <row r="10974" spans="1:1" s="200" customFormat="1" ht="12" hidden="1" customHeight="1">
      <c r="A10974" s="199"/>
    </row>
    <row r="10975" spans="1:1" s="200" customFormat="1" ht="12" hidden="1" customHeight="1">
      <c r="A10975" s="199"/>
    </row>
    <row r="10976" spans="1:1" s="200" customFormat="1" ht="12" hidden="1" customHeight="1">
      <c r="A10976" s="199"/>
    </row>
    <row r="10977" spans="1:1" s="200" customFormat="1" ht="12" hidden="1" customHeight="1">
      <c r="A10977" s="199"/>
    </row>
    <row r="10978" spans="1:1" s="200" customFormat="1" ht="12" hidden="1" customHeight="1">
      <c r="A10978" s="199"/>
    </row>
    <row r="10979" spans="1:1" s="200" customFormat="1" ht="12" hidden="1" customHeight="1">
      <c r="A10979" s="199"/>
    </row>
    <row r="10980" spans="1:1" s="200" customFormat="1" ht="12" hidden="1" customHeight="1">
      <c r="A10980" s="199"/>
    </row>
    <row r="10981" spans="1:1" s="200" customFormat="1" ht="12" hidden="1" customHeight="1">
      <c r="A10981" s="199"/>
    </row>
    <row r="10982" spans="1:1" s="200" customFormat="1" ht="12" hidden="1" customHeight="1">
      <c r="A10982" s="199"/>
    </row>
    <row r="10983" spans="1:1" s="200" customFormat="1" ht="12" hidden="1" customHeight="1">
      <c r="A10983" s="199"/>
    </row>
    <row r="10984" spans="1:1" s="200" customFormat="1" ht="12" hidden="1" customHeight="1">
      <c r="A10984" s="199"/>
    </row>
    <row r="10985" spans="1:1" s="200" customFormat="1" ht="12" hidden="1" customHeight="1">
      <c r="A10985" s="199"/>
    </row>
    <row r="10986" spans="1:1" s="200" customFormat="1" ht="12" hidden="1" customHeight="1">
      <c r="A10986" s="199"/>
    </row>
    <row r="10987" spans="1:1" s="200" customFormat="1" ht="12" hidden="1" customHeight="1">
      <c r="A10987" s="199"/>
    </row>
    <row r="10988" spans="1:1" s="200" customFormat="1" ht="12" hidden="1" customHeight="1">
      <c r="A10988" s="199"/>
    </row>
    <row r="10989" spans="1:1" s="200" customFormat="1" ht="12" hidden="1" customHeight="1">
      <c r="A10989" s="199"/>
    </row>
    <row r="10990" spans="1:1" s="200" customFormat="1" ht="12" hidden="1" customHeight="1">
      <c r="A10990" s="199"/>
    </row>
    <row r="10991" spans="1:1" s="200" customFormat="1" ht="12" hidden="1" customHeight="1">
      <c r="A10991" s="199"/>
    </row>
    <row r="10992" spans="1:1" s="200" customFormat="1" ht="12" hidden="1" customHeight="1">
      <c r="A10992" s="199"/>
    </row>
    <row r="10993" spans="1:1" s="200" customFormat="1" ht="12" hidden="1" customHeight="1">
      <c r="A10993" s="199"/>
    </row>
    <row r="10994" spans="1:1" s="200" customFormat="1" ht="12" hidden="1" customHeight="1">
      <c r="A10994" s="199"/>
    </row>
    <row r="10995" spans="1:1" s="200" customFormat="1" ht="12" hidden="1" customHeight="1">
      <c r="A10995" s="199"/>
    </row>
    <row r="10996" spans="1:1" s="200" customFormat="1" ht="12" hidden="1" customHeight="1">
      <c r="A10996" s="199"/>
    </row>
    <row r="10997" spans="1:1" s="200" customFormat="1" ht="12" hidden="1" customHeight="1">
      <c r="A10997" s="199"/>
    </row>
    <row r="10998" spans="1:1" s="200" customFormat="1" ht="12" hidden="1" customHeight="1">
      <c r="A10998" s="199"/>
    </row>
    <row r="10999" spans="1:1" s="200" customFormat="1" ht="12" hidden="1" customHeight="1">
      <c r="A10999" s="199"/>
    </row>
    <row r="11000" spans="1:1" s="200" customFormat="1" ht="12" hidden="1" customHeight="1">
      <c r="A11000" s="199"/>
    </row>
    <row r="11001" spans="1:1" s="200" customFormat="1" ht="12" hidden="1" customHeight="1">
      <c r="A11001" s="199"/>
    </row>
    <row r="11002" spans="1:1" s="200" customFormat="1" ht="12" hidden="1" customHeight="1">
      <c r="A11002" s="199"/>
    </row>
    <row r="11003" spans="1:1" s="200" customFormat="1" ht="12" hidden="1" customHeight="1">
      <c r="A11003" s="199"/>
    </row>
    <row r="11004" spans="1:1" s="200" customFormat="1" ht="12" hidden="1" customHeight="1">
      <c r="A11004" s="199"/>
    </row>
    <row r="11005" spans="1:1" s="200" customFormat="1" ht="12" hidden="1" customHeight="1">
      <c r="A11005" s="199"/>
    </row>
    <row r="11006" spans="1:1" s="200" customFormat="1" ht="12" hidden="1" customHeight="1">
      <c r="A11006" s="199"/>
    </row>
    <row r="11007" spans="1:1" s="200" customFormat="1" ht="12" hidden="1" customHeight="1">
      <c r="A11007" s="199"/>
    </row>
    <row r="11008" spans="1:1" s="200" customFormat="1" ht="12" hidden="1" customHeight="1">
      <c r="A11008" s="199"/>
    </row>
    <row r="11009" spans="1:1" s="200" customFormat="1" ht="12" hidden="1" customHeight="1">
      <c r="A11009" s="199"/>
    </row>
    <row r="11010" spans="1:1" s="200" customFormat="1" ht="12" hidden="1" customHeight="1">
      <c r="A11010" s="199"/>
    </row>
    <row r="11011" spans="1:1" s="200" customFormat="1" ht="12" hidden="1" customHeight="1">
      <c r="A11011" s="199"/>
    </row>
    <row r="11012" spans="1:1" s="200" customFormat="1" ht="12" hidden="1" customHeight="1">
      <c r="A11012" s="199"/>
    </row>
    <row r="11013" spans="1:1" s="200" customFormat="1" ht="12" hidden="1" customHeight="1">
      <c r="A11013" s="199"/>
    </row>
    <row r="11014" spans="1:1" s="200" customFormat="1" ht="12" hidden="1" customHeight="1">
      <c r="A11014" s="199"/>
    </row>
    <row r="11015" spans="1:1" s="200" customFormat="1" ht="12" hidden="1" customHeight="1">
      <c r="A11015" s="199"/>
    </row>
    <row r="11016" spans="1:1" s="200" customFormat="1" ht="12" hidden="1" customHeight="1">
      <c r="A11016" s="199"/>
    </row>
    <row r="11017" spans="1:1" s="200" customFormat="1" ht="12" hidden="1" customHeight="1">
      <c r="A11017" s="199"/>
    </row>
    <row r="11018" spans="1:1" s="200" customFormat="1" ht="12" hidden="1" customHeight="1">
      <c r="A11018" s="199"/>
    </row>
    <row r="11019" spans="1:1" s="200" customFormat="1" ht="12" hidden="1" customHeight="1">
      <c r="A11019" s="199"/>
    </row>
    <row r="11020" spans="1:1" s="200" customFormat="1" ht="12" hidden="1" customHeight="1">
      <c r="A11020" s="199"/>
    </row>
    <row r="11021" spans="1:1" s="200" customFormat="1" ht="12" hidden="1" customHeight="1">
      <c r="A11021" s="199"/>
    </row>
    <row r="11022" spans="1:1" s="200" customFormat="1" ht="12" hidden="1" customHeight="1">
      <c r="A11022" s="199"/>
    </row>
    <row r="11023" spans="1:1" s="200" customFormat="1" ht="12" hidden="1" customHeight="1">
      <c r="A11023" s="199"/>
    </row>
    <row r="11024" spans="1:1" s="200" customFormat="1" ht="12" hidden="1" customHeight="1">
      <c r="A11024" s="199"/>
    </row>
    <row r="11025" spans="1:1" s="200" customFormat="1" ht="12" hidden="1" customHeight="1">
      <c r="A11025" s="199"/>
    </row>
    <row r="11026" spans="1:1" s="200" customFormat="1" ht="12" hidden="1" customHeight="1">
      <c r="A11026" s="199"/>
    </row>
    <row r="11027" spans="1:1" s="200" customFormat="1" ht="12" hidden="1" customHeight="1">
      <c r="A11027" s="199"/>
    </row>
    <row r="11028" spans="1:1" s="200" customFormat="1" ht="12" hidden="1" customHeight="1">
      <c r="A11028" s="199"/>
    </row>
    <row r="11029" spans="1:1" s="200" customFormat="1" ht="12" hidden="1" customHeight="1">
      <c r="A11029" s="199"/>
    </row>
    <row r="11030" spans="1:1" s="200" customFormat="1" ht="12" hidden="1" customHeight="1">
      <c r="A11030" s="199"/>
    </row>
    <row r="11031" spans="1:1" s="200" customFormat="1" ht="12" hidden="1" customHeight="1">
      <c r="A11031" s="199"/>
    </row>
    <row r="11032" spans="1:1" s="200" customFormat="1" ht="12" hidden="1" customHeight="1">
      <c r="A11032" s="199"/>
    </row>
    <row r="11033" spans="1:1" s="200" customFormat="1" ht="12" hidden="1" customHeight="1">
      <c r="A11033" s="199"/>
    </row>
    <row r="11034" spans="1:1" s="200" customFormat="1" ht="12" hidden="1" customHeight="1">
      <c r="A11034" s="199"/>
    </row>
    <row r="11035" spans="1:1" s="200" customFormat="1" ht="12" hidden="1" customHeight="1">
      <c r="A11035" s="199"/>
    </row>
    <row r="11036" spans="1:1" s="200" customFormat="1" ht="12" hidden="1" customHeight="1">
      <c r="A11036" s="199"/>
    </row>
    <row r="11037" spans="1:1" s="200" customFormat="1" ht="12" hidden="1" customHeight="1">
      <c r="A11037" s="199"/>
    </row>
    <row r="11038" spans="1:1" s="200" customFormat="1" ht="12" hidden="1" customHeight="1">
      <c r="A11038" s="199"/>
    </row>
    <row r="11039" spans="1:1" s="200" customFormat="1" ht="12" hidden="1" customHeight="1">
      <c r="A11039" s="199"/>
    </row>
    <row r="11040" spans="1:1" s="200" customFormat="1" ht="12" hidden="1" customHeight="1">
      <c r="A11040" s="199"/>
    </row>
    <row r="11041" spans="1:1" s="200" customFormat="1" ht="12" hidden="1" customHeight="1">
      <c r="A11041" s="199"/>
    </row>
    <row r="11042" spans="1:1" s="200" customFormat="1" ht="12" hidden="1" customHeight="1">
      <c r="A11042" s="199"/>
    </row>
    <row r="11043" spans="1:1" s="200" customFormat="1" ht="12" hidden="1" customHeight="1">
      <c r="A11043" s="199"/>
    </row>
    <row r="11044" spans="1:1" s="200" customFormat="1" ht="12" hidden="1" customHeight="1">
      <c r="A11044" s="199"/>
    </row>
    <row r="11045" spans="1:1" s="200" customFormat="1" ht="12" hidden="1" customHeight="1">
      <c r="A11045" s="199"/>
    </row>
    <row r="11046" spans="1:1" s="200" customFormat="1" ht="12" hidden="1" customHeight="1">
      <c r="A11046" s="199"/>
    </row>
    <row r="11047" spans="1:1" s="200" customFormat="1" ht="12" hidden="1" customHeight="1">
      <c r="A11047" s="199"/>
    </row>
    <row r="11048" spans="1:1" s="200" customFormat="1" ht="12" hidden="1" customHeight="1">
      <c r="A11048" s="199"/>
    </row>
    <row r="11049" spans="1:1" s="200" customFormat="1" ht="12" hidden="1" customHeight="1">
      <c r="A11049" s="199"/>
    </row>
    <row r="11050" spans="1:1" s="200" customFormat="1" ht="12" hidden="1" customHeight="1">
      <c r="A11050" s="199"/>
    </row>
    <row r="11051" spans="1:1" s="200" customFormat="1" ht="12" hidden="1" customHeight="1">
      <c r="A11051" s="199"/>
    </row>
    <row r="11052" spans="1:1" s="200" customFormat="1" ht="12" hidden="1" customHeight="1">
      <c r="A11052" s="199"/>
    </row>
    <row r="11053" spans="1:1" s="200" customFormat="1" ht="12" hidden="1" customHeight="1">
      <c r="A11053" s="199"/>
    </row>
    <row r="11054" spans="1:1" s="200" customFormat="1" ht="12" hidden="1" customHeight="1">
      <c r="A11054" s="199"/>
    </row>
    <row r="11055" spans="1:1" s="200" customFormat="1" ht="12" hidden="1" customHeight="1">
      <c r="A11055" s="199"/>
    </row>
    <row r="11056" spans="1:1" s="200" customFormat="1" ht="12" hidden="1" customHeight="1">
      <c r="A11056" s="199"/>
    </row>
    <row r="11057" spans="1:1" s="200" customFormat="1" ht="12" hidden="1" customHeight="1">
      <c r="A11057" s="199"/>
    </row>
    <row r="11058" spans="1:1" s="200" customFormat="1" ht="12" hidden="1" customHeight="1">
      <c r="A11058" s="199"/>
    </row>
    <row r="11059" spans="1:1" s="200" customFormat="1" ht="12" hidden="1" customHeight="1">
      <c r="A11059" s="199"/>
    </row>
    <row r="11060" spans="1:1" s="200" customFormat="1" ht="12" hidden="1" customHeight="1">
      <c r="A11060" s="199"/>
    </row>
    <row r="11061" spans="1:1" s="200" customFormat="1" ht="12" hidden="1" customHeight="1">
      <c r="A11061" s="199"/>
    </row>
    <row r="11062" spans="1:1" s="200" customFormat="1" ht="12" hidden="1" customHeight="1">
      <c r="A11062" s="199"/>
    </row>
    <row r="11063" spans="1:1" s="200" customFormat="1" ht="12" hidden="1" customHeight="1">
      <c r="A11063" s="199"/>
    </row>
    <row r="11064" spans="1:1" s="200" customFormat="1" ht="12" hidden="1" customHeight="1">
      <c r="A11064" s="199"/>
    </row>
    <row r="11065" spans="1:1" s="200" customFormat="1" ht="12" hidden="1" customHeight="1">
      <c r="A11065" s="199"/>
    </row>
    <row r="11066" spans="1:1" s="200" customFormat="1" ht="12" hidden="1" customHeight="1">
      <c r="A11066" s="199"/>
    </row>
    <row r="11067" spans="1:1" s="200" customFormat="1" ht="12" hidden="1" customHeight="1">
      <c r="A11067" s="199"/>
    </row>
    <row r="11068" spans="1:1" s="200" customFormat="1" ht="12" hidden="1" customHeight="1">
      <c r="A11068" s="199"/>
    </row>
    <row r="11069" spans="1:1" s="200" customFormat="1" ht="12" hidden="1" customHeight="1">
      <c r="A11069" s="199"/>
    </row>
    <row r="11070" spans="1:1" s="200" customFormat="1" ht="12" hidden="1" customHeight="1">
      <c r="A11070" s="199"/>
    </row>
    <row r="11071" spans="1:1" s="200" customFormat="1" ht="12" hidden="1" customHeight="1">
      <c r="A11071" s="199"/>
    </row>
    <row r="11072" spans="1:1" s="200" customFormat="1" ht="12" hidden="1" customHeight="1">
      <c r="A11072" s="199"/>
    </row>
    <row r="11073" spans="1:1" s="200" customFormat="1" ht="12" hidden="1" customHeight="1">
      <c r="A11073" s="199"/>
    </row>
    <row r="11074" spans="1:1" s="200" customFormat="1" ht="12" hidden="1" customHeight="1">
      <c r="A11074" s="199"/>
    </row>
    <row r="11075" spans="1:1" s="200" customFormat="1" ht="12" hidden="1" customHeight="1">
      <c r="A11075" s="199"/>
    </row>
    <row r="11076" spans="1:1" s="200" customFormat="1" ht="12" hidden="1" customHeight="1">
      <c r="A11076" s="199"/>
    </row>
    <row r="11077" spans="1:1" s="200" customFormat="1" ht="12" hidden="1" customHeight="1">
      <c r="A11077" s="199"/>
    </row>
    <row r="11078" spans="1:1" s="200" customFormat="1" ht="12" hidden="1" customHeight="1">
      <c r="A11078" s="199"/>
    </row>
    <row r="11079" spans="1:1" s="200" customFormat="1" ht="12" hidden="1" customHeight="1">
      <c r="A11079" s="199"/>
    </row>
    <row r="11080" spans="1:1" s="200" customFormat="1" ht="12" hidden="1" customHeight="1">
      <c r="A11080" s="199"/>
    </row>
    <row r="11081" spans="1:1" s="200" customFormat="1" ht="12" hidden="1" customHeight="1">
      <c r="A11081" s="199"/>
    </row>
    <row r="11082" spans="1:1" s="200" customFormat="1" ht="12" hidden="1" customHeight="1">
      <c r="A11082" s="199"/>
    </row>
    <row r="11083" spans="1:1" s="200" customFormat="1" ht="12" hidden="1" customHeight="1">
      <c r="A11083" s="199"/>
    </row>
    <row r="11084" spans="1:1" s="200" customFormat="1" ht="12" hidden="1" customHeight="1">
      <c r="A11084" s="199"/>
    </row>
    <row r="11085" spans="1:1" s="200" customFormat="1" ht="12" hidden="1" customHeight="1">
      <c r="A11085" s="199"/>
    </row>
    <row r="11086" spans="1:1" s="200" customFormat="1" ht="12" hidden="1" customHeight="1">
      <c r="A11086" s="199"/>
    </row>
    <row r="11087" spans="1:1" s="200" customFormat="1" ht="12" hidden="1" customHeight="1">
      <c r="A11087" s="199"/>
    </row>
    <row r="11088" spans="1:1" s="200" customFormat="1" ht="12" hidden="1" customHeight="1">
      <c r="A11088" s="199"/>
    </row>
    <row r="11089" spans="1:1" s="200" customFormat="1" ht="12" hidden="1" customHeight="1">
      <c r="A11089" s="199"/>
    </row>
    <row r="11090" spans="1:1" s="200" customFormat="1" ht="12" hidden="1" customHeight="1">
      <c r="A11090" s="199"/>
    </row>
    <row r="11091" spans="1:1" s="200" customFormat="1" ht="12" hidden="1" customHeight="1">
      <c r="A11091" s="199"/>
    </row>
    <row r="11092" spans="1:1" s="200" customFormat="1" ht="12" hidden="1" customHeight="1">
      <c r="A11092" s="199"/>
    </row>
    <row r="11093" spans="1:1" s="200" customFormat="1" ht="12" hidden="1" customHeight="1">
      <c r="A11093" s="199"/>
    </row>
    <row r="11094" spans="1:1" s="200" customFormat="1" ht="12" hidden="1" customHeight="1">
      <c r="A11094" s="199"/>
    </row>
    <row r="11095" spans="1:1" s="200" customFormat="1" ht="12" hidden="1" customHeight="1">
      <c r="A11095" s="199"/>
    </row>
    <row r="11096" spans="1:1" s="200" customFormat="1" ht="12" hidden="1" customHeight="1">
      <c r="A11096" s="199"/>
    </row>
    <row r="11097" spans="1:1" s="200" customFormat="1" ht="12" hidden="1" customHeight="1">
      <c r="A11097" s="199"/>
    </row>
    <row r="11098" spans="1:1" s="200" customFormat="1" ht="12" hidden="1" customHeight="1">
      <c r="A11098" s="199"/>
    </row>
    <row r="11099" spans="1:1" s="200" customFormat="1" ht="12" hidden="1" customHeight="1">
      <c r="A11099" s="199"/>
    </row>
    <row r="11100" spans="1:1" s="200" customFormat="1" ht="12" hidden="1" customHeight="1">
      <c r="A11100" s="199"/>
    </row>
    <row r="11101" spans="1:1" s="200" customFormat="1" ht="12" hidden="1" customHeight="1">
      <c r="A11101" s="199"/>
    </row>
    <row r="11102" spans="1:1" s="200" customFormat="1" ht="12" hidden="1" customHeight="1">
      <c r="A11102" s="199"/>
    </row>
    <row r="11103" spans="1:1" s="200" customFormat="1" ht="12" hidden="1" customHeight="1">
      <c r="A11103" s="199"/>
    </row>
    <row r="11104" spans="1:1" s="200" customFormat="1" ht="12" hidden="1" customHeight="1">
      <c r="A11104" s="199"/>
    </row>
    <row r="11105" spans="1:1" s="200" customFormat="1" ht="12" hidden="1" customHeight="1">
      <c r="A11105" s="199"/>
    </row>
    <row r="11106" spans="1:1" s="200" customFormat="1" ht="12" hidden="1" customHeight="1">
      <c r="A11106" s="199"/>
    </row>
    <row r="11107" spans="1:1" s="200" customFormat="1" ht="12" hidden="1" customHeight="1">
      <c r="A11107" s="199"/>
    </row>
    <row r="11108" spans="1:1" s="200" customFormat="1" ht="12" hidden="1" customHeight="1">
      <c r="A11108" s="199"/>
    </row>
    <row r="11109" spans="1:1" s="200" customFormat="1" ht="12" hidden="1" customHeight="1">
      <c r="A11109" s="199"/>
    </row>
    <row r="11110" spans="1:1" s="200" customFormat="1" ht="12" hidden="1" customHeight="1">
      <c r="A11110" s="199"/>
    </row>
    <row r="11111" spans="1:1" s="200" customFormat="1" ht="12" hidden="1" customHeight="1">
      <c r="A11111" s="199"/>
    </row>
    <row r="11112" spans="1:1" s="200" customFormat="1" ht="12" hidden="1" customHeight="1">
      <c r="A11112" s="199"/>
    </row>
    <row r="11113" spans="1:1" s="200" customFormat="1" ht="12" hidden="1" customHeight="1">
      <c r="A11113" s="199"/>
    </row>
    <row r="11114" spans="1:1" s="200" customFormat="1" ht="12" hidden="1" customHeight="1">
      <c r="A11114" s="199"/>
    </row>
    <row r="11115" spans="1:1" s="200" customFormat="1" ht="12" hidden="1" customHeight="1">
      <c r="A11115" s="199"/>
    </row>
    <row r="11116" spans="1:1" s="200" customFormat="1" ht="12" hidden="1" customHeight="1">
      <c r="A11116" s="199"/>
    </row>
    <row r="11117" spans="1:1" s="200" customFormat="1" ht="12" hidden="1" customHeight="1">
      <c r="A11117" s="199"/>
    </row>
    <row r="11118" spans="1:1" s="200" customFormat="1" ht="12" hidden="1" customHeight="1">
      <c r="A11118" s="199"/>
    </row>
    <row r="11119" spans="1:1" s="200" customFormat="1" ht="12" hidden="1" customHeight="1">
      <c r="A11119" s="199"/>
    </row>
    <row r="11120" spans="1:1" s="200" customFormat="1" ht="12" hidden="1" customHeight="1">
      <c r="A11120" s="199"/>
    </row>
    <row r="11121" spans="1:1" s="200" customFormat="1" ht="12" hidden="1" customHeight="1">
      <c r="A11121" s="199"/>
    </row>
    <row r="11122" spans="1:1" s="200" customFormat="1" ht="12" hidden="1" customHeight="1">
      <c r="A11122" s="199"/>
    </row>
    <row r="11123" spans="1:1" s="200" customFormat="1" ht="12" hidden="1" customHeight="1">
      <c r="A11123" s="199"/>
    </row>
    <row r="11124" spans="1:1" s="200" customFormat="1" ht="12" hidden="1" customHeight="1">
      <c r="A11124" s="199"/>
    </row>
    <row r="11125" spans="1:1" s="200" customFormat="1" ht="12" hidden="1" customHeight="1">
      <c r="A11125" s="199"/>
    </row>
    <row r="11126" spans="1:1" s="200" customFormat="1" ht="12" hidden="1" customHeight="1">
      <c r="A11126" s="199"/>
    </row>
    <row r="11127" spans="1:1" s="200" customFormat="1" ht="12" hidden="1" customHeight="1">
      <c r="A11127" s="199"/>
    </row>
    <row r="11128" spans="1:1" s="200" customFormat="1" ht="12" hidden="1" customHeight="1">
      <c r="A11128" s="199"/>
    </row>
    <row r="11129" spans="1:1" s="200" customFormat="1" ht="12" hidden="1" customHeight="1">
      <c r="A11129" s="199"/>
    </row>
    <row r="11130" spans="1:1" s="200" customFormat="1" ht="12" hidden="1" customHeight="1">
      <c r="A11130" s="199"/>
    </row>
    <row r="11131" spans="1:1" s="200" customFormat="1" ht="12" hidden="1" customHeight="1">
      <c r="A11131" s="199"/>
    </row>
    <row r="11132" spans="1:1" s="200" customFormat="1" ht="12" hidden="1" customHeight="1">
      <c r="A11132" s="199"/>
    </row>
    <row r="11133" spans="1:1" s="200" customFormat="1" ht="12" hidden="1" customHeight="1">
      <c r="A11133" s="199"/>
    </row>
    <row r="11134" spans="1:1" s="200" customFormat="1" ht="12" hidden="1" customHeight="1">
      <c r="A11134" s="199"/>
    </row>
    <row r="11135" spans="1:1" s="200" customFormat="1" ht="12" hidden="1" customHeight="1">
      <c r="A11135" s="199"/>
    </row>
    <row r="11136" spans="1:1" s="200" customFormat="1" ht="12" hidden="1" customHeight="1">
      <c r="A11136" s="199"/>
    </row>
    <row r="11137" spans="1:1" s="200" customFormat="1" ht="12" hidden="1" customHeight="1">
      <c r="A11137" s="199"/>
    </row>
    <row r="11138" spans="1:1" s="200" customFormat="1" ht="12" hidden="1" customHeight="1">
      <c r="A11138" s="199"/>
    </row>
    <row r="11139" spans="1:1" s="200" customFormat="1" ht="12" hidden="1" customHeight="1">
      <c r="A11139" s="199"/>
    </row>
    <row r="11140" spans="1:1" s="200" customFormat="1" ht="12" hidden="1" customHeight="1">
      <c r="A11140" s="199"/>
    </row>
    <row r="11141" spans="1:1" s="200" customFormat="1" ht="12" hidden="1" customHeight="1">
      <c r="A11141" s="199"/>
    </row>
    <row r="11142" spans="1:1" s="200" customFormat="1" ht="12" hidden="1" customHeight="1">
      <c r="A11142" s="199"/>
    </row>
    <row r="11143" spans="1:1" s="200" customFormat="1" ht="12" hidden="1" customHeight="1">
      <c r="A11143" s="199"/>
    </row>
    <row r="11144" spans="1:1" s="200" customFormat="1" ht="12" hidden="1" customHeight="1">
      <c r="A11144" s="199"/>
    </row>
    <row r="11145" spans="1:1" s="200" customFormat="1" ht="12" hidden="1" customHeight="1">
      <c r="A11145" s="199"/>
    </row>
    <row r="11146" spans="1:1" s="200" customFormat="1" ht="12" hidden="1" customHeight="1">
      <c r="A11146" s="199"/>
    </row>
    <row r="11147" spans="1:1" s="200" customFormat="1" ht="12" hidden="1" customHeight="1">
      <c r="A11147" s="199"/>
    </row>
    <row r="11148" spans="1:1" s="200" customFormat="1" ht="12" hidden="1" customHeight="1">
      <c r="A11148" s="199"/>
    </row>
    <row r="11149" spans="1:1" s="200" customFormat="1" ht="12" hidden="1" customHeight="1">
      <c r="A11149" s="199"/>
    </row>
    <row r="11150" spans="1:1" s="200" customFormat="1" ht="12" hidden="1" customHeight="1">
      <c r="A11150" s="199"/>
    </row>
    <row r="11151" spans="1:1" s="200" customFormat="1" ht="12" hidden="1" customHeight="1">
      <c r="A11151" s="199"/>
    </row>
    <row r="11152" spans="1:1" s="200" customFormat="1" ht="12" hidden="1" customHeight="1">
      <c r="A11152" s="199"/>
    </row>
    <row r="11153" spans="1:1" s="200" customFormat="1" ht="12" hidden="1" customHeight="1">
      <c r="A11153" s="199"/>
    </row>
    <row r="11154" spans="1:1" s="200" customFormat="1" ht="12" hidden="1" customHeight="1">
      <c r="A11154" s="199"/>
    </row>
    <row r="11155" spans="1:1" s="200" customFormat="1" ht="12" hidden="1" customHeight="1">
      <c r="A11155" s="199"/>
    </row>
    <row r="11156" spans="1:1" s="200" customFormat="1" ht="12" hidden="1" customHeight="1">
      <c r="A11156" s="199"/>
    </row>
    <row r="11157" spans="1:1" s="200" customFormat="1" ht="12" hidden="1" customHeight="1">
      <c r="A11157" s="199"/>
    </row>
    <row r="11158" spans="1:1" s="200" customFormat="1" ht="12" hidden="1" customHeight="1">
      <c r="A11158" s="199"/>
    </row>
    <row r="11159" spans="1:1" s="200" customFormat="1" ht="12" hidden="1" customHeight="1">
      <c r="A11159" s="199"/>
    </row>
    <row r="11160" spans="1:1" s="200" customFormat="1" ht="12" hidden="1" customHeight="1">
      <c r="A11160" s="199"/>
    </row>
    <row r="11161" spans="1:1" s="200" customFormat="1" ht="12" hidden="1" customHeight="1">
      <c r="A11161" s="199"/>
    </row>
    <row r="11162" spans="1:1" s="200" customFormat="1" ht="12" hidden="1" customHeight="1">
      <c r="A11162" s="199"/>
    </row>
    <row r="11163" spans="1:1" s="200" customFormat="1" ht="12" hidden="1" customHeight="1">
      <c r="A11163" s="199"/>
    </row>
    <row r="11164" spans="1:1" s="200" customFormat="1" ht="12" hidden="1" customHeight="1">
      <c r="A11164" s="199"/>
    </row>
    <row r="11165" spans="1:1" s="200" customFormat="1" ht="12" hidden="1" customHeight="1">
      <c r="A11165" s="199"/>
    </row>
    <row r="11166" spans="1:1" s="200" customFormat="1" ht="12" hidden="1" customHeight="1">
      <c r="A11166" s="199"/>
    </row>
    <row r="11167" spans="1:1" s="200" customFormat="1" ht="12" hidden="1" customHeight="1">
      <c r="A11167" s="199"/>
    </row>
    <row r="11168" spans="1:1" s="200" customFormat="1" ht="12" hidden="1" customHeight="1">
      <c r="A11168" s="199"/>
    </row>
    <row r="11169" spans="1:1" s="200" customFormat="1" ht="12" hidden="1" customHeight="1">
      <c r="A11169" s="199"/>
    </row>
    <row r="11170" spans="1:1" s="200" customFormat="1" ht="12" hidden="1" customHeight="1">
      <c r="A11170" s="199"/>
    </row>
    <row r="11171" spans="1:1" s="200" customFormat="1" ht="12" hidden="1" customHeight="1">
      <c r="A11171" s="199"/>
    </row>
    <row r="11172" spans="1:1" s="200" customFormat="1" ht="12" hidden="1" customHeight="1">
      <c r="A11172" s="199"/>
    </row>
    <row r="11173" spans="1:1" s="200" customFormat="1" ht="12" hidden="1" customHeight="1">
      <c r="A11173" s="199"/>
    </row>
    <row r="11174" spans="1:1" s="200" customFormat="1" ht="12" hidden="1" customHeight="1">
      <c r="A11174" s="199"/>
    </row>
    <row r="11175" spans="1:1" s="200" customFormat="1" ht="12" hidden="1" customHeight="1">
      <c r="A11175" s="199"/>
    </row>
    <row r="11176" spans="1:1" s="200" customFormat="1" ht="12" hidden="1" customHeight="1">
      <c r="A11176" s="199"/>
    </row>
    <row r="11177" spans="1:1" s="200" customFormat="1" ht="12" hidden="1" customHeight="1">
      <c r="A11177" s="199"/>
    </row>
    <row r="11178" spans="1:1" s="200" customFormat="1" ht="12" hidden="1" customHeight="1">
      <c r="A11178" s="199"/>
    </row>
    <row r="11179" spans="1:1" s="200" customFormat="1" ht="12" hidden="1" customHeight="1">
      <c r="A11179" s="199"/>
    </row>
    <row r="11180" spans="1:1" s="200" customFormat="1" ht="12" hidden="1" customHeight="1">
      <c r="A11180" s="199"/>
    </row>
    <row r="11181" spans="1:1" s="200" customFormat="1" ht="12" hidden="1" customHeight="1">
      <c r="A11181" s="199"/>
    </row>
    <row r="11182" spans="1:1" s="200" customFormat="1" ht="12" hidden="1" customHeight="1">
      <c r="A11182" s="199"/>
    </row>
    <row r="11183" spans="1:1" s="200" customFormat="1" ht="12" hidden="1" customHeight="1">
      <c r="A11183" s="199"/>
    </row>
    <row r="11184" spans="1:1" s="200" customFormat="1" ht="12" hidden="1" customHeight="1">
      <c r="A11184" s="199"/>
    </row>
    <row r="11185" spans="1:1" s="200" customFormat="1" ht="12" hidden="1" customHeight="1">
      <c r="A11185" s="199"/>
    </row>
    <row r="11186" spans="1:1" s="200" customFormat="1" ht="12" hidden="1" customHeight="1">
      <c r="A11186" s="199"/>
    </row>
    <row r="11187" spans="1:1" s="200" customFormat="1" ht="12" hidden="1" customHeight="1">
      <c r="A11187" s="199"/>
    </row>
    <row r="11188" spans="1:1" s="200" customFormat="1" ht="12" hidden="1" customHeight="1">
      <c r="A11188" s="199"/>
    </row>
    <row r="11189" spans="1:1" s="200" customFormat="1" ht="12" hidden="1" customHeight="1">
      <c r="A11189" s="199"/>
    </row>
    <row r="11190" spans="1:1" s="200" customFormat="1" ht="12" hidden="1" customHeight="1">
      <c r="A11190" s="199"/>
    </row>
    <row r="11191" spans="1:1" s="200" customFormat="1" ht="12" hidden="1" customHeight="1">
      <c r="A11191" s="199"/>
    </row>
    <row r="11192" spans="1:1" s="200" customFormat="1" ht="12" hidden="1" customHeight="1">
      <c r="A11192" s="199"/>
    </row>
    <row r="11193" spans="1:1" s="200" customFormat="1" ht="12" hidden="1" customHeight="1">
      <c r="A11193" s="199"/>
    </row>
    <row r="11194" spans="1:1" s="200" customFormat="1" ht="12" hidden="1" customHeight="1">
      <c r="A11194" s="199"/>
    </row>
    <row r="11195" spans="1:1" s="200" customFormat="1" ht="12" hidden="1" customHeight="1">
      <c r="A11195" s="199"/>
    </row>
    <row r="11196" spans="1:1" s="200" customFormat="1" ht="12" hidden="1" customHeight="1">
      <c r="A11196" s="199"/>
    </row>
    <row r="11197" spans="1:1" s="200" customFormat="1" ht="12" hidden="1" customHeight="1">
      <c r="A11197" s="199"/>
    </row>
    <row r="11198" spans="1:1" s="200" customFormat="1" ht="12" hidden="1" customHeight="1">
      <c r="A11198" s="199"/>
    </row>
    <row r="11199" spans="1:1" s="200" customFormat="1" ht="12" hidden="1" customHeight="1">
      <c r="A11199" s="199"/>
    </row>
    <row r="11200" spans="1:1" s="200" customFormat="1" ht="12" hidden="1" customHeight="1">
      <c r="A11200" s="199"/>
    </row>
    <row r="11201" spans="1:1" s="200" customFormat="1" ht="12" hidden="1" customHeight="1">
      <c r="A11201" s="199"/>
    </row>
    <row r="11202" spans="1:1" s="200" customFormat="1" ht="12" hidden="1" customHeight="1">
      <c r="A11202" s="199"/>
    </row>
    <row r="11203" spans="1:1" s="200" customFormat="1" ht="12" hidden="1" customHeight="1">
      <c r="A11203" s="199"/>
    </row>
    <row r="11204" spans="1:1" s="200" customFormat="1" ht="12" hidden="1" customHeight="1">
      <c r="A11204" s="199"/>
    </row>
    <row r="11205" spans="1:1" s="200" customFormat="1" ht="12" hidden="1" customHeight="1">
      <c r="A11205" s="199"/>
    </row>
    <row r="11206" spans="1:1" s="200" customFormat="1" ht="12" hidden="1" customHeight="1">
      <c r="A11206" s="199"/>
    </row>
    <row r="11207" spans="1:1" s="200" customFormat="1" ht="12" hidden="1" customHeight="1">
      <c r="A11207" s="199"/>
    </row>
    <row r="11208" spans="1:1" s="200" customFormat="1" ht="12" hidden="1" customHeight="1">
      <c r="A11208" s="199"/>
    </row>
    <row r="11209" spans="1:1" s="200" customFormat="1" ht="12" hidden="1" customHeight="1">
      <c r="A11209" s="199"/>
    </row>
    <row r="11210" spans="1:1" s="200" customFormat="1" ht="12" hidden="1" customHeight="1">
      <c r="A11210" s="199"/>
    </row>
    <row r="11211" spans="1:1" s="200" customFormat="1" ht="12" hidden="1" customHeight="1">
      <c r="A11211" s="199"/>
    </row>
    <row r="11212" spans="1:1" s="200" customFormat="1" ht="12" hidden="1" customHeight="1">
      <c r="A11212" s="199"/>
    </row>
    <row r="11213" spans="1:1" s="200" customFormat="1" ht="12" hidden="1" customHeight="1">
      <c r="A11213" s="199"/>
    </row>
    <row r="11214" spans="1:1" s="200" customFormat="1" ht="12" hidden="1" customHeight="1">
      <c r="A11214" s="199"/>
    </row>
    <row r="11215" spans="1:1" s="200" customFormat="1" ht="12" hidden="1" customHeight="1">
      <c r="A11215" s="199"/>
    </row>
    <row r="11216" spans="1:1" s="200" customFormat="1" ht="12" hidden="1" customHeight="1">
      <c r="A11216" s="199"/>
    </row>
    <row r="11217" spans="1:1" s="200" customFormat="1" ht="12" hidden="1" customHeight="1">
      <c r="A11217" s="199"/>
    </row>
    <row r="11218" spans="1:1" s="200" customFormat="1" ht="12" hidden="1" customHeight="1">
      <c r="A11218" s="199"/>
    </row>
    <row r="11219" spans="1:1" s="200" customFormat="1" ht="12" hidden="1" customHeight="1">
      <c r="A11219" s="199"/>
    </row>
    <row r="11220" spans="1:1" s="200" customFormat="1" ht="12" hidden="1" customHeight="1">
      <c r="A11220" s="199"/>
    </row>
    <row r="11221" spans="1:1" s="200" customFormat="1" ht="12" hidden="1" customHeight="1">
      <c r="A11221" s="199"/>
    </row>
    <row r="11222" spans="1:1" s="200" customFormat="1" ht="12" hidden="1" customHeight="1">
      <c r="A11222" s="199"/>
    </row>
    <row r="11223" spans="1:1" s="200" customFormat="1" ht="12" hidden="1" customHeight="1">
      <c r="A11223" s="199"/>
    </row>
    <row r="11224" spans="1:1" s="200" customFormat="1" ht="12" hidden="1" customHeight="1">
      <c r="A11224" s="199"/>
    </row>
    <row r="11225" spans="1:1" s="200" customFormat="1" ht="12" hidden="1" customHeight="1">
      <c r="A11225" s="199"/>
    </row>
    <row r="11226" spans="1:1" s="200" customFormat="1" ht="12" hidden="1" customHeight="1">
      <c r="A11226" s="199"/>
    </row>
    <row r="11227" spans="1:1" s="200" customFormat="1" ht="12" hidden="1" customHeight="1">
      <c r="A11227" s="199"/>
    </row>
    <row r="11228" spans="1:1" s="200" customFormat="1" ht="12" hidden="1" customHeight="1">
      <c r="A11228" s="199"/>
    </row>
    <row r="11229" spans="1:1" s="200" customFormat="1" ht="12" hidden="1" customHeight="1">
      <c r="A11229" s="199"/>
    </row>
    <row r="11230" spans="1:1" s="200" customFormat="1" ht="12" hidden="1" customHeight="1">
      <c r="A11230" s="199"/>
    </row>
    <row r="11231" spans="1:1" s="200" customFormat="1" ht="12" hidden="1" customHeight="1">
      <c r="A11231" s="199"/>
    </row>
    <row r="11232" spans="1:1" s="200" customFormat="1" ht="12" hidden="1" customHeight="1">
      <c r="A11232" s="199"/>
    </row>
    <row r="11233" spans="1:1" s="200" customFormat="1" ht="12" hidden="1" customHeight="1">
      <c r="A11233" s="199"/>
    </row>
    <row r="11234" spans="1:1" s="200" customFormat="1" ht="12" hidden="1" customHeight="1">
      <c r="A11234" s="199"/>
    </row>
    <row r="11235" spans="1:1" s="200" customFormat="1" ht="12" hidden="1" customHeight="1">
      <c r="A11235" s="199"/>
    </row>
    <row r="11236" spans="1:1" s="200" customFormat="1" ht="12" hidden="1" customHeight="1">
      <c r="A11236" s="199"/>
    </row>
    <row r="11237" spans="1:1" s="200" customFormat="1" ht="12" hidden="1" customHeight="1">
      <c r="A11237" s="199"/>
    </row>
    <row r="11238" spans="1:1" s="200" customFormat="1" ht="12" hidden="1" customHeight="1">
      <c r="A11238" s="199"/>
    </row>
    <row r="11239" spans="1:1" s="200" customFormat="1" ht="12" hidden="1" customHeight="1">
      <c r="A11239" s="199"/>
    </row>
    <row r="11240" spans="1:1" s="200" customFormat="1" ht="12" hidden="1" customHeight="1">
      <c r="A11240" s="199"/>
    </row>
    <row r="11241" spans="1:1" s="200" customFormat="1" ht="12" hidden="1" customHeight="1">
      <c r="A11241" s="199"/>
    </row>
    <row r="11242" spans="1:1" s="200" customFormat="1" ht="12" hidden="1" customHeight="1">
      <c r="A11242" s="199"/>
    </row>
    <row r="11243" spans="1:1" s="200" customFormat="1" ht="12" hidden="1" customHeight="1">
      <c r="A11243" s="199"/>
    </row>
    <row r="11244" spans="1:1" s="200" customFormat="1" ht="12" hidden="1" customHeight="1">
      <c r="A11244" s="199"/>
    </row>
    <row r="11245" spans="1:1" s="200" customFormat="1" ht="12" hidden="1" customHeight="1">
      <c r="A11245" s="199"/>
    </row>
    <row r="11246" spans="1:1" s="200" customFormat="1" ht="12" hidden="1" customHeight="1">
      <c r="A11246" s="199"/>
    </row>
    <row r="11247" spans="1:1" s="200" customFormat="1" ht="12" hidden="1" customHeight="1">
      <c r="A11247" s="199"/>
    </row>
    <row r="11248" spans="1:1" s="200" customFormat="1" ht="12" hidden="1" customHeight="1">
      <c r="A11248" s="199"/>
    </row>
    <row r="11249" spans="1:1" s="200" customFormat="1" ht="12" hidden="1" customHeight="1">
      <c r="A11249" s="199"/>
    </row>
    <row r="11250" spans="1:1" s="200" customFormat="1" ht="12" hidden="1" customHeight="1">
      <c r="A11250" s="199"/>
    </row>
    <row r="11251" spans="1:1" s="200" customFormat="1" ht="12" hidden="1" customHeight="1">
      <c r="A11251" s="199"/>
    </row>
    <row r="11252" spans="1:1" s="200" customFormat="1" ht="12" hidden="1" customHeight="1">
      <c r="A11252" s="199"/>
    </row>
    <row r="11253" spans="1:1" s="200" customFormat="1" ht="12" hidden="1" customHeight="1">
      <c r="A11253" s="199"/>
    </row>
    <row r="11254" spans="1:1" s="200" customFormat="1" ht="12" hidden="1" customHeight="1">
      <c r="A11254" s="199"/>
    </row>
    <row r="11255" spans="1:1" s="200" customFormat="1" ht="12" hidden="1" customHeight="1">
      <c r="A11255" s="199"/>
    </row>
    <row r="11256" spans="1:1" s="200" customFormat="1" ht="12" hidden="1" customHeight="1">
      <c r="A11256" s="199"/>
    </row>
    <row r="11257" spans="1:1" s="200" customFormat="1" ht="12" hidden="1" customHeight="1">
      <c r="A11257" s="199"/>
    </row>
    <row r="11258" spans="1:1" s="200" customFormat="1" ht="12" hidden="1" customHeight="1">
      <c r="A11258" s="199"/>
    </row>
    <row r="11259" spans="1:1" s="200" customFormat="1" ht="12" hidden="1" customHeight="1">
      <c r="A11259" s="199"/>
    </row>
    <row r="11260" spans="1:1" s="200" customFormat="1" ht="12" hidden="1" customHeight="1">
      <c r="A11260" s="199"/>
    </row>
    <row r="11261" spans="1:1" s="200" customFormat="1" ht="12" hidden="1" customHeight="1">
      <c r="A11261" s="199"/>
    </row>
    <row r="11262" spans="1:1" s="200" customFormat="1" ht="12" hidden="1" customHeight="1">
      <c r="A11262" s="199"/>
    </row>
    <row r="11263" spans="1:1" s="200" customFormat="1" ht="12" hidden="1" customHeight="1">
      <c r="A11263" s="199"/>
    </row>
    <row r="11264" spans="1:1" s="200" customFormat="1" ht="12" hidden="1" customHeight="1">
      <c r="A11264" s="199"/>
    </row>
    <row r="11265" spans="1:1" s="200" customFormat="1" ht="12" hidden="1" customHeight="1">
      <c r="A11265" s="199"/>
    </row>
    <row r="11266" spans="1:1" s="200" customFormat="1" ht="12" hidden="1" customHeight="1">
      <c r="A11266" s="199"/>
    </row>
    <row r="11267" spans="1:1" s="200" customFormat="1" ht="12" hidden="1" customHeight="1">
      <c r="A11267" s="199"/>
    </row>
    <row r="11268" spans="1:1" s="200" customFormat="1" ht="12" hidden="1" customHeight="1">
      <c r="A11268" s="199"/>
    </row>
    <row r="11269" spans="1:1" s="200" customFormat="1" ht="12" hidden="1" customHeight="1">
      <c r="A11269" s="199"/>
    </row>
    <row r="11270" spans="1:1" s="200" customFormat="1" ht="12" hidden="1" customHeight="1">
      <c r="A11270" s="199"/>
    </row>
    <row r="11271" spans="1:1" s="200" customFormat="1" ht="12" hidden="1" customHeight="1">
      <c r="A11271" s="199"/>
    </row>
    <row r="11272" spans="1:1" s="200" customFormat="1" ht="12" hidden="1" customHeight="1">
      <c r="A11272" s="199"/>
    </row>
    <row r="11273" spans="1:1" s="200" customFormat="1" ht="12" hidden="1" customHeight="1">
      <c r="A11273" s="199"/>
    </row>
    <row r="11274" spans="1:1" s="200" customFormat="1" ht="12" hidden="1" customHeight="1">
      <c r="A11274" s="199"/>
    </row>
    <row r="11275" spans="1:1" s="200" customFormat="1" ht="12" hidden="1" customHeight="1">
      <c r="A11275" s="199"/>
    </row>
    <row r="11276" spans="1:1" s="200" customFormat="1" ht="12" hidden="1" customHeight="1">
      <c r="A11276" s="199"/>
    </row>
    <row r="11277" spans="1:1" s="200" customFormat="1" ht="12" hidden="1" customHeight="1">
      <c r="A11277" s="199"/>
    </row>
    <row r="11278" spans="1:1" s="200" customFormat="1" ht="12" hidden="1" customHeight="1">
      <c r="A11278" s="199"/>
    </row>
    <row r="11279" spans="1:1" s="200" customFormat="1" ht="12" hidden="1" customHeight="1">
      <c r="A11279" s="199"/>
    </row>
    <row r="11280" spans="1:1" s="200" customFormat="1" ht="12" hidden="1" customHeight="1">
      <c r="A11280" s="199"/>
    </row>
    <row r="11281" spans="1:1" s="200" customFormat="1" ht="12" hidden="1" customHeight="1">
      <c r="A11281" s="199"/>
    </row>
    <row r="11282" spans="1:1" s="200" customFormat="1" ht="12" hidden="1" customHeight="1">
      <c r="A11282" s="199"/>
    </row>
    <row r="11283" spans="1:1" s="200" customFormat="1" ht="12" hidden="1" customHeight="1">
      <c r="A11283" s="199"/>
    </row>
    <row r="11284" spans="1:1" s="200" customFormat="1" ht="12" hidden="1" customHeight="1">
      <c r="A11284" s="199"/>
    </row>
    <row r="11285" spans="1:1" s="200" customFormat="1" ht="12" hidden="1" customHeight="1">
      <c r="A11285" s="199"/>
    </row>
    <row r="11286" spans="1:1" s="200" customFormat="1" ht="12" hidden="1" customHeight="1">
      <c r="A11286" s="199"/>
    </row>
    <row r="11287" spans="1:1" s="200" customFormat="1" ht="12" hidden="1" customHeight="1">
      <c r="A11287" s="199"/>
    </row>
    <row r="11288" spans="1:1" s="200" customFormat="1" ht="12" hidden="1" customHeight="1">
      <c r="A11288" s="199"/>
    </row>
    <row r="11289" spans="1:1" s="200" customFormat="1" ht="12" hidden="1" customHeight="1">
      <c r="A11289" s="199"/>
    </row>
    <row r="11290" spans="1:1" s="200" customFormat="1" ht="12" hidden="1" customHeight="1">
      <c r="A11290" s="199"/>
    </row>
    <row r="11291" spans="1:1" s="200" customFormat="1" ht="12" hidden="1" customHeight="1">
      <c r="A11291" s="199"/>
    </row>
    <row r="11292" spans="1:1" s="200" customFormat="1" ht="12" hidden="1" customHeight="1">
      <c r="A11292" s="199"/>
    </row>
    <row r="11293" spans="1:1" s="200" customFormat="1" ht="12" hidden="1" customHeight="1">
      <c r="A11293" s="199"/>
    </row>
    <row r="11294" spans="1:1" s="200" customFormat="1" ht="12" hidden="1" customHeight="1">
      <c r="A11294" s="199"/>
    </row>
    <row r="11295" spans="1:1" s="200" customFormat="1" ht="12" hidden="1" customHeight="1">
      <c r="A11295" s="199"/>
    </row>
    <row r="11296" spans="1:1" s="200" customFormat="1" ht="12" hidden="1" customHeight="1">
      <c r="A11296" s="199"/>
    </row>
    <row r="11297" spans="1:1" s="200" customFormat="1" ht="12" hidden="1" customHeight="1">
      <c r="A11297" s="199"/>
    </row>
    <row r="11298" spans="1:1" s="200" customFormat="1" ht="12" hidden="1" customHeight="1">
      <c r="A11298" s="199"/>
    </row>
    <row r="11299" spans="1:1" s="200" customFormat="1" ht="12" hidden="1" customHeight="1">
      <c r="A11299" s="199"/>
    </row>
    <row r="11300" spans="1:1" s="200" customFormat="1" ht="12" hidden="1" customHeight="1">
      <c r="A11300" s="199"/>
    </row>
    <row r="11301" spans="1:1" s="200" customFormat="1" ht="12" hidden="1" customHeight="1">
      <c r="A11301" s="199"/>
    </row>
    <row r="11302" spans="1:1" s="200" customFormat="1" ht="12" hidden="1" customHeight="1">
      <c r="A11302" s="199"/>
    </row>
    <row r="11303" spans="1:1" s="200" customFormat="1" ht="12" hidden="1" customHeight="1">
      <c r="A11303" s="199"/>
    </row>
    <row r="11304" spans="1:1" s="200" customFormat="1" ht="12" hidden="1" customHeight="1">
      <c r="A11304" s="199"/>
    </row>
    <row r="11305" spans="1:1" s="200" customFormat="1" ht="12" hidden="1" customHeight="1">
      <c r="A11305" s="199"/>
    </row>
    <row r="11306" spans="1:1" s="200" customFormat="1" ht="12" hidden="1" customHeight="1">
      <c r="A11306" s="199"/>
    </row>
    <row r="11307" spans="1:1" s="200" customFormat="1" ht="12" hidden="1" customHeight="1">
      <c r="A11307" s="199"/>
    </row>
    <row r="11308" spans="1:1" s="200" customFormat="1" ht="12" hidden="1" customHeight="1">
      <c r="A11308" s="199"/>
    </row>
    <row r="11309" spans="1:1" s="200" customFormat="1" ht="12" hidden="1" customHeight="1">
      <c r="A11309" s="199"/>
    </row>
    <row r="11310" spans="1:1" s="200" customFormat="1" ht="12" hidden="1" customHeight="1">
      <c r="A11310" s="199"/>
    </row>
    <row r="11311" spans="1:1" s="200" customFormat="1" ht="12" hidden="1" customHeight="1">
      <c r="A11311" s="199"/>
    </row>
    <row r="11312" spans="1:1" s="200" customFormat="1" ht="12" hidden="1" customHeight="1">
      <c r="A11312" s="199"/>
    </row>
    <row r="11313" spans="1:1" s="200" customFormat="1" ht="12" hidden="1" customHeight="1">
      <c r="A11313" s="199"/>
    </row>
    <row r="11314" spans="1:1" s="200" customFormat="1" ht="12" hidden="1" customHeight="1">
      <c r="A11314" s="199"/>
    </row>
    <row r="11315" spans="1:1" s="200" customFormat="1" ht="12" hidden="1" customHeight="1">
      <c r="A11315" s="199"/>
    </row>
    <row r="11316" spans="1:1" s="200" customFormat="1" ht="12" hidden="1" customHeight="1">
      <c r="A11316" s="199"/>
    </row>
    <row r="11317" spans="1:1" s="200" customFormat="1" ht="12" hidden="1" customHeight="1">
      <c r="A11317" s="199"/>
    </row>
    <row r="11318" spans="1:1" s="200" customFormat="1" ht="12" hidden="1" customHeight="1">
      <c r="A11318" s="199"/>
    </row>
    <row r="11319" spans="1:1" s="200" customFormat="1" ht="12" hidden="1" customHeight="1">
      <c r="A11319" s="199"/>
    </row>
    <row r="11320" spans="1:1" s="200" customFormat="1" ht="12" hidden="1" customHeight="1">
      <c r="A11320" s="199"/>
    </row>
    <row r="11321" spans="1:1" s="200" customFormat="1" ht="12" hidden="1" customHeight="1">
      <c r="A11321" s="199"/>
    </row>
    <row r="11322" spans="1:1" s="200" customFormat="1" ht="12" hidden="1" customHeight="1">
      <c r="A11322" s="199"/>
    </row>
    <row r="11323" spans="1:1" s="200" customFormat="1" ht="12" hidden="1" customHeight="1">
      <c r="A11323" s="199"/>
    </row>
    <row r="11324" spans="1:1" s="200" customFormat="1" ht="12" hidden="1" customHeight="1">
      <c r="A11324" s="199"/>
    </row>
    <row r="11325" spans="1:1" s="200" customFormat="1" ht="12" hidden="1" customHeight="1">
      <c r="A11325" s="199"/>
    </row>
    <row r="11326" spans="1:1" s="200" customFormat="1" ht="12" hidden="1" customHeight="1">
      <c r="A11326" s="199"/>
    </row>
    <row r="11327" spans="1:1" s="200" customFormat="1" ht="12" hidden="1" customHeight="1">
      <c r="A11327" s="199"/>
    </row>
    <row r="11328" spans="1:1" s="200" customFormat="1" ht="12" hidden="1" customHeight="1">
      <c r="A11328" s="199"/>
    </row>
    <row r="11329" spans="1:1" s="200" customFormat="1" ht="12" hidden="1" customHeight="1">
      <c r="A11329" s="199"/>
    </row>
    <row r="11330" spans="1:1" s="200" customFormat="1" ht="12" hidden="1" customHeight="1">
      <c r="A11330" s="199"/>
    </row>
    <row r="11331" spans="1:1" s="200" customFormat="1" ht="12" hidden="1" customHeight="1">
      <c r="A11331" s="199"/>
    </row>
    <row r="11332" spans="1:1" s="200" customFormat="1" ht="12" hidden="1" customHeight="1">
      <c r="A11332" s="199"/>
    </row>
    <row r="11333" spans="1:1" s="200" customFormat="1" ht="12" hidden="1" customHeight="1">
      <c r="A11333" s="199"/>
    </row>
    <row r="11334" spans="1:1" s="200" customFormat="1" ht="12" hidden="1" customHeight="1">
      <c r="A11334" s="199"/>
    </row>
    <row r="11335" spans="1:1" s="200" customFormat="1" ht="12" hidden="1" customHeight="1">
      <c r="A11335" s="199"/>
    </row>
    <row r="11336" spans="1:1" s="200" customFormat="1" ht="12" hidden="1" customHeight="1">
      <c r="A11336" s="199"/>
    </row>
    <row r="11337" spans="1:1" s="200" customFormat="1" ht="12" hidden="1" customHeight="1">
      <c r="A11337" s="199"/>
    </row>
    <row r="11338" spans="1:1" s="200" customFormat="1" ht="12" hidden="1" customHeight="1">
      <c r="A11338" s="199"/>
    </row>
    <row r="11339" spans="1:1" s="200" customFormat="1" ht="12" hidden="1" customHeight="1">
      <c r="A11339" s="199"/>
    </row>
    <row r="11340" spans="1:1" s="200" customFormat="1" ht="12" hidden="1" customHeight="1">
      <c r="A11340" s="199"/>
    </row>
    <row r="11341" spans="1:1" s="200" customFormat="1" ht="12" hidden="1" customHeight="1">
      <c r="A11341" s="199"/>
    </row>
    <row r="11342" spans="1:1" s="200" customFormat="1" ht="12" hidden="1" customHeight="1">
      <c r="A11342" s="199"/>
    </row>
    <row r="11343" spans="1:1" s="200" customFormat="1" ht="12" hidden="1" customHeight="1">
      <c r="A11343" s="199"/>
    </row>
    <row r="11344" spans="1:1" s="200" customFormat="1" ht="12" hidden="1" customHeight="1">
      <c r="A11344" s="199"/>
    </row>
    <row r="11345" spans="1:1" s="200" customFormat="1" ht="12" hidden="1" customHeight="1">
      <c r="A11345" s="199"/>
    </row>
    <row r="11346" spans="1:1" s="200" customFormat="1" ht="12" hidden="1" customHeight="1">
      <c r="A11346" s="199"/>
    </row>
    <row r="11347" spans="1:1" s="200" customFormat="1" ht="12" hidden="1" customHeight="1">
      <c r="A11347" s="199"/>
    </row>
    <row r="11348" spans="1:1" s="200" customFormat="1" ht="12" hidden="1" customHeight="1">
      <c r="A11348" s="199"/>
    </row>
    <row r="11349" spans="1:1" s="200" customFormat="1" ht="12" hidden="1" customHeight="1">
      <c r="A11349" s="199"/>
    </row>
    <row r="11350" spans="1:1" s="200" customFormat="1" ht="12" hidden="1" customHeight="1">
      <c r="A11350" s="199"/>
    </row>
    <row r="11351" spans="1:1" s="200" customFormat="1" ht="12" hidden="1" customHeight="1">
      <c r="A11351" s="199"/>
    </row>
    <row r="11352" spans="1:1" s="200" customFormat="1" ht="12" hidden="1" customHeight="1">
      <c r="A11352" s="199"/>
    </row>
    <row r="11353" spans="1:1" s="200" customFormat="1" ht="12" hidden="1" customHeight="1">
      <c r="A11353" s="199"/>
    </row>
    <row r="11354" spans="1:1" s="200" customFormat="1" ht="12" hidden="1" customHeight="1">
      <c r="A11354" s="199"/>
    </row>
    <row r="11355" spans="1:1" s="200" customFormat="1" ht="12" hidden="1" customHeight="1">
      <c r="A11355" s="199"/>
    </row>
    <row r="11356" spans="1:1" s="200" customFormat="1" ht="12" hidden="1" customHeight="1">
      <c r="A11356" s="199"/>
    </row>
    <row r="11357" spans="1:1" s="200" customFormat="1" ht="12" hidden="1" customHeight="1">
      <c r="A11357" s="199"/>
    </row>
    <row r="11358" spans="1:1" s="200" customFormat="1" ht="12" hidden="1" customHeight="1">
      <c r="A11358" s="199"/>
    </row>
    <row r="11359" spans="1:1" s="200" customFormat="1" ht="12" hidden="1" customHeight="1">
      <c r="A11359" s="199"/>
    </row>
    <row r="11360" spans="1:1" s="200" customFormat="1" ht="12" hidden="1" customHeight="1">
      <c r="A11360" s="199"/>
    </row>
    <row r="11361" spans="1:1" s="200" customFormat="1" ht="12" hidden="1" customHeight="1">
      <c r="A11361" s="199"/>
    </row>
    <row r="11362" spans="1:1" s="200" customFormat="1" ht="12" hidden="1" customHeight="1">
      <c r="A11362" s="199"/>
    </row>
    <row r="11363" spans="1:1" s="200" customFormat="1" ht="12" hidden="1" customHeight="1">
      <c r="A11363" s="199"/>
    </row>
    <row r="11364" spans="1:1" s="200" customFormat="1" ht="12" hidden="1" customHeight="1">
      <c r="A11364" s="199"/>
    </row>
    <row r="11365" spans="1:1" s="200" customFormat="1" ht="12" hidden="1" customHeight="1">
      <c r="A11365" s="199"/>
    </row>
    <row r="11366" spans="1:1" s="200" customFormat="1" ht="12" hidden="1" customHeight="1">
      <c r="A11366" s="199"/>
    </row>
    <row r="11367" spans="1:1" s="200" customFormat="1" ht="12" hidden="1" customHeight="1">
      <c r="A11367" s="199"/>
    </row>
    <row r="11368" spans="1:1" s="200" customFormat="1" ht="12" hidden="1" customHeight="1">
      <c r="A11368" s="199"/>
    </row>
    <row r="11369" spans="1:1" s="200" customFormat="1" ht="12" hidden="1" customHeight="1">
      <c r="A11369" s="199"/>
    </row>
    <row r="11370" spans="1:1" s="200" customFormat="1" ht="12" hidden="1" customHeight="1">
      <c r="A11370" s="199"/>
    </row>
    <row r="11371" spans="1:1" s="200" customFormat="1" ht="12" hidden="1" customHeight="1">
      <c r="A11371" s="199"/>
    </row>
    <row r="11372" spans="1:1" s="200" customFormat="1" ht="12" hidden="1" customHeight="1">
      <c r="A11372" s="199"/>
    </row>
    <row r="11373" spans="1:1" s="200" customFormat="1" ht="12" hidden="1" customHeight="1">
      <c r="A11373" s="199"/>
    </row>
    <row r="11374" spans="1:1" s="200" customFormat="1" ht="12" hidden="1" customHeight="1">
      <c r="A11374" s="199"/>
    </row>
    <row r="11375" spans="1:1" s="200" customFormat="1" ht="12" hidden="1" customHeight="1">
      <c r="A11375" s="199"/>
    </row>
    <row r="11376" spans="1:1" s="200" customFormat="1" ht="12" hidden="1" customHeight="1">
      <c r="A11376" s="199"/>
    </row>
    <row r="11377" spans="1:1" s="200" customFormat="1" ht="12" hidden="1" customHeight="1">
      <c r="A11377" s="199"/>
    </row>
    <row r="11378" spans="1:1" s="200" customFormat="1" ht="12" hidden="1" customHeight="1">
      <c r="A11378" s="199"/>
    </row>
    <row r="11379" spans="1:1" s="200" customFormat="1" ht="12" hidden="1" customHeight="1">
      <c r="A11379" s="199"/>
    </row>
    <row r="11380" spans="1:1" s="200" customFormat="1" ht="12" hidden="1" customHeight="1">
      <c r="A11380" s="199"/>
    </row>
    <row r="11381" spans="1:1" s="200" customFormat="1" ht="12" hidden="1" customHeight="1">
      <c r="A11381" s="199"/>
    </row>
    <row r="11382" spans="1:1" s="200" customFormat="1" ht="12" hidden="1" customHeight="1">
      <c r="A11382" s="199"/>
    </row>
    <row r="11383" spans="1:1" s="200" customFormat="1" ht="12" hidden="1" customHeight="1">
      <c r="A11383" s="199"/>
    </row>
    <row r="11384" spans="1:1" s="200" customFormat="1" ht="12" hidden="1" customHeight="1">
      <c r="A11384" s="199"/>
    </row>
    <row r="11385" spans="1:1" s="200" customFormat="1" ht="12" hidden="1" customHeight="1">
      <c r="A11385" s="199"/>
    </row>
    <row r="11386" spans="1:1" s="200" customFormat="1" ht="12" hidden="1" customHeight="1">
      <c r="A11386" s="199"/>
    </row>
    <row r="11387" spans="1:1" s="200" customFormat="1" ht="12" hidden="1" customHeight="1">
      <c r="A11387" s="199"/>
    </row>
    <row r="11388" spans="1:1" s="200" customFormat="1" ht="12" hidden="1" customHeight="1">
      <c r="A11388" s="199"/>
    </row>
    <row r="11389" spans="1:1" s="200" customFormat="1" ht="12" hidden="1" customHeight="1">
      <c r="A11389" s="199"/>
    </row>
    <row r="11390" spans="1:1" s="200" customFormat="1" ht="12" hidden="1" customHeight="1">
      <c r="A11390" s="199"/>
    </row>
    <row r="11391" spans="1:1" s="200" customFormat="1" ht="12" hidden="1" customHeight="1">
      <c r="A11391" s="199"/>
    </row>
    <row r="11392" spans="1:1" s="200" customFormat="1" ht="12" hidden="1" customHeight="1">
      <c r="A11392" s="199"/>
    </row>
    <row r="11393" spans="1:1" s="200" customFormat="1" ht="12" hidden="1" customHeight="1">
      <c r="A11393" s="199"/>
    </row>
    <row r="11394" spans="1:1" s="200" customFormat="1" ht="12" hidden="1" customHeight="1">
      <c r="A11394" s="199"/>
    </row>
    <row r="11395" spans="1:1" s="200" customFormat="1" ht="12" hidden="1" customHeight="1">
      <c r="A11395" s="199"/>
    </row>
    <row r="11396" spans="1:1" s="200" customFormat="1" ht="12" hidden="1" customHeight="1">
      <c r="A11396" s="199"/>
    </row>
    <row r="11397" spans="1:1" s="200" customFormat="1" ht="12" hidden="1" customHeight="1">
      <c r="A11397" s="199"/>
    </row>
    <row r="11398" spans="1:1" s="200" customFormat="1" ht="12" hidden="1" customHeight="1">
      <c r="A11398" s="199"/>
    </row>
    <row r="11399" spans="1:1" s="200" customFormat="1" ht="12" hidden="1" customHeight="1">
      <c r="A11399" s="199"/>
    </row>
    <row r="11400" spans="1:1" s="200" customFormat="1" ht="12" hidden="1" customHeight="1">
      <c r="A11400" s="199"/>
    </row>
    <row r="11401" spans="1:1" s="200" customFormat="1" ht="12" hidden="1" customHeight="1">
      <c r="A11401" s="199"/>
    </row>
    <row r="11402" spans="1:1" s="200" customFormat="1" ht="12" hidden="1" customHeight="1">
      <c r="A11402" s="199"/>
    </row>
    <row r="11403" spans="1:1" s="200" customFormat="1" ht="12" hidden="1" customHeight="1">
      <c r="A11403" s="199"/>
    </row>
    <row r="11404" spans="1:1" s="200" customFormat="1" ht="12" hidden="1" customHeight="1">
      <c r="A11404" s="199"/>
    </row>
    <row r="11405" spans="1:1" s="200" customFormat="1" ht="12" hidden="1" customHeight="1">
      <c r="A11405" s="199"/>
    </row>
    <row r="11406" spans="1:1" s="200" customFormat="1" ht="12" hidden="1" customHeight="1">
      <c r="A11406" s="199"/>
    </row>
    <row r="11407" spans="1:1" s="200" customFormat="1" ht="12" hidden="1" customHeight="1">
      <c r="A11407" s="199"/>
    </row>
    <row r="11408" spans="1:1" s="200" customFormat="1" ht="12" hidden="1" customHeight="1">
      <c r="A11408" s="199"/>
    </row>
    <row r="11409" spans="1:1" s="200" customFormat="1" ht="12" hidden="1" customHeight="1">
      <c r="A11409" s="199"/>
    </row>
    <row r="11410" spans="1:1" s="200" customFormat="1" ht="12" hidden="1" customHeight="1">
      <c r="A11410" s="199"/>
    </row>
    <row r="11411" spans="1:1" s="200" customFormat="1" ht="12" hidden="1" customHeight="1">
      <c r="A11411" s="199"/>
    </row>
    <row r="11412" spans="1:1" s="200" customFormat="1" ht="12" hidden="1" customHeight="1">
      <c r="A11412" s="199"/>
    </row>
    <row r="11413" spans="1:1" s="200" customFormat="1" ht="12" hidden="1" customHeight="1">
      <c r="A11413" s="199"/>
    </row>
    <row r="11414" spans="1:1" s="200" customFormat="1" ht="12" hidden="1" customHeight="1">
      <c r="A11414" s="199"/>
    </row>
    <row r="11415" spans="1:1" s="200" customFormat="1" ht="12" hidden="1" customHeight="1">
      <c r="A11415" s="199"/>
    </row>
    <row r="11416" spans="1:1" s="200" customFormat="1" ht="12" hidden="1" customHeight="1">
      <c r="A11416" s="199"/>
    </row>
    <row r="11417" spans="1:1" s="200" customFormat="1" ht="12" hidden="1" customHeight="1">
      <c r="A11417" s="199"/>
    </row>
    <row r="11418" spans="1:1" s="200" customFormat="1" ht="12" hidden="1" customHeight="1">
      <c r="A11418" s="199"/>
    </row>
    <row r="11419" spans="1:1" s="200" customFormat="1" ht="12" hidden="1" customHeight="1">
      <c r="A11419" s="199"/>
    </row>
    <row r="11420" spans="1:1" s="200" customFormat="1" ht="12" hidden="1" customHeight="1">
      <c r="A11420" s="199"/>
    </row>
    <row r="11421" spans="1:1" s="200" customFormat="1" ht="12" hidden="1" customHeight="1">
      <c r="A11421" s="199"/>
    </row>
    <row r="11422" spans="1:1" s="200" customFormat="1" ht="12" hidden="1" customHeight="1">
      <c r="A11422" s="199"/>
    </row>
    <row r="11423" spans="1:1" s="200" customFormat="1" ht="12" hidden="1" customHeight="1">
      <c r="A11423" s="199"/>
    </row>
    <row r="11424" spans="1:1" s="200" customFormat="1" ht="12" hidden="1" customHeight="1">
      <c r="A11424" s="199"/>
    </row>
    <row r="11425" spans="1:1" s="200" customFormat="1" ht="12" hidden="1" customHeight="1">
      <c r="A11425" s="199"/>
    </row>
    <row r="11426" spans="1:1" s="200" customFormat="1" ht="12" hidden="1" customHeight="1">
      <c r="A11426" s="199"/>
    </row>
    <row r="11427" spans="1:1" s="200" customFormat="1" ht="12" hidden="1" customHeight="1">
      <c r="A11427" s="199"/>
    </row>
    <row r="11428" spans="1:1" s="200" customFormat="1" ht="12" hidden="1" customHeight="1">
      <c r="A11428" s="199"/>
    </row>
    <row r="11429" spans="1:1" s="200" customFormat="1" ht="12" hidden="1" customHeight="1">
      <c r="A11429" s="199"/>
    </row>
    <row r="11430" spans="1:1" s="200" customFormat="1" ht="12" hidden="1" customHeight="1">
      <c r="A11430" s="199"/>
    </row>
    <row r="11431" spans="1:1" s="200" customFormat="1" ht="12" hidden="1" customHeight="1">
      <c r="A11431" s="199"/>
    </row>
    <row r="11432" spans="1:1" s="200" customFormat="1" ht="12" hidden="1" customHeight="1">
      <c r="A11432" s="199"/>
    </row>
    <row r="11433" spans="1:1" s="200" customFormat="1" ht="12" hidden="1" customHeight="1">
      <c r="A11433" s="199"/>
    </row>
    <row r="11434" spans="1:1" s="200" customFormat="1" ht="12" hidden="1" customHeight="1">
      <c r="A11434" s="199"/>
    </row>
    <row r="11435" spans="1:1" s="200" customFormat="1" ht="12" hidden="1" customHeight="1">
      <c r="A11435" s="199"/>
    </row>
    <row r="11436" spans="1:1" s="200" customFormat="1" ht="12" hidden="1" customHeight="1">
      <c r="A11436" s="199"/>
    </row>
    <row r="11437" spans="1:1" s="200" customFormat="1" ht="12" hidden="1" customHeight="1">
      <c r="A11437" s="199"/>
    </row>
    <row r="11438" spans="1:1" s="200" customFormat="1" ht="12" hidden="1" customHeight="1">
      <c r="A11438" s="199"/>
    </row>
    <row r="11439" spans="1:1" s="200" customFormat="1" ht="12" hidden="1" customHeight="1">
      <c r="A11439" s="199"/>
    </row>
    <row r="11440" spans="1:1" s="200" customFormat="1" ht="12" hidden="1" customHeight="1">
      <c r="A11440" s="199"/>
    </row>
    <row r="11441" spans="1:1" s="200" customFormat="1" ht="12" hidden="1" customHeight="1">
      <c r="A11441" s="199"/>
    </row>
    <row r="11442" spans="1:1" s="200" customFormat="1" ht="12" hidden="1" customHeight="1">
      <c r="A11442" s="199"/>
    </row>
    <row r="11443" spans="1:1" s="200" customFormat="1" ht="12" hidden="1" customHeight="1">
      <c r="A11443" s="199"/>
    </row>
    <row r="11444" spans="1:1" s="200" customFormat="1" ht="12" hidden="1" customHeight="1">
      <c r="A11444" s="199"/>
    </row>
    <row r="11445" spans="1:1" s="200" customFormat="1" ht="12" hidden="1" customHeight="1">
      <c r="A11445" s="199"/>
    </row>
    <row r="11446" spans="1:1" s="200" customFormat="1" ht="12" hidden="1" customHeight="1">
      <c r="A11446" s="199"/>
    </row>
    <row r="11447" spans="1:1" s="200" customFormat="1" ht="12" hidden="1" customHeight="1">
      <c r="A11447" s="199"/>
    </row>
    <row r="11448" spans="1:1" s="200" customFormat="1" ht="12" hidden="1" customHeight="1">
      <c r="A11448" s="199"/>
    </row>
    <row r="11449" spans="1:1" s="200" customFormat="1" ht="12" hidden="1" customHeight="1">
      <c r="A11449" s="199"/>
    </row>
    <row r="11450" spans="1:1" s="200" customFormat="1" ht="12" hidden="1" customHeight="1">
      <c r="A11450" s="199"/>
    </row>
    <row r="11451" spans="1:1" s="200" customFormat="1" ht="12" hidden="1" customHeight="1">
      <c r="A11451" s="199"/>
    </row>
    <row r="11452" spans="1:1" s="200" customFormat="1" ht="12" hidden="1" customHeight="1">
      <c r="A11452" s="199"/>
    </row>
    <row r="11453" spans="1:1" s="200" customFormat="1" ht="12" hidden="1" customHeight="1">
      <c r="A11453" s="199"/>
    </row>
    <row r="11454" spans="1:1" s="200" customFormat="1" ht="12" hidden="1" customHeight="1">
      <c r="A11454" s="199"/>
    </row>
    <row r="11455" spans="1:1" s="200" customFormat="1" ht="12" hidden="1" customHeight="1">
      <c r="A11455" s="199"/>
    </row>
    <row r="11456" spans="1:1" s="200" customFormat="1" ht="12" hidden="1" customHeight="1">
      <c r="A11456" s="199"/>
    </row>
    <row r="11457" spans="1:1" s="200" customFormat="1" ht="12" hidden="1" customHeight="1">
      <c r="A11457" s="199"/>
    </row>
    <row r="11458" spans="1:1" s="200" customFormat="1" ht="12" hidden="1" customHeight="1">
      <c r="A11458" s="199"/>
    </row>
    <row r="11459" spans="1:1" s="200" customFormat="1" ht="12" hidden="1" customHeight="1">
      <c r="A11459" s="199"/>
    </row>
    <row r="11460" spans="1:1" s="200" customFormat="1" ht="12" hidden="1" customHeight="1">
      <c r="A11460" s="199"/>
    </row>
    <row r="11461" spans="1:1" s="200" customFormat="1" ht="12" hidden="1" customHeight="1">
      <c r="A11461" s="199"/>
    </row>
    <row r="11462" spans="1:1" s="200" customFormat="1" ht="12" hidden="1" customHeight="1">
      <c r="A11462" s="199"/>
    </row>
    <row r="11463" spans="1:1" s="200" customFormat="1" ht="12" hidden="1" customHeight="1">
      <c r="A11463" s="199"/>
    </row>
    <row r="11464" spans="1:1" s="200" customFormat="1" ht="12" hidden="1" customHeight="1">
      <c r="A11464" s="199"/>
    </row>
    <row r="11465" spans="1:1" s="200" customFormat="1" ht="12" hidden="1" customHeight="1">
      <c r="A11465" s="199"/>
    </row>
    <row r="11466" spans="1:1" s="200" customFormat="1" ht="12" hidden="1" customHeight="1">
      <c r="A11466" s="199"/>
    </row>
    <row r="11467" spans="1:1" s="200" customFormat="1" ht="12" hidden="1" customHeight="1">
      <c r="A11467" s="199"/>
    </row>
    <row r="11468" spans="1:1" s="200" customFormat="1" ht="12" hidden="1" customHeight="1">
      <c r="A11468" s="199"/>
    </row>
    <row r="11469" spans="1:1" s="200" customFormat="1" ht="12" hidden="1" customHeight="1">
      <c r="A11469" s="199"/>
    </row>
    <row r="11470" spans="1:1" s="200" customFormat="1" ht="12" hidden="1" customHeight="1">
      <c r="A11470" s="199"/>
    </row>
    <row r="11471" spans="1:1" s="200" customFormat="1" ht="12" hidden="1" customHeight="1">
      <c r="A11471" s="199"/>
    </row>
    <row r="11472" spans="1:1" s="200" customFormat="1" ht="12" hidden="1" customHeight="1">
      <c r="A11472" s="199"/>
    </row>
    <row r="11473" spans="1:1" s="200" customFormat="1" ht="12" hidden="1" customHeight="1">
      <c r="A11473" s="199"/>
    </row>
    <row r="11474" spans="1:1" s="200" customFormat="1" ht="12" hidden="1" customHeight="1">
      <c r="A11474" s="199"/>
    </row>
    <row r="11475" spans="1:1" s="200" customFormat="1" ht="12" hidden="1" customHeight="1">
      <c r="A11475" s="199"/>
    </row>
    <row r="11476" spans="1:1" s="200" customFormat="1" ht="12" hidden="1" customHeight="1">
      <c r="A11476" s="199"/>
    </row>
    <row r="11477" spans="1:1" s="200" customFormat="1" ht="12" hidden="1" customHeight="1">
      <c r="A11477" s="199"/>
    </row>
    <row r="11478" spans="1:1" s="200" customFormat="1" ht="12" hidden="1" customHeight="1">
      <c r="A11478" s="199"/>
    </row>
    <row r="11479" spans="1:1" s="200" customFormat="1" ht="12" hidden="1" customHeight="1">
      <c r="A11479" s="199"/>
    </row>
    <row r="11480" spans="1:1" s="200" customFormat="1" ht="12" hidden="1" customHeight="1">
      <c r="A11480" s="199"/>
    </row>
    <row r="11481" spans="1:1" s="200" customFormat="1" ht="12" hidden="1" customHeight="1">
      <c r="A11481" s="199"/>
    </row>
    <row r="11482" spans="1:1" s="200" customFormat="1" ht="12" hidden="1" customHeight="1">
      <c r="A11482" s="199"/>
    </row>
    <row r="11483" spans="1:1" s="200" customFormat="1" ht="12" hidden="1" customHeight="1">
      <c r="A11483" s="199"/>
    </row>
    <row r="11484" spans="1:1" s="200" customFormat="1" ht="12" hidden="1" customHeight="1">
      <c r="A11484" s="199"/>
    </row>
    <row r="11485" spans="1:1" s="200" customFormat="1" ht="12" hidden="1" customHeight="1">
      <c r="A11485" s="199"/>
    </row>
    <row r="11486" spans="1:1" s="200" customFormat="1" ht="12" hidden="1" customHeight="1">
      <c r="A11486" s="199"/>
    </row>
    <row r="11487" spans="1:1" s="200" customFormat="1" ht="12" hidden="1" customHeight="1">
      <c r="A11487" s="199"/>
    </row>
    <row r="11488" spans="1:1" s="200" customFormat="1" ht="12" hidden="1" customHeight="1">
      <c r="A11488" s="199"/>
    </row>
    <row r="11489" spans="1:1" s="200" customFormat="1" ht="12" hidden="1" customHeight="1">
      <c r="A11489" s="199"/>
    </row>
    <row r="11490" spans="1:1" s="200" customFormat="1" ht="12" hidden="1" customHeight="1">
      <c r="A11490" s="199"/>
    </row>
    <row r="11491" spans="1:1" s="200" customFormat="1" ht="12" hidden="1" customHeight="1">
      <c r="A11491" s="199"/>
    </row>
    <row r="11492" spans="1:1" s="200" customFormat="1" ht="12" hidden="1" customHeight="1">
      <c r="A11492" s="199"/>
    </row>
    <row r="11493" spans="1:1" s="200" customFormat="1" ht="12" hidden="1" customHeight="1">
      <c r="A11493" s="199"/>
    </row>
    <row r="11494" spans="1:1" s="200" customFormat="1" ht="12" hidden="1" customHeight="1">
      <c r="A11494" s="199"/>
    </row>
    <row r="11495" spans="1:1" s="200" customFormat="1" ht="12" hidden="1" customHeight="1">
      <c r="A11495" s="199"/>
    </row>
    <row r="11496" spans="1:1" s="200" customFormat="1" ht="12" hidden="1" customHeight="1">
      <c r="A11496" s="199"/>
    </row>
    <row r="11497" spans="1:1" s="200" customFormat="1" ht="12" hidden="1" customHeight="1">
      <c r="A11497" s="199"/>
    </row>
    <row r="11498" spans="1:1" s="200" customFormat="1" ht="12" hidden="1" customHeight="1">
      <c r="A11498" s="199"/>
    </row>
    <row r="11499" spans="1:1" s="200" customFormat="1" ht="12" hidden="1" customHeight="1">
      <c r="A11499" s="199"/>
    </row>
    <row r="11500" spans="1:1" s="200" customFormat="1" ht="12" hidden="1" customHeight="1">
      <c r="A11500" s="199"/>
    </row>
    <row r="11501" spans="1:1" s="200" customFormat="1" ht="12" hidden="1" customHeight="1">
      <c r="A11501" s="199"/>
    </row>
    <row r="11502" spans="1:1" s="200" customFormat="1" ht="12" hidden="1" customHeight="1">
      <c r="A11502" s="199"/>
    </row>
    <row r="11503" spans="1:1" s="200" customFormat="1" ht="12" hidden="1" customHeight="1">
      <c r="A11503" s="199"/>
    </row>
    <row r="11504" spans="1:1" s="200" customFormat="1" ht="12" hidden="1" customHeight="1">
      <c r="A11504" s="199"/>
    </row>
    <row r="11505" spans="1:1" s="200" customFormat="1" ht="12" hidden="1" customHeight="1">
      <c r="A11505" s="199"/>
    </row>
    <row r="11506" spans="1:1" s="200" customFormat="1" ht="12" hidden="1" customHeight="1">
      <c r="A11506" s="199"/>
    </row>
    <row r="11507" spans="1:1" s="200" customFormat="1" ht="12" hidden="1" customHeight="1">
      <c r="A11507" s="199"/>
    </row>
    <row r="11508" spans="1:1" s="200" customFormat="1" ht="12" hidden="1" customHeight="1">
      <c r="A11508" s="199"/>
    </row>
    <row r="11509" spans="1:1" s="200" customFormat="1" ht="12" hidden="1" customHeight="1">
      <c r="A11509" s="199"/>
    </row>
    <row r="11510" spans="1:1" s="200" customFormat="1" ht="12" hidden="1" customHeight="1">
      <c r="A11510" s="199"/>
    </row>
    <row r="11511" spans="1:1" s="200" customFormat="1" ht="12" hidden="1" customHeight="1">
      <c r="A11511" s="199"/>
    </row>
    <row r="11512" spans="1:1" s="200" customFormat="1" ht="12" hidden="1" customHeight="1">
      <c r="A11512" s="199"/>
    </row>
    <row r="11513" spans="1:1" s="200" customFormat="1" ht="12" hidden="1" customHeight="1">
      <c r="A11513" s="199"/>
    </row>
    <row r="11514" spans="1:1" s="200" customFormat="1" ht="12" hidden="1" customHeight="1">
      <c r="A11514" s="199"/>
    </row>
    <row r="11515" spans="1:1" s="200" customFormat="1" ht="12" hidden="1" customHeight="1">
      <c r="A11515" s="199"/>
    </row>
    <row r="11516" spans="1:1" s="200" customFormat="1" ht="12" hidden="1" customHeight="1">
      <c r="A11516" s="199"/>
    </row>
    <row r="11517" spans="1:1" s="200" customFormat="1" ht="12" hidden="1" customHeight="1">
      <c r="A11517" s="199"/>
    </row>
    <row r="11518" spans="1:1" s="200" customFormat="1" ht="12" hidden="1" customHeight="1">
      <c r="A11518" s="199"/>
    </row>
    <row r="11519" spans="1:1" s="200" customFormat="1" ht="12" hidden="1" customHeight="1">
      <c r="A11519" s="199"/>
    </row>
    <row r="11520" spans="1:1" s="200" customFormat="1" ht="12" hidden="1" customHeight="1">
      <c r="A11520" s="199"/>
    </row>
    <row r="11521" spans="1:1" s="200" customFormat="1" ht="12" hidden="1" customHeight="1">
      <c r="A11521" s="199"/>
    </row>
    <row r="11522" spans="1:1" s="200" customFormat="1" ht="12" hidden="1" customHeight="1">
      <c r="A11522" s="199"/>
    </row>
    <row r="11523" spans="1:1" s="200" customFormat="1" ht="12" hidden="1" customHeight="1">
      <c r="A11523" s="199"/>
    </row>
    <row r="11524" spans="1:1" s="200" customFormat="1" ht="12" hidden="1" customHeight="1">
      <c r="A11524" s="199"/>
    </row>
    <row r="11525" spans="1:1" s="200" customFormat="1" ht="12" hidden="1" customHeight="1">
      <c r="A11525" s="199"/>
    </row>
    <row r="11526" spans="1:1" s="200" customFormat="1" ht="12" hidden="1" customHeight="1">
      <c r="A11526" s="199"/>
    </row>
    <row r="11527" spans="1:1" s="200" customFormat="1" ht="12" hidden="1" customHeight="1">
      <c r="A11527" s="199"/>
    </row>
    <row r="11528" spans="1:1" s="200" customFormat="1" ht="12" hidden="1" customHeight="1">
      <c r="A11528" s="199"/>
    </row>
    <row r="11529" spans="1:1" s="200" customFormat="1" ht="12" hidden="1" customHeight="1">
      <c r="A11529" s="199"/>
    </row>
    <row r="11530" spans="1:1" s="200" customFormat="1" ht="12" hidden="1" customHeight="1">
      <c r="A11530" s="199"/>
    </row>
    <row r="11531" spans="1:1" s="200" customFormat="1" ht="12" hidden="1" customHeight="1">
      <c r="A11531" s="199"/>
    </row>
    <row r="11532" spans="1:1" s="200" customFormat="1" ht="12" hidden="1" customHeight="1">
      <c r="A11532" s="199"/>
    </row>
    <row r="11533" spans="1:1" s="200" customFormat="1" ht="12" hidden="1" customHeight="1">
      <c r="A11533" s="199"/>
    </row>
    <row r="11534" spans="1:1" s="200" customFormat="1" ht="12" hidden="1" customHeight="1">
      <c r="A11534" s="199"/>
    </row>
    <row r="11535" spans="1:1" s="200" customFormat="1" ht="12" hidden="1" customHeight="1">
      <c r="A11535" s="199"/>
    </row>
    <row r="11536" spans="1:1" s="200" customFormat="1" ht="12" hidden="1" customHeight="1">
      <c r="A11536" s="199"/>
    </row>
    <row r="11537" spans="1:1" s="200" customFormat="1" ht="12" hidden="1" customHeight="1">
      <c r="A11537" s="199"/>
    </row>
    <row r="11538" spans="1:1" s="200" customFormat="1" ht="12" hidden="1" customHeight="1">
      <c r="A11538" s="199"/>
    </row>
    <row r="11539" spans="1:1" s="200" customFormat="1" ht="12" hidden="1" customHeight="1">
      <c r="A11539" s="199"/>
    </row>
    <row r="11540" spans="1:1" s="200" customFormat="1" ht="12" hidden="1" customHeight="1">
      <c r="A11540" s="199"/>
    </row>
    <row r="11541" spans="1:1" s="200" customFormat="1" ht="12" hidden="1" customHeight="1">
      <c r="A11541" s="199"/>
    </row>
    <row r="11542" spans="1:1" s="200" customFormat="1" ht="12" hidden="1" customHeight="1">
      <c r="A11542" s="199"/>
    </row>
    <row r="11543" spans="1:1" s="200" customFormat="1" ht="12" hidden="1" customHeight="1">
      <c r="A11543" s="199"/>
    </row>
    <row r="11544" spans="1:1" s="200" customFormat="1" ht="12" hidden="1" customHeight="1">
      <c r="A11544" s="199"/>
    </row>
    <row r="11545" spans="1:1" s="200" customFormat="1" ht="12" hidden="1" customHeight="1">
      <c r="A11545" s="199"/>
    </row>
    <row r="11546" spans="1:1" s="200" customFormat="1" ht="12" hidden="1" customHeight="1">
      <c r="A11546" s="199"/>
    </row>
    <row r="11547" spans="1:1" s="200" customFormat="1" ht="12" hidden="1" customHeight="1">
      <c r="A11547" s="199"/>
    </row>
    <row r="11548" spans="1:1" s="200" customFormat="1" ht="12" hidden="1" customHeight="1">
      <c r="A11548" s="199"/>
    </row>
    <row r="11549" spans="1:1" s="200" customFormat="1" ht="12" hidden="1" customHeight="1">
      <c r="A11549" s="199"/>
    </row>
    <row r="11550" spans="1:1" s="200" customFormat="1" ht="12" hidden="1" customHeight="1">
      <c r="A11550" s="199"/>
    </row>
    <row r="11551" spans="1:1" s="200" customFormat="1" ht="12" hidden="1" customHeight="1">
      <c r="A11551" s="199"/>
    </row>
    <row r="11552" spans="1:1" s="200" customFormat="1" ht="12" hidden="1" customHeight="1">
      <c r="A11552" s="199"/>
    </row>
    <row r="11553" spans="1:1" s="200" customFormat="1" ht="12" hidden="1" customHeight="1">
      <c r="A11553" s="199"/>
    </row>
    <row r="11554" spans="1:1" s="200" customFormat="1" ht="12" hidden="1" customHeight="1">
      <c r="A11554" s="199"/>
    </row>
    <row r="11555" spans="1:1" s="200" customFormat="1" ht="12" hidden="1" customHeight="1">
      <c r="A11555" s="199"/>
    </row>
    <row r="11556" spans="1:1" s="200" customFormat="1" ht="12" hidden="1" customHeight="1">
      <c r="A11556" s="199"/>
    </row>
    <row r="11557" spans="1:1" s="200" customFormat="1" ht="12" hidden="1" customHeight="1">
      <c r="A11557" s="199"/>
    </row>
    <row r="11558" spans="1:1" s="200" customFormat="1" ht="12" hidden="1" customHeight="1">
      <c r="A11558" s="199"/>
    </row>
    <row r="11559" spans="1:1" s="200" customFormat="1" ht="12" hidden="1" customHeight="1">
      <c r="A11559" s="199"/>
    </row>
    <row r="11560" spans="1:1" s="200" customFormat="1" ht="12" hidden="1" customHeight="1">
      <c r="A11560" s="199"/>
    </row>
    <row r="11561" spans="1:1" s="200" customFormat="1" ht="12" hidden="1" customHeight="1">
      <c r="A11561" s="199"/>
    </row>
    <row r="11562" spans="1:1" s="200" customFormat="1" ht="12" hidden="1" customHeight="1">
      <c r="A11562" s="199"/>
    </row>
    <row r="11563" spans="1:1" s="200" customFormat="1" ht="12" hidden="1" customHeight="1">
      <c r="A11563" s="199"/>
    </row>
    <row r="11564" spans="1:1" s="200" customFormat="1" ht="12" hidden="1" customHeight="1">
      <c r="A11564" s="199"/>
    </row>
    <row r="11565" spans="1:1" s="200" customFormat="1" ht="12" hidden="1" customHeight="1">
      <c r="A11565" s="199"/>
    </row>
    <row r="11566" spans="1:1" s="200" customFormat="1" ht="12" hidden="1" customHeight="1">
      <c r="A11566" s="199"/>
    </row>
    <row r="11567" spans="1:1" s="200" customFormat="1" ht="12" hidden="1" customHeight="1">
      <c r="A11567" s="199"/>
    </row>
    <row r="11568" spans="1:1" s="200" customFormat="1" ht="12" hidden="1" customHeight="1">
      <c r="A11568" s="199"/>
    </row>
    <row r="11569" spans="1:1" s="200" customFormat="1" ht="12" hidden="1" customHeight="1">
      <c r="A11569" s="199"/>
    </row>
    <row r="11570" spans="1:1" s="200" customFormat="1" ht="12" hidden="1" customHeight="1">
      <c r="A11570" s="199"/>
    </row>
    <row r="11571" spans="1:1" s="200" customFormat="1" ht="12" hidden="1" customHeight="1">
      <c r="A11571" s="199"/>
    </row>
    <row r="11572" spans="1:1" s="200" customFormat="1" ht="12" hidden="1" customHeight="1">
      <c r="A11572" s="199"/>
    </row>
    <row r="11573" spans="1:1" s="200" customFormat="1" ht="12" hidden="1" customHeight="1">
      <c r="A11573" s="199"/>
    </row>
    <row r="11574" spans="1:1" s="200" customFormat="1" ht="12" hidden="1" customHeight="1">
      <c r="A11574" s="199"/>
    </row>
    <row r="11575" spans="1:1" s="200" customFormat="1" ht="12" hidden="1" customHeight="1">
      <c r="A11575" s="199"/>
    </row>
    <row r="11576" spans="1:1" s="200" customFormat="1" ht="12" hidden="1" customHeight="1">
      <c r="A11576" s="199"/>
    </row>
    <row r="11577" spans="1:1" s="200" customFormat="1" ht="12" hidden="1" customHeight="1">
      <c r="A11577" s="199"/>
    </row>
    <row r="11578" spans="1:1" s="200" customFormat="1" ht="12" hidden="1" customHeight="1">
      <c r="A11578" s="199"/>
    </row>
    <row r="11579" spans="1:1" s="200" customFormat="1" ht="12" hidden="1" customHeight="1">
      <c r="A11579" s="199"/>
    </row>
    <row r="11580" spans="1:1" s="200" customFormat="1" ht="12" hidden="1" customHeight="1">
      <c r="A11580" s="199"/>
    </row>
    <row r="11581" spans="1:1" s="200" customFormat="1" ht="12" hidden="1" customHeight="1">
      <c r="A11581" s="199"/>
    </row>
    <row r="11582" spans="1:1" s="200" customFormat="1" ht="12" hidden="1" customHeight="1">
      <c r="A11582" s="199"/>
    </row>
    <row r="11583" spans="1:1" s="200" customFormat="1" ht="12" hidden="1" customHeight="1">
      <c r="A11583" s="199"/>
    </row>
    <row r="11584" spans="1:1" s="200" customFormat="1" ht="12" hidden="1" customHeight="1">
      <c r="A11584" s="199"/>
    </row>
    <row r="11585" spans="1:1" s="200" customFormat="1" ht="12" hidden="1" customHeight="1">
      <c r="A11585" s="199"/>
    </row>
    <row r="11586" spans="1:1" s="200" customFormat="1" ht="12" hidden="1" customHeight="1">
      <c r="A11586" s="199"/>
    </row>
    <row r="11587" spans="1:1" s="200" customFormat="1" ht="12" hidden="1" customHeight="1">
      <c r="A11587" s="199"/>
    </row>
    <row r="11588" spans="1:1" s="200" customFormat="1" ht="12" hidden="1" customHeight="1">
      <c r="A11588" s="199"/>
    </row>
    <row r="11589" spans="1:1" s="200" customFormat="1" ht="12" hidden="1" customHeight="1">
      <c r="A11589" s="199"/>
    </row>
    <row r="11590" spans="1:1" s="200" customFormat="1" ht="12" hidden="1" customHeight="1">
      <c r="A11590" s="199"/>
    </row>
    <row r="11591" spans="1:1" s="200" customFormat="1" ht="12" hidden="1" customHeight="1">
      <c r="A11591" s="199"/>
    </row>
    <row r="11592" spans="1:1" s="200" customFormat="1" ht="12" hidden="1" customHeight="1">
      <c r="A11592" s="199"/>
    </row>
    <row r="11593" spans="1:1" s="200" customFormat="1" ht="12" hidden="1" customHeight="1">
      <c r="A11593" s="199"/>
    </row>
    <row r="11594" spans="1:1" s="200" customFormat="1" ht="12" hidden="1" customHeight="1">
      <c r="A11594" s="199"/>
    </row>
    <row r="11595" spans="1:1" s="200" customFormat="1" ht="12" hidden="1" customHeight="1">
      <c r="A11595" s="199"/>
    </row>
    <row r="11596" spans="1:1" s="200" customFormat="1" ht="12" hidden="1" customHeight="1">
      <c r="A11596" s="199"/>
    </row>
    <row r="11597" spans="1:1" s="200" customFormat="1" ht="12" hidden="1" customHeight="1">
      <c r="A11597" s="199"/>
    </row>
    <row r="11598" spans="1:1" s="200" customFormat="1" ht="12" hidden="1" customHeight="1">
      <c r="A11598" s="199"/>
    </row>
    <row r="11599" spans="1:1" s="200" customFormat="1" ht="12" hidden="1" customHeight="1">
      <c r="A11599" s="199"/>
    </row>
    <row r="11600" spans="1:1" s="200" customFormat="1" ht="12" hidden="1" customHeight="1">
      <c r="A11600" s="199"/>
    </row>
    <row r="11601" spans="1:1" s="200" customFormat="1" ht="12" hidden="1" customHeight="1">
      <c r="A11601" s="199"/>
    </row>
    <row r="11602" spans="1:1" s="200" customFormat="1" ht="12" hidden="1" customHeight="1">
      <c r="A11602" s="199"/>
    </row>
    <row r="11603" spans="1:1" s="200" customFormat="1" ht="12" hidden="1" customHeight="1">
      <c r="A11603" s="199"/>
    </row>
    <row r="11604" spans="1:1" s="200" customFormat="1" ht="12" hidden="1" customHeight="1">
      <c r="A11604" s="199"/>
    </row>
    <row r="11605" spans="1:1" s="200" customFormat="1" ht="12" hidden="1" customHeight="1">
      <c r="A11605" s="199"/>
    </row>
    <row r="11606" spans="1:1" s="200" customFormat="1" ht="12" hidden="1" customHeight="1">
      <c r="A11606" s="199"/>
    </row>
    <row r="11607" spans="1:1" s="200" customFormat="1" ht="12" hidden="1" customHeight="1">
      <c r="A11607" s="199"/>
    </row>
    <row r="11608" spans="1:1" s="200" customFormat="1" ht="12" hidden="1" customHeight="1">
      <c r="A11608" s="199"/>
    </row>
    <row r="11609" spans="1:1" s="200" customFormat="1" ht="12" hidden="1" customHeight="1">
      <c r="A11609" s="199"/>
    </row>
    <row r="11610" spans="1:1" s="200" customFormat="1" ht="12" hidden="1" customHeight="1">
      <c r="A11610" s="199"/>
    </row>
    <row r="11611" spans="1:1" s="200" customFormat="1" ht="12" hidden="1" customHeight="1">
      <c r="A11611" s="199"/>
    </row>
    <row r="11612" spans="1:1" s="200" customFormat="1" ht="12" hidden="1" customHeight="1">
      <c r="A11612" s="199"/>
    </row>
    <row r="11613" spans="1:1" s="200" customFormat="1" ht="12" hidden="1" customHeight="1">
      <c r="A11613" s="199"/>
    </row>
    <row r="11614" spans="1:1" s="200" customFormat="1" ht="12" hidden="1" customHeight="1">
      <c r="A11614" s="199"/>
    </row>
    <row r="11615" spans="1:1" s="200" customFormat="1" ht="12" hidden="1" customHeight="1">
      <c r="A11615" s="199"/>
    </row>
    <row r="11616" spans="1:1" s="200" customFormat="1" ht="12" hidden="1" customHeight="1">
      <c r="A11616" s="199"/>
    </row>
    <row r="11617" spans="1:1" s="200" customFormat="1" ht="12" hidden="1" customHeight="1">
      <c r="A11617" s="199"/>
    </row>
    <row r="11618" spans="1:1" s="200" customFormat="1" ht="12" hidden="1" customHeight="1">
      <c r="A11618" s="199"/>
    </row>
    <row r="11619" spans="1:1" s="200" customFormat="1" ht="12" hidden="1" customHeight="1">
      <c r="A11619" s="199"/>
    </row>
    <row r="11620" spans="1:1" s="200" customFormat="1" ht="12" hidden="1" customHeight="1">
      <c r="A11620" s="199"/>
    </row>
    <row r="11621" spans="1:1" s="200" customFormat="1" ht="12" hidden="1" customHeight="1">
      <c r="A11621" s="199"/>
    </row>
    <row r="11622" spans="1:1" s="200" customFormat="1" ht="12" hidden="1" customHeight="1">
      <c r="A11622" s="199"/>
    </row>
    <row r="11623" spans="1:1" s="200" customFormat="1" ht="12" hidden="1" customHeight="1">
      <c r="A11623" s="199"/>
    </row>
    <row r="11624" spans="1:1" s="200" customFormat="1" ht="12" hidden="1" customHeight="1">
      <c r="A11624" s="199"/>
    </row>
    <row r="11625" spans="1:1" s="200" customFormat="1" ht="12" hidden="1" customHeight="1">
      <c r="A11625" s="199"/>
    </row>
    <row r="11626" spans="1:1" s="200" customFormat="1" ht="12" hidden="1" customHeight="1">
      <c r="A11626" s="199"/>
    </row>
    <row r="11627" spans="1:1" s="200" customFormat="1" ht="12" hidden="1" customHeight="1">
      <c r="A11627" s="199"/>
    </row>
    <row r="11628" spans="1:1" s="200" customFormat="1" ht="12" hidden="1" customHeight="1">
      <c r="A11628" s="199"/>
    </row>
    <row r="11629" spans="1:1" s="200" customFormat="1" ht="12" hidden="1" customHeight="1">
      <c r="A11629" s="199"/>
    </row>
    <row r="11630" spans="1:1" s="200" customFormat="1" ht="12" hidden="1" customHeight="1">
      <c r="A11630" s="199"/>
    </row>
    <row r="11631" spans="1:1" s="200" customFormat="1" ht="12" hidden="1" customHeight="1">
      <c r="A11631" s="199"/>
    </row>
    <row r="11632" spans="1:1" s="200" customFormat="1" ht="12" hidden="1" customHeight="1">
      <c r="A11632" s="199"/>
    </row>
    <row r="11633" spans="1:1" s="200" customFormat="1" ht="12" hidden="1" customHeight="1">
      <c r="A11633" s="199"/>
    </row>
    <row r="11634" spans="1:1" s="200" customFormat="1" ht="12" hidden="1" customHeight="1">
      <c r="A11634" s="199"/>
    </row>
    <row r="11635" spans="1:1" s="200" customFormat="1" ht="12" hidden="1" customHeight="1">
      <c r="A11635" s="199"/>
    </row>
    <row r="11636" spans="1:1" s="200" customFormat="1" ht="12" hidden="1" customHeight="1">
      <c r="A11636" s="199"/>
    </row>
    <row r="11637" spans="1:1" s="200" customFormat="1" ht="12" hidden="1" customHeight="1">
      <c r="A11637" s="199"/>
    </row>
    <row r="11638" spans="1:1" s="200" customFormat="1" ht="12" hidden="1" customHeight="1">
      <c r="A11638" s="199"/>
    </row>
    <row r="11639" spans="1:1" s="200" customFormat="1" ht="12" hidden="1" customHeight="1">
      <c r="A11639" s="199"/>
    </row>
    <row r="11640" spans="1:1" s="200" customFormat="1" ht="12" hidden="1" customHeight="1">
      <c r="A11640" s="199"/>
    </row>
    <row r="11641" spans="1:1" s="200" customFormat="1" ht="12" hidden="1" customHeight="1">
      <c r="A11641" s="199"/>
    </row>
    <row r="11642" spans="1:1" s="200" customFormat="1" ht="12" hidden="1" customHeight="1">
      <c r="A11642" s="199"/>
    </row>
    <row r="11643" spans="1:1" s="200" customFormat="1" ht="12" hidden="1" customHeight="1">
      <c r="A11643" s="199"/>
    </row>
    <row r="11644" spans="1:1" s="200" customFormat="1" ht="12" hidden="1" customHeight="1">
      <c r="A11644" s="199"/>
    </row>
    <row r="11645" spans="1:1" s="200" customFormat="1" ht="12" hidden="1" customHeight="1">
      <c r="A11645" s="199"/>
    </row>
    <row r="11646" spans="1:1" s="200" customFormat="1" ht="12" hidden="1" customHeight="1">
      <c r="A11646" s="199"/>
    </row>
    <row r="11647" spans="1:1" s="200" customFormat="1" ht="12" hidden="1" customHeight="1">
      <c r="A11647" s="199"/>
    </row>
    <row r="11648" spans="1:1" s="200" customFormat="1" ht="12" hidden="1" customHeight="1">
      <c r="A11648" s="199"/>
    </row>
    <row r="11649" spans="1:1" s="200" customFormat="1" ht="12" hidden="1" customHeight="1">
      <c r="A11649" s="199"/>
    </row>
    <row r="11650" spans="1:1" s="200" customFormat="1" ht="12" hidden="1" customHeight="1">
      <c r="A11650" s="199"/>
    </row>
    <row r="11651" spans="1:1" s="200" customFormat="1" ht="12" hidden="1" customHeight="1">
      <c r="A11651" s="199"/>
    </row>
    <row r="11652" spans="1:1" s="200" customFormat="1" ht="12" hidden="1" customHeight="1">
      <c r="A11652" s="199"/>
    </row>
    <row r="11653" spans="1:1" s="200" customFormat="1" ht="12" hidden="1" customHeight="1">
      <c r="A11653" s="199"/>
    </row>
    <row r="11654" spans="1:1" s="200" customFormat="1" ht="12" hidden="1" customHeight="1">
      <c r="A11654" s="199"/>
    </row>
    <row r="11655" spans="1:1" s="200" customFormat="1" ht="12" hidden="1" customHeight="1">
      <c r="A11655" s="199"/>
    </row>
    <row r="11656" spans="1:1" s="200" customFormat="1" ht="12" hidden="1" customHeight="1">
      <c r="A11656" s="199"/>
    </row>
    <row r="11657" spans="1:1" s="200" customFormat="1" ht="12" hidden="1" customHeight="1">
      <c r="A11657" s="199"/>
    </row>
    <row r="11658" spans="1:1" s="200" customFormat="1" ht="12" hidden="1" customHeight="1">
      <c r="A11658" s="199"/>
    </row>
    <row r="11659" spans="1:1" s="200" customFormat="1" ht="12" hidden="1" customHeight="1">
      <c r="A11659" s="199"/>
    </row>
    <row r="11660" spans="1:1" s="200" customFormat="1" ht="12" hidden="1" customHeight="1">
      <c r="A11660" s="199"/>
    </row>
    <row r="11661" spans="1:1" s="200" customFormat="1" ht="12" hidden="1" customHeight="1">
      <c r="A11661" s="199"/>
    </row>
    <row r="11662" spans="1:1" s="200" customFormat="1" ht="12" hidden="1" customHeight="1">
      <c r="A11662" s="199"/>
    </row>
    <row r="11663" spans="1:1" s="200" customFormat="1" ht="12" hidden="1" customHeight="1">
      <c r="A11663" s="199"/>
    </row>
    <row r="11664" spans="1:1" s="200" customFormat="1" ht="12" hidden="1" customHeight="1">
      <c r="A11664" s="199"/>
    </row>
    <row r="11665" spans="1:1" s="200" customFormat="1" ht="12" hidden="1" customHeight="1">
      <c r="A11665" s="199"/>
    </row>
    <row r="11666" spans="1:1" s="200" customFormat="1" ht="12" hidden="1" customHeight="1">
      <c r="A11666" s="199"/>
    </row>
    <row r="11667" spans="1:1" s="200" customFormat="1" ht="12" hidden="1" customHeight="1">
      <c r="A11667" s="199"/>
    </row>
    <row r="11668" spans="1:1" s="200" customFormat="1" ht="12" hidden="1" customHeight="1">
      <c r="A11668" s="199"/>
    </row>
    <row r="11669" spans="1:1" s="200" customFormat="1" ht="12" hidden="1" customHeight="1">
      <c r="A11669" s="199"/>
    </row>
    <row r="11670" spans="1:1" s="200" customFormat="1" ht="12" hidden="1" customHeight="1">
      <c r="A11670" s="199"/>
    </row>
    <row r="11671" spans="1:1" s="200" customFormat="1" ht="12" hidden="1" customHeight="1">
      <c r="A11671" s="199"/>
    </row>
    <row r="11672" spans="1:1" s="200" customFormat="1" ht="12" hidden="1" customHeight="1">
      <c r="A11672" s="199"/>
    </row>
    <row r="11673" spans="1:1" s="200" customFormat="1" ht="12" hidden="1" customHeight="1">
      <c r="A11673" s="199"/>
    </row>
    <row r="11674" spans="1:1" s="200" customFormat="1" ht="12" hidden="1" customHeight="1">
      <c r="A11674" s="199"/>
    </row>
    <row r="11675" spans="1:1" s="200" customFormat="1" ht="12" hidden="1" customHeight="1">
      <c r="A11675" s="199"/>
    </row>
    <row r="11676" spans="1:1" s="200" customFormat="1" ht="12" hidden="1" customHeight="1">
      <c r="A11676" s="199"/>
    </row>
    <row r="11677" spans="1:1" s="200" customFormat="1" ht="12" hidden="1" customHeight="1">
      <c r="A11677" s="199"/>
    </row>
    <row r="11678" spans="1:1" s="200" customFormat="1" ht="12" hidden="1" customHeight="1">
      <c r="A11678" s="199"/>
    </row>
    <row r="11679" spans="1:1" s="200" customFormat="1" ht="12" hidden="1" customHeight="1">
      <c r="A11679" s="199"/>
    </row>
    <row r="11680" spans="1:1" s="200" customFormat="1" ht="12" hidden="1" customHeight="1">
      <c r="A11680" s="199"/>
    </row>
    <row r="11681" spans="1:1" s="200" customFormat="1" ht="12" hidden="1" customHeight="1">
      <c r="A11681" s="199"/>
    </row>
    <row r="11682" spans="1:1" s="200" customFormat="1" ht="12" hidden="1" customHeight="1">
      <c r="A11682" s="199"/>
    </row>
    <row r="11683" spans="1:1" s="200" customFormat="1" ht="12" hidden="1" customHeight="1">
      <c r="A11683" s="199"/>
    </row>
    <row r="11684" spans="1:1" s="200" customFormat="1" ht="12" hidden="1" customHeight="1">
      <c r="A11684" s="199"/>
    </row>
    <row r="11685" spans="1:1" s="200" customFormat="1" ht="12" hidden="1" customHeight="1">
      <c r="A11685" s="199"/>
    </row>
    <row r="11686" spans="1:1" s="200" customFormat="1" ht="12" hidden="1" customHeight="1">
      <c r="A11686" s="199"/>
    </row>
    <row r="11687" spans="1:1" s="200" customFormat="1" ht="12" hidden="1" customHeight="1">
      <c r="A11687" s="199"/>
    </row>
    <row r="11688" spans="1:1" s="200" customFormat="1" ht="12" hidden="1" customHeight="1">
      <c r="A11688" s="199"/>
    </row>
    <row r="11689" spans="1:1" s="200" customFormat="1" ht="12" hidden="1" customHeight="1">
      <c r="A11689" s="199"/>
    </row>
    <row r="11690" spans="1:1" s="200" customFormat="1" ht="12" hidden="1" customHeight="1">
      <c r="A11690" s="199"/>
    </row>
    <row r="11691" spans="1:1" s="200" customFormat="1" ht="12" hidden="1" customHeight="1">
      <c r="A11691" s="199"/>
    </row>
    <row r="11692" spans="1:1" s="200" customFormat="1" ht="12" hidden="1" customHeight="1">
      <c r="A11692" s="199"/>
    </row>
    <row r="11693" spans="1:1" s="200" customFormat="1" ht="12" hidden="1" customHeight="1">
      <c r="A11693" s="199"/>
    </row>
    <row r="11694" spans="1:1" s="200" customFormat="1" ht="12" hidden="1" customHeight="1">
      <c r="A11694" s="199"/>
    </row>
    <row r="11695" spans="1:1" s="200" customFormat="1" ht="12" hidden="1" customHeight="1">
      <c r="A11695" s="199"/>
    </row>
    <row r="11696" spans="1:1" s="200" customFormat="1" ht="12" hidden="1" customHeight="1">
      <c r="A11696" s="199"/>
    </row>
    <row r="11697" spans="1:1" s="200" customFormat="1" ht="12" hidden="1" customHeight="1">
      <c r="A11697" s="199"/>
    </row>
    <row r="11698" spans="1:1" s="200" customFormat="1" ht="12" hidden="1" customHeight="1">
      <c r="A11698" s="199"/>
    </row>
    <row r="11699" spans="1:1" s="200" customFormat="1" ht="12" hidden="1" customHeight="1">
      <c r="A11699" s="199"/>
    </row>
    <row r="11700" spans="1:1" s="200" customFormat="1" ht="12" hidden="1" customHeight="1">
      <c r="A11700" s="199"/>
    </row>
    <row r="11701" spans="1:1" s="200" customFormat="1" ht="12" hidden="1" customHeight="1">
      <c r="A11701" s="199"/>
    </row>
    <row r="11702" spans="1:1" s="200" customFormat="1" ht="12" hidden="1" customHeight="1">
      <c r="A11702" s="199"/>
    </row>
    <row r="11703" spans="1:1" s="200" customFormat="1" ht="12" hidden="1" customHeight="1">
      <c r="A11703" s="199"/>
    </row>
    <row r="11704" spans="1:1" s="200" customFormat="1" ht="12" hidden="1" customHeight="1">
      <c r="A11704" s="199"/>
    </row>
    <row r="11705" spans="1:1" s="200" customFormat="1" ht="12" hidden="1" customHeight="1">
      <c r="A11705" s="199"/>
    </row>
    <row r="11706" spans="1:1" s="200" customFormat="1" ht="12" hidden="1" customHeight="1">
      <c r="A11706" s="199"/>
    </row>
    <row r="11707" spans="1:1" s="200" customFormat="1" ht="12" hidden="1" customHeight="1">
      <c r="A11707" s="199"/>
    </row>
    <row r="11708" spans="1:1" s="200" customFormat="1" ht="12" hidden="1" customHeight="1">
      <c r="A11708" s="199"/>
    </row>
    <row r="11709" spans="1:1" s="200" customFormat="1" ht="12" hidden="1" customHeight="1">
      <c r="A11709" s="199"/>
    </row>
    <row r="11710" spans="1:1" s="200" customFormat="1" ht="12" hidden="1" customHeight="1">
      <c r="A11710" s="199"/>
    </row>
    <row r="11711" spans="1:1" s="200" customFormat="1" ht="12" hidden="1" customHeight="1">
      <c r="A11711" s="199"/>
    </row>
    <row r="11712" spans="1:1" s="200" customFormat="1" ht="12" hidden="1" customHeight="1">
      <c r="A11712" s="199"/>
    </row>
    <row r="11713" spans="1:1" s="200" customFormat="1" ht="12" hidden="1" customHeight="1">
      <c r="A11713" s="199"/>
    </row>
    <row r="11714" spans="1:1" s="200" customFormat="1" ht="12" hidden="1" customHeight="1">
      <c r="A11714" s="199"/>
    </row>
    <row r="11715" spans="1:1" s="200" customFormat="1" ht="12" hidden="1" customHeight="1">
      <c r="A11715" s="199"/>
    </row>
    <row r="11716" spans="1:1" s="200" customFormat="1" ht="12" hidden="1" customHeight="1">
      <c r="A11716" s="199"/>
    </row>
    <row r="11717" spans="1:1" s="200" customFormat="1" ht="12" hidden="1" customHeight="1">
      <c r="A11717" s="199"/>
    </row>
    <row r="11718" spans="1:1" s="200" customFormat="1" ht="12" hidden="1" customHeight="1">
      <c r="A11718" s="199"/>
    </row>
    <row r="11719" spans="1:1" s="200" customFormat="1" ht="12" hidden="1" customHeight="1">
      <c r="A11719" s="199"/>
    </row>
    <row r="11720" spans="1:1" s="200" customFormat="1" ht="12" hidden="1" customHeight="1">
      <c r="A11720" s="199"/>
    </row>
    <row r="11721" spans="1:1" s="200" customFormat="1" ht="12" hidden="1" customHeight="1">
      <c r="A11721" s="199"/>
    </row>
    <row r="11722" spans="1:1" s="200" customFormat="1" ht="12" hidden="1" customHeight="1">
      <c r="A11722" s="199"/>
    </row>
    <row r="11723" spans="1:1" s="200" customFormat="1" ht="12" hidden="1" customHeight="1">
      <c r="A11723" s="199"/>
    </row>
    <row r="11724" spans="1:1" s="200" customFormat="1" ht="12" hidden="1" customHeight="1">
      <c r="A11724" s="199"/>
    </row>
    <row r="11725" spans="1:1" s="200" customFormat="1" ht="12" hidden="1" customHeight="1">
      <c r="A11725" s="199"/>
    </row>
    <row r="11726" spans="1:1" s="200" customFormat="1" ht="12" hidden="1" customHeight="1">
      <c r="A11726" s="199"/>
    </row>
    <row r="11727" spans="1:1" s="200" customFormat="1" ht="12" hidden="1" customHeight="1">
      <c r="A11727" s="199"/>
    </row>
    <row r="11728" spans="1:1" s="200" customFormat="1" ht="12" hidden="1" customHeight="1">
      <c r="A11728" s="199"/>
    </row>
    <row r="11729" spans="1:1" s="200" customFormat="1" ht="12" hidden="1" customHeight="1">
      <c r="A11729" s="199"/>
    </row>
    <row r="11730" spans="1:1" s="200" customFormat="1" ht="12" hidden="1" customHeight="1">
      <c r="A11730" s="199"/>
    </row>
    <row r="11731" spans="1:1" s="200" customFormat="1" ht="12" hidden="1" customHeight="1">
      <c r="A11731" s="199"/>
    </row>
    <row r="11732" spans="1:1" s="200" customFormat="1" ht="12" hidden="1" customHeight="1">
      <c r="A11732" s="199"/>
    </row>
    <row r="11733" spans="1:1" s="200" customFormat="1" ht="12" hidden="1" customHeight="1">
      <c r="A11733" s="199"/>
    </row>
    <row r="11734" spans="1:1" s="200" customFormat="1" ht="12" hidden="1" customHeight="1">
      <c r="A11734" s="199"/>
    </row>
    <row r="11735" spans="1:1" s="200" customFormat="1" ht="12" hidden="1" customHeight="1">
      <c r="A11735" s="199"/>
    </row>
    <row r="11736" spans="1:1" s="200" customFormat="1" ht="12" hidden="1" customHeight="1">
      <c r="A11736" s="199"/>
    </row>
    <row r="11737" spans="1:1" s="200" customFormat="1" ht="12" hidden="1" customHeight="1">
      <c r="A11737" s="199"/>
    </row>
    <row r="11738" spans="1:1" s="200" customFormat="1" ht="12" hidden="1" customHeight="1">
      <c r="A11738" s="199"/>
    </row>
    <row r="11739" spans="1:1" s="200" customFormat="1" ht="12" hidden="1" customHeight="1">
      <c r="A11739" s="199"/>
    </row>
    <row r="11740" spans="1:1" s="200" customFormat="1" ht="12" hidden="1" customHeight="1">
      <c r="A11740" s="199"/>
    </row>
    <row r="11741" spans="1:1" s="200" customFormat="1" ht="12" hidden="1" customHeight="1">
      <c r="A11741" s="199"/>
    </row>
    <row r="11742" spans="1:1" s="200" customFormat="1" ht="12" hidden="1" customHeight="1">
      <c r="A11742" s="199"/>
    </row>
    <row r="11743" spans="1:1" s="200" customFormat="1" ht="12" hidden="1" customHeight="1">
      <c r="A11743" s="199"/>
    </row>
    <row r="11744" spans="1:1" s="200" customFormat="1" ht="12" hidden="1" customHeight="1">
      <c r="A11744" s="199"/>
    </row>
    <row r="11745" spans="1:1" s="200" customFormat="1" ht="12" hidden="1" customHeight="1">
      <c r="A11745" s="199"/>
    </row>
    <row r="11746" spans="1:1" s="200" customFormat="1" ht="12" hidden="1" customHeight="1">
      <c r="A11746" s="199"/>
    </row>
    <row r="11747" spans="1:1" s="200" customFormat="1" ht="12" hidden="1" customHeight="1">
      <c r="A11747" s="199"/>
    </row>
    <row r="11748" spans="1:1" s="200" customFormat="1" ht="12" hidden="1" customHeight="1">
      <c r="A11748" s="199"/>
    </row>
    <row r="11749" spans="1:1" s="200" customFormat="1" ht="12" hidden="1" customHeight="1">
      <c r="A11749" s="199"/>
    </row>
    <row r="11750" spans="1:1" s="200" customFormat="1" ht="12" hidden="1" customHeight="1">
      <c r="A11750" s="199"/>
    </row>
    <row r="11751" spans="1:1" s="200" customFormat="1" ht="12" hidden="1" customHeight="1">
      <c r="A11751" s="199"/>
    </row>
    <row r="11752" spans="1:1" s="200" customFormat="1" ht="12" hidden="1" customHeight="1">
      <c r="A11752" s="199"/>
    </row>
    <row r="11753" spans="1:1" s="200" customFormat="1" ht="12" hidden="1" customHeight="1">
      <c r="A11753" s="199"/>
    </row>
    <row r="11754" spans="1:1" s="200" customFormat="1" ht="12" hidden="1" customHeight="1">
      <c r="A11754" s="199"/>
    </row>
    <row r="11755" spans="1:1" s="200" customFormat="1" ht="12" hidden="1" customHeight="1">
      <c r="A11755" s="199"/>
    </row>
    <row r="11756" spans="1:1" s="200" customFormat="1" ht="12" hidden="1" customHeight="1">
      <c r="A11756" s="199"/>
    </row>
    <row r="11757" spans="1:1" s="200" customFormat="1" ht="12" hidden="1" customHeight="1">
      <c r="A11757" s="199"/>
    </row>
    <row r="11758" spans="1:1" s="200" customFormat="1" ht="12" hidden="1" customHeight="1">
      <c r="A11758" s="199"/>
    </row>
    <row r="11759" spans="1:1" s="200" customFormat="1" ht="12" hidden="1" customHeight="1">
      <c r="A11759" s="199"/>
    </row>
    <row r="11760" spans="1:1" s="200" customFormat="1" ht="12" hidden="1" customHeight="1">
      <c r="A11760" s="199"/>
    </row>
    <row r="11761" spans="1:1" s="200" customFormat="1" ht="12" hidden="1" customHeight="1">
      <c r="A11761" s="199"/>
    </row>
    <row r="11762" spans="1:1" s="200" customFormat="1" ht="12" hidden="1" customHeight="1">
      <c r="A11762" s="199"/>
    </row>
    <row r="11763" spans="1:1" s="200" customFormat="1" ht="12" hidden="1" customHeight="1">
      <c r="A11763" s="199"/>
    </row>
    <row r="11764" spans="1:1" s="200" customFormat="1" ht="12" hidden="1" customHeight="1">
      <c r="A11764" s="199"/>
    </row>
    <row r="11765" spans="1:1" s="200" customFormat="1" ht="12" hidden="1" customHeight="1">
      <c r="A11765" s="199"/>
    </row>
    <row r="11766" spans="1:1" s="200" customFormat="1" ht="12" hidden="1" customHeight="1">
      <c r="A11766" s="199"/>
    </row>
    <row r="11767" spans="1:1" s="200" customFormat="1" ht="12" hidden="1" customHeight="1">
      <c r="A11767" s="199"/>
    </row>
    <row r="11768" spans="1:1" s="200" customFormat="1" ht="12" hidden="1" customHeight="1">
      <c r="A11768" s="199"/>
    </row>
    <row r="11769" spans="1:1" s="200" customFormat="1" ht="12" hidden="1" customHeight="1">
      <c r="A11769" s="199"/>
    </row>
    <row r="11770" spans="1:1" s="200" customFormat="1" ht="12" hidden="1" customHeight="1">
      <c r="A11770" s="199"/>
    </row>
    <row r="11771" spans="1:1" s="200" customFormat="1" ht="12" hidden="1" customHeight="1">
      <c r="A11771" s="199"/>
    </row>
    <row r="11772" spans="1:1" s="200" customFormat="1" ht="12" hidden="1" customHeight="1">
      <c r="A11772" s="199"/>
    </row>
    <row r="11773" spans="1:1" s="200" customFormat="1" ht="12" hidden="1" customHeight="1">
      <c r="A11773" s="199"/>
    </row>
    <row r="11774" spans="1:1" s="200" customFormat="1" ht="12" hidden="1" customHeight="1">
      <c r="A11774" s="199"/>
    </row>
    <row r="11775" spans="1:1" s="200" customFormat="1" ht="12" hidden="1" customHeight="1">
      <c r="A11775" s="199"/>
    </row>
    <row r="11776" spans="1:1" s="200" customFormat="1" ht="12" hidden="1" customHeight="1">
      <c r="A11776" s="199"/>
    </row>
    <row r="11777" spans="1:1" s="200" customFormat="1" ht="12" hidden="1" customHeight="1">
      <c r="A11777" s="199"/>
    </row>
    <row r="11778" spans="1:1" s="200" customFormat="1" ht="12" hidden="1" customHeight="1">
      <c r="A11778" s="199"/>
    </row>
    <row r="11779" spans="1:1" s="200" customFormat="1" ht="12" hidden="1" customHeight="1">
      <c r="A11779" s="199"/>
    </row>
    <row r="11780" spans="1:1" s="200" customFormat="1" ht="12" hidden="1" customHeight="1">
      <c r="A11780" s="199"/>
    </row>
    <row r="11781" spans="1:1" s="200" customFormat="1" ht="12" hidden="1" customHeight="1">
      <c r="A11781" s="199"/>
    </row>
    <row r="11782" spans="1:1" s="200" customFormat="1" ht="12" hidden="1" customHeight="1">
      <c r="A11782" s="199"/>
    </row>
    <row r="11783" spans="1:1" s="200" customFormat="1" ht="12" hidden="1" customHeight="1">
      <c r="A11783" s="199"/>
    </row>
    <row r="11784" spans="1:1" s="200" customFormat="1" ht="12" hidden="1" customHeight="1">
      <c r="A11784" s="199"/>
    </row>
    <row r="11785" spans="1:1" s="200" customFormat="1" ht="12" hidden="1" customHeight="1">
      <c r="A11785" s="199"/>
    </row>
    <row r="11786" spans="1:1" s="200" customFormat="1" ht="12" hidden="1" customHeight="1">
      <c r="A11786" s="199"/>
    </row>
    <row r="11787" spans="1:1" s="200" customFormat="1" ht="12" hidden="1" customHeight="1">
      <c r="A11787" s="199"/>
    </row>
    <row r="11788" spans="1:1" s="200" customFormat="1" ht="12" hidden="1" customHeight="1">
      <c r="A11788" s="199"/>
    </row>
    <row r="11789" spans="1:1" s="200" customFormat="1" ht="12" hidden="1" customHeight="1">
      <c r="A11789" s="199"/>
    </row>
    <row r="11790" spans="1:1" s="200" customFormat="1" ht="12" hidden="1" customHeight="1">
      <c r="A11790" s="199"/>
    </row>
    <row r="11791" spans="1:1" s="200" customFormat="1" ht="12" hidden="1" customHeight="1">
      <c r="A11791" s="199"/>
    </row>
    <row r="11792" spans="1:1" s="200" customFormat="1" ht="12" hidden="1" customHeight="1">
      <c r="A11792" s="199"/>
    </row>
    <row r="11793" spans="1:1" s="200" customFormat="1" ht="12" hidden="1" customHeight="1">
      <c r="A11793" s="199"/>
    </row>
    <row r="11794" spans="1:1" s="200" customFormat="1" ht="12" hidden="1" customHeight="1">
      <c r="A11794" s="199"/>
    </row>
    <row r="11795" spans="1:1" s="200" customFormat="1" ht="12" hidden="1" customHeight="1">
      <c r="A11795" s="199"/>
    </row>
    <row r="11796" spans="1:1" s="200" customFormat="1" ht="12" hidden="1" customHeight="1">
      <c r="A11796" s="199"/>
    </row>
    <row r="11797" spans="1:1" s="200" customFormat="1" ht="12" hidden="1" customHeight="1">
      <c r="A11797" s="199"/>
    </row>
    <row r="11798" spans="1:1" s="200" customFormat="1" ht="12" hidden="1" customHeight="1">
      <c r="A11798" s="199"/>
    </row>
    <row r="11799" spans="1:1" s="200" customFormat="1" ht="12" hidden="1" customHeight="1">
      <c r="A11799" s="199"/>
    </row>
    <row r="11800" spans="1:1" s="200" customFormat="1" ht="12" hidden="1" customHeight="1">
      <c r="A11800" s="199"/>
    </row>
    <row r="11801" spans="1:1" s="200" customFormat="1" ht="12" hidden="1" customHeight="1">
      <c r="A11801" s="199"/>
    </row>
    <row r="11802" spans="1:1" s="200" customFormat="1" ht="12" hidden="1" customHeight="1">
      <c r="A11802" s="199"/>
    </row>
    <row r="11803" spans="1:1" s="200" customFormat="1" ht="12" hidden="1" customHeight="1">
      <c r="A11803" s="199"/>
    </row>
    <row r="11804" spans="1:1" s="200" customFormat="1" ht="12" hidden="1" customHeight="1">
      <c r="A11804" s="199"/>
    </row>
    <row r="11805" spans="1:1" s="200" customFormat="1" ht="12" hidden="1" customHeight="1">
      <c r="A11805" s="199"/>
    </row>
    <row r="11806" spans="1:1" s="200" customFormat="1" ht="12" hidden="1" customHeight="1">
      <c r="A11806" s="199"/>
    </row>
    <row r="11807" spans="1:1" s="200" customFormat="1" ht="12" hidden="1" customHeight="1">
      <c r="A11807" s="199"/>
    </row>
    <row r="11808" spans="1:1" s="200" customFormat="1" ht="12" hidden="1" customHeight="1">
      <c r="A11808" s="199"/>
    </row>
    <row r="11809" spans="1:1" s="200" customFormat="1" ht="12" hidden="1" customHeight="1">
      <c r="A11809" s="199"/>
    </row>
    <row r="11810" spans="1:1" s="200" customFormat="1" ht="12" hidden="1" customHeight="1">
      <c r="A11810" s="199"/>
    </row>
    <row r="11811" spans="1:1" s="200" customFormat="1" ht="12" hidden="1" customHeight="1">
      <c r="A11811" s="199"/>
    </row>
    <row r="11812" spans="1:1" s="200" customFormat="1" ht="12" hidden="1" customHeight="1">
      <c r="A11812" s="199"/>
    </row>
    <row r="11813" spans="1:1" s="200" customFormat="1" ht="12" hidden="1" customHeight="1">
      <c r="A11813" s="199"/>
    </row>
    <row r="11814" spans="1:1" s="200" customFormat="1" ht="12" hidden="1" customHeight="1">
      <c r="A11814" s="199"/>
    </row>
    <row r="11815" spans="1:1" s="200" customFormat="1" ht="12" hidden="1" customHeight="1">
      <c r="A11815" s="199"/>
    </row>
    <row r="11816" spans="1:1" s="200" customFormat="1" ht="12" hidden="1" customHeight="1">
      <c r="A11816" s="199"/>
    </row>
    <row r="11817" spans="1:1" s="200" customFormat="1" ht="12" hidden="1" customHeight="1">
      <c r="A11817" s="199"/>
    </row>
    <row r="11818" spans="1:1" s="200" customFormat="1" ht="12" hidden="1" customHeight="1">
      <c r="A11818" s="199"/>
    </row>
    <row r="11819" spans="1:1" s="200" customFormat="1" ht="12" hidden="1" customHeight="1">
      <c r="A11819" s="199"/>
    </row>
    <row r="11820" spans="1:1" s="200" customFormat="1" ht="12" hidden="1" customHeight="1">
      <c r="A11820" s="199"/>
    </row>
    <row r="11821" spans="1:1" s="200" customFormat="1" ht="12" hidden="1" customHeight="1">
      <c r="A11821" s="199"/>
    </row>
    <row r="11822" spans="1:1" s="200" customFormat="1" ht="12" hidden="1" customHeight="1">
      <c r="A11822" s="199"/>
    </row>
    <row r="11823" spans="1:1" s="200" customFormat="1" ht="12" hidden="1" customHeight="1">
      <c r="A11823" s="199"/>
    </row>
    <row r="11824" spans="1:1" s="200" customFormat="1" ht="12" hidden="1" customHeight="1">
      <c r="A11824" s="199"/>
    </row>
    <row r="11825" spans="1:1" s="200" customFormat="1" ht="12" hidden="1" customHeight="1">
      <c r="A11825" s="199"/>
    </row>
    <row r="11826" spans="1:1" s="200" customFormat="1" ht="12" hidden="1" customHeight="1">
      <c r="A11826" s="199"/>
    </row>
    <row r="11827" spans="1:1" s="200" customFormat="1" ht="12" hidden="1" customHeight="1">
      <c r="A11827" s="199"/>
    </row>
    <row r="11828" spans="1:1" s="200" customFormat="1" ht="12" hidden="1" customHeight="1">
      <c r="A11828" s="199"/>
    </row>
    <row r="11829" spans="1:1" s="200" customFormat="1" ht="12" hidden="1" customHeight="1">
      <c r="A11829" s="199"/>
    </row>
    <row r="11830" spans="1:1" s="200" customFormat="1" ht="12" hidden="1" customHeight="1">
      <c r="A11830" s="199"/>
    </row>
    <row r="11831" spans="1:1" s="200" customFormat="1" ht="12" hidden="1" customHeight="1">
      <c r="A11831" s="199"/>
    </row>
    <row r="11832" spans="1:1" s="200" customFormat="1" ht="12" hidden="1" customHeight="1">
      <c r="A11832" s="199"/>
    </row>
    <row r="11833" spans="1:1" s="200" customFormat="1" ht="12" hidden="1" customHeight="1">
      <c r="A11833" s="199"/>
    </row>
    <row r="11834" spans="1:1" s="200" customFormat="1" ht="12" hidden="1" customHeight="1">
      <c r="A11834" s="199"/>
    </row>
    <row r="11835" spans="1:1" s="200" customFormat="1" ht="12" hidden="1" customHeight="1">
      <c r="A11835" s="199"/>
    </row>
    <row r="11836" spans="1:1" s="200" customFormat="1" ht="12" hidden="1" customHeight="1">
      <c r="A11836" s="199"/>
    </row>
    <row r="11837" spans="1:1" s="200" customFormat="1" ht="12" hidden="1" customHeight="1">
      <c r="A11837" s="199"/>
    </row>
    <row r="11838" spans="1:1" s="200" customFormat="1" ht="12" hidden="1" customHeight="1">
      <c r="A11838" s="199"/>
    </row>
    <row r="11839" spans="1:1" s="200" customFormat="1" ht="12" hidden="1" customHeight="1">
      <c r="A11839" s="199"/>
    </row>
    <row r="11840" spans="1:1" s="200" customFormat="1" ht="12" hidden="1" customHeight="1">
      <c r="A11840" s="199"/>
    </row>
    <row r="11841" spans="1:1" s="200" customFormat="1" ht="12" hidden="1" customHeight="1">
      <c r="A11841" s="199"/>
    </row>
    <row r="11842" spans="1:1" s="200" customFormat="1" ht="12" hidden="1" customHeight="1">
      <c r="A11842" s="199"/>
    </row>
    <row r="11843" spans="1:1" s="200" customFormat="1" ht="12" hidden="1" customHeight="1">
      <c r="A11843" s="199"/>
    </row>
    <row r="11844" spans="1:1" s="200" customFormat="1" ht="12" hidden="1" customHeight="1">
      <c r="A11844" s="199"/>
    </row>
    <row r="11845" spans="1:1" s="200" customFormat="1" ht="12" hidden="1" customHeight="1">
      <c r="A11845" s="199"/>
    </row>
    <row r="11846" spans="1:1" s="200" customFormat="1" ht="12" hidden="1" customHeight="1">
      <c r="A11846" s="199"/>
    </row>
    <row r="11847" spans="1:1" s="200" customFormat="1" ht="12" hidden="1" customHeight="1">
      <c r="A11847" s="199"/>
    </row>
    <row r="11848" spans="1:1" s="200" customFormat="1" ht="12" hidden="1" customHeight="1">
      <c r="A11848" s="199"/>
    </row>
    <row r="11849" spans="1:1" s="200" customFormat="1" ht="12" hidden="1" customHeight="1">
      <c r="A11849" s="199"/>
    </row>
    <row r="11850" spans="1:1" s="200" customFormat="1" ht="12" hidden="1" customHeight="1">
      <c r="A11850" s="199"/>
    </row>
    <row r="11851" spans="1:1" s="200" customFormat="1" ht="12" hidden="1" customHeight="1">
      <c r="A11851" s="199"/>
    </row>
    <row r="11852" spans="1:1" s="200" customFormat="1" ht="12" hidden="1" customHeight="1">
      <c r="A11852" s="199"/>
    </row>
    <row r="11853" spans="1:1" s="200" customFormat="1" ht="12" hidden="1" customHeight="1">
      <c r="A11853" s="199"/>
    </row>
    <row r="11854" spans="1:1" s="200" customFormat="1" ht="12" hidden="1" customHeight="1">
      <c r="A11854" s="199"/>
    </row>
    <row r="11855" spans="1:1" s="200" customFormat="1" ht="12" hidden="1" customHeight="1">
      <c r="A11855" s="199"/>
    </row>
    <row r="11856" spans="1:1" s="200" customFormat="1" ht="12" hidden="1" customHeight="1">
      <c r="A11856" s="199"/>
    </row>
    <row r="11857" spans="1:1" s="200" customFormat="1" ht="12" hidden="1" customHeight="1">
      <c r="A11857" s="199"/>
    </row>
    <row r="11858" spans="1:1" s="200" customFormat="1" ht="12" hidden="1" customHeight="1">
      <c r="A11858" s="199"/>
    </row>
    <row r="11859" spans="1:1" s="200" customFormat="1" ht="12" hidden="1" customHeight="1">
      <c r="A11859" s="199"/>
    </row>
    <row r="11860" spans="1:1" s="200" customFormat="1" ht="12" hidden="1" customHeight="1">
      <c r="A11860" s="199"/>
    </row>
    <row r="11861" spans="1:1" s="200" customFormat="1" ht="12" hidden="1" customHeight="1">
      <c r="A11861" s="199"/>
    </row>
    <row r="11862" spans="1:1" s="200" customFormat="1" ht="12" hidden="1" customHeight="1">
      <c r="A11862" s="199"/>
    </row>
    <row r="11863" spans="1:1" s="200" customFormat="1" ht="12" hidden="1" customHeight="1">
      <c r="A11863" s="199"/>
    </row>
    <row r="11864" spans="1:1" s="200" customFormat="1" ht="12" hidden="1" customHeight="1">
      <c r="A11864" s="199"/>
    </row>
    <row r="11865" spans="1:1" s="200" customFormat="1" ht="12" hidden="1" customHeight="1">
      <c r="A11865" s="199"/>
    </row>
    <row r="11866" spans="1:1" s="200" customFormat="1" ht="12" hidden="1" customHeight="1">
      <c r="A11866" s="199"/>
    </row>
    <row r="11867" spans="1:1" s="200" customFormat="1" ht="12" hidden="1" customHeight="1">
      <c r="A11867" s="199"/>
    </row>
    <row r="11868" spans="1:1" s="200" customFormat="1" ht="12" hidden="1" customHeight="1">
      <c r="A11868" s="199"/>
    </row>
    <row r="11869" spans="1:1" s="200" customFormat="1" ht="12" hidden="1" customHeight="1">
      <c r="A11869" s="199"/>
    </row>
    <row r="11870" spans="1:1" s="200" customFormat="1" ht="12" hidden="1" customHeight="1">
      <c r="A11870" s="199"/>
    </row>
    <row r="11871" spans="1:1" s="200" customFormat="1" ht="12" hidden="1" customHeight="1">
      <c r="A11871" s="199"/>
    </row>
    <row r="11872" spans="1:1" s="200" customFormat="1" ht="12" hidden="1" customHeight="1">
      <c r="A11872" s="199"/>
    </row>
    <row r="11873" spans="1:1" s="200" customFormat="1" ht="12" hidden="1" customHeight="1">
      <c r="A11873" s="199"/>
    </row>
    <row r="11874" spans="1:1" s="200" customFormat="1" ht="12" hidden="1" customHeight="1">
      <c r="A11874" s="199"/>
    </row>
    <row r="11875" spans="1:1" s="200" customFormat="1" ht="12" hidden="1" customHeight="1">
      <c r="A11875" s="199"/>
    </row>
    <row r="11876" spans="1:1" s="200" customFormat="1" ht="12" hidden="1" customHeight="1">
      <c r="A11876" s="199"/>
    </row>
    <row r="11877" spans="1:1" s="200" customFormat="1" ht="12" hidden="1" customHeight="1">
      <c r="A11877" s="199"/>
    </row>
    <row r="11878" spans="1:1" s="200" customFormat="1" ht="12" hidden="1" customHeight="1">
      <c r="A11878" s="199"/>
    </row>
    <row r="11879" spans="1:1" s="200" customFormat="1" ht="12" hidden="1" customHeight="1">
      <c r="A11879" s="199"/>
    </row>
    <row r="11880" spans="1:1" s="200" customFormat="1" ht="12" hidden="1" customHeight="1">
      <c r="A11880" s="199"/>
    </row>
    <row r="11881" spans="1:1" s="200" customFormat="1" ht="12" hidden="1" customHeight="1">
      <c r="A11881" s="199"/>
    </row>
    <row r="11882" spans="1:1" s="200" customFormat="1" ht="12" hidden="1" customHeight="1">
      <c r="A11882" s="199"/>
    </row>
    <row r="11883" spans="1:1" s="200" customFormat="1" ht="12" hidden="1" customHeight="1">
      <c r="A11883" s="199"/>
    </row>
    <row r="11884" spans="1:1" s="200" customFormat="1" ht="12" hidden="1" customHeight="1">
      <c r="A11884" s="199"/>
    </row>
    <row r="11885" spans="1:1" s="200" customFormat="1" ht="12" hidden="1" customHeight="1">
      <c r="A11885" s="199"/>
    </row>
    <row r="11886" spans="1:1" s="200" customFormat="1" ht="12" hidden="1" customHeight="1">
      <c r="A11886" s="199"/>
    </row>
    <row r="11887" spans="1:1" s="200" customFormat="1" ht="12" hidden="1" customHeight="1">
      <c r="A11887" s="199"/>
    </row>
    <row r="11888" spans="1:1" s="200" customFormat="1" ht="12" hidden="1" customHeight="1">
      <c r="A11888" s="199"/>
    </row>
    <row r="11889" spans="1:1" s="200" customFormat="1" ht="12" hidden="1" customHeight="1">
      <c r="A11889" s="199"/>
    </row>
    <row r="11890" spans="1:1" s="200" customFormat="1" ht="12" hidden="1" customHeight="1">
      <c r="A11890" s="199"/>
    </row>
    <row r="11891" spans="1:1" s="200" customFormat="1" ht="12" hidden="1" customHeight="1">
      <c r="A11891" s="199"/>
    </row>
    <row r="11892" spans="1:1" s="200" customFormat="1" ht="12" hidden="1" customHeight="1">
      <c r="A11892" s="199"/>
    </row>
    <row r="11893" spans="1:1" s="200" customFormat="1" ht="12" hidden="1" customHeight="1">
      <c r="A11893" s="199"/>
    </row>
    <row r="11894" spans="1:1" s="200" customFormat="1" ht="12" hidden="1" customHeight="1">
      <c r="A11894" s="199"/>
    </row>
    <row r="11895" spans="1:1" s="200" customFormat="1" ht="12" hidden="1" customHeight="1">
      <c r="A11895" s="199"/>
    </row>
    <row r="11896" spans="1:1" s="200" customFormat="1" ht="12" hidden="1" customHeight="1">
      <c r="A11896" s="199"/>
    </row>
    <row r="11897" spans="1:1" s="200" customFormat="1" ht="12" hidden="1" customHeight="1">
      <c r="A11897" s="199"/>
    </row>
    <row r="11898" spans="1:1" s="200" customFormat="1" ht="12" hidden="1" customHeight="1">
      <c r="A11898" s="199"/>
    </row>
    <row r="11899" spans="1:1" s="200" customFormat="1" ht="12" hidden="1" customHeight="1">
      <c r="A11899" s="199"/>
    </row>
    <row r="11900" spans="1:1" s="200" customFormat="1" ht="12" hidden="1" customHeight="1">
      <c r="A11900" s="199"/>
    </row>
    <row r="11901" spans="1:1" s="200" customFormat="1" ht="12" hidden="1" customHeight="1">
      <c r="A11901" s="199"/>
    </row>
    <row r="11902" spans="1:1" s="200" customFormat="1" ht="12" hidden="1" customHeight="1">
      <c r="A11902" s="199"/>
    </row>
    <row r="11903" spans="1:1" s="200" customFormat="1" ht="12" hidden="1" customHeight="1">
      <c r="A11903" s="199"/>
    </row>
    <row r="11904" spans="1:1" s="200" customFormat="1" ht="12" hidden="1" customHeight="1">
      <c r="A11904" s="199"/>
    </row>
    <row r="11905" spans="1:1" s="200" customFormat="1" ht="12" hidden="1" customHeight="1">
      <c r="A11905" s="199"/>
    </row>
    <row r="11906" spans="1:1" s="200" customFormat="1" ht="12" hidden="1" customHeight="1">
      <c r="A11906" s="199"/>
    </row>
    <row r="11907" spans="1:1" s="200" customFormat="1" ht="12" hidden="1" customHeight="1">
      <c r="A11907" s="199"/>
    </row>
    <row r="11908" spans="1:1" s="200" customFormat="1" ht="12" hidden="1" customHeight="1">
      <c r="A11908" s="199"/>
    </row>
    <row r="11909" spans="1:1" s="200" customFormat="1" ht="12" hidden="1" customHeight="1">
      <c r="A11909" s="199"/>
    </row>
    <row r="11910" spans="1:1" s="200" customFormat="1" ht="12" hidden="1" customHeight="1">
      <c r="A11910" s="199"/>
    </row>
    <row r="11911" spans="1:1" s="200" customFormat="1" ht="12" hidden="1" customHeight="1">
      <c r="A11911" s="199"/>
    </row>
    <row r="11912" spans="1:1" s="200" customFormat="1" ht="12" hidden="1" customHeight="1">
      <c r="A11912" s="199"/>
    </row>
    <row r="11913" spans="1:1" s="200" customFormat="1" ht="12" hidden="1" customHeight="1">
      <c r="A11913" s="199"/>
    </row>
    <row r="11914" spans="1:1" s="200" customFormat="1" ht="12" hidden="1" customHeight="1">
      <c r="A11914" s="199"/>
    </row>
    <row r="11915" spans="1:1" s="200" customFormat="1" ht="12" hidden="1" customHeight="1">
      <c r="A11915" s="199"/>
    </row>
    <row r="11916" spans="1:1" s="200" customFormat="1" ht="12" hidden="1" customHeight="1">
      <c r="A11916" s="199"/>
    </row>
    <row r="11917" spans="1:1" s="200" customFormat="1" ht="12" hidden="1" customHeight="1">
      <c r="A11917" s="199"/>
    </row>
    <row r="11918" spans="1:1" s="200" customFormat="1" ht="12" hidden="1" customHeight="1">
      <c r="A11918" s="199"/>
    </row>
    <row r="11919" spans="1:1" s="200" customFormat="1" ht="12" hidden="1" customHeight="1">
      <c r="A11919" s="199"/>
    </row>
    <row r="11920" spans="1:1" s="200" customFormat="1" ht="12" hidden="1" customHeight="1">
      <c r="A11920" s="199"/>
    </row>
    <row r="11921" spans="1:1" s="200" customFormat="1" ht="12" hidden="1" customHeight="1">
      <c r="A11921" s="199"/>
    </row>
    <row r="11922" spans="1:1" s="200" customFormat="1" ht="12" hidden="1" customHeight="1">
      <c r="A11922" s="199"/>
    </row>
    <row r="11923" spans="1:1" s="200" customFormat="1" ht="12" hidden="1" customHeight="1">
      <c r="A11923" s="199"/>
    </row>
    <row r="11924" spans="1:1" s="200" customFormat="1" ht="12" hidden="1" customHeight="1">
      <c r="A11924" s="199"/>
    </row>
    <row r="11925" spans="1:1" s="200" customFormat="1" ht="12" hidden="1" customHeight="1">
      <c r="A11925" s="199"/>
    </row>
    <row r="11926" spans="1:1" s="200" customFormat="1" ht="12" hidden="1" customHeight="1">
      <c r="A11926" s="199"/>
    </row>
    <row r="11927" spans="1:1" s="200" customFormat="1" ht="12" hidden="1" customHeight="1">
      <c r="A11927" s="199"/>
    </row>
    <row r="11928" spans="1:1" s="200" customFormat="1" ht="12" hidden="1" customHeight="1">
      <c r="A11928" s="199"/>
    </row>
    <row r="11929" spans="1:1" s="200" customFormat="1" ht="12" hidden="1" customHeight="1">
      <c r="A11929" s="199"/>
    </row>
    <row r="11930" spans="1:1" s="200" customFormat="1" ht="12" hidden="1" customHeight="1">
      <c r="A11930" s="199"/>
    </row>
    <row r="11931" spans="1:1" s="200" customFormat="1" ht="12" hidden="1" customHeight="1">
      <c r="A11931" s="199"/>
    </row>
    <row r="11932" spans="1:1" s="200" customFormat="1" ht="12" hidden="1" customHeight="1">
      <c r="A11932" s="199"/>
    </row>
    <row r="11933" spans="1:1" s="200" customFormat="1" ht="12" hidden="1" customHeight="1">
      <c r="A11933" s="199"/>
    </row>
    <row r="11934" spans="1:1" s="200" customFormat="1" ht="12" hidden="1" customHeight="1">
      <c r="A11934" s="199"/>
    </row>
    <row r="11935" spans="1:1" s="200" customFormat="1" ht="12" hidden="1" customHeight="1">
      <c r="A11935" s="199"/>
    </row>
    <row r="11936" spans="1:1" s="200" customFormat="1" ht="12" hidden="1" customHeight="1">
      <c r="A11936" s="199"/>
    </row>
    <row r="11937" spans="1:1" s="200" customFormat="1" ht="12" hidden="1" customHeight="1">
      <c r="A11937" s="199"/>
    </row>
    <row r="11938" spans="1:1" s="200" customFormat="1" ht="12" hidden="1" customHeight="1">
      <c r="A11938" s="199"/>
    </row>
    <row r="11939" spans="1:1" s="200" customFormat="1" ht="12" hidden="1" customHeight="1">
      <c r="A11939" s="199"/>
    </row>
    <row r="11940" spans="1:1" s="200" customFormat="1" ht="12" hidden="1" customHeight="1">
      <c r="A11940" s="199"/>
    </row>
    <row r="11941" spans="1:1" s="200" customFormat="1" ht="12" hidden="1" customHeight="1">
      <c r="A11941" s="199"/>
    </row>
    <row r="11942" spans="1:1" s="200" customFormat="1" ht="12" hidden="1" customHeight="1">
      <c r="A11942" s="199"/>
    </row>
    <row r="11943" spans="1:1" s="200" customFormat="1" ht="12" hidden="1" customHeight="1">
      <c r="A11943" s="199"/>
    </row>
    <row r="11944" spans="1:1" s="200" customFormat="1" ht="12" hidden="1" customHeight="1">
      <c r="A11944" s="199"/>
    </row>
    <row r="11945" spans="1:1" s="200" customFormat="1" ht="12" hidden="1" customHeight="1">
      <c r="A11945" s="199"/>
    </row>
    <row r="11946" spans="1:1" s="200" customFormat="1" ht="12" hidden="1" customHeight="1">
      <c r="A11946" s="199"/>
    </row>
    <row r="11947" spans="1:1" s="200" customFormat="1" ht="12" hidden="1" customHeight="1">
      <c r="A11947" s="199"/>
    </row>
    <row r="11948" spans="1:1" s="200" customFormat="1" ht="12" hidden="1" customHeight="1">
      <c r="A11948" s="199"/>
    </row>
    <row r="11949" spans="1:1" s="200" customFormat="1" ht="12" hidden="1" customHeight="1">
      <c r="A11949" s="199"/>
    </row>
    <row r="11950" spans="1:1" s="200" customFormat="1" ht="12" hidden="1" customHeight="1">
      <c r="A11950" s="199"/>
    </row>
    <row r="11951" spans="1:1" s="200" customFormat="1" ht="12" hidden="1" customHeight="1">
      <c r="A11951" s="199"/>
    </row>
    <row r="11952" spans="1:1" s="200" customFormat="1" ht="12" hidden="1" customHeight="1">
      <c r="A11952" s="199"/>
    </row>
    <row r="11953" spans="1:1" s="200" customFormat="1" ht="12" hidden="1" customHeight="1">
      <c r="A11953" s="199"/>
    </row>
    <row r="11954" spans="1:1" s="200" customFormat="1" ht="12" hidden="1" customHeight="1">
      <c r="A11954" s="199"/>
    </row>
    <row r="11955" spans="1:1" s="200" customFormat="1" ht="12" hidden="1" customHeight="1">
      <c r="A11955" s="199"/>
    </row>
    <row r="11956" spans="1:1" s="200" customFormat="1" ht="12" hidden="1" customHeight="1">
      <c r="A11956" s="199"/>
    </row>
    <row r="11957" spans="1:1" s="200" customFormat="1" ht="12" hidden="1" customHeight="1">
      <c r="A11957" s="199"/>
    </row>
    <row r="11958" spans="1:1" s="200" customFormat="1" ht="12" hidden="1" customHeight="1">
      <c r="A11958" s="199"/>
    </row>
    <row r="11959" spans="1:1" s="200" customFormat="1" ht="12" hidden="1" customHeight="1">
      <c r="A11959" s="199"/>
    </row>
    <row r="11960" spans="1:1" s="200" customFormat="1" ht="12" hidden="1" customHeight="1">
      <c r="A11960" s="199"/>
    </row>
    <row r="11961" spans="1:1" s="200" customFormat="1" ht="12" hidden="1" customHeight="1">
      <c r="A11961" s="199"/>
    </row>
    <row r="11962" spans="1:1" s="200" customFormat="1" ht="12" hidden="1" customHeight="1">
      <c r="A11962" s="199"/>
    </row>
    <row r="11963" spans="1:1" s="200" customFormat="1" ht="12" hidden="1" customHeight="1">
      <c r="A11963" s="199"/>
    </row>
    <row r="11964" spans="1:1" s="200" customFormat="1" ht="12" hidden="1" customHeight="1">
      <c r="A11964" s="199"/>
    </row>
    <row r="11965" spans="1:1" s="200" customFormat="1" ht="12" hidden="1" customHeight="1">
      <c r="A11965" s="199"/>
    </row>
    <row r="11966" spans="1:1" s="200" customFormat="1" ht="12" hidden="1" customHeight="1">
      <c r="A11966" s="199"/>
    </row>
    <row r="11967" spans="1:1" s="200" customFormat="1" ht="12" hidden="1" customHeight="1">
      <c r="A11967" s="199"/>
    </row>
    <row r="11968" spans="1:1" s="200" customFormat="1" ht="12" hidden="1" customHeight="1">
      <c r="A11968" s="199"/>
    </row>
    <row r="11969" spans="1:1" s="200" customFormat="1" ht="12" hidden="1" customHeight="1">
      <c r="A11969" s="199"/>
    </row>
    <row r="11970" spans="1:1" s="200" customFormat="1" ht="12" hidden="1" customHeight="1">
      <c r="A11970" s="199"/>
    </row>
    <row r="11971" spans="1:1" s="200" customFormat="1" ht="12" hidden="1" customHeight="1">
      <c r="A11971" s="199"/>
    </row>
    <row r="11972" spans="1:1" s="200" customFormat="1" ht="12" hidden="1" customHeight="1">
      <c r="A11972" s="199"/>
    </row>
    <row r="11973" spans="1:1" s="200" customFormat="1" ht="12" hidden="1" customHeight="1">
      <c r="A11973" s="199"/>
    </row>
    <row r="11974" spans="1:1" s="200" customFormat="1" ht="12" hidden="1" customHeight="1">
      <c r="A11974" s="199"/>
    </row>
    <row r="11975" spans="1:1" s="200" customFormat="1" ht="12" hidden="1" customHeight="1">
      <c r="A11975" s="199"/>
    </row>
    <row r="11976" spans="1:1" s="200" customFormat="1" ht="12" hidden="1" customHeight="1">
      <c r="A11976" s="199"/>
    </row>
    <row r="11977" spans="1:1" s="200" customFormat="1" ht="12" hidden="1" customHeight="1">
      <c r="A11977" s="199"/>
    </row>
    <row r="11978" spans="1:1" s="200" customFormat="1" ht="12" hidden="1" customHeight="1">
      <c r="A11978" s="199"/>
    </row>
    <row r="11979" spans="1:1" s="200" customFormat="1" ht="12" hidden="1" customHeight="1">
      <c r="A11979" s="199"/>
    </row>
    <row r="11980" spans="1:1" s="200" customFormat="1" ht="12" hidden="1" customHeight="1">
      <c r="A11980" s="199"/>
    </row>
    <row r="11981" spans="1:1" s="200" customFormat="1" ht="12" hidden="1" customHeight="1">
      <c r="A11981" s="199"/>
    </row>
    <row r="11982" spans="1:1" s="200" customFormat="1" ht="12" hidden="1" customHeight="1">
      <c r="A11982" s="199"/>
    </row>
    <row r="11983" spans="1:1" s="200" customFormat="1" ht="12" hidden="1" customHeight="1">
      <c r="A11983" s="199"/>
    </row>
    <row r="11984" spans="1:1" s="200" customFormat="1" ht="12" hidden="1" customHeight="1">
      <c r="A11984" s="199"/>
    </row>
    <row r="11985" spans="1:1" s="200" customFormat="1" ht="12" hidden="1" customHeight="1">
      <c r="A11985" s="199"/>
    </row>
    <row r="11986" spans="1:1" s="200" customFormat="1" ht="12" hidden="1" customHeight="1">
      <c r="A11986" s="199"/>
    </row>
    <row r="11987" spans="1:1" s="200" customFormat="1" ht="12" hidden="1" customHeight="1">
      <c r="A11987" s="199"/>
    </row>
    <row r="11988" spans="1:1" s="200" customFormat="1" ht="12" hidden="1" customHeight="1">
      <c r="A11988" s="199"/>
    </row>
    <row r="11989" spans="1:1" s="200" customFormat="1" ht="12" hidden="1" customHeight="1">
      <c r="A11989" s="199"/>
    </row>
    <row r="11990" spans="1:1" s="200" customFormat="1" ht="12" hidden="1" customHeight="1">
      <c r="A11990" s="199"/>
    </row>
    <row r="11991" spans="1:1" s="200" customFormat="1" ht="12" hidden="1" customHeight="1">
      <c r="A11991" s="199"/>
    </row>
    <row r="11992" spans="1:1" s="200" customFormat="1" ht="12" hidden="1" customHeight="1">
      <c r="A11992" s="199"/>
    </row>
    <row r="11993" spans="1:1" s="200" customFormat="1" ht="12" hidden="1" customHeight="1">
      <c r="A11993" s="199"/>
    </row>
    <row r="11994" spans="1:1" s="200" customFormat="1" ht="12" hidden="1" customHeight="1">
      <c r="A11994" s="199"/>
    </row>
    <row r="11995" spans="1:1" s="200" customFormat="1" ht="12" hidden="1" customHeight="1">
      <c r="A11995" s="199"/>
    </row>
    <row r="11996" spans="1:1" s="200" customFormat="1" ht="12" hidden="1" customHeight="1">
      <c r="A11996" s="199"/>
    </row>
    <row r="11997" spans="1:1" s="200" customFormat="1" ht="12" hidden="1" customHeight="1">
      <c r="A11997" s="199"/>
    </row>
    <row r="11998" spans="1:1" s="200" customFormat="1" ht="12" hidden="1" customHeight="1">
      <c r="A11998" s="199"/>
    </row>
    <row r="11999" spans="1:1" s="200" customFormat="1" ht="12" hidden="1" customHeight="1">
      <c r="A11999" s="199"/>
    </row>
    <row r="12000" spans="1:1" s="200" customFormat="1" ht="12" hidden="1" customHeight="1">
      <c r="A12000" s="199"/>
    </row>
    <row r="12001" spans="1:1" s="200" customFormat="1" ht="12" hidden="1" customHeight="1">
      <c r="A12001" s="199"/>
    </row>
    <row r="12002" spans="1:1" s="200" customFormat="1" ht="12" hidden="1" customHeight="1">
      <c r="A12002" s="199"/>
    </row>
    <row r="12003" spans="1:1" s="200" customFormat="1" ht="12" hidden="1" customHeight="1">
      <c r="A12003" s="199"/>
    </row>
    <row r="12004" spans="1:1" s="200" customFormat="1" ht="12" hidden="1" customHeight="1">
      <c r="A12004" s="199"/>
    </row>
    <row r="12005" spans="1:1" s="200" customFormat="1" ht="12" hidden="1" customHeight="1">
      <c r="A12005" s="199"/>
    </row>
    <row r="12006" spans="1:1" s="200" customFormat="1" ht="12" hidden="1" customHeight="1">
      <c r="A12006" s="199"/>
    </row>
    <row r="12007" spans="1:1" s="200" customFormat="1" ht="12" hidden="1" customHeight="1">
      <c r="A12007" s="199"/>
    </row>
    <row r="12008" spans="1:1" s="200" customFormat="1" ht="12" hidden="1" customHeight="1">
      <c r="A12008" s="199"/>
    </row>
    <row r="12009" spans="1:1" s="200" customFormat="1" ht="12" hidden="1" customHeight="1">
      <c r="A12009" s="199"/>
    </row>
    <row r="12010" spans="1:1" s="200" customFormat="1" ht="12" hidden="1" customHeight="1">
      <c r="A12010" s="199"/>
    </row>
    <row r="12011" spans="1:1" s="200" customFormat="1" ht="12" hidden="1" customHeight="1">
      <c r="A12011" s="199"/>
    </row>
    <row r="12012" spans="1:1" s="200" customFormat="1" ht="12" hidden="1" customHeight="1">
      <c r="A12012" s="199"/>
    </row>
    <row r="12013" spans="1:1" s="200" customFormat="1" ht="12" hidden="1" customHeight="1">
      <c r="A12013" s="199"/>
    </row>
    <row r="12014" spans="1:1" s="200" customFormat="1" ht="12" hidden="1" customHeight="1">
      <c r="A12014" s="199"/>
    </row>
    <row r="12015" spans="1:1" s="200" customFormat="1" ht="12" hidden="1" customHeight="1">
      <c r="A12015" s="199"/>
    </row>
    <row r="12016" spans="1:1" s="200" customFormat="1" ht="12" hidden="1" customHeight="1">
      <c r="A12016" s="199"/>
    </row>
    <row r="12017" spans="1:1" s="200" customFormat="1" ht="12" hidden="1" customHeight="1">
      <c r="A12017" s="199"/>
    </row>
    <row r="12018" spans="1:1" s="200" customFormat="1" ht="12" hidden="1" customHeight="1">
      <c r="A12018" s="199"/>
    </row>
    <row r="12019" spans="1:1" s="200" customFormat="1" ht="12" hidden="1" customHeight="1">
      <c r="A12019" s="199"/>
    </row>
    <row r="12020" spans="1:1" s="200" customFormat="1" ht="12" hidden="1" customHeight="1">
      <c r="A12020" s="199"/>
    </row>
    <row r="12021" spans="1:1" s="200" customFormat="1" ht="12" hidden="1" customHeight="1">
      <c r="A12021" s="199"/>
    </row>
    <row r="12022" spans="1:1" s="200" customFormat="1" ht="12" hidden="1" customHeight="1">
      <c r="A12022" s="199"/>
    </row>
    <row r="12023" spans="1:1" s="200" customFormat="1" ht="12" hidden="1" customHeight="1">
      <c r="A12023" s="199"/>
    </row>
    <row r="12024" spans="1:1" s="200" customFormat="1" ht="12" hidden="1" customHeight="1">
      <c r="A12024" s="199"/>
    </row>
    <row r="12025" spans="1:1" s="200" customFormat="1" ht="12" hidden="1" customHeight="1">
      <c r="A12025" s="199"/>
    </row>
    <row r="12026" spans="1:1" s="200" customFormat="1" ht="12" hidden="1" customHeight="1">
      <c r="A12026" s="199"/>
    </row>
    <row r="12027" spans="1:1" s="200" customFormat="1" ht="12" hidden="1" customHeight="1">
      <c r="A12027" s="199"/>
    </row>
    <row r="12028" spans="1:1" s="200" customFormat="1" ht="12" hidden="1" customHeight="1">
      <c r="A12028" s="199"/>
    </row>
    <row r="12029" spans="1:1" s="200" customFormat="1" ht="12" hidden="1" customHeight="1">
      <c r="A12029" s="199"/>
    </row>
    <row r="12030" spans="1:1" s="200" customFormat="1" ht="12" hidden="1" customHeight="1">
      <c r="A12030" s="199"/>
    </row>
    <row r="12031" spans="1:1" s="200" customFormat="1" ht="12" hidden="1" customHeight="1">
      <c r="A12031" s="199"/>
    </row>
    <row r="12032" spans="1:1" s="200" customFormat="1" ht="12" hidden="1" customHeight="1">
      <c r="A12032" s="199"/>
    </row>
    <row r="12033" spans="1:1" s="200" customFormat="1" ht="12" hidden="1" customHeight="1">
      <c r="A12033" s="199"/>
    </row>
    <row r="12034" spans="1:1" s="200" customFormat="1" ht="12" hidden="1" customHeight="1">
      <c r="A12034" s="199"/>
    </row>
    <row r="12035" spans="1:1" s="200" customFormat="1" ht="12" hidden="1" customHeight="1">
      <c r="A12035" s="199"/>
    </row>
    <row r="12036" spans="1:1" s="200" customFormat="1" ht="12" hidden="1" customHeight="1">
      <c r="A12036" s="199"/>
    </row>
    <row r="12037" spans="1:1" s="200" customFormat="1" ht="12" hidden="1" customHeight="1">
      <c r="A12037" s="199"/>
    </row>
    <row r="12038" spans="1:1" s="200" customFormat="1" ht="12" hidden="1" customHeight="1">
      <c r="A12038" s="199"/>
    </row>
    <row r="12039" spans="1:1" s="200" customFormat="1" ht="12" hidden="1" customHeight="1">
      <c r="A12039" s="199"/>
    </row>
    <row r="12040" spans="1:1" s="200" customFormat="1" ht="12" hidden="1" customHeight="1">
      <c r="A12040" s="199"/>
    </row>
    <row r="12041" spans="1:1" s="200" customFormat="1" ht="12" hidden="1" customHeight="1">
      <c r="A12041" s="199"/>
    </row>
    <row r="12042" spans="1:1" s="200" customFormat="1" ht="12" hidden="1" customHeight="1">
      <c r="A12042" s="199"/>
    </row>
    <row r="12043" spans="1:1" s="200" customFormat="1" ht="12" hidden="1" customHeight="1">
      <c r="A12043" s="199"/>
    </row>
    <row r="12044" spans="1:1" s="200" customFormat="1" ht="12" hidden="1" customHeight="1">
      <c r="A12044" s="199"/>
    </row>
    <row r="12045" spans="1:1" s="200" customFormat="1" ht="12" hidden="1" customHeight="1">
      <c r="A12045" s="199"/>
    </row>
    <row r="12046" spans="1:1" s="200" customFormat="1" ht="12" hidden="1" customHeight="1">
      <c r="A12046" s="199"/>
    </row>
    <row r="12047" spans="1:1" s="200" customFormat="1" ht="12" hidden="1" customHeight="1">
      <c r="A12047" s="199"/>
    </row>
    <row r="12048" spans="1:1" s="200" customFormat="1" ht="12" hidden="1" customHeight="1">
      <c r="A12048" s="199"/>
    </row>
    <row r="12049" spans="1:1" s="200" customFormat="1" ht="12" hidden="1" customHeight="1">
      <c r="A12049" s="199"/>
    </row>
    <row r="12050" spans="1:1" s="200" customFormat="1" ht="12" hidden="1" customHeight="1">
      <c r="A12050" s="199"/>
    </row>
    <row r="12051" spans="1:1" s="200" customFormat="1" ht="12" hidden="1" customHeight="1">
      <c r="A12051" s="199"/>
    </row>
    <row r="12052" spans="1:1" s="200" customFormat="1" ht="12" hidden="1" customHeight="1">
      <c r="A12052" s="199"/>
    </row>
    <row r="12053" spans="1:1" s="200" customFormat="1" ht="12" hidden="1" customHeight="1">
      <c r="A12053" s="199"/>
    </row>
    <row r="12054" spans="1:1" s="200" customFormat="1" ht="12" hidden="1" customHeight="1">
      <c r="A12054" s="199"/>
    </row>
    <row r="12055" spans="1:1" s="200" customFormat="1" ht="12" hidden="1" customHeight="1">
      <c r="A12055" s="199"/>
    </row>
    <row r="12056" spans="1:1" s="200" customFormat="1" ht="12" hidden="1" customHeight="1">
      <c r="A12056" s="199"/>
    </row>
    <row r="12057" spans="1:1" s="200" customFormat="1" ht="12" hidden="1" customHeight="1">
      <c r="A12057" s="199"/>
    </row>
    <row r="12058" spans="1:1" s="200" customFormat="1" ht="12" hidden="1" customHeight="1">
      <c r="A12058" s="199"/>
    </row>
    <row r="12059" spans="1:1" s="200" customFormat="1" ht="12" hidden="1" customHeight="1">
      <c r="A12059" s="199"/>
    </row>
    <row r="12060" spans="1:1" s="200" customFormat="1" ht="12" hidden="1" customHeight="1">
      <c r="A12060" s="199"/>
    </row>
    <row r="12061" spans="1:1" s="200" customFormat="1" ht="12" hidden="1" customHeight="1">
      <c r="A12061" s="199"/>
    </row>
    <row r="12062" spans="1:1" s="200" customFormat="1" ht="12" hidden="1" customHeight="1">
      <c r="A12062" s="199"/>
    </row>
    <row r="12063" spans="1:1" s="200" customFormat="1" ht="12" hidden="1" customHeight="1">
      <c r="A12063" s="199"/>
    </row>
    <row r="12064" spans="1:1" s="200" customFormat="1" ht="12" hidden="1" customHeight="1">
      <c r="A12064" s="199"/>
    </row>
    <row r="12065" spans="1:1" s="200" customFormat="1" ht="12" hidden="1" customHeight="1">
      <c r="A12065" s="199"/>
    </row>
    <row r="12066" spans="1:1" s="200" customFormat="1" ht="12" hidden="1" customHeight="1">
      <c r="A12066" s="199"/>
    </row>
    <row r="12067" spans="1:1" s="200" customFormat="1" ht="12" hidden="1" customHeight="1">
      <c r="A12067" s="199"/>
    </row>
    <row r="12068" spans="1:1" s="200" customFormat="1" ht="12" hidden="1" customHeight="1">
      <c r="A12068" s="199"/>
    </row>
    <row r="12069" spans="1:1" s="200" customFormat="1" ht="12" hidden="1" customHeight="1">
      <c r="A12069" s="199"/>
    </row>
    <row r="12070" spans="1:1" s="200" customFormat="1" ht="12" hidden="1" customHeight="1">
      <c r="A12070" s="199"/>
    </row>
    <row r="12071" spans="1:1" s="200" customFormat="1" ht="12" hidden="1" customHeight="1">
      <c r="A12071" s="199"/>
    </row>
    <row r="12072" spans="1:1" s="200" customFormat="1" ht="12" hidden="1" customHeight="1">
      <c r="A12072" s="199"/>
    </row>
    <row r="12073" spans="1:1" s="200" customFormat="1" ht="12" hidden="1" customHeight="1">
      <c r="A12073" s="199"/>
    </row>
    <row r="12074" spans="1:1" s="200" customFormat="1" ht="12" hidden="1" customHeight="1">
      <c r="A12074" s="199"/>
    </row>
    <row r="12075" spans="1:1" s="200" customFormat="1" ht="12" hidden="1" customHeight="1">
      <c r="A12075" s="199"/>
    </row>
    <row r="12076" spans="1:1" s="200" customFormat="1" ht="12" hidden="1" customHeight="1">
      <c r="A12076" s="199"/>
    </row>
    <row r="12077" spans="1:1" s="200" customFormat="1" ht="12" hidden="1" customHeight="1">
      <c r="A12077" s="199"/>
    </row>
    <row r="12078" spans="1:1" s="200" customFormat="1" ht="12" hidden="1" customHeight="1">
      <c r="A12078" s="199"/>
    </row>
    <row r="12079" spans="1:1" s="200" customFormat="1" ht="12" hidden="1" customHeight="1">
      <c r="A12079" s="199"/>
    </row>
    <row r="12080" spans="1:1" s="200" customFormat="1" ht="12" hidden="1" customHeight="1">
      <c r="A12080" s="199"/>
    </row>
    <row r="12081" spans="1:1" s="200" customFormat="1" ht="12" hidden="1" customHeight="1">
      <c r="A12081" s="199"/>
    </row>
    <row r="12082" spans="1:1" s="200" customFormat="1" ht="12" hidden="1" customHeight="1">
      <c r="A12082" s="199"/>
    </row>
    <row r="12083" spans="1:1" s="200" customFormat="1" ht="12" hidden="1" customHeight="1">
      <c r="A12083" s="199"/>
    </row>
    <row r="12084" spans="1:1" s="200" customFormat="1" ht="12" hidden="1" customHeight="1">
      <c r="A12084" s="199"/>
    </row>
    <row r="12085" spans="1:1" s="200" customFormat="1" ht="12" hidden="1" customHeight="1">
      <c r="A12085" s="199"/>
    </row>
    <row r="12086" spans="1:1" s="200" customFormat="1" ht="12" hidden="1" customHeight="1">
      <c r="A12086" s="199"/>
    </row>
    <row r="12087" spans="1:1" s="200" customFormat="1" ht="12" hidden="1" customHeight="1">
      <c r="A12087" s="199"/>
    </row>
    <row r="12088" spans="1:1" s="200" customFormat="1" ht="12" hidden="1" customHeight="1">
      <c r="A12088" s="199"/>
    </row>
    <row r="12089" spans="1:1" s="200" customFormat="1" ht="12" hidden="1" customHeight="1">
      <c r="A12089" s="199"/>
    </row>
    <row r="12090" spans="1:1" s="200" customFormat="1" ht="12" hidden="1" customHeight="1">
      <c r="A12090" s="199"/>
    </row>
    <row r="12091" spans="1:1" s="200" customFormat="1" ht="12" hidden="1" customHeight="1">
      <c r="A12091" s="199"/>
    </row>
    <row r="12092" spans="1:1" s="200" customFormat="1" ht="12" hidden="1" customHeight="1">
      <c r="A12092" s="199"/>
    </row>
    <row r="12093" spans="1:1" s="200" customFormat="1" ht="12" hidden="1" customHeight="1">
      <c r="A12093" s="199"/>
    </row>
    <row r="12094" spans="1:1" s="200" customFormat="1" ht="12" hidden="1" customHeight="1">
      <c r="A12094" s="199"/>
    </row>
    <row r="12095" spans="1:1" s="200" customFormat="1" ht="12" hidden="1" customHeight="1">
      <c r="A12095" s="199"/>
    </row>
    <row r="12096" spans="1:1" s="200" customFormat="1" ht="12" hidden="1" customHeight="1">
      <c r="A12096" s="199"/>
    </row>
    <row r="12097" spans="1:1" s="200" customFormat="1" ht="12" hidden="1" customHeight="1">
      <c r="A12097" s="199"/>
    </row>
    <row r="12098" spans="1:1" s="200" customFormat="1" ht="12" hidden="1" customHeight="1">
      <c r="A12098" s="199"/>
    </row>
    <row r="12099" spans="1:1" s="200" customFormat="1" ht="12" hidden="1" customHeight="1">
      <c r="A12099" s="199"/>
    </row>
    <row r="12100" spans="1:1" s="200" customFormat="1" ht="12" hidden="1" customHeight="1">
      <c r="A12100" s="199"/>
    </row>
    <row r="12101" spans="1:1" s="200" customFormat="1" ht="12" hidden="1" customHeight="1">
      <c r="A12101" s="199"/>
    </row>
    <row r="12102" spans="1:1" s="200" customFormat="1" ht="12" hidden="1" customHeight="1">
      <c r="A12102" s="199"/>
    </row>
    <row r="12103" spans="1:1" s="200" customFormat="1" ht="12" hidden="1" customHeight="1">
      <c r="A12103" s="199"/>
    </row>
    <row r="12104" spans="1:1" s="200" customFormat="1" ht="12" hidden="1" customHeight="1">
      <c r="A12104" s="199"/>
    </row>
    <row r="12105" spans="1:1" s="200" customFormat="1" ht="12" hidden="1" customHeight="1">
      <c r="A12105" s="199"/>
    </row>
    <row r="12106" spans="1:1" s="200" customFormat="1" ht="12" hidden="1" customHeight="1">
      <c r="A12106" s="199"/>
    </row>
    <row r="12107" spans="1:1" s="200" customFormat="1" ht="12" hidden="1" customHeight="1">
      <c r="A12107" s="199"/>
    </row>
    <row r="12108" spans="1:1" s="200" customFormat="1" ht="12" hidden="1" customHeight="1">
      <c r="A12108" s="199"/>
    </row>
    <row r="12109" spans="1:1" s="200" customFormat="1" ht="12" hidden="1" customHeight="1">
      <c r="A12109" s="199"/>
    </row>
    <row r="12110" spans="1:1" s="200" customFormat="1" ht="12" hidden="1" customHeight="1">
      <c r="A12110" s="199"/>
    </row>
    <row r="12111" spans="1:1" s="200" customFormat="1" ht="12" hidden="1" customHeight="1">
      <c r="A12111" s="199"/>
    </row>
    <row r="12112" spans="1:1" s="200" customFormat="1" ht="12" hidden="1" customHeight="1">
      <c r="A12112" s="199"/>
    </row>
    <row r="12113" spans="1:1" s="200" customFormat="1" ht="12" hidden="1" customHeight="1">
      <c r="A12113" s="199"/>
    </row>
    <row r="12114" spans="1:1" s="200" customFormat="1" ht="12" hidden="1" customHeight="1">
      <c r="A12114" s="199"/>
    </row>
    <row r="12115" spans="1:1" s="200" customFormat="1" ht="12" hidden="1" customHeight="1">
      <c r="A12115" s="199"/>
    </row>
    <row r="12116" spans="1:1" s="200" customFormat="1" ht="12" hidden="1" customHeight="1">
      <c r="A12116" s="199"/>
    </row>
    <row r="12117" spans="1:1" s="200" customFormat="1" ht="12" hidden="1" customHeight="1">
      <c r="A12117" s="199"/>
    </row>
    <row r="12118" spans="1:1" s="200" customFormat="1" ht="12" hidden="1" customHeight="1">
      <c r="A12118" s="199"/>
    </row>
    <row r="12119" spans="1:1" s="200" customFormat="1" ht="12" hidden="1" customHeight="1">
      <c r="A12119" s="199"/>
    </row>
    <row r="12120" spans="1:1" s="200" customFormat="1" ht="12" hidden="1" customHeight="1">
      <c r="A12120" s="199"/>
    </row>
    <row r="12121" spans="1:1" s="200" customFormat="1" ht="12" hidden="1" customHeight="1">
      <c r="A12121" s="199"/>
    </row>
    <row r="12122" spans="1:1" s="200" customFormat="1" ht="12" hidden="1" customHeight="1">
      <c r="A12122" s="199"/>
    </row>
    <row r="12123" spans="1:1" s="200" customFormat="1" ht="12" hidden="1" customHeight="1">
      <c r="A12123" s="199"/>
    </row>
    <row r="12124" spans="1:1" s="200" customFormat="1" ht="12" hidden="1" customHeight="1">
      <c r="A12124" s="199"/>
    </row>
    <row r="12125" spans="1:1" s="200" customFormat="1" ht="12" hidden="1" customHeight="1">
      <c r="A12125" s="199"/>
    </row>
    <row r="12126" spans="1:1" s="200" customFormat="1" ht="12" hidden="1" customHeight="1">
      <c r="A12126" s="199"/>
    </row>
    <row r="12127" spans="1:1" s="200" customFormat="1" ht="12" hidden="1" customHeight="1">
      <c r="A12127" s="199"/>
    </row>
    <row r="12128" spans="1:1" s="200" customFormat="1" ht="12" hidden="1" customHeight="1">
      <c r="A12128" s="199"/>
    </row>
    <row r="12129" spans="1:1" s="200" customFormat="1" ht="12" hidden="1" customHeight="1">
      <c r="A12129" s="199"/>
    </row>
    <row r="12130" spans="1:1" s="200" customFormat="1" ht="12" hidden="1" customHeight="1">
      <c r="A12130" s="199"/>
    </row>
    <row r="12131" spans="1:1" s="200" customFormat="1" ht="12" hidden="1" customHeight="1">
      <c r="A12131" s="199"/>
    </row>
    <row r="12132" spans="1:1" s="200" customFormat="1" ht="12" hidden="1" customHeight="1">
      <c r="A12132" s="199"/>
    </row>
    <row r="12133" spans="1:1" s="200" customFormat="1" ht="12" hidden="1" customHeight="1">
      <c r="A12133" s="199"/>
    </row>
    <row r="12134" spans="1:1" s="200" customFormat="1" ht="12" hidden="1" customHeight="1">
      <c r="A12134" s="199"/>
    </row>
    <row r="12135" spans="1:1" s="200" customFormat="1" ht="12" hidden="1" customHeight="1">
      <c r="A12135" s="199"/>
    </row>
    <row r="12136" spans="1:1" s="200" customFormat="1" ht="12" hidden="1" customHeight="1">
      <c r="A12136" s="199"/>
    </row>
    <row r="12137" spans="1:1" s="200" customFormat="1" ht="12" hidden="1" customHeight="1">
      <c r="A12137" s="199"/>
    </row>
    <row r="12138" spans="1:1" s="200" customFormat="1" ht="12" hidden="1" customHeight="1">
      <c r="A12138" s="199"/>
    </row>
    <row r="12139" spans="1:1" s="200" customFormat="1" ht="12" hidden="1" customHeight="1">
      <c r="A12139" s="199"/>
    </row>
    <row r="12140" spans="1:1" s="200" customFormat="1" ht="12" hidden="1" customHeight="1">
      <c r="A12140" s="199"/>
    </row>
    <row r="12141" spans="1:1" s="200" customFormat="1" ht="12" hidden="1" customHeight="1">
      <c r="A12141" s="199"/>
    </row>
    <row r="12142" spans="1:1" s="200" customFormat="1" ht="12" hidden="1" customHeight="1">
      <c r="A12142" s="199"/>
    </row>
    <row r="12143" spans="1:1" s="200" customFormat="1" ht="12" hidden="1" customHeight="1">
      <c r="A12143" s="199"/>
    </row>
    <row r="12144" spans="1:1" s="200" customFormat="1" ht="12" hidden="1" customHeight="1">
      <c r="A12144" s="199"/>
    </row>
    <row r="12145" spans="1:1" s="200" customFormat="1" ht="12" hidden="1" customHeight="1">
      <c r="A12145" s="199"/>
    </row>
    <row r="12146" spans="1:1" s="200" customFormat="1" ht="12" hidden="1" customHeight="1">
      <c r="A12146" s="199"/>
    </row>
    <row r="12147" spans="1:1" s="200" customFormat="1" ht="12" hidden="1" customHeight="1">
      <c r="A12147" s="199"/>
    </row>
    <row r="12148" spans="1:1" s="200" customFormat="1" ht="12" hidden="1" customHeight="1">
      <c r="A12148" s="199"/>
    </row>
    <row r="12149" spans="1:1" s="200" customFormat="1" ht="12" hidden="1" customHeight="1">
      <c r="A12149" s="199"/>
    </row>
    <row r="12150" spans="1:1" s="200" customFormat="1" ht="12" hidden="1" customHeight="1">
      <c r="A12150" s="199"/>
    </row>
    <row r="12151" spans="1:1" s="200" customFormat="1" ht="12" hidden="1" customHeight="1">
      <c r="A12151" s="199"/>
    </row>
    <row r="12152" spans="1:1" s="200" customFormat="1" ht="12" hidden="1" customHeight="1">
      <c r="A12152" s="199"/>
    </row>
    <row r="12153" spans="1:1" s="200" customFormat="1" ht="12" hidden="1" customHeight="1">
      <c r="A12153" s="199"/>
    </row>
    <row r="12154" spans="1:1" s="200" customFormat="1" ht="12" hidden="1" customHeight="1">
      <c r="A12154" s="199"/>
    </row>
    <row r="12155" spans="1:1" s="200" customFormat="1" ht="12" hidden="1" customHeight="1">
      <c r="A12155" s="199"/>
    </row>
    <row r="12156" spans="1:1" s="200" customFormat="1" ht="12" hidden="1" customHeight="1">
      <c r="A12156" s="199"/>
    </row>
    <row r="12157" spans="1:1" s="200" customFormat="1" ht="12" hidden="1" customHeight="1">
      <c r="A12157" s="199"/>
    </row>
    <row r="12158" spans="1:1" s="200" customFormat="1" ht="12" hidden="1" customHeight="1">
      <c r="A12158" s="199"/>
    </row>
    <row r="12159" spans="1:1" s="200" customFormat="1" ht="12" hidden="1" customHeight="1">
      <c r="A12159" s="199"/>
    </row>
    <row r="12160" spans="1:1" s="200" customFormat="1" ht="12" hidden="1" customHeight="1">
      <c r="A12160" s="199"/>
    </row>
    <row r="12161" spans="1:1" s="200" customFormat="1" ht="12" hidden="1" customHeight="1">
      <c r="A12161" s="199"/>
    </row>
    <row r="12162" spans="1:1" s="200" customFormat="1" ht="12" hidden="1" customHeight="1">
      <c r="A12162" s="199"/>
    </row>
    <row r="12163" spans="1:1" s="200" customFormat="1" ht="12" hidden="1" customHeight="1">
      <c r="A12163" s="199"/>
    </row>
    <row r="12164" spans="1:1" s="200" customFormat="1" ht="12" hidden="1" customHeight="1">
      <c r="A12164" s="199"/>
    </row>
    <row r="12165" spans="1:1" s="200" customFormat="1" ht="12" hidden="1" customHeight="1">
      <c r="A12165" s="199"/>
    </row>
    <row r="12166" spans="1:1" s="200" customFormat="1" ht="12" hidden="1" customHeight="1">
      <c r="A12166" s="199"/>
    </row>
    <row r="12167" spans="1:1" s="200" customFormat="1" ht="12" hidden="1" customHeight="1">
      <c r="A12167" s="199"/>
    </row>
    <row r="12168" spans="1:1" s="200" customFormat="1" ht="12" hidden="1" customHeight="1">
      <c r="A12168" s="199"/>
    </row>
    <row r="12169" spans="1:1" s="200" customFormat="1" ht="12" hidden="1" customHeight="1">
      <c r="A12169" s="199"/>
    </row>
    <row r="12170" spans="1:1" s="200" customFormat="1" ht="12" hidden="1" customHeight="1">
      <c r="A12170" s="199"/>
    </row>
    <row r="12171" spans="1:1" s="200" customFormat="1" ht="12" hidden="1" customHeight="1">
      <c r="A12171" s="199"/>
    </row>
    <row r="12172" spans="1:1" s="200" customFormat="1" ht="12" hidden="1" customHeight="1">
      <c r="A12172" s="199"/>
    </row>
    <row r="12173" spans="1:1" s="200" customFormat="1" ht="12" hidden="1" customHeight="1">
      <c r="A12173" s="199"/>
    </row>
    <row r="12174" spans="1:1" s="200" customFormat="1" ht="12" hidden="1" customHeight="1">
      <c r="A12174" s="199"/>
    </row>
    <row r="12175" spans="1:1" s="200" customFormat="1" ht="12" hidden="1" customHeight="1">
      <c r="A12175" s="199"/>
    </row>
    <row r="12176" spans="1:1" s="200" customFormat="1" ht="12" hidden="1" customHeight="1">
      <c r="A12176" s="199"/>
    </row>
    <row r="12177" spans="1:1" s="200" customFormat="1" ht="12" hidden="1" customHeight="1">
      <c r="A12177" s="199"/>
    </row>
    <row r="12178" spans="1:1" s="200" customFormat="1" ht="12" hidden="1" customHeight="1">
      <c r="A12178" s="199"/>
    </row>
    <row r="12179" spans="1:1" s="200" customFormat="1" ht="12" hidden="1" customHeight="1">
      <c r="A12179" s="199"/>
    </row>
    <row r="12180" spans="1:1" s="200" customFormat="1" ht="12" hidden="1" customHeight="1">
      <c r="A12180" s="199"/>
    </row>
    <row r="12181" spans="1:1" s="200" customFormat="1" ht="12" hidden="1" customHeight="1">
      <c r="A12181" s="199"/>
    </row>
    <row r="12182" spans="1:1" s="200" customFormat="1" ht="12" hidden="1" customHeight="1">
      <c r="A12182" s="199"/>
    </row>
    <row r="12183" spans="1:1" s="200" customFormat="1" ht="12" hidden="1" customHeight="1">
      <c r="A12183" s="199"/>
    </row>
    <row r="12184" spans="1:1" s="200" customFormat="1" ht="12" hidden="1" customHeight="1">
      <c r="A12184" s="199"/>
    </row>
    <row r="12185" spans="1:1" s="200" customFormat="1" ht="12" hidden="1" customHeight="1">
      <c r="A12185" s="199"/>
    </row>
    <row r="12186" spans="1:1" s="200" customFormat="1" ht="12" hidden="1" customHeight="1">
      <c r="A12186" s="199"/>
    </row>
    <row r="12187" spans="1:1" s="200" customFormat="1" ht="12" hidden="1" customHeight="1">
      <c r="A12187" s="199"/>
    </row>
    <row r="12188" spans="1:1" s="200" customFormat="1" ht="12" hidden="1" customHeight="1">
      <c r="A12188" s="199"/>
    </row>
    <row r="12189" spans="1:1" s="200" customFormat="1" ht="12" hidden="1" customHeight="1">
      <c r="A12189" s="199"/>
    </row>
    <row r="12190" spans="1:1" s="200" customFormat="1" ht="12" hidden="1" customHeight="1">
      <c r="A12190" s="199"/>
    </row>
    <row r="12191" spans="1:1" s="200" customFormat="1" ht="12" hidden="1" customHeight="1">
      <c r="A12191" s="199"/>
    </row>
    <row r="12192" spans="1:1" s="200" customFormat="1" ht="12" hidden="1" customHeight="1">
      <c r="A12192" s="199"/>
    </row>
    <row r="12193" spans="1:1" s="200" customFormat="1" ht="12" hidden="1" customHeight="1">
      <c r="A12193" s="199"/>
    </row>
    <row r="12194" spans="1:1" s="200" customFormat="1" ht="12" hidden="1" customHeight="1">
      <c r="A12194" s="199"/>
    </row>
    <row r="12195" spans="1:1" s="200" customFormat="1" ht="12" hidden="1" customHeight="1">
      <c r="A12195" s="199"/>
    </row>
    <row r="12196" spans="1:1" s="200" customFormat="1" ht="12" hidden="1" customHeight="1">
      <c r="A12196" s="199"/>
    </row>
    <row r="12197" spans="1:1" s="200" customFormat="1" ht="12" hidden="1" customHeight="1">
      <c r="A12197" s="199"/>
    </row>
    <row r="12198" spans="1:1" s="200" customFormat="1" ht="12" hidden="1" customHeight="1">
      <c r="A12198" s="199"/>
    </row>
    <row r="12199" spans="1:1" s="200" customFormat="1" ht="12" hidden="1" customHeight="1">
      <c r="A12199" s="199"/>
    </row>
    <row r="12200" spans="1:1" s="200" customFormat="1" ht="12" hidden="1" customHeight="1">
      <c r="A12200" s="199"/>
    </row>
    <row r="12201" spans="1:1" s="200" customFormat="1" ht="12" hidden="1" customHeight="1">
      <c r="A12201" s="199"/>
    </row>
    <row r="12202" spans="1:1" s="200" customFormat="1" ht="12" hidden="1" customHeight="1">
      <c r="A12202" s="199"/>
    </row>
    <row r="12203" spans="1:1" s="200" customFormat="1" ht="12" hidden="1" customHeight="1">
      <c r="A12203" s="199"/>
    </row>
    <row r="12204" spans="1:1" s="200" customFormat="1" ht="12" hidden="1" customHeight="1">
      <c r="A12204" s="199"/>
    </row>
    <row r="12205" spans="1:1" s="200" customFormat="1" ht="12" hidden="1" customHeight="1">
      <c r="A12205" s="199"/>
    </row>
    <row r="12206" spans="1:1" s="200" customFormat="1" ht="12" hidden="1" customHeight="1">
      <c r="A12206" s="199"/>
    </row>
    <row r="12207" spans="1:1" s="200" customFormat="1" ht="12" hidden="1" customHeight="1">
      <c r="A12207" s="199"/>
    </row>
    <row r="12208" spans="1:1" s="200" customFormat="1" ht="12" hidden="1" customHeight="1">
      <c r="A12208" s="199"/>
    </row>
    <row r="12209" spans="1:1" s="200" customFormat="1" ht="12" hidden="1" customHeight="1">
      <c r="A12209" s="199"/>
    </row>
    <row r="12210" spans="1:1" s="200" customFormat="1" ht="12" hidden="1" customHeight="1">
      <c r="A12210" s="199"/>
    </row>
    <row r="12211" spans="1:1" s="200" customFormat="1" ht="12" hidden="1" customHeight="1">
      <c r="A12211" s="199"/>
    </row>
    <row r="12212" spans="1:1" s="200" customFormat="1" ht="12" hidden="1" customHeight="1">
      <c r="A12212" s="199"/>
    </row>
    <row r="12213" spans="1:1" s="200" customFormat="1" ht="12" hidden="1" customHeight="1">
      <c r="A12213" s="199"/>
    </row>
    <row r="12214" spans="1:1" s="200" customFormat="1" ht="12" hidden="1" customHeight="1">
      <c r="A12214" s="199"/>
    </row>
    <row r="12215" spans="1:1" s="200" customFormat="1" ht="12" hidden="1" customHeight="1">
      <c r="A12215" s="199"/>
    </row>
    <row r="12216" spans="1:1" s="200" customFormat="1" ht="12" hidden="1" customHeight="1">
      <c r="A12216" s="199"/>
    </row>
    <row r="12217" spans="1:1" s="200" customFormat="1" ht="12" hidden="1" customHeight="1">
      <c r="A12217" s="199"/>
    </row>
    <row r="12218" spans="1:1" s="200" customFormat="1" ht="12" hidden="1" customHeight="1">
      <c r="A12218" s="199"/>
    </row>
    <row r="12219" spans="1:1" s="200" customFormat="1" ht="12" hidden="1" customHeight="1">
      <c r="A12219" s="199"/>
    </row>
    <row r="12220" spans="1:1" s="200" customFormat="1" ht="12" hidden="1" customHeight="1">
      <c r="A12220" s="199"/>
    </row>
    <row r="12221" spans="1:1" s="200" customFormat="1" ht="12" hidden="1" customHeight="1">
      <c r="A12221" s="199"/>
    </row>
    <row r="12222" spans="1:1" s="200" customFormat="1" ht="12" hidden="1" customHeight="1">
      <c r="A12222" s="199"/>
    </row>
    <row r="12223" spans="1:1" s="200" customFormat="1" ht="12" hidden="1" customHeight="1">
      <c r="A12223" s="199"/>
    </row>
    <row r="12224" spans="1:1" s="200" customFormat="1" ht="12" hidden="1" customHeight="1">
      <c r="A12224" s="199"/>
    </row>
    <row r="12225" spans="1:1" s="200" customFormat="1" ht="12" hidden="1" customHeight="1">
      <c r="A12225" s="199"/>
    </row>
    <row r="12226" spans="1:1" s="200" customFormat="1" ht="12" hidden="1" customHeight="1">
      <c r="A12226" s="199"/>
    </row>
    <row r="12227" spans="1:1" s="200" customFormat="1" ht="12" hidden="1" customHeight="1">
      <c r="A12227" s="199"/>
    </row>
    <row r="12228" spans="1:1" s="200" customFormat="1" ht="12" hidden="1" customHeight="1">
      <c r="A12228" s="199"/>
    </row>
    <row r="12229" spans="1:1" s="200" customFormat="1" ht="12" hidden="1" customHeight="1">
      <c r="A12229" s="199"/>
    </row>
    <row r="12230" spans="1:1" s="200" customFormat="1" ht="12" hidden="1" customHeight="1">
      <c r="A12230" s="199"/>
    </row>
    <row r="12231" spans="1:1" s="200" customFormat="1" ht="12" hidden="1" customHeight="1">
      <c r="A12231" s="199"/>
    </row>
    <row r="12232" spans="1:1" s="200" customFormat="1" ht="12" hidden="1" customHeight="1">
      <c r="A12232" s="199"/>
    </row>
    <row r="12233" spans="1:1" s="200" customFormat="1" ht="12" hidden="1" customHeight="1">
      <c r="A12233" s="199"/>
    </row>
    <row r="12234" spans="1:1" s="200" customFormat="1" ht="12" hidden="1" customHeight="1">
      <c r="A12234" s="199"/>
    </row>
    <row r="12235" spans="1:1" s="200" customFormat="1" ht="12" hidden="1" customHeight="1">
      <c r="A12235" s="199"/>
    </row>
    <row r="12236" spans="1:1" s="200" customFormat="1" ht="12" hidden="1" customHeight="1">
      <c r="A12236" s="199"/>
    </row>
    <row r="12237" spans="1:1" s="200" customFormat="1" ht="12" hidden="1" customHeight="1">
      <c r="A12237" s="199"/>
    </row>
    <row r="12238" spans="1:1" s="200" customFormat="1" ht="12" hidden="1" customHeight="1">
      <c r="A12238" s="199"/>
    </row>
    <row r="12239" spans="1:1" s="200" customFormat="1" ht="12" hidden="1" customHeight="1">
      <c r="A12239" s="199"/>
    </row>
    <row r="12240" spans="1:1" s="200" customFormat="1" ht="12" hidden="1" customHeight="1">
      <c r="A12240" s="199"/>
    </row>
    <row r="12241" spans="1:1" s="200" customFormat="1" ht="12" hidden="1" customHeight="1">
      <c r="A12241" s="199"/>
    </row>
    <row r="12242" spans="1:1" s="200" customFormat="1" ht="12" hidden="1" customHeight="1">
      <c r="A12242" s="199"/>
    </row>
    <row r="12243" spans="1:1" s="200" customFormat="1" ht="12" hidden="1" customHeight="1">
      <c r="A12243" s="199"/>
    </row>
    <row r="12244" spans="1:1" s="200" customFormat="1" ht="12" hidden="1" customHeight="1">
      <c r="A12244" s="199"/>
    </row>
    <row r="12245" spans="1:1" s="200" customFormat="1" ht="12" hidden="1" customHeight="1">
      <c r="A12245" s="199"/>
    </row>
    <row r="12246" spans="1:1" s="200" customFormat="1" ht="12" hidden="1" customHeight="1">
      <c r="A12246" s="199"/>
    </row>
    <row r="12247" spans="1:1" s="200" customFormat="1" ht="12" hidden="1" customHeight="1">
      <c r="A12247" s="199"/>
    </row>
    <row r="12248" spans="1:1" s="200" customFormat="1" ht="12" hidden="1" customHeight="1">
      <c r="A12248" s="199"/>
    </row>
    <row r="12249" spans="1:1" s="200" customFormat="1" ht="12" hidden="1" customHeight="1">
      <c r="A12249" s="199"/>
    </row>
    <row r="12250" spans="1:1" s="200" customFormat="1" ht="12" hidden="1" customHeight="1">
      <c r="A12250" s="199"/>
    </row>
    <row r="12251" spans="1:1" s="200" customFormat="1" ht="12" hidden="1" customHeight="1">
      <c r="A12251" s="199"/>
    </row>
    <row r="12252" spans="1:1" s="200" customFormat="1" ht="12" hidden="1" customHeight="1">
      <c r="A12252" s="199"/>
    </row>
    <row r="12253" spans="1:1" s="200" customFormat="1" ht="12" hidden="1" customHeight="1">
      <c r="A12253" s="199"/>
    </row>
    <row r="12254" spans="1:1" s="200" customFormat="1" ht="12" hidden="1" customHeight="1">
      <c r="A12254" s="199"/>
    </row>
    <row r="12255" spans="1:1" s="200" customFormat="1" ht="12" hidden="1" customHeight="1">
      <c r="A12255" s="199"/>
    </row>
    <row r="12256" spans="1:1" s="200" customFormat="1" ht="12" hidden="1" customHeight="1">
      <c r="A12256" s="199"/>
    </row>
    <row r="12257" spans="1:1" s="200" customFormat="1" ht="12" hidden="1" customHeight="1">
      <c r="A12257" s="199"/>
    </row>
    <row r="12258" spans="1:1" s="200" customFormat="1" ht="12" hidden="1" customHeight="1">
      <c r="A12258" s="199"/>
    </row>
    <row r="12259" spans="1:1" s="200" customFormat="1" ht="12" hidden="1" customHeight="1">
      <c r="A12259" s="199"/>
    </row>
    <row r="12260" spans="1:1" s="200" customFormat="1" ht="12" hidden="1" customHeight="1">
      <c r="A12260" s="199"/>
    </row>
    <row r="12261" spans="1:1" s="200" customFormat="1" ht="12" hidden="1" customHeight="1">
      <c r="A12261" s="199"/>
    </row>
    <row r="12262" spans="1:1" s="200" customFormat="1" ht="12" hidden="1" customHeight="1">
      <c r="A12262" s="199"/>
    </row>
    <row r="12263" spans="1:1" s="200" customFormat="1" ht="12" hidden="1" customHeight="1">
      <c r="A12263" s="199"/>
    </row>
    <row r="12264" spans="1:1" s="200" customFormat="1" ht="12" hidden="1" customHeight="1">
      <c r="A12264" s="199"/>
    </row>
    <row r="12265" spans="1:1" s="200" customFormat="1" ht="12" hidden="1" customHeight="1">
      <c r="A12265" s="199"/>
    </row>
    <row r="12266" spans="1:1" s="200" customFormat="1" ht="12" hidden="1" customHeight="1">
      <c r="A12266" s="199"/>
    </row>
    <row r="12267" spans="1:1" s="200" customFormat="1" ht="12" hidden="1" customHeight="1">
      <c r="A12267" s="199"/>
    </row>
    <row r="12268" spans="1:1" s="200" customFormat="1" ht="12" hidden="1" customHeight="1">
      <c r="A12268" s="199"/>
    </row>
    <row r="12269" spans="1:1" s="200" customFormat="1" ht="12" hidden="1" customHeight="1">
      <c r="A12269" s="199"/>
    </row>
    <row r="12270" spans="1:1" s="200" customFormat="1" ht="12" hidden="1" customHeight="1">
      <c r="A12270" s="199"/>
    </row>
    <row r="12271" spans="1:1" s="200" customFormat="1" ht="12" hidden="1" customHeight="1">
      <c r="A12271" s="199"/>
    </row>
    <row r="12272" spans="1:1" s="200" customFormat="1" ht="12" hidden="1" customHeight="1">
      <c r="A12272" s="199"/>
    </row>
    <row r="12273" spans="1:1" s="200" customFormat="1" ht="12" hidden="1" customHeight="1">
      <c r="A12273" s="199"/>
    </row>
    <row r="12274" spans="1:1" s="200" customFormat="1" ht="12" hidden="1" customHeight="1">
      <c r="A12274" s="199"/>
    </row>
    <row r="12275" spans="1:1" s="200" customFormat="1" ht="12" hidden="1" customHeight="1">
      <c r="A12275" s="199"/>
    </row>
    <row r="12276" spans="1:1" s="200" customFormat="1" ht="12" hidden="1" customHeight="1">
      <c r="A12276" s="199"/>
    </row>
    <row r="12277" spans="1:1" s="200" customFormat="1" ht="12" hidden="1" customHeight="1">
      <c r="A12277" s="199"/>
    </row>
    <row r="12278" spans="1:1" s="200" customFormat="1" ht="12" hidden="1" customHeight="1">
      <c r="A12278" s="199"/>
    </row>
    <row r="12279" spans="1:1" s="200" customFormat="1" ht="12" hidden="1" customHeight="1">
      <c r="A12279" s="199"/>
    </row>
    <row r="12280" spans="1:1" s="200" customFormat="1" ht="12" hidden="1" customHeight="1">
      <c r="A12280" s="199"/>
    </row>
    <row r="12281" spans="1:1" s="200" customFormat="1" ht="12" hidden="1" customHeight="1">
      <c r="A12281" s="199"/>
    </row>
    <row r="12282" spans="1:1" s="200" customFormat="1" ht="12" hidden="1" customHeight="1">
      <c r="A12282" s="199"/>
    </row>
    <row r="12283" spans="1:1" s="200" customFormat="1" ht="12" hidden="1" customHeight="1">
      <c r="A12283" s="199"/>
    </row>
    <row r="12284" spans="1:1" s="200" customFormat="1" ht="12" hidden="1" customHeight="1">
      <c r="A12284" s="199"/>
    </row>
    <row r="12285" spans="1:1" s="200" customFormat="1" ht="12" hidden="1" customHeight="1">
      <c r="A12285" s="199"/>
    </row>
    <row r="12286" spans="1:1" s="200" customFormat="1" ht="12" hidden="1" customHeight="1">
      <c r="A12286" s="199"/>
    </row>
    <row r="12287" spans="1:1" s="200" customFormat="1" ht="12" hidden="1" customHeight="1">
      <c r="A12287" s="199"/>
    </row>
    <row r="12288" spans="1:1" s="200" customFormat="1" ht="12" hidden="1" customHeight="1">
      <c r="A12288" s="199"/>
    </row>
    <row r="12289" spans="1:1" s="200" customFormat="1" ht="12" hidden="1" customHeight="1">
      <c r="A12289" s="199"/>
    </row>
    <row r="12290" spans="1:1" s="200" customFormat="1" ht="12" hidden="1" customHeight="1">
      <c r="A12290" s="199"/>
    </row>
    <row r="12291" spans="1:1" s="200" customFormat="1" ht="12" hidden="1" customHeight="1">
      <c r="A12291" s="199"/>
    </row>
    <row r="12292" spans="1:1" s="200" customFormat="1" ht="12" hidden="1" customHeight="1">
      <c r="A12292" s="199"/>
    </row>
    <row r="12293" spans="1:1" s="200" customFormat="1" ht="12" hidden="1" customHeight="1">
      <c r="A12293" s="199"/>
    </row>
    <row r="12294" spans="1:1" s="200" customFormat="1" ht="12" hidden="1" customHeight="1">
      <c r="A12294" s="199"/>
    </row>
    <row r="12295" spans="1:1" s="200" customFormat="1" ht="12" hidden="1" customHeight="1">
      <c r="A12295" s="199"/>
    </row>
    <row r="12296" spans="1:1" s="200" customFormat="1" ht="12" hidden="1" customHeight="1">
      <c r="A12296" s="199"/>
    </row>
    <row r="12297" spans="1:1" s="200" customFormat="1" ht="12" hidden="1" customHeight="1">
      <c r="A12297" s="199"/>
    </row>
    <row r="12298" spans="1:1" s="200" customFormat="1" ht="12" hidden="1" customHeight="1">
      <c r="A12298" s="199"/>
    </row>
    <row r="12299" spans="1:1" s="200" customFormat="1" ht="12" hidden="1" customHeight="1">
      <c r="A12299" s="199"/>
    </row>
    <row r="12300" spans="1:1" s="200" customFormat="1" ht="12" hidden="1" customHeight="1">
      <c r="A12300" s="199"/>
    </row>
    <row r="12301" spans="1:1" s="200" customFormat="1" ht="12" hidden="1" customHeight="1">
      <c r="A12301" s="199"/>
    </row>
    <row r="12302" spans="1:1" s="200" customFormat="1" ht="12" hidden="1" customHeight="1">
      <c r="A12302" s="199"/>
    </row>
    <row r="12303" spans="1:1" s="200" customFormat="1" ht="12" hidden="1" customHeight="1">
      <c r="A12303" s="199"/>
    </row>
    <row r="12304" spans="1:1" s="200" customFormat="1" ht="12" hidden="1" customHeight="1">
      <c r="A12304" s="199"/>
    </row>
    <row r="12305" spans="1:1" s="200" customFormat="1" ht="12" hidden="1" customHeight="1">
      <c r="A12305" s="199"/>
    </row>
    <row r="12306" spans="1:1" s="200" customFormat="1" ht="12" hidden="1" customHeight="1">
      <c r="A12306" s="199"/>
    </row>
    <row r="12307" spans="1:1" s="200" customFormat="1" ht="12" hidden="1" customHeight="1">
      <c r="A12307" s="199"/>
    </row>
    <row r="12308" spans="1:1" s="200" customFormat="1" ht="12" hidden="1" customHeight="1">
      <c r="A12308" s="199"/>
    </row>
    <row r="12309" spans="1:1" s="200" customFormat="1" ht="12" hidden="1" customHeight="1">
      <c r="A12309" s="199"/>
    </row>
    <row r="12310" spans="1:1" s="200" customFormat="1" ht="12" hidden="1" customHeight="1">
      <c r="A12310" s="199"/>
    </row>
    <row r="12311" spans="1:1" s="200" customFormat="1" ht="12" hidden="1" customHeight="1">
      <c r="A12311" s="199"/>
    </row>
    <row r="12312" spans="1:1" s="200" customFormat="1" ht="12" hidden="1" customHeight="1">
      <c r="A12312" s="199"/>
    </row>
    <row r="12313" spans="1:1" s="200" customFormat="1" ht="12" hidden="1" customHeight="1">
      <c r="A12313" s="199"/>
    </row>
    <row r="12314" spans="1:1" s="200" customFormat="1" ht="12" hidden="1" customHeight="1">
      <c r="A12314" s="199"/>
    </row>
    <row r="12315" spans="1:1" s="200" customFormat="1" ht="12" hidden="1" customHeight="1">
      <c r="A12315" s="199"/>
    </row>
    <row r="12316" spans="1:1" s="200" customFormat="1" ht="12" hidden="1" customHeight="1">
      <c r="A12316" s="199"/>
    </row>
    <row r="12317" spans="1:1" s="200" customFormat="1" ht="12" hidden="1" customHeight="1">
      <c r="A12317" s="199"/>
    </row>
    <row r="12318" spans="1:1" s="200" customFormat="1" ht="12" hidden="1" customHeight="1">
      <c r="A12318" s="199"/>
    </row>
    <row r="12319" spans="1:1" s="200" customFormat="1" ht="12" hidden="1" customHeight="1">
      <c r="A12319" s="199"/>
    </row>
    <row r="12320" spans="1:1" s="200" customFormat="1" ht="12" hidden="1" customHeight="1">
      <c r="A12320" s="199"/>
    </row>
    <row r="12321" spans="1:1" s="200" customFormat="1" ht="12" hidden="1" customHeight="1">
      <c r="A12321" s="199"/>
    </row>
    <row r="12322" spans="1:1" s="200" customFormat="1" ht="12" hidden="1" customHeight="1">
      <c r="A12322" s="199"/>
    </row>
    <row r="12323" spans="1:1" s="200" customFormat="1" ht="12" hidden="1" customHeight="1">
      <c r="A12323" s="199"/>
    </row>
    <row r="12324" spans="1:1" s="200" customFormat="1" ht="12" hidden="1" customHeight="1">
      <c r="A12324" s="199"/>
    </row>
    <row r="12325" spans="1:1" s="200" customFormat="1" ht="12" hidden="1" customHeight="1">
      <c r="A12325" s="199"/>
    </row>
    <row r="12326" spans="1:1" s="200" customFormat="1" ht="12" hidden="1" customHeight="1">
      <c r="A12326" s="199"/>
    </row>
    <row r="12327" spans="1:1" s="200" customFormat="1" ht="12" hidden="1" customHeight="1">
      <c r="A12327" s="199"/>
    </row>
    <row r="12328" spans="1:1" s="200" customFormat="1" ht="12" hidden="1" customHeight="1">
      <c r="A12328" s="199"/>
    </row>
    <row r="12329" spans="1:1" s="200" customFormat="1" ht="12" hidden="1" customHeight="1">
      <c r="A12329" s="199"/>
    </row>
    <row r="12330" spans="1:1" s="200" customFormat="1" ht="12" hidden="1" customHeight="1">
      <c r="A12330" s="199"/>
    </row>
    <row r="12331" spans="1:1" s="200" customFormat="1" ht="12" hidden="1" customHeight="1">
      <c r="A12331" s="199"/>
    </row>
    <row r="12332" spans="1:1" s="200" customFormat="1" ht="12" hidden="1" customHeight="1">
      <c r="A12332" s="199"/>
    </row>
    <row r="12333" spans="1:1" s="200" customFormat="1" ht="12" hidden="1" customHeight="1">
      <c r="A12333" s="199"/>
    </row>
    <row r="12334" spans="1:1" s="200" customFormat="1" ht="12" hidden="1" customHeight="1">
      <c r="A12334" s="199"/>
    </row>
    <row r="12335" spans="1:1" s="200" customFormat="1" ht="12" hidden="1" customHeight="1">
      <c r="A12335" s="199"/>
    </row>
    <row r="12336" spans="1:1" s="200" customFormat="1" ht="12" hidden="1" customHeight="1">
      <c r="A12336" s="199"/>
    </row>
    <row r="12337" spans="1:1" s="200" customFormat="1" ht="12" hidden="1" customHeight="1">
      <c r="A12337" s="199"/>
    </row>
    <row r="12338" spans="1:1" s="200" customFormat="1" ht="12" hidden="1" customHeight="1">
      <c r="A12338" s="199"/>
    </row>
    <row r="12339" spans="1:1" s="200" customFormat="1" ht="12" hidden="1" customHeight="1">
      <c r="A12339" s="199"/>
    </row>
    <row r="12340" spans="1:1" s="200" customFormat="1" ht="12" hidden="1" customHeight="1">
      <c r="A12340" s="199"/>
    </row>
    <row r="12341" spans="1:1" s="200" customFormat="1" ht="12" hidden="1" customHeight="1">
      <c r="A12341" s="199"/>
    </row>
    <row r="12342" spans="1:1" s="200" customFormat="1" ht="12" hidden="1" customHeight="1">
      <c r="A12342" s="199"/>
    </row>
    <row r="12343" spans="1:1" s="200" customFormat="1" ht="12" hidden="1" customHeight="1">
      <c r="A12343" s="199"/>
    </row>
    <row r="12344" spans="1:1" s="200" customFormat="1" ht="12" hidden="1" customHeight="1">
      <c r="A12344" s="199"/>
    </row>
    <row r="12345" spans="1:1" s="200" customFormat="1" ht="12" hidden="1" customHeight="1">
      <c r="A12345" s="199"/>
    </row>
    <row r="12346" spans="1:1" s="200" customFormat="1" ht="12" hidden="1" customHeight="1">
      <c r="A12346" s="199"/>
    </row>
    <row r="12347" spans="1:1" s="200" customFormat="1" ht="12" hidden="1" customHeight="1">
      <c r="A12347" s="199"/>
    </row>
    <row r="12348" spans="1:1" s="200" customFormat="1" ht="12" hidden="1" customHeight="1">
      <c r="A12348" s="199"/>
    </row>
    <row r="12349" spans="1:1" s="200" customFormat="1" ht="12" hidden="1" customHeight="1">
      <c r="A12349" s="199"/>
    </row>
    <row r="12350" spans="1:1" s="200" customFormat="1" ht="12" hidden="1" customHeight="1">
      <c r="A12350" s="199"/>
    </row>
    <row r="12351" spans="1:1" s="200" customFormat="1" ht="12" hidden="1" customHeight="1">
      <c r="A12351" s="199"/>
    </row>
    <row r="12352" spans="1:1" s="200" customFormat="1" ht="12" hidden="1" customHeight="1">
      <c r="A12352" s="199"/>
    </row>
    <row r="12353" spans="1:1" s="200" customFormat="1" ht="12" hidden="1" customHeight="1">
      <c r="A12353" s="199"/>
    </row>
    <row r="12354" spans="1:1" s="200" customFormat="1" ht="12" hidden="1" customHeight="1">
      <c r="A12354" s="199"/>
    </row>
    <row r="12355" spans="1:1" s="200" customFormat="1" ht="12" hidden="1" customHeight="1">
      <c r="A12355" s="199"/>
    </row>
    <row r="12356" spans="1:1" s="200" customFormat="1" ht="12" hidden="1" customHeight="1">
      <c r="A12356" s="199"/>
    </row>
    <row r="12357" spans="1:1" s="200" customFormat="1" ht="12" hidden="1" customHeight="1">
      <c r="A12357" s="199"/>
    </row>
    <row r="12358" spans="1:1" s="200" customFormat="1" ht="12" hidden="1" customHeight="1">
      <c r="A12358" s="199"/>
    </row>
    <row r="12359" spans="1:1" s="200" customFormat="1" ht="12" hidden="1" customHeight="1">
      <c r="A12359" s="199"/>
    </row>
    <row r="12360" spans="1:1" s="200" customFormat="1" ht="12" hidden="1" customHeight="1">
      <c r="A12360" s="199"/>
    </row>
    <row r="12361" spans="1:1" s="200" customFormat="1" ht="12" hidden="1" customHeight="1">
      <c r="A12361" s="199"/>
    </row>
    <row r="12362" spans="1:1" s="200" customFormat="1" ht="12" hidden="1" customHeight="1">
      <c r="A12362" s="199"/>
    </row>
    <row r="12363" spans="1:1" s="200" customFormat="1" ht="12" hidden="1" customHeight="1">
      <c r="A12363" s="199"/>
    </row>
    <row r="12364" spans="1:1" s="200" customFormat="1" ht="12" hidden="1" customHeight="1">
      <c r="A12364" s="199"/>
    </row>
    <row r="12365" spans="1:1" s="200" customFormat="1" ht="12" hidden="1" customHeight="1">
      <c r="A12365" s="199"/>
    </row>
    <row r="12366" spans="1:1" s="200" customFormat="1" ht="12" hidden="1" customHeight="1">
      <c r="A12366" s="199"/>
    </row>
    <row r="12367" spans="1:1" s="200" customFormat="1" ht="12" hidden="1" customHeight="1">
      <c r="A12367" s="199"/>
    </row>
    <row r="12368" spans="1:1" s="200" customFormat="1" ht="12" hidden="1" customHeight="1">
      <c r="A12368" s="199"/>
    </row>
    <row r="12369" spans="1:1" s="200" customFormat="1" ht="12" hidden="1" customHeight="1">
      <c r="A12369" s="199"/>
    </row>
    <row r="12370" spans="1:1" s="200" customFormat="1" ht="12" hidden="1" customHeight="1">
      <c r="A12370" s="199"/>
    </row>
    <row r="12371" spans="1:1" s="200" customFormat="1" ht="12" hidden="1" customHeight="1">
      <c r="A12371" s="199"/>
    </row>
    <row r="12372" spans="1:1" s="200" customFormat="1" ht="12" hidden="1" customHeight="1">
      <c r="A12372" s="199"/>
    </row>
    <row r="12373" spans="1:1" s="200" customFormat="1" ht="12" hidden="1" customHeight="1">
      <c r="A12373" s="199"/>
    </row>
    <row r="12374" spans="1:1" s="200" customFormat="1" ht="12" hidden="1" customHeight="1">
      <c r="A12374" s="199"/>
    </row>
    <row r="12375" spans="1:1" s="200" customFormat="1" ht="12" hidden="1" customHeight="1">
      <c r="A12375" s="199"/>
    </row>
    <row r="12376" spans="1:1" s="200" customFormat="1" ht="12" hidden="1" customHeight="1">
      <c r="A12376" s="199"/>
    </row>
    <row r="12377" spans="1:1" s="200" customFormat="1" ht="12" hidden="1" customHeight="1">
      <c r="A12377" s="199"/>
    </row>
    <row r="12378" spans="1:1" s="200" customFormat="1" ht="12" hidden="1" customHeight="1">
      <c r="A12378" s="199"/>
    </row>
    <row r="12379" spans="1:1" s="200" customFormat="1" ht="12" hidden="1" customHeight="1">
      <c r="A12379" s="199"/>
    </row>
    <row r="12380" spans="1:1" s="200" customFormat="1" ht="12" hidden="1" customHeight="1">
      <c r="A12380" s="199"/>
    </row>
    <row r="12381" spans="1:1" s="200" customFormat="1" ht="12" hidden="1" customHeight="1">
      <c r="A12381" s="199"/>
    </row>
    <row r="12382" spans="1:1" s="200" customFormat="1" ht="12" hidden="1" customHeight="1">
      <c r="A12382" s="199"/>
    </row>
    <row r="12383" spans="1:1" s="200" customFormat="1" ht="12" hidden="1" customHeight="1">
      <c r="A12383" s="199"/>
    </row>
    <row r="12384" spans="1:1" s="200" customFormat="1" ht="12" hidden="1" customHeight="1">
      <c r="A12384" s="199"/>
    </row>
    <row r="12385" spans="1:1" s="200" customFormat="1" ht="12" hidden="1" customHeight="1">
      <c r="A12385" s="199"/>
    </row>
    <row r="12386" spans="1:1" s="200" customFormat="1" ht="12" hidden="1" customHeight="1">
      <c r="A12386" s="199"/>
    </row>
    <row r="12387" spans="1:1" s="200" customFormat="1" ht="12" hidden="1" customHeight="1">
      <c r="A12387" s="199"/>
    </row>
    <row r="12388" spans="1:1" s="200" customFormat="1" ht="12" hidden="1" customHeight="1">
      <c r="A12388" s="199"/>
    </row>
    <row r="12389" spans="1:1" s="200" customFormat="1" ht="12" hidden="1" customHeight="1">
      <c r="A12389" s="199"/>
    </row>
    <row r="12390" spans="1:1" s="200" customFormat="1" ht="12" hidden="1" customHeight="1">
      <c r="A12390" s="199"/>
    </row>
    <row r="12391" spans="1:1" s="200" customFormat="1" ht="12" hidden="1" customHeight="1">
      <c r="A12391" s="199"/>
    </row>
    <row r="12392" spans="1:1" s="200" customFormat="1" ht="12" hidden="1" customHeight="1">
      <c r="A12392" s="199"/>
    </row>
    <row r="12393" spans="1:1" s="200" customFormat="1" ht="12" hidden="1" customHeight="1">
      <c r="A12393" s="199"/>
    </row>
    <row r="12394" spans="1:1" s="200" customFormat="1" ht="12" hidden="1" customHeight="1">
      <c r="A12394" s="199"/>
    </row>
    <row r="12395" spans="1:1" s="200" customFormat="1" ht="12" hidden="1" customHeight="1">
      <c r="A12395" s="199"/>
    </row>
    <row r="12396" spans="1:1" s="200" customFormat="1" ht="12" hidden="1" customHeight="1">
      <c r="A12396" s="199"/>
    </row>
    <row r="12397" spans="1:1" s="200" customFormat="1" ht="12" hidden="1" customHeight="1">
      <c r="A12397" s="199"/>
    </row>
    <row r="12398" spans="1:1" s="200" customFormat="1" ht="12" hidden="1" customHeight="1">
      <c r="A12398" s="199"/>
    </row>
    <row r="12399" spans="1:1" s="200" customFormat="1" ht="12" hidden="1" customHeight="1">
      <c r="A12399" s="199"/>
    </row>
    <row r="12400" spans="1:1" s="200" customFormat="1" ht="12" hidden="1" customHeight="1">
      <c r="A12400" s="199"/>
    </row>
    <row r="12401" spans="1:1" s="200" customFormat="1" ht="12" hidden="1" customHeight="1">
      <c r="A12401" s="199"/>
    </row>
    <row r="12402" spans="1:1" s="200" customFormat="1" ht="12" hidden="1" customHeight="1">
      <c r="A12402" s="199"/>
    </row>
    <row r="12403" spans="1:1" s="200" customFormat="1" ht="12" hidden="1" customHeight="1">
      <c r="A12403" s="199"/>
    </row>
    <row r="12404" spans="1:1" s="200" customFormat="1" ht="12" hidden="1" customHeight="1">
      <c r="A12404" s="199"/>
    </row>
    <row r="12405" spans="1:1" s="200" customFormat="1" ht="12" hidden="1" customHeight="1">
      <c r="A12405" s="199"/>
    </row>
    <row r="12406" spans="1:1" s="200" customFormat="1" ht="12" hidden="1" customHeight="1">
      <c r="A12406" s="199"/>
    </row>
    <row r="12407" spans="1:1" s="200" customFormat="1" ht="12" hidden="1" customHeight="1">
      <c r="A12407" s="199"/>
    </row>
    <row r="12408" spans="1:1" s="200" customFormat="1" ht="12" hidden="1" customHeight="1">
      <c r="A12408" s="199"/>
    </row>
    <row r="12409" spans="1:1" s="200" customFormat="1" ht="12" hidden="1" customHeight="1">
      <c r="A12409" s="199"/>
    </row>
    <row r="12410" spans="1:1" s="200" customFormat="1" ht="12" hidden="1" customHeight="1">
      <c r="A12410" s="199"/>
    </row>
    <row r="12411" spans="1:1" s="200" customFormat="1" ht="12" hidden="1" customHeight="1">
      <c r="A12411" s="199"/>
    </row>
    <row r="12412" spans="1:1" s="200" customFormat="1" ht="12" hidden="1" customHeight="1">
      <c r="A12412" s="199"/>
    </row>
    <row r="12413" spans="1:1" s="200" customFormat="1" ht="12" hidden="1" customHeight="1">
      <c r="A12413" s="199"/>
    </row>
    <row r="12414" spans="1:1" s="200" customFormat="1" ht="12" hidden="1" customHeight="1">
      <c r="A12414" s="199"/>
    </row>
    <row r="12415" spans="1:1" s="200" customFormat="1" ht="12" hidden="1" customHeight="1">
      <c r="A12415" s="199"/>
    </row>
    <row r="12416" spans="1:1" s="200" customFormat="1" ht="12" hidden="1" customHeight="1">
      <c r="A12416" s="199"/>
    </row>
    <row r="12417" spans="1:1" s="200" customFormat="1" ht="12" hidden="1" customHeight="1">
      <c r="A12417" s="199"/>
    </row>
    <row r="12418" spans="1:1" s="200" customFormat="1" ht="12" hidden="1" customHeight="1">
      <c r="A12418" s="199"/>
    </row>
    <row r="12419" spans="1:1" s="200" customFormat="1" ht="12" hidden="1" customHeight="1">
      <c r="A12419" s="199"/>
    </row>
    <row r="12420" spans="1:1" s="200" customFormat="1" ht="12" hidden="1" customHeight="1">
      <c r="A12420" s="199"/>
    </row>
    <row r="12421" spans="1:1" s="200" customFormat="1" ht="12" hidden="1" customHeight="1">
      <c r="A12421" s="199"/>
    </row>
    <row r="12422" spans="1:1" s="200" customFormat="1" ht="12" hidden="1" customHeight="1">
      <c r="A12422" s="199"/>
    </row>
    <row r="12423" spans="1:1" s="200" customFormat="1" ht="12" hidden="1" customHeight="1">
      <c r="A12423" s="199"/>
    </row>
    <row r="12424" spans="1:1" s="200" customFormat="1" ht="12" hidden="1" customHeight="1">
      <c r="A12424" s="199"/>
    </row>
    <row r="12425" spans="1:1" s="200" customFormat="1" ht="12" hidden="1" customHeight="1">
      <c r="A12425" s="199"/>
    </row>
    <row r="12426" spans="1:1" s="200" customFormat="1" ht="12" hidden="1" customHeight="1">
      <c r="A12426" s="199"/>
    </row>
    <row r="12427" spans="1:1" s="200" customFormat="1" ht="12" hidden="1" customHeight="1">
      <c r="A12427" s="199"/>
    </row>
    <row r="12428" spans="1:1" s="200" customFormat="1" ht="12" hidden="1" customHeight="1">
      <c r="A12428" s="199"/>
    </row>
    <row r="12429" spans="1:1" s="200" customFormat="1" ht="12" hidden="1" customHeight="1">
      <c r="A12429" s="199"/>
    </row>
    <row r="12430" spans="1:1" s="200" customFormat="1" ht="12" hidden="1" customHeight="1">
      <c r="A12430" s="199"/>
    </row>
    <row r="12431" spans="1:1" s="200" customFormat="1" ht="12" hidden="1" customHeight="1">
      <c r="A12431" s="199"/>
    </row>
    <row r="12432" spans="1:1" s="200" customFormat="1" ht="12" hidden="1" customHeight="1">
      <c r="A12432" s="199"/>
    </row>
    <row r="12433" spans="1:1" s="200" customFormat="1" ht="12" hidden="1" customHeight="1">
      <c r="A12433" s="199"/>
    </row>
    <row r="12434" spans="1:1" s="200" customFormat="1" ht="12" hidden="1" customHeight="1">
      <c r="A12434" s="199"/>
    </row>
    <row r="12435" spans="1:1" s="200" customFormat="1" ht="12" hidden="1" customHeight="1">
      <c r="A12435" s="199"/>
    </row>
    <row r="12436" spans="1:1" s="200" customFormat="1" ht="12" hidden="1" customHeight="1">
      <c r="A12436" s="199"/>
    </row>
    <row r="12437" spans="1:1" s="200" customFormat="1" ht="12" hidden="1" customHeight="1">
      <c r="A12437" s="199"/>
    </row>
    <row r="12438" spans="1:1" s="200" customFormat="1" ht="12" hidden="1" customHeight="1">
      <c r="A12438" s="199"/>
    </row>
    <row r="12439" spans="1:1" s="200" customFormat="1" ht="12" hidden="1" customHeight="1">
      <c r="A12439" s="199"/>
    </row>
    <row r="12440" spans="1:1" s="200" customFormat="1" ht="12" hidden="1" customHeight="1">
      <c r="A12440" s="199"/>
    </row>
    <row r="12441" spans="1:1" s="200" customFormat="1" ht="12" hidden="1" customHeight="1">
      <c r="A12441" s="199"/>
    </row>
    <row r="12442" spans="1:1" s="200" customFormat="1" ht="12" hidden="1" customHeight="1">
      <c r="A12442" s="199"/>
    </row>
    <row r="12443" spans="1:1" s="200" customFormat="1" ht="12" hidden="1" customHeight="1">
      <c r="A12443" s="199"/>
    </row>
    <row r="12444" spans="1:1" s="200" customFormat="1" ht="12" hidden="1" customHeight="1">
      <c r="A12444" s="199"/>
    </row>
    <row r="12445" spans="1:1" s="200" customFormat="1" ht="12" hidden="1" customHeight="1">
      <c r="A12445" s="199"/>
    </row>
    <row r="12446" spans="1:1" s="200" customFormat="1" ht="12" hidden="1" customHeight="1">
      <c r="A12446" s="199"/>
    </row>
    <row r="12447" spans="1:1" s="200" customFormat="1" ht="12" hidden="1" customHeight="1">
      <c r="A12447" s="199"/>
    </row>
    <row r="12448" spans="1:1" s="200" customFormat="1" ht="12" hidden="1" customHeight="1">
      <c r="A12448" s="199"/>
    </row>
    <row r="12449" spans="1:1" s="200" customFormat="1" ht="12" hidden="1" customHeight="1">
      <c r="A12449" s="199"/>
    </row>
    <row r="12450" spans="1:1" s="200" customFormat="1" ht="12" hidden="1" customHeight="1">
      <c r="A12450" s="199"/>
    </row>
    <row r="12451" spans="1:1" s="200" customFormat="1" ht="12" hidden="1" customHeight="1">
      <c r="A12451" s="199"/>
    </row>
    <row r="12452" spans="1:1" s="200" customFormat="1" ht="12" hidden="1" customHeight="1">
      <c r="A12452" s="199"/>
    </row>
    <row r="12453" spans="1:1" s="200" customFormat="1" ht="12" hidden="1" customHeight="1">
      <c r="A12453" s="199"/>
    </row>
    <row r="12454" spans="1:1" s="200" customFormat="1" ht="12" hidden="1" customHeight="1">
      <c r="A12454" s="199"/>
    </row>
    <row r="12455" spans="1:1" s="200" customFormat="1" ht="12" hidden="1" customHeight="1">
      <c r="A12455" s="199"/>
    </row>
    <row r="12456" spans="1:1" s="200" customFormat="1" ht="12" hidden="1" customHeight="1">
      <c r="A12456" s="199"/>
    </row>
    <row r="12457" spans="1:1" s="200" customFormat="1" ht="12" hidden="1" customHeight="1">
      <c r="A12457" s="199"/>
    </row>
    <row r="12458" spans="1:1" s="200" customFormat="1" ht="12" hidden="1" customHeight="1">
      <c r="A12458" s="199"/>
    </row>
    <row r="12459" spans="1:1" s="200" customFormat="1" ht="12" hidden="1" customHeight="1">
      <c r="A12459" s="199"/>
    </row>
    <row r="12460" spans="1:1" s="200" customFormat="1" ht="12" hidden="1" customHeight="1">
      <c r="A12460" s="199"/>
    </row>
    <row r="12461" spans="1:1" s="200" customFormat="1" ht="12" hidden="1" customHeight="1">
      <c r="A12461" s="199"/>
    </row>
    <row r="12462" spans="1:1" s="200" customFormat="1" ht="12" hidden="1" customHeight="1">
      <c r="A12462" s="199"/>
    </row>
    <row r="12463" spans="1:1" s="200" customFormat="1" ht="12" hidden="1" customHeight="1">
      <c r="A12463" s="199"/>
    </row>
    <row r="12464" spans="1:1" s="200" customFormat="1" ht="12" hidden="1" customHeight="1">
      <c r="A12464" s="199"/>
    </row>
    <row r="12465" spans="1:1" s="200" customFormat="1" ht="12" hidden="1" customHeight="1">
      <c r="A12465" s="199"/>
    </row>
    <row r="12466" spans="1:1" s="200" customFormat="1" ht="12" hidden="1" customHeight="1">
      <c r="A12466" s="199"/>
    </row>
    <row r="12467" spans="1:1" s="200" customFormat="1" ht="12" hidden="1" customHeight="1">
      <c r="A12467" s="199"/>
    </row>
    <row r="12468" spans="1:1" s="200" customFormat="1" ht="12" hidden="1" customHeight="1">
      <c r="A12468" s="199"/>
    </row>
    <row r="12469" spans="1:1" s="200" customFormat="1" ht="12" hidden="1" customHeight="1">
      <c r="A12469" s="199"/>
    </row>
    <row r="12470" spans="1:1" s="200" customFormat="1" ht="12" hidden="1" customHeight="1">
      <c r="A12470" s="199"/>
    </row>
    <row r="12471" spans="1:1" s="200" customFormat="1" ht="12" hidden="1" customHeight="1">
      <c r="A12471" s="199"/>
    </row>
    <row r="12472" spans="1:1" s="200" customFormat="1" ht="12" hidden="1" customHeight="1">
      <c r="A12472" s="199"/>
    </row>
    <row r="12473" spans="1:1" s="200" customFormat="1" ht="12" hidden="1" customHeight="1">
      <c r="A12473" s="199"/>
    </row>
    <row r="12474" spans="1:1" s="200" customFormat="1" ht="12" hidden="1" customHeight="1">
      <c r="A12474" s="199"/>
    </row>
    <row r="12475" spans="1:1" s="200" customFormat="1" ht="12" hidden="1" customHeight="1">
      <c r="A12475" s="199"/>
    </row>
    <row r="12476" spans="1:1" s="200" customFormat="1" ht="12" hidden="1" customHeight="1">
      <c r="A12476" s="199"/>
    </row>
    <row r="12477" spans="1:1" s="200" customFormat="1" ht="12" hidden="1" customHeight="1">
      <c r="A12477" s="199"/>
    </row>
    <row r="12478" spans="1:1" s="200" customFormat="1" ht="12" hidden="1" customHeight="1">
      <c r="A12478" s="199"/>
    </row>
    <row r="12479" spans="1:1" s="200" customFormat="1" ht="12" hidden="1" customHeight="1">
      <c r="A12479" s="199"/>
    </row>
    <row r="12480" spans="1:1" s="200" customFormat="1" ht="12" hidden="1" customHeight="1">
      <c r="A12480" s="199"/>
    </row>
    <row r="12481" spans="1:1" s="200" customFormat="1" ht="12" hidden="1" customHeight="1">
      <c r="A12481" s="199"/>
    </row>
    <row r="12482" spans="1:1" s="200" customFormat="1" ht="12" hidden="1" customHeight="1">
      <c r="A12482" s="199"/>
    </row>
    <row r="12483" spans="1:1" s="200" customFormat="1" ht="12" hidden="1" customHeight="1">
      <c r="A12483" s="199"/>
    </row>
    <row r="12484" spans="1:1" s="200" customFormat="1" ht="12" hidden="1" customHeight="1">
      <c r="A12484" s="199"/>
    </row>
    <row r="12485" spans="1:1" s="200" customFormat="1" ht="12" hidden="1" customHeight="1">
      <c r="A12485" s="199"/>
    </row>
    <row r="12486" spans="1:1" s="200" customFormat="1" ht="12" hidden="1" customHeight="1">
      <c r="A12486" s="199"/>
    </row>
    <row r="12487" spans="1:1" s="200" customFormat="1" ht="12" hidden="1" customHeight="1">
      <c r="A12487" s="199"/>
    </row>
    <row r="12488" spans="1:1" s="200" customFormat="1" ht="12" hidden="1" customHeight="1">
      <c r="A12488" s="199"/>
    </row>
    <row r="12489" spans="1:1" s="200" customFormat="1" ht="12" hidden="1" customHeight="1">
      <c r="A12489" s="199"/>
    </row>
    <row r="12490" spans="1:1" s="200" customFormat="1" ht="12" hidden="1" customHeight="1">
      <c r="A12490" s="199"/>
    </row>
    <row r="12491" spans="1:1" s="200" customFormat="1" ht="12" hidden="1" customHeight="1">
      <c r="A12491" s="199"/>
    </row>
    <row r="12492" spans="1:1" s="200" customFormat="1" ht="12" hidden="1" customHeight="1">
      <c r="A12492" s="199"/>
    </row>
    <row r="12493" spans="1:1" s="200" customFormat="1" ht="12" hidden="1" customHeight="1">
      <c r="A12493" s="199"/>
    </row>
    <row r="12494" spans="1:1" s="200" customFormat="1" ht="12" hidden="1" customHeight="1">
      <c r="A12494" s="199"/>
    </row>
    <row r="12495" spans="1:1" s="200" customFormat="1" ht="12" hidden="1" customHeight="1">
      <c r="A12495" s="199"/>
    </row>
    <row r="12496" spans="1:1" s="200" customFormat="1" ht="12" hidden="1" customHeight="1">
      <c r="A12496" s="199"/>
    </row>
    <row r="12497" spans="1:1" s="200" customFormat="1" ht="12" hidden="1" customHeight="1">
      <c r="A12497" s="199"/>
    </row>
    <row r="12498" spans="1:1" s="200" customFormat="1" ht="12" hidden="1" customHeight="1">
      <c r="A12498" s="199"/>
    </row>
    <row r="12499" spans="1:1" s="200" customFormat="1" ht="12" hidden="1" customHeight="1">
      <c r="A12499" s="199"/>
    </row>
    <row r="12500" spans="1:1" s="200" customFormat="1" ht="12" hidden="1" customHeight="1">
      <c r="A12500" s="199"/>
    </row>
    <row r="12501" spans="1:1" s="200" customFormat="1" ht="12" hidden="1" customHeight="1">
      <c r="A12501" s="199"/>
    </row>
    <row r="12502" spans="1:1" s="200" customFormat="1" ht="12" hidden="1" customHeight="1">
      <c r="A12502" s="199"/>
    </row>
    <row r="12503" spans="1:1" s="200" customFormat="1" ht="12" hidden="1" customHeight="1">
      <c r="A12503" s="199"/>
    </row>
    <row r="12504" spans="1:1" s="200" customFormat="1" ht="12" hidden="1" customHeight="1">
      <c r="A12504" s="199"/>
    </row>
    <row r="12505" spans="1:1" s="200" customFormat="1" ht="12" hidden="1" customHeight="1">
      <c r="A12505" s="199"/>
    </row>
    <row r="12506" spans="1:1" s="200" customFormat="1" ht="12" hidden="1" customHeight="1">
      <c r="A12506" s="199"/>
    </row>
    <row r="12507" spans="1:1" s="200" customFormat="1" ht="12" hidden="1" customHeight="1">
      <c r="A12507" s="199"/>
    </row>
    <row r="12508" spans="1:1" s="200" customFormat="1" ht="12" hidden="1" customHeight="1">
      <c r="A12508" s="199"/>
    </row>
    <row r="12509" spans="1:1" s="200" customFormat="1" ht="12" hidden="1" customHeight="1">
      <c r="A12509" s="199"/>
    </row>
    <row r="12510" spans="1:1" s="200" customFormat="1" ht="12" hidden="1" customHeight="1">
      <c r="A12510" s="199"/>
    </row>
    <row r="12511" spans="1:1" s="200" customFormat="1" ht="12" hidden="1" customHeight="1">
      <c r="A12511" s="199"/>
    </row>
    <row r="12512" spans="1:1" s="200" customFormat="1" ht="12" hidden="1" customHeight="1">
      <c r="A12512" s="199"/>
    </row>
    <row r="12513" spans="1:1" s="200" customFormat="1" ht="12" hidden="1" customHeight="1">
      <c r="A12513" s="199"/>
    </row>
    <row r="12514" spans="1:1" s="200" customFormat="1" ht="12" hidden="1" customHeight="1">
      <c r="A12514" s="199"/>
    </row>
    <row r="12515" spans="1:1" s="200" customFormat="1" ht="12" hidden="1" customHeight="1">
      <c r="A12515" s="199"/>
    </row>
    <row r="12516" spans="1:1" s="200" customFormat="1" ht="12" hidden="1" customHeight="1">
      <c r="A12516" s="199"/>
    </row>
    <row r="12517" spans="1:1" s="200" customFormat="1" ht="12" hidden="1" customHeight="1">
      <c r="A12517" s="199"/>
    </row>
    <row r="12518" spans="1:1" s="200" customFormat="1" ht="12" hidden="1" customHeight="1">
      <c r="A12518" s="199"/>
    </row>
    <row r="12519" spans="1:1" s="200" customFormat="1" ht="12" hidden="1" customHeight="1">
      <c r="A12519" s="199"/>
    </row>
    <row r="12520" spans="1:1" s="200" customFormat="1" ht="12" hidden="1" customHeight="1">
      <c r="A12520" s="199"/>
    </row>
    <row r="12521" spans="1:1" s="200" customFormat="1" ht="12" hidden="1" customHeight="1">
      <c r="A12521" s="199"/>
    </row>
    <row r="12522" spans="1:1" s="200" customFormat="1" ht="12" hidden="1" customHeight="1">
      <c r="A12522" s="199"/>
    </row>
    <row r="12523" spans="1:1" s="200" customFormat="1" ht="12" hidden="1" customHeight="1">
      <c r="A12523" s="199"/>
    </row>
    <row r="12524" spans="1:1" s="200" customFormat="1" ht="12" hidden="1" customHeight="1">
      <c r="A12524" s="199"/>
    </row>
    <row r="12525" spans="1:1" s="200" customFormat="1" ht="12" hidden="1" customHeight="1">
      <c r="A12525" s="199"/>
    </row>
    <row r="12526" spans="1:1" s="200" customFormat="1" ht="12" hidden="1" customHeight="1">
      <c r="A12526" s="199"/>
    </row>
    <row r="12527" spans="1:1" s="200" customFormat="1" ht="12" hidden="1" customHeight="1">
      <c r="A12527" s="199"/>
    </row>
    <row r="12528" spans="1:1" s="200" customFormat="1" ht="12" hidden="1" customHeight="1">
      <c r="A12528" s="199"/>
    </row>
    <row r="12529" spans="1:1" s="200" customFormat="1" ht="12" hidden="1" customHeight="1">
      <c r="A12529" s="199"/>
    </row>
    <row r="12530" spans="1:1" s="200" customFormat="1" ht="12" hidden="1" customHeight="1">
      <c r="A12530" s="199"/>
    </row>
    <row r="12531" spans="1:1" s="200" customFormat="1" ht="12" hidden="1" customHeight="1">
      <c r="A12531" s="199"/>
    </row>
    <row r="12532" spans="1:1" s="200" customFormat="1" ht="12" hidden="1" customHeight="1">
      <c r="A12532" s="199"/>
    </row>
    <row r="12533" spans="1:1" s="200" customFormat="1" ht="12" hidden="1" customHeight="1">
      <c r="A12533" s="199"/>
    </row>
    <row r="12534" spans="1:1" s="200" customFormat="1" ht="12" hidden="1" customHeight="1">
      <c r="A12534" s="199"/>
    </row>
    <row r="12535" spans="1:1" s="200" customFormat="1" ht="12" hidden="1" customHeight="1">
      <c r="A12535" s="199"/>
    </row>
    <row r="12536" spans="1:1" s="200" customFormat="1" ht="12" hidden="1" customHeight="1">
      <c r="A12536" s="199"/>
    </row>
    <row r="12537" spans="1:1" s="200" customFormat="1" ht="12" hidden="1" customHeight="1">
      <c r="A12537" s="199"/>
    </row>
    <row r="12538" spans="1:1" s="200" customFormat="1" ht="12" hidden="1" customHeight="1">
      <c r="A12538" s="199"/>
    </row>
    <row r="12539" spans="1:1" s="200" customFormat="1" ht="12" hidden="1" customHeight="1">
      <c r="A12539" s="199"/>
    </row>
    <row r="12540" spans="1:1" s="200" customFormat="1" ht="12" hidden="1" customHeight="1">
      <c r="A12540" s="199"/>
    </row>
    <row r="12541" spans="1:1" s="200" customFormat="1" ht="12" hidden="1" customHeight="1">
      <c r="A12541" s="199"/>
    </row>
    <row r="12542" spans="1:1" s="200" customFormat="1" ht="12" hidden="1" customHeight="1">
      <c r="A12542" s="199"/>
    </row>
    <row r="12543" spans="1:1" s="200" customFormat="1" ht="12" hidden="1" customHeight="1">
      <c r="A12543" s="199"/>
    </row>
    <row r="12544" spans="1:1" s="200" customFormat="1" ht="12" hidden="1" customHeight="1">
      <c r="A12544" s="199"/>
    </row>
    <row r="12545" spans="1:1" s="200" customFormat="1" ht="12" hidden="1" customHeight="1">
      <c r="A12545" s="199"/>
    </row>
    <row r="12546" spans="1:1" s="200" customFormat="1" ht="12" hidden="1" customHeight="1">
      <c r="A12546" s="199"/>
    </row>
    <row r="12547" spans="1:1" s="200" customFormat="1" ht="12" hidden="1" customHeight="1">
      <c r="A12547" s="199"/>
    </row>
    <row r="12548" spans="1:1" s="200" customFormat="1" ht="12" hidden="1" customHeight="1">
      <c r="A12548" s="199"/>
    </row>
    <row r="12549" spans="1:1" s="200" customFormat="1" ht="12" hidden="1" customHeight="1">
      <c r="A12549" s="199"/>
    </row>
    <row r="12550" spans="1:1" s="200" customFormat="1" ht="12" hidden="1" customHeight="1">
      <c r="A12550" s="199"/>
    </row>
    <row r="12551" spans="1:1" s="200" customFormat="1" ht="12" hidden="1" customHeight="1">
      <c r="A12551" s="199"/>
    </row>
    <row r="12552" spans="1:1" s="200" customFormat="1" ht="12" hidden="1" customHeight="1">
      <c r="A12552" s="199"/>
    </row>
    <row r="12553" spans="1:1" s="200" customFormat="1" ht="12" hidden="1" customHeight="1">
      <c r="A12553" s="199"/>
    </row>
    <row r="12554" spans="1:1" s="200" customFormat="1" ht="12" hidden="1" customHeight="1">
      <c r="A12554" s="199"/>
    </row>
    <row r="12555" spans="1:1" s="200" customFormat="1" ht="12" hidden="1" customHeight="1">
      <c r="A12555" s="199"/>
    </row>
    <row r="12556" spans="1:1" s="200" customFormat="1" ht="12" hidden="1" customHeight="1">
      <c r="A12556" s="199"/>
    </row>
    <row r="12557" spans="1:1" s="200" customFormat="1" ht="12" hidden="1" customHeight="1">
      <c r="A12557" s="199"/>
    </row>
    <row r="12558" spans="1:1" s="200" customFormat="1" ht="12" hidden="1" customHeight="1">
      <c r="A12558" s="199"/>
    </row>
    <row r="12559" spans="1:1" s="200" customFormat="1" ht="12" hidden="1" customHeight="1">
      <c r="A12559" s="199"/>
    </row>
    <row r="12560" spans="1:1" s="200" customFormat="1" ht="12" hidden="1" customHeight="1">
      <c r="A12560" s="199"/>
    </row>
    <row r="12561" spans="1:1" s="200" customFormat="1" ht="12" hidden="1" customHeight="1">
      <c r="A12561" s="199"/>
    </row>
    <row r="12562" spans="1:1" s="200" customFormat="1" ht="12" hidden="1" customHeight="1">
      <c r="A12562" s="199"/>
    </row>
    <row r="12563" spans="1:1" s="200" customFormat="1" ht="12" hidden="1" customHeight="1">
      <c r="A12563" s="199"/>
    </row>
    <row r="12564" spans="1:1" s="200" customFormat="1" ht="12" hidden="1" customHeight="1">
      <c r="A12564" s="199"/>
    </row>
    <row r="12565" spans="1:1" s="200" customFormat="1" ht="12" hidden="1" customHeight="1">
      <c r="A12565" s="199"/>
    </row>
    <row r="12566" spans="1:1" s="200" customFormat="1" ht="12" hidden="1" customHeight="1">
      <c r="A12566" s="199"/>
    </row>
    <row r="12567" spans="1:1" s="200" customFormat="1" ht="12" hidden="1" customHeight="1">
      <c r="A12567" s="199"/>
    </row>
    <row r="12568" spans="1:1" s="200" customFormat="1" ht="12" hidden="1" customHeight="1">
      <c r="A12568" s="199"/>
    </row>
    <row r="12569" spans="1:1" s="200" customFormat="1" ht="12" hidden="1" customHeight="1">
      <c r="A12569" s="199"/>
    </row>
    <row r="12570" spans="1:1" s="200" customFormat="1" ht="12" hidden="1" customHeight="1">
      <c r="A12570" s="199"/>
    </row>
    <row r="12571" spans="1:1" s="200" customFormat="1" ht="12" hidden="1" customHeight="1">
      <c r="A12571" s="199"/>
    </row>
    <row r="12572" spans="1:1" s="200" customFormat="1" ht="12" hidden="1" customHeight="1">
      <c r="A12572" s="199"/>
    </row>
    <row r="12573" spans="1:1" s="200" customFormat="1" ht="12" hidden="1" customHeight="1">
      <c r="A12573" s="199"/>
    </row>
    <row r="12574" spans="1:1" s="200" customFormat="1" ht="12" hidden="1" customHeight="1">
      <c r="A12574" s="199"/>
    </row>
    <row r="12575" spans="1:1" s="200" customFormat="1" ht="12" hidden="1" customHeight="1">
      <c r="A12575" s="199"/>
    </row>
    <row r="12576" spans="1:1" s="200" customFormat="1" ht="12" hidden="1" customHeight="1">
      <c r="A12576" s="199"/>
    </row>
    <row r="12577" spans="1:1" s="200" customFormat="1" ht="12" hidden="1" customHeight="1">
      <c r="A12577" s="199"/>
    </row>
    <row r="12578" spans="1:1" s="200" customFormat="1" ht="12" hidden="1" customHeight="1">
      <c r="A12578" s="199"/>
    </row>
    <row r="12579" spans="1:1" s="200" customFormat="1" ht="12" hidden="1" customHeight="1">
      <c r="A12579" s="199"/>
    </row>
    <row r="12580" spans="1:1" s="200" customFormat="1" ht="12" hidden="1" customHeight="1">
      <c r="A12580" s="199"/>
    </row>
    <row r="12581" spans="1:1" s="200" customFormat="1" ht="12" hidden="1" customHeight="1">
      <c r="A12581" s="199"/>
    </row>
    <row r="12582" spans="1:1" s="200" customFormat="1" ht="12" hidden="1" customHeight="1">
      <c r="A12582" s="199"/>
    </row>
    <row r="12583" spans="1:1" s="200" customFormat="1" ht="12" hidden="1" customHeight="1">
      <c r="A12583" s="199"/>
    </row>
    <row r="12584" spans="1:1" s="200" customFormat="1" ht="12" hidden="1" customHeight="1">
      <c r="A12584" s="199"/>
    </row>
    <row r="12585" spans="1:1" s="200" customFormat="1" ht="12" hidden="1" customHeight="1">
      <c r="A12585" s="199"/>
    </row>
    <row r="12586" spans="1:1" s="200" customFormat="1" ht="12" hidden="1" customHeight="1">
      <c r="A12586" s="199"/>
    </row>
    <row r="12587" spans="1:1" s="200" customFormat="1" ht="12" hidden="1" customHeight="1">
      <c r="A12587" s="199"/>
    </row>
    <row r="12588" spans="1:1" s="200" customFormat="1" ht="12" hidden="1" customHeight="1">
      <c r="A12588" s="199"/>
    </row>
    <row r="12589" spans="1:1" s="200" customFormat="1" ht="12" hidden="1" customHeight="1">
      <c r="A12589" s="199"/>
    </row>
    <row r="12590" spans="1:1" s="200" customFormat="1" ht="12" hidden="1" customHeight="1">
      <c r="A12590" s="199"/>
    </row>
    <row r="12591" spans="1:1" s="200" customFormat="1" ht="12" hidden="1" customHeight="1">
      <c r="A12591" s="199"/>
    </row>
    <row r="12592" spans="1:1" s="200" customFormat="1" ht="12" hidden="1" customHeight="1">
      <c r="A12592" s="199"/>
    </row>
    <row r="12593" spans="1:1" s="200" customFormat="1" ht="12" hidden="1" customHeight="1">
      <c r="A12593" s="199"/>
    </row>
    <row r="12594" spans="1:1" s="200" customFormat="1" ht="12" hidden="1" customHeight="1">
      <c r="A12594" s="199"/>
    </row>
    <row r="12595" spans="1:1" s="200" customFormat="1" ht="12" hidden="1" customHeight="1">
      <c r="A12595" s="199"/>
    </row>
    <row r="12596" spans="1:1" s="200" customFormat="1" ht="12" hidden="1" customHeight="1">
      <c r="A12596" s="199"/>
    </row>
    <row r="12597" spans="1:1" s="200" customFormat="1" ht="12" hidden="1" customHeight="1">
      <c r="A12597" s="199"/>
    </row>
    <row r="12598" spans="1:1" s="200" customFormat="1" ht="12" hidden="1" customHeight="1">
      <c r="A12598" s="199"/>
    </row>
    <row r="12599" spans="1:1" s="200" customFormat="1" ht="12" hidden="1" customHeight="1">
      <c r="A12599" s="199"/>
    </row>
    <row r="12600" spans="1:1" s="200" customFormat="1" ht="12" hidden="1" customHeight="1">
      <c r="A12600" s="199"/>
    </row>
    <row r="12601" spans="1:1" s="200" customFormat="1" ht="12" hidden="1" customHeight="1">
      <c r="A12601" s="199"/>
    </row>
    <row r="12602" spans="1:1" s="200" customFormat="1" ht="12" hidden="1" customHeight="1">
      <c r="A12602" s="199"/>
    </row>
    <row r="12603" spans="1:1" s="200" customFormat="1" ht="12" hidden="1" customHeight="1">
      <c r="A12603" s="199"/>
    </row>
    <row r="12604" spans="1:1" s="200" customFormat="1" ht="12" hidden="1" customHeight="1">
      <c r="A12604" s="199"/>
    </row>
    <row r="12605" spans="1:1" s="200" customFormat="1" ht="12" hidden="1" customHeight="1">
      <c r="A12605" s="199"/>
    </row>
    <row r="12606" spans="1:1" s="200" customFormat="1" ht="12" hidden="1" customHeight="1">
      <c r="A12606" s="199"/>
    </row>
    <row r="12607" spans="1:1" s="200" customFormat="1" ht="12" hidden="1" customHeight="1">
      <c r="A12607" s="199"/>
    </row>
    <row r="12608" spans="1:1" s="200" customFormat="1" ht="12" hidden="1" customHeight="1">
      <c r="A12608" s="199"/>
    </row>
    <row r="12609" spans="1:1" s="200" customFormat="1" ht="12" hidden="1" customHeight="1">
      <c r="A12609" s="199"/>
    </row>
    <row r="12610" spans="1:1" s="200" customFormat="1" ht="12" hidden="1" customHeight="1">
      <c r="A12610" s="199"/>
    </row>
    <row r="12611" spans="1:1" s="200" customFormat="1" ht="12" hidden="1" customHeight="1">
      <c r="A12611" s="199"/>
    </row>
    <row r="12612" spans="1:1" s="200" customFormat="1" ht="12" hidden="1" customHeight="1">
      <c r="A12612" s="199"/>
    </row>
    <row r="12613" spans="1:1" s="200" customFormat="1" ht="12" hidden="1" customHeight="1">
      <c r="A12613" s="199"/>
    </row>
    <row r="12614" spans="1:1" s="200" customFormat="1" ht="12" hidden="1" customHeight="1">
      <c r="A12614" s="199"/>
    </row>
    <row r="12615" spans="1:1" s="200" customFormat="1" ht="12" hidden="1" customHeight="1">
      <c r="A12615" s="199"/>
    </row>
    <row r="12616" spans="1:1" s="200" customFormat="1" ht="12" hidden="1" customHeight="1">
      <c r="A12616" s="199"/>
    </row>
    <row r="12617" spans="1:1" s="200" customFormat="1" ht="12" hidden="1" customHeight="1">
      <c r="A12617" s="199"/>
    </row>
    <row r="12618" spans="1:1" s="200" customFormat="1" ht="12" hidden="1" customHeight="1">
      <c r="A12618" s="199"/>
    </row>
    <row r="12619" spans="1:1" s="200" customFormat="1" ht="12" hidden="1" customHeight="1">
      <c r="A12619" s="199"/>
    </row>
    <row r="12620" spans="1:1" s="200" customFormat="1" ht="12" hidden="1" customHeight="1">
      <c r="A12620" s="199"/>
    </row>
    <row r="12621" spans="1:1" s="200" customFormat="1" ht="12" hidden="1" customHeight="1">
      <c r="A12621" s="199"/>
    </row>
    <row r="12622" spans="1:1" s="200" customFormat="1" ht="12" hidden="1" customHeight="1">
      <c r="A12622" s="199"/>
    </row>
    <row r="12623" spans="1:1" s="200" customFormat="1" ht="12" hidden="1" customHeight="1">
      <c r="A12623" s="199"/>
    </row>
    <row r="12624" spans="1:1" s="200" customFormat="1" ht="12" hidden="1" customHeight="1">
      <c r="A12624" s="199"/>
    </row>
    <row r="12625" spans="1:1" s="200" customFormat="1" ht="12" hidden="1" customHeight="1">
      <c r="A12625" s="199"/>
    </row>
    <row r="12626" spans="1:1" s="200" customFormat="1" ht="12" hidden="1" customHeight="1">
      <c r="A12626" s="199"/>
    </row>
    <row r="12627" spans="1:1" s="200" customFormat="1" ht="12" hidden="1" customHeight="1">
      <c r="A12627" s="199"/>
    </row>
    <row r="12628" spans="1:1" s="200" customFormat="1" ht="12" hidden="1" customHeight="1">
      <c r="A12628" s="199"/>
    </row>
    <row r="12629" spans="1:1" s="200" customFormat="1" ht="12" hidden="1" customHeight="1">
      <c r="A12629" s="199"/>
    </row>
    <row r="12630" spans="1:1" s="200" customFormat="1" ht="12" hidden="1" customHeight="1">
      <c r="A12630" s="199"/>
    </row>
    <row r="12631" spans="1:1" s="200" customFormat="1" ht="12" hidden="1" customHeight="1">
      <c r="A12631" s="199"/>
    </row>
    <row r="12632" spans="1:1" s="200" customFormat="1" ht="12" hidden="1" customHeight="1">
      <c r="A12632" s="199"/>
    </row>
    <row r="12633" spans="1:1" s="200" customFormat="1" ht="12" hidden="1" customHeight="1">
      <c r="A12633" s="199"/>
    </row>
    <row r="12634" spans="1:1" s="200" customFormat="1" ht="12" hidden="1" customHeight="1">
      <c r="A12634" s="199"/>
    </row>
    <row r="12635" spans="1:1" s="200" customFormat="1" ht="12" hidden="1" customHeight="1">
      <c r="A12635" s="199"/>
    </row>
    <row r="12636" spans="1:1" s="200" customFormat="1" ht="12" hidden="1" customHeight="1">
      <c r="A12636" s="199"/>
    </row>
    <row r="12637" spans="1:1" s="200" customFormat="1" ht="12" hidden="1" customHeight="1">
      <c r="A12637" s="199"/>
    </row>
    <row r="12638" spans="1:1" s="200" customFormat="1" ht="12" hidden="1" customHeight="1">
      <c r="A12638" s="199"/>
    </row>
    <row r="12639" spans="1:1" s="200" customFormat="1" ht="12" hidden="1" customHeight="1">
      <c r="A12639" s="199"/>
    </row>
    <row r="12640" spans="1:1" s="200" customFormat="1" ht="12" hidden="1" customHeight="1">
      <c r="A12640" s="199"/>
    </row>
    <row r="12641" spans="1:1" s="200" customFormat="1" ht="12" hidden="1" customHeight="1">
      <c r="A12641" s="199"/>
    </row>
    <row r="12642" spans="1:1" s="200" customFormat="1" ht="12" hidden="1" customHeight="1">
      <c r="A12642" s="199"/>
    </row>
    <row r="12643" spans="1:1" s="200" customFormat="1" ht="12" hidden="1" customHeight="1">
      <c r="A12643" s="199"/>
    </row>
    <row r="12644" spans="1:1" s="200" customFormat="1" ht="12" hidden="1" customHeight="1">
      <c r="A12644" s="199"/>
    </row>
    <row r="12645" spans="1:1" s="200" customFormat="1" ht="12" hidden="1" customHeight="1">
      <c r="A12645" s="199"/>
    </row>
    <row r="12646" spans="1:1" s="200" customFormat="1" ht="12" hidden="1" customHeight="1">
      <c r="A12646" s="199"/>
    </row>
    <row r="12647" spans="1:1" s="200" customFormat="1" ht="12" hidden="1" customHeight="1">
      <c r="A12647" s="199"/>
    </row>
    <row r="12648" spans="1:1" s="200" customFormat="1" ht="12" hidden="1" customHeight="1">
      <c r="A12648" s="199"/>
    </row>
    <row r="12649" spans="1:1" s="200" customFormat="1" ht="12" hidden="1" customHeight="1">
      <c r="A12649" s="199"/>
    </row>
    <row r="12650" spans="1:1" s="200" customFormat="1" ht="12" hidden="1" customHeight="1">
      <c r="A12650" s="199"/>
    </row>
    <row r="12651" spans="1:1" s="200" customFormat="1" ht="12" hidden="1" customHeight="1">
      <c r="A12651" s="199"/>
    </row>
    <row r="12652" spans="1:1" s="200" customFormat="1" ht="12" hidden="1" customHeight="1">
      <c r="A12652" s="199"/>
    </row>
    <row r="12653" spans="1:1" s="200" customFormat="1" ht="12" hidden="1" customHeight="1">
      <c r="A12653" s="199"/>
    </row>
    <row r="12654" spans="1:1" s="200" customFormat="1" ht="12" hidden="1" customHeight="1">
      <c r="A12654" s="199"/>
    </row>
    <row r="12655" spans="1:1" s="200" customFormat="1" ht="12" hidden="1" customHeight="1">
      <c r="A12655" s="199"/>
    </row>
    <row r="12656" spans="1:1" s="200" customFormat="1" ht="12" hidden="1" customHeight="1">
      <c r="A12656" s="199"/>
    </row>
    <row r="12657" spans="1:1" s="200" customFormat="1" ht="12" hidden="1" customHeight="1">
      <c r="A12657" s="199"/>
    </row>
    <row r="12658" spans="1:1" s="200" customFormat="1" ht="12" hidden="1" customHeight="1">
      <c r="A12658" s="199"/>
    </row>
    <row r="12659" spans="1:1" s="200" customFormat="1" ht="12" hidden="1" customHeight="1">
      <c r="A12659" s="199"/>
    </row>
    <row r="12660" spans="1:1" s="200" customFormat="1" ht="12" hidden="1" customHeight="1">
      <c r="A12660" s="199"/>
    </row>
    <row r="12661" spans="1:1" s="200" customFormat="1" ht="12" hidden="1" customHeight="1">
      <c r="A12661" s="199"/>
    </row>
    <row r="12662" spans="1:1" s="200" customFormat="1" ht="12" hidden="1" customHeight="1">
      <c r="A12662" s="199"/>
    </row>
    <row r="12663" spans="1:1" s="200" customFormat="1" ht="12" hidden="1" customHeight="1">
      <c r="A12663" s="199"/>
    </row>
    <row r="12664" spans="1:1" s="200" customFormat="1" ht="12" hidden="1" customHeight="1">
      <c r="A12664" s="199"/>
    </row>
    <row r="12665" spans="1:1" s="200" customFormat="1" ht="12" hidden="1" customHeight="1">
      <c r="A12665" s="199"/>
    </row>
    <row r="12666" spans="1:1" s="200" customFormat="1" ht="12" hidden="1" customHeight="1">
      <c r="A12666" s="199"/>
    </row>
    <row r="12667" spans="1:1" s="200" customFormat="1" ht="12" hidden="1" customHeight="1">
      <c r="A12667" s="199"/>
    </row>
    <row r="12668" spans="1:1" s="200" customFormat="1" ht="12" hidden="1" customHeight="1">
      <c r="A12668" s="199"/>
    </row>
    <row r="12669" spans="1:1" s="200" customFormat="1" ht="12" hidden="1" customHeight="1">
      <c r="A12669" s="199"/>
    </row>
    <row r="12670" spans="1:1" s="200" customFormat="1" ht="12" hidden="1" customHeight="1">
      <c r="A12670" s="199"/>
    </row>
    <row r="12671" spans="1:1" s="200" customFormat="1" ht="12" hidden="1" customHeight="1">
      <c r="A12671" s="199"/>
    </row>
    <row r="12672" spans="1:1" s="200" customFormat="1" ht="12" hidden="1" customHeight="1">
      <c r="A12672" s="199"/>
    </row>
    <row r="12673" spans="1:1" s="200" customFormat="1" ht="12" hidden="1" customHeight="1">
      <c r="A12673" s="199"/>
    </row>
    <row r="12674" spans="1:1" s="200" customFormat="1" ht="12" hidden="1" customHeight="1">
      <c r="A12674" s="199"/>
    </row>
    <row r="12675" spans="1:1" s="200" customFormat="1" ht="12" hidden="1" customHeight="1">
      <c r="A12675" s="199"/>
    </row>
    <row r="12676" spans="1:1" s="200" customFormat="1" ht="12" hidden="1" customHeight="1">
      <c r="A12676" s="199"/>
    </row>
    <row r="12677" spans="1:1" s="200" customFormat="1" ht="12" hidden="1" customHeight="1">
      <c r="A12677" s="199"/>
    </row>
    <row r="12678" spans="1:1" s="200" customFormat="1" ht="12" hidden="1" customHeight="1">
      <c r="A12678" s="199"/>
    </row>
    <row r="12679" spans="1:1" s="200" customFormat="1" ht="12" hidden="1" customHeight="1">
      <c r="A12679" s="199"/>
    </row>
    <row r="12680" spans="1:1" s="200" customFormat="1" ht="12" hidden="1" customHeight="1">
      <c r="A12680" s="199"/>
    </row>
    <row r="12681" spans="1:1" s="200" customFormat="1" ht="12" hidden="1" customHeight="1">
      <c r="A12681" s="199"/>
    </row>
    <row r="12682" spans="1:1" s="200" customFormat="1" ht="12" hidden="1" customHeight="1">
      <c r="A12682" s="199"/>
    </row>
    <row r="12683" spans="1:1" s="200" customFormat="1" ht="12" hidden="1" customHeight="1">
      <c r="A12683" s="199"/>
    </row>
    <row r="12684" spans="1:1" s="200" customFormat="1" ht="12" hidden="1" customHeight="1">
      <c r="A12684" s="199"/>
    </row>
    <row r="12685" spans="1:1" s="200" customFormat="1" ht="12" hidden="1" customHeight="1">
      <c r="A12685" s="199"/>
    </row>
    <row r="12686" spans="1:1" s="200" customFormat="1" ht="12" hidden="1" customHeight="1">
      <c r="A12686" s="199"/>
    </row>
    <row r="12687" spans="1:1" s="200" customFormat="1" ht="12" hidden="1" customHeight="1">
      <c r="A12687" s="199"/>
    </row>
    <row r="12688" spans="1:1" s="200" customFormat="1" ht="12" hidden="1" customHeight="1">
      <c r="A12688" s="199"/>
    </row>
    <row r="12689" spans="1:1" s="200" customFormat="1" ht="12" hidden="1" customHeight="1">
      <c r="A12689" s="199"/>
    </row>
    <row r="12690" spans="1:1" s="200" customFormat="1" ht="12" hidden="1" customHeight="1">
      <c r="A12690" s="199"/>
    </row>
    <row r="12691" spans="1:1" s="200" customFormat="1" ht="12" hidden="1" customHeight="1">
      <c r="A12691" s="199"/>
    </row>
    <row r="12692" spans="1:1" s="200" customFormat="1" ht="12" hidden="1" customHeight="1">
      <c r="A12692" s="199"/>
    </row>
    <row r="12693" spans="1:1" s="200" customFormat="1" ht="12" hidden="1" customHeight="1">
      <c r="A12693" s="199"/>
    </row>
    <row r="12694" spans="1:1" s="200" customFormat="1" ht="12" hidden="1" customHeight="1">
      <c r="A12694" s="199"/>
    </row>
    <row r="12695" spans="1:1" s="200" customFormat="1" ht="12" hidden="1" customHeight="1">
      <c r="A12695" s="199"/>
    </row>
    <row r="12696" spans="1:1" s="200" customFormat="1" ht="12" hidden="1" customHeight="1">
      <c r="A12696" s="199"/>
    </row>
    <row r="12697" spans="1:1" s="200" customFormat="1" ht="12" hidden="1" customHeight="1">
      <c r="A12697" s="199"/>
    </row>
    <row r="12698" spans="1:1" s="200" customFormat="1" ht="12" hidden="1" customHeight="1">
      <c r="A12698" s="199"/>
    </row>
    <row r="12699" spans="1:1" s="200" customFormat="1" ht="12" hidden="1" customHeight="1">
      <c r="A12699" s="199"/>
    </row>
    <row r="12700" spans="1:1" s="200" customFormat="1" ht="12" hidden="1" customHeight="1">
      <c r="A12700" s="199"/>
    </row>
    <row r="12701" spans="1:1" s="200" customFormat="1" ht="12" hidden="1" customHeight="1">
      <c r="A12701" s="199"/>
    </row>
    <row r="12702" spans="1:1" s="200" customFormat="1" ht="12" hidden="1" customHeight="1">
      <c r="A12702" s="199"/>
    </row>
    <row r="12703" spans="1:1" s="200" customFormat="1" ht="12" hidden="1" customHeight="1">
      <c r="A12703" s="199"/>
    </row>
    <row r="12704" spans="1:1" s="200" customFormat="1" ht="12" hidden="1" customHeight="1">
      <c r="A12704" s="199"/>
    </row>
    <row r="12705" spans="1:1" s="200" customFormat="1" ht="12" hidden="1" customHeight="1">
      <c r="A12705" s="199"/>
    </row>
    <row r="12706" spans="1:1" s="200" customFormat="1" ht="12" hidden="1" customHeight="1">
      <c r="A12706" s="199"/>
    </row>
    <row r="12707" spans="1:1" s="200" customFormat="1" ht="12" hidden="1" customHeight="1">
      <c r="A12707" s="199"/>
    </row>
    <row r="12708" spans="1:1" s="200" customFormat="1" ht="12" hidden="1" customHeight="1">
      <c r="A12708" s="199"/>
    </row>
    <row r="12709" spans="1:1" s="200" customFormat="1" ht="12" hidden="1" customHeight="1">
      <c r="A12709" s="199"/>
    </row>
    <row r="12710" spans="1:1" s="200" customFormat="1" ht="12" hidden="1" customHeight="1">
      <c r="A12710" s="199"/>
    </row>
    <row r="12711" spans="1:1" s="200" customFormat="1" ht="12" hidden="1" customHeight="1">
      <c r="A12711" s="199"/>
    </row>
    <row r="12712" spans="1:1" s="200" customFormat="1" ht="12" hidden="1" customHeight="1">
      <c r="A12712" s="199"/>
    </row>
    <row r="12713" spans="1:1" s="200" customFormat="1" ht="12" hidden="1" customHeight="1">
      <c r="A12713" s="199"/>
    </row>
    <row r="12714" spans="1:1" s="200" customFormat="1" ht="12" hidden="1" customHeight="1">
      <c r="A12714" s="199"/>
    </row>
    <row r="12715" spans="1:1" s="200" customFormat="1" ht="12" hidden="1" customHeight="1">
      <c r="A12715" s="199"/>
    </row>
    <row r="12716" spans="1:1" s="200" customFormat="1" ht="12" hidden="1" customHeight="1">
      <c r="A12716" s="199"/>
    </row>
    <row r="12717" spans="1:1" s="200" customFormat="1" ht="12" hidden="1" customHeight="1">
      <c r="A12717" s="199"/>
    </row>
    <row r="12718" spans="1:1" s="200" customFormat="1" ht="12" hidden="1" customHeight="1">
      <c r="A12718" s="199"/>
    </row>
    <row r="12719" spans="1:1" s="200" customFormat="1" ht="12" hidden="1" customHeight="1">
      <c r="A12719" s="199"/>
    </row>
    <row r="12720" spans="1:1" s="200" customFormat="1" ht="12" hidden="1" customHeight="1">
      <c r="A12720" s="199"/>
    </row>
    <row r="12721" spans="1:1" s="200" customFormat="1" ht="12" hidden="1" customHeight="1">
      <c r="A12721" s="199"/>
    </row>
    <row r="12722" spans="1:1" s="200" customFormat="1" ht="12" hidden="1" customHeight="1">
      <c r="A12722" s="199"/>
    </row>
    <row r="12723" spans="1:1" s="200" customFormat="1" ht="12" hidden="1" customHeight="1">
      <c r="A12723" s="199"/>
    </row>
    <row r="12724" spans="1:1" s="200" customFormat="1" ht="12" hidden="1" customHeight="1">
      <c r="A12724" s="199"/>
    </row>
    <row r="12725" spans="1:1" s="200" customFormat="1" ht="12" hidden="1" customHeight="1">
      <c r="A12725" s="199"/>
    </row>
    <row r="12726" spans="1:1" s="200" customFormat="1" ht="12" hidden="1" customHeight="1">
      <c r="A12726" s="199"/>
    </row>
    <row r="12727" spans="1:1" s="200" customFormat="1" ht="12" hidden="1" customHeight="1">
      <c r="A12727" s="199"/>
    </row>
    <row r="12728" spans="1:1" s="200" customFormat="1" ht="12" hidden="1" customHeight="1">
      <c r="A12728" s="199"/>
    </row>
    <row r="12729" spans="1:1" s="200" customFormat="1" ht="12" hidden="1" customHeight="1">
      <c r="A12729" s="199"/>
    </row>
    <row r="12730" spans="1:1" s="200" customFormat="1" ht="12" hidden="1" customHeight="1">
      <c r="A12730" s="199"/>
    </row>
    <row r="12731" spans="1:1" s="200" customFormat="1" ht="12" hidden="1" customHeight="1">
      <c r="A12731" s="199"/>
    </row>
    <row r="12732" spans="1:1" s="200" customFormat="1" ht="12" hidden="1" customHeight="1">
      <c r="A12732" s="199"/>
    </row>
    <row r="12733" spans="1:1" s="200" customFormat="1" ht="12" hidden="1" customHeight="1">
      <c r="A12733" s="199"/>
    </row>
    <row r="12734" spans="1:1" s="200" customFormat="1" ht="12" hidden="1" customHeight="1">
      <c r="A12734" s="199"/>
    </row>
    <row r="12735" spans="1:1" s="200" customFormat="1" ht="12" hidden="1" customHeight="1">
      <c r="A12735" s="199"/>
    </row>
    <row r="12736" spans="1:1" s="200" customFormat="1" ht="12" hidden="1" customHeight="1">
      <c r="A12736" s="199"/>
    </row>
    <row r="12737" spans="1:1" s="200" customFormat="1" ht="12" hidden="1" customHeight="1">
      <c r="A12737" s="199"/>
    </row>
    <row r="12738" spans="1:1" s="200" customFormat="1" ht="12" hidden="1" customHeight="1">
      <c r="A12738" s="199"/>
    </row>
    <row r="12739" spans="1:1" s="200" customFormat="1" ht="12" hidden="1" customHeight="1">
      <c r="A12739" s="199"/>
    </row>
    <row r="12740" spans="1:1" s="200" customFormat="1" ht="12" hidden="1" customHeight="1">
      <c r="A12740" s="199"/>
    </row>
    <row r="12741" spans="1:1" s="200" customFormat="1" ht="12" hidden="1" customHeight="1">
      <c r="A12741" s="199"/>
    </row>
    <row r="12742" spans="1:1" s="200" customFormat="1" ht="12" hidden="1" customHeight="1">
      <c r="A12742" s="199"/>
    </row>
    <row r="12743" spans="1:1" s="200" customFormat="1" ht="12" hidden="1" customHeight="1">
      <c r="A12743" s="199"/>
    </row>
    <row r="12744" spans="1:1" s="200" customFormat="1" ht="12" hidden="1" customHeight="1">
      <c r="A12744" s="199"/>
    </row>
    <row r="12745" spans="1:1" s="200" customFormat="1" ht="12" hidden="1" customHeight="1">
      <c r="A12745" s="199"/>
    </row>
    <row r="12746" spans="1:1" s="200" customFormat="1" ht="12" hidden="1" customHeight="1">
      <c r="A12746" s="199"/>
    </row>
    <row r="12747" spans="1:1" s="200" customFormat="1" ht="12" hidden="1" customHeight="1">
      <c r="A12747" s="199"/>
    </row>
    <row r="12748" spans="1:1" s="200" customFormat="1" ht="12" hidden="1" customHeight="1">
      <c r="A12748" s="199"/>
    </row>
    <row r="12749" spans="1:1" s="200" customFormat="1" ht="12" hidden="1" customHeight="1">
      <c r="A12749" s="199"/>
    </row>
    <row r="12750" spans="1:1" s="200" customFormat="1" ht="12" hidden="1" customHeight="1">
      <c r="A12750" s="199"/>
    </row>
    <row r="12751" spans="1:1" s="200" customFormat="1" ht="12" hidden="1" customHeight="1">
      <c r="A12751" s="199"/>
    </row>
    <row r="12752" spans="1:1" s="200" customFormat="1" ht="12" hidden="1" customHeight="1">
      <c r="A12752" s="199"/>
    </row>
    <row r="12753" spans="1:1" s="200" customFormat="1" ht="12" hidden="1" customHeight="1">
      <c r="A12753" s="199"/>
    </row>
    <row r="12754" spans="1:1" s="200" customFormat="1" ht="12" hidden="1" customHeight="1">
      <c r="A12754" s="199"/>
    </row>
    <row r="12755" spans="1:1" s="200" customFormat="1" ht="12" hidden="1" customHeight="1">
      <c r="A12755" s="199"/>
    </row>
    <row r="12756" spans="1:1" s="200" customFormat="1" ht="12" hidden="1" customHeight="1">
      <c r="A12756" s="199"/>
    </row>
    <row r="12757" spans="1:1" s="200" customFormat="1" ht="12" hidden="1" customHeight="1">
      <c r="A12757" s="199"/>
    </row>
    <row r="12758" spans="1:1" s="200" customFormat="1" ht="12" hidden="1" customHeight="1">
      <c r="A12758" s="199"/>
    </row>
    <row r="12759" spans="1:1" s="200" customFormat="1" ht="12" hidden="1" customHeight="1">
      <c r="A12759" s="199"/>
    </row>
    <row r="12760" spans="1:1" s="200" customFormat="1" ht="12" hidden="1" customHeight="1">
      <c r="A12760" s="199"/>
    </row>
    <row r="12761" spans="1:1" s="200" customFormat="1" ht="12" hidden="1" customHeight="1">
      <c r="A12761" s="199"/>
    </row>
    <row r="12762" spans="1:1" s="200" customFormat="1" ht="12" hidden="1" customHeight="1">
      <c r="A12762" s="199"/>
    </row>
    <row r="12763" spans="1:1" s="200" customFormat="1" ht="12" hidden="1" customHeight="1">
      <c r="A12763" s="199"/>
    </row>
    <row r="12764" spans="1:1" s="200" customFormat="1" ht="12" hidden="1" customHeight="1">
      <c r="A12764" s="199"/>
    </row>
    <row r="12765" spans="1:1" s="200" customFormat="1" ht="12" hidden="1" customHeight="1">
      <c r="A12765" s="199"/>
    </row>
    <row r="12766" spans="1:1" s="200" customFormat="1" ht="12" hidden="1" customHeight="1">
      <c r="A12766" s="199"/>
    </row>
    <row r="12767" spans="1:1" s="200" customFormat="1" ht="12" hidden="1" customHeight="1">
      <c r="A12767" s="199"/>
    </row>
    <row r="12768" spans="1:1" s="200" customFormat="1" ht="12" hidden="1" customHeight="1">
      <c r="A12768" s="199"/>
    </row>
    <row r="12769" spans="1:1" s="200" customFormat="1" ht="12" hidden="1" customHeight="1">
      <c r="A12769" s="199"/>
    </row>
    <row r="12770" spans="1:1" s="200" customFormat="1" ht="12" hidden="1" customHeight="1">
      <c r="A12770" s="199"/>
    </row>
    <row r="12771" spans="1:1" s="200" customFormat="1" ht="12" hidden="1" customHeight="1">
      <c r="A12771" s="199"/>
    </row>
    <row r="12772" spans="1:1" s="200" customFormat="1" ht="12" hidden="1" customHeight="1">
      <c r="A12772" s="199"/>
    </row>
    <row r="12773" spans="1:1" s="200" customFormat="1" ht="12" hidden="1" customHeight="1">
      <c r="A12773" s="199"/>
    </row>
    <row r="12774" spans="1:1" s="200" customFormat="1" ht="12" hidden="1" customHeight="1">
      <c r="A12774" s="199"/>
    </row>
    <row r="12775" spans="1:1" s="200" customFormat="1" ht="12" hidden="1" customHeight="1">
      <c r="A12775" s="199"/>
    </row>
    <row r="12776" spans="1:1" s="200" customFormat="1" ht="12" hidden="1" customHeight="1">
      <c r="A12776" s="199"/>
    </row>
    <row r="12777" spans="1:1" s="200" customFormat="1" ht="12" hidden="1" customHeight="1">
      <c r="A12777" s="199"/>
    </row>
    <row r="12778" spans="1:1" s="200" customFormat="1" ht="12" hidden="1" customHeight="1">
      <c r="A12778" s="199"/>
    </row>
    <row r="12779" spans="1:1" s="200" customFormat="1" ht="12" hidden="1" customHeight="1">
      <c r="A12779" s="199"/>
    </row>
    <row r="12780" spans="1:1" s="200" customFormat="1" ht="12" hidden="1" customHeight="1">
      <c r="A12780" s="199"/>
    </row>
    <row r="12781" spans="1:1" s="200" customFormat="1" ht="12" hidden="1" customHeight="1">
      <c r="A12781" s="199"/>
    </row>
    <row r="12782" spans="1:1" s="200" customFormat="1" ht="12" hidden="1" customHeight="1">
      <c r="A12782" s="199"/>
    </row>
    <row r="12783" spans="1:1" s="200" customFormat="1" ht="12" hidden="1" customHeight="1">
      <c r="A12783" s="199"/>
    </row>
    <row r="12784" spans="1:1" s="200" customFormat="1" ht="12" hidden="1" customHeight="1">
      <c r="A12784" s="199"/>
    </row>
    <row r="12785" spans="1:1" s="200" customFormat="1" ht="12" hidden="1" customHeight="1">
      <c r="A12785" s="199"/>
    </row>
    <row r="12786" spans="1:1" s="200" customFormat="1" ht="12" hidden="1" customHeight="1">
      <c r="A12786" s="199"/>
    </row>
    <row r="12787" spans="1:1" s="200" customFormat="1" ht="12" hidden="1" customHeight="1">
      <c r="A12787" s="199"/>
    </row>
    <row r="12788" spans="1:1" s="200" customFormat="1" ht="12" hidden="1" customHeight="1">
      <c r="A12788" s="199"/>
    </row>
    <row r="12789" spans="1:1" s="200" customFormat="1" ht="12" hidden="1" customHeight="1">
      <c r="A12789" s="199"/>
    </row>
    <row r="12790" spans="1:1" s="200" customFormat="1" ht="12" hidden="1" customHeight="1">
      <c r="A12790" s="199"/>
    </row>
    <row r="12791" spans="1:1" s="200" customFormat="1" ht="12" hidden="1" customHeight="1">
      <c r="A12791" s="199"/>
    </row>
    <row r="12792" spans="1:1" s="200" customFormat="1" ht="12" hidden="1" customHeight="1">
      <c r="A12792" s="199"/>
    </row>
    <row r="12793" spans="1:1" s="200" customFormat="1" ht="12" hidden="1" customHeight="1">
      <c r="A12793" s="199"/>
    </row>
    <row r="12794" spans="1:1" s="200" customFormat="1" ht="12" hidden="1" customHeight="1">
      <c r="A12794" s="199"/>
    </row>
    <row r="12795" spans="1:1" s="200" customFormat="1" ht="12" hidden="1" customHeight="1">
      <c r="A12795" s="199"/>
    </row>
    <row r="12796" spans="1:1" s="200" customFormat="1" ht="12" hidden="1" customHeight="1">
      <c r="A12796" s="199"/>
    </row>
    <row r="12797" spans="1:1" s="200" customFormat="1" ht="12" hidden="1" customHeight="1">
      <c r="A12797" s="199"/>
    </row>
    <row r="12798" spans="1:1" s="200" customFormat="1" ht="12" hidden="1" customHeight="1">
      <c r="A12798" s="199"/>
    </row>
    <row r="12799" spans="1:1" s="200" customFormat="1" ht="12" hidden="1" customHeight="1">
      <c r="A12799" s="199"/>
    </row>
    <row r="12800" spans="1:1" s="200" customFormat="1" ht="12" hidden="1" customHeight="1">
      <c r="A12800" s="199"/>
    </row>
    <row r="12801" spans="1:1" s="200" customFormat="1" ht="12" hidden="1" customHeight="1">
      <c r="A12801" s="199"/>
    </row>
    <row r="12802" spans="1:1" s="200" customFormat="1" ht="12" hidden="1" customHeight="1">
      <c r="A12802" s="199"/>
    </row>
    <row r="12803" spans="1:1" s="200" customFormat="1" ht="12" hidden="1" customHeight="1">
      <c r="A12803" s="199"/>
    </row>
    <row r="12804" spans="1:1" s="200" customFormat="1" ht="12" hidden="1" customHeight="1">
      <c r="A12804" s="199"/>
    </row>
    <row r="12805" spans="1:1" s="200" customFormat="1" ht="12" hidden="1" customHeight="1">
      <c r="A12805" s="199"/>
    </row>
    <row r="12806" spans="1:1" s="200" customFormat="1" ht="12" hidden="1" customHeight="1">
      <c r="A12806" s="199"/>
    </row>
    <row r="12807" spans="1:1" s="200" customFormat="1" ht="12" hidden="1" customHeight="1">
      <c r="A12807" s="199"/>
    </row>
    <row r="12808" spans="1:1" s="200" customFormat="1" ht="12" hidden="1" customHeight="1">
      <c r="A12808" s="199"/>
    </row>
    <row r="12809" spans="1:1" s="200" customFormat="1" ht="12" hidden="1" customHeight="1">
      <c r="A12809" s="199"/>
    </row>
    <row r="12810" spans="1:1" s="200" customFormat="1" ht="12" hidden="1" customHeight="1">
      <c r="A12810" s="199"/>
    </row>
    <row r="12811" spans="1:1" s="200" customFormat="1" ht="12" hidden="1" customHeight="1">
      <c r="A12811" s="199"/>
    </row>
    <row r="12812" spans="1:1" s="200" customFormat="1" ht="12" hidden="1" customHeight="1">
      <c r="A12812" s="199"/>
    </row>
    <row r="12813" spans="1:1" s="200" customFormat="1" ht="12" hidden="1" customHeight="1">
      <c r="A12813" s="199"/>
    </row>
    <row r="12814" spans="1:1" s="200" customFormat="1" ht="12" hidden="1" customHeight="1">
      <c r="A12814" s="199"/>
    </row>
    <row r="12815" spans="1:1" s="200" customFormat="1" ht="12" hidden="1" customHeight="1">
      <c r="A12815" s="199"/>
    </row>
    <row r="12816" spans="1:1" s="200" customFormat="1" ht="12" hidden="1" customHeight="1">
      <c r="A12816" s="199"/>
    </row>
    <row r="12817" spans="1:1" s="200" customFormat="1" ht="12" hidden="1" customHeight="1">
      <c r="A12817" s="199"/>
    </row>
    <row r="12818" spans="1:1" s="200" customFormat="1" ht="12" hidden="1" customHeight="1">
      <c r="A12818" s="199"/>
    </row>
    <row r="12819" spans="1:1" s="200" customFormat="1" ht="12" hidden="1" customHeight="1">
      <c r="A12819" s="199"/>
    </row>
    <row r="12820" spans="1:1" s="200" customFormat="1" ht="12" hidden="1" customHeight="1">
      <c r="A12820" s="199"/>
    </row>
    <row r="12821" spans="1:1" s="200" customFormat="1" ht="12" hidden="1" customHeight="1">
      <c r="A12821" s="199"/>
    </row>
    <row r="12822" spans="1:1" s="200" customFormat="1" ht="12" hidden="1" customHeight="1">
      <c r="A12822" s="199"/>
    </row>
    <row r="12823" spans="1:1" s="200" customFormat="1" ht="12" hidden="1" customHeight="1">
      <c r="A12823" s="199"/>
    </row>
    <row r="12824" spans="1:1" s="200" customFormat="1" ht="12" hidden="1" customHeight="1">
      <c r="A12824" s="199"/>
    </row>
    <row r="12825" spans="1:1" s="200" customFormat="1" ht="12" hidden="1" customHeight="1">
      <c r="A12825" s="199"/>
    </row>
    <row r="12826" spans="1:1" s="200" customFormat="1" ht="12" hidden="1" customHeight="1">
      <c r="A12826" s="199"/>
    </row>
    <row r="12827" spans="1:1" s="200" customFormat="1" ht="12" hidden="1" customHeight="1">
      <c r="A12827" s="199"/>
    </row>
    <row r="12828" spans="1:1" s="200" customFormat="1" ht="12" hidden="1" customHeight="1">
      <c r="A12828" s="199"/>
    </row>
    <row r="12829" spans="1:1" s="200" customFormat="1" ht="12" hidden="1" customHeight="1">
      <c r="A12829" s="199"/>
    </row>
    <row r="12830" spans="1:1" s="200" customFormat="1" ht="12" hidden="1" customHeight="1">
      <c r="A12830" s="199"/>
    </row>
    <row r="12831" spans="1:1" s="200" customFormat="1" ht="12" hidden="1" customHeight="1">
      <c r="A12831" s="199"/>
    </row>
    <row r="12832" spans="1:1" s="200" customFormat="1" ht="12" hidden="1" customHeight="1">
      <c r="A12832" s="199"/>
    </row>
    <row r="12833" spans="1:1" s="200" customFormat="1" ht="12" hidden="1" customHeight="1">
      <c r="A12833" s="199"/>
    </row>
    <row r="12834" spans="1:1" s="200" customFormat="1" ht="12" hidden="1" customHeight="1">
      <c r="A12834" s="199"/>
    </row>
    <row r="12835" spans="1:1" s="200" customFormat="1" ht="12" hidden="1" customHeight="1">
      <c r="A12835" s="199"/>
    </row>
    <row r="12836" spans="1:1" s="200" customFormat="1" ht="12" hidden="1" customHeight="1">
      <c r="A12836" s="199"/>
    </row>
    <row r="12837" spans="1:1" s="200" customFormat="1" ht="12" hidden="1" customHeight="1">
      <c r="A12837" s="199"/>
    </row>
    <row r="12838" spans="1:1" s="200" customFormat="1" ht="12" hidden="1" customHeight="1">
      <c r="A12838" s="199"/>
    </row>
    <row r="12839" spans="1:1" s="200" customFormat="1" ht="12" hidden="1" customHeight="1">
      <c r="A12839" s="199"/>
    </row>
    <row r="12840" spans="1:1" s="200" customFormat="1" ht="12" hidden="1" customHeight="1">
      <c r="A12840" s="199"/>
    </row>
    <row r="12841" spans="1:1" s="200" customFormat="1" ht="12" hidden="1" customHeight="1">
      <c r="A12841" s="199"/>
    </row>
    <row r="12842" spans="1:1" s="200" customFormat="1" ht="12" hidden="1" customHeight="1">
      <c r="A12842" s="199"/>
    </row>
    <row r="12843" spans="1:1" s="200" customFormat="1" ht="12" hidden="1" customHeight="1">
      <c r="A12843" s="199"/>
    </row>
    <row r="12844" spans="1:1" s="200" customFormat="1" ht="12" hidden="1" customHeight="1">
      <c r="A12844" s="199"/>
    </row>
    <row r="12845" spans="1:1" s="200" customFormat="1" ht="12" hidden="1" customHeight="1">
      <c r="A12845" s="199"/>
    </row>
    <row r="12846" spans="1:1" s="200" customFormat="1" ht="12" hidden="1" customHeight="1">
      <c r="A12846" s="199"/>
    </row>
    <row r="12847" spans="1:1" s="200" customFormat="1" ht="12" hidden="1" customHeight="1">
      <c r="A12847" s="199"/>
    </row>
    <row r="12848" spans="1:1" s="200" customFormat="1" ht="12" hidden="1" customHeight="1">
      <c r="A12848" s="199"/>
    </row>
    <row r="12849" spans="1:1" s="200" customFormat="1" ht="12" hidden="1" customHeight="1">
      <c r="A12849" s="199"/>
    </row>
    <row r="12850" spans="1:1" s="200" customFormat="1" ht="12" hidden="1" customHeight="1">
      <c r="A12850" s="199"/>
    </row>
    <row r="12851" spans="1:1" s="200" customFormat="1" ht="12" hidden="1" customHeight="1">
      <c r="A12851" s="199"/>
    </row>
    <row r="12852" spans="1:1" s="200" customFormat="1" ht="12" hidden="1" customHeight="1">
      <c r="A12852" s="199"/>
    </row>
    <row r="12853" spans="1:1" s="200" customFormat="1" ht="12" hidden="1" customHeight="1">
      <c r="A12853" s="199"/>
    </row>
    <row r="12854" spans="1:1" s="200" customFormat="1" ht="12" hidden="1" customHeight="1">
      <c r="A12854" s="199"/>
    </row>
    <row r="12855" spans="1:1" s="200" customFormat="1" ht="12" hidden="1" customHeight="1">
      <c r="A12855" s="199"/>
    </row>
    <row r="12856" spans="1:1" s="200" customFormat="1" ht="12" hidden="1" customHeight="1">
      <c r="A12856" s="199"/>
    </row>
    <row r="12857" spans="1:1" s="200" customFormat="1" ht="12" hidden="1" customHeight="1">
      <c r="A12857" s="199"/>
    </row>
    <row r="12858" spans="1:1" s="200" customFormat="1" ht="12" hidden="1" customHeight="1">
      <c r="A12858" s="199"/>
    </row>
    <row r="12859" spans="1:1" s="200" customFormat="1" ht="12" hidden="1" customHeight="1">
      <c r="A12859" s="199"/>
    </row>
    <row r="12860" spans="1:1" s="200" customFormat="1" ht="12" hidden="1" customHeight="1">
      <c r="A12860" s="199"/>
    </row>
    <row r="12861" spans="1:1" s="200" customFormat="1" ht="12" hidden="1" customHeight="1">
      <c r="A12861" s="199"/>
    </row>
    <row r="12862" spans="1:1" s="200" customFormat="1" ht="12" hidden="1" customHeight="1">
      <c r="A12862" s="199"/>
    </row>
    <row r="12863" spans="1:1" s="200" customFormat="1" ht="12" hidden="1" customHeight="1">
      <c r="A12863" s="199"/>
    </row>
    <row r="12864" spans="1:1" s="200" customFormat="1" ht="12" hidden="1" customHeight="1">
      <c r="A12864" s="199"/>
    </row>
    <row r="12865" spans="1:1" s="200" customFormat="1" ht="12" hidden="1" customHeight="1">
      <c r="A12865" s="199"/>
    </row>
    <row r="12866" spans="1:1" s="200" customFormat="1" ht="12" hidden="1" customHeight="1">
      <c r="A12866" s="199"/>
    </row>
    <row r="12867" spans="1:1" s="200" customFormat="1" ht="12" hidden="1" customHeight="1">
      <c r="A12867" s="199"/>
    </row>
    <row r="12868" spans="1:1" s="200" customFormat="1" ht="12" hidden="1" customHeight="1">
      <c r="A12868" s="199"/>
    </row>
    <row r="12869" spans="1:1" s="200" customFormat="1" ht="12" hidden="1" customHeight="1">
      <c r="A12869" s="199"/>
    </row>
    <row r="12870" spans="1:1" s="200" customFormat="1" ht="12" hidden="1" customHeight="1">
      <c r="A12870" s="199"/>
    </row>
    <row r="12871" spans="1:1" s="200" customFormat="1" ht="12" hidden="1" customHeight="1">
      <c r="A12871" s="199"/>
    </row>
    <row r="12872" spans="1:1" s="200" customFormat="1" ht="12" hidden="1" customHeight="1">
      <c r="A12872" s="199"/>
    </row>
    <row r="12873" spans="1:1" s="200" customFormat="1" ht="12" hidden="1" customHeight="1">
      <c r="A12873" s="199"/>
    </row>
    <row r="12874" spans="1:1" s="200" customFormat="1" ht="12" hidden="1" customHeight="1">
      <c r="A12874" s="199"/>
    </row>
    <row r="12875" spans="1:1" s="200" customFormat="1" ht="12" hidden="1" customHeight="1">
      <c r="A12875" s="199"/>
    </row>
    <row r="12876" spans="1:1" s="200" customFormat="1" ht="12" hidden="1" customHeight="1">
      <c r="A12876" s="199"/>
    </row>
    <row r="12877" spans="1:1" s="200" customFormat="1" ht="12" hidden="1" customHeight="1">
      <c r="A12877" s="199"/>
    </row>
    <row r="12878" spans="1:1" s="200" customFormat="1" ht="12" hidden="1" customHeight="1">
      <c r="A12878" s="199"/>
    </row>
    <row r="12879" spans="1:1" s="200" customFormat="1" ht="12" hidden="1" customHeight="1">
      <c r="A12879" s="199"/>
    </row>
    <row r="12880" spans="1:1" s="200" customFormat="1" ht="12" hidden="1" customHeight="1">
      <c r="A12880" s="199"/>
    </row>
    <row r="12881" spans="1:1" s="200" customFormat="1" ht="12" hidden="1" customHeight="1">
      <c r="A12881" s="199"/>
    </row>
    <row r="12882" spans="1:1" s="200" customFormat="1" ht="12" hidden="1" customHeight="1">
      <c r="A12882" s="199"/>
    </row>
    <row r="12883" spans="1:1" s="200" customFormat="1" ht="12" hidden="1" customHeight="1">
      <c r="A12883" s="199"/>
    </row>
    <row r="12884" spans="1:1" s="200" customFormat="1" ht="12" hidden="1" customHeight="1">
      <c r="A12884" s="199"/>
    </row>
    <row r="12885" spans="1:1" s="200" customFormat="1" ht="12" hidden="1" customHeight="1">
      <c r="A12885" s="199"/>
    </row>
    <row r="12886" spans="1:1" s="200" customFormat="1" ht="12" hidden="1" customHeight="1">
      <c r="A12886" s="199"/>
    </row>
    <row r="12887" spans="1:1" s="200" customFormat="1" ht="12" hidden="1" customHeight="1">
      <c r="A12887" s="199"/>
    </row>
    <row r="12888" spans="1:1" s="200" customFormat="1" ht="12" hidden="1" customHeight="1">
      <c r="A12888" s="199"/>
    </row>
    <row r="12889" spans="1:1" s="200" customFormat="1" ht="12" hidden="1" customHeight="1">
      <c r="A12889" s="199"/>
    </row>
    <row r="12890" spans="1:1" s="200" customFormat="1" ht="12" hidden="1" customHeight="1">
      <c r="A12890" s="199"/>
    </row>
    <row r="12891" spans="1:1" s="200" customFormat="1" ht="12" hidden="1" customHeight="1">
      <c r="A12891" s="199"/>
    </row>
    <row r="12892" spans="1:1" s="200" customFormat="1" ht="12" hidden="1" customHeight="1">
      <c r="A12892" s="199"/>
    </row>
    <row r="12893" spans="1:1" s="200" customFormat="1" ht="12" hidden="1" customHeight="1">
      <c r="A12893" s="199"/>
    </row>
    <row r="12894" spans="1:1" s="200" customFormat="1" ht="12" hidden="1" customHeight="1">
      <c r="A12894" s="199"/>
    </row>
    <row r="12895" spans="1:1" s="200" customFormat="1" ht="12" hidden="1" customHeight="1">
      <c r="A12895" s="199"/>
    </row>
    <row r="12896" spans="1:1" s="200" customFormat="1" ht="12" hidden="1" customHeight="1">
      <c r="A12896" s="199"/>
    </row>
    <row r="12897" spans="1:1" s="200" customFormat="1" ht="12" hidden="1" customHeight="1">
      <c r="A12897" s="199"/>
    </row>
    <row r="12898" spans="1:1" s="200" customFormat="1" ht="12" hidden="1" customHeight="1">
      <c r="A12898" s="199"/>
    </row>
    <row r="12899" spans="1:1" s="200" customFormat="1" ht="12" hidden="1" customHeight="1">
      <c r="A12899" s="199"/>
    </row>
    <row r="12900" spans="1:1" s="200" customFormat="1" ht="12" hidden="1" customHeight="1">
      <c r="A12900" s="199"/>
    </row>
    <row r="12901" spans="1:1" s="200" customFormat="1" ht="12" hidden="1" customHeight="1">
      <c r="A12901" s="199"/>
    </row>
    <row r="12902" spans="1:1" s="200" customFormat="1" ht="12" hidden="1" customHeight="1">
      <c r="A12902" s="199"/>
    </row>
    <row r="12903" spans="1:1" s="200" customFormat="1" ht="12" hidden="1" customHeight="1">
      <c r="A12903" s="199"/>
    </row>
    <row r="12904" spans="1:1" s="200" customFormat="1" ht="12" hidden="1" customHeight="1">
      <c r="A12904" s="199"/>
    </row>
    <row r="12905" spans="1:1" s="200" customFormat="1" ht="12" hidden="1" customHeight="1">
      <c r="A12905" s="199"/>
    </row>
    <row r="12906" spans="1:1" s="200" customFormat="1" ht="12" hidden="1" customHeight="1">
      <c r="A12906" s="199"/>
    </row>
    <row r="12907" spans="1:1" s="200" customFormat="1" ht="12" hidden="1" customHeight="1">
      <c r="A12907" s="199"/>
    </row>
    <row r="12908" spans="1:1" s="200" customFormat="1" ht="12" hidden="1" customHeight="1">
      <c r="A12908" s="199"/>
    </row>
    <row r="12909" spans="1:1" s="200" customFormat="1" ht="12" hidden="1" customHeight="1">
      <c r="A12909" s="199"/>
    </row>
    <row r="12910" spans="1:1" s="200" customFormat="1" ht="12" hidden="1" customHeight="1">
      <c r="A12910" s="199"/>
    </row>
    <row r="12911" spans="1:1" s="200" customFormat="1" ht="12" hidden="1" customHeight="1">
      <c r="A12911" s="199"/>
    </row>
    <row r="12912" spans="1:1" s="200" customFormat="1" ht="12" hidden="1" customHeight="1">
      <c r="A12912" s="199"/>
    </row>
    <row r="12913" spans="1:1" s="200" customFormat="1" ht="12" hidden="1" customHeight="1">
      <c r="A12913" s="199"/>
    </row>
    <row r="12914" spans="1:1" s="200" customFormat="1" ht="12" hidden="1" customHeight="1">
      <c r="A12914" s="199"/>
    </row>
    <row r="12915" spans="1:1" s="200" customFormat="1" ht="12" hidden="1" customHeight="1">
      <c r="A12915" s="199"/>
    </row>
    <row r="12916" spans="1:1" s="200" customFormat="1" ht="12" hidden="1" customHeight="1">
      <c r="A12916" s="199"/>
    </row>
    <row r="12917" spans="1:1" s="200" customFormat="1" ht="12" hidden="1" customHeight="1">
      <c r="A12917" s="199"/>
    </row>
    <row r="12918" spans="1:1" s="200" customFormat="1" ht="12" hidden="1" customHeight="1">
      <c r="A12918" s="199"/>
    </row>
    <row r="12919" spans="1:1" s="200" customFormat="1" ht="12" hidden="1" customHeight="1">
      <c r="A12919" s="199"/>
    </row>
    <row r="12920" spans="1:1" s="200" customFormat="1" ht="12" hidden="1" customHeight="1">
      <c r="A12920" s="199"/>
    </row>
    <row r="12921" spans="1:1" s="200" customFormat="1" ht="12" hidden="1" customHeight="1">
      <c r="A12921" s="199"/>
    </row>
    <row r="12922" spans="1:1" s="200" customFormat="1" ht="12" hidden="1" customHeight="1">
      <c r="A12922" s="199"/>
    </row>
    <row r="12923" spans="1:1" s="200" customFormat="1" ht="12" hidden="1" customHeight="1">
      <c r="A12923" s="199"/>
    </row>
    <row r="12924" spans="1:1" s="200" customFormat="1" ht="12" hidden="1" customHeight="1">
      <c r="A12924" s="199"/>
    </row>
    <row r="12925" spans="1:1" s="200" customFormat="1" ht="12" hidden="1" customHeight="1">
      <c r="A12925" s="199"/>
    </row>
    <row r="12926" spans="1:1" s="200" customFormat="1" ht="12" hidden="1" customHeight="1">
      <c r="A12926" s="199"/>
    </row>
    <row r="12927" spans="1:1" s="200" customFormat="1" ht="12" hidden="1" customHeight="1">
      <c r="A12927" s="199"/>
    </row>
    <row r="12928" spans="1:1" s="200" customFormat="1" ht="12" hidden="1" customHeight="1">
      <c r="A12928" s="199"/>
    </row>
    <row r="12929" spans="1:1" s="200" customFormat="1" ht="12" hidden="1" customHeight="1">
      <c r="A12929" s="199"/>
    </row>
    <row r="12930" spans="1:1" s="200" customFormat="1" ht="12" hidden="1" customHeight="1">
      <c r="A12930" s="199"/>
    </row>
    <row r="12931" spans="1:1" s="200" customFormat="1" ht="12" hidden="1" customHeight="1">
      <c r="A12931" s="199"/>
    </row>
    <row r="12932" spans="1:1" s="200" customFormat="1" ht="12" hidden="1" customHeight="1">
      <c r="A12932" s="199"/>
    </row>
    <row r="12933" spans="1:1" s="200" customFormat="1" ht="12" hidden="1" customHeight="1">
      <c r="A12933" s="199"/>
    </row>
    <row r="12934" spans="1:1" s="200" customFormat="1" ht="12" hidden="1" customHeight="1">
      <c r="A12934" s="199"/>
    </row>
    <row r="12935" spans="1:1" s="200" customFormat="1" ht="12" hidden="1" customHeight="1">
      <c r="A12935" s="199"/>
    </row>
    <row r="12936" spans="1:1" s="200" customFormat="1" ht="12" hidden="1" customHeight="1">
      <c r="A12936" s="199"/>
    </row>
    <row r="12937" spans="1:1" s="200" customFormat="1" ht="12" hidden="1" customHeight="1">
      <c r="A12937" s="199"/>
    </row>
    <row r="12938" spans="1:1" s="200" customFormat="1" ht="12" hidden="1" customHeight="1">
      <c r="A12938" s="199"/>
    </row>
    <row r="12939" spans="1:1" s="200" customFormat="1" ht="12" hidden="1" customHeight="1">
      <c r="A12939" s="199"/>
    </row>
    <row r="12940" spans="1:1" s="200" customFormat="1" ht="12" hidden="1" customHeight="1">
      <c r="A12940" s="199"/>
    </row>
    <row r="12941" spans="1:1" s="200" customFormat="1" ht="12" hidden="1" customHeight="1">
      <c r="A12941" s="199"/>
    </row>
    <row r="12942" spans="1:1" s="200" customFormat="1" ht="12" hidden="1" customHeight="1">
      <c r="A12942" s="199"/>
    </row>
    <row r="12943" spans="1:1" s="200" customFormat="1" ht="12" hidden="1" customHeight="1">
      <c r="A12943" s="199"/>
    </row>
    <row r="12944" spans="1:1" s="200" customFormat="1" ht="12" hidden="1" customHeight="1">
      <c r="A12944" s="199"/>
    </row>
    <row r="12945" spans="1:1" s="200" customFormat="1" ht="12" hidden="1" customHeight="1">
      <c r="A12945" s="199"/>
    </row>
    <row r="12946" spans="1:1" s="200" customFormat="1" ht="12" hidden="1" customHeight="1">
      <c r="A12946" s="199"/>
    </row>
    <row r="12947" spans="1:1" s="200" customFormat="1" ht="12" hidden="1" customHeight="1">
      <c r="A12947" s="199"/>
    </row>
    <row r="12948" spans="1:1" s="200" customFormat="1" ht="12" hidden="1" customHeight="1">
      <c r="A12948" s="199"/>
    </row>
    <row r="12949" spans="1:1" s="200" customFormat="1" ht="12" hidden="1" customHeight="1">
      <c r="A12949" s="199"/>
    </row>
    <row r="12950" spans="1:1" s="200" customFormat="1" ht="12" hidden="1" customHeight="1">
      <c r="A12950" s="199"/>
    </row>
    <row r="12951" spans="1:1" s="200" customFormat="1" ht="12" hidden="1" customHeight="1">
      <c r="A12951" s="199"/>
    </row>
    <row r="12952" spans="1:1" s="200" customFormat="1" ht="12" hidden="1" customHeight="1">
      <c r="A12952" s="199"/>
    </row>
    <row r="12953" spans="1:1" s="200" customFormat="1" ht="12" hidden="1" customHeight="1">
      <c r="A12953" s="199"/>
    </row>
    <row r="12954" spans="1:1" s="200" customFormat="1" ht="12" hidden="1" customHeight="1">
      <c r="A12954" s="199"/>
    </row>
    <row r="12955" spans="1:1" s="200" customFormat="1" ht="12" hidden="1" customHeight="1">
      <c r="A12955" s="199"/>
    </row>
    <row r="12956" spans="1:1" s="200" customFormat="1" ht="12" hidden="1" customHeight="1">
      <c r="A12956" s="199"/>
    </row>
    <row r="12957" spans="1:1" s="200" customFormat="1" ht="12" hidden="1" customHeight="1">
      <c r="A12957" s="199"/>
    </row>
    <row r="12958" spans="1:1" s="200" customFormat="1" ht="12" hidden="1" customHeight="1">
      <c r="A12958" s="199"/>
    </row>
    <row r="12959" spans="1:1" s="200" customFormat="1" ht="12" hidden="1" customHeight="1">
      <c r="A12959" s="199"/>
    </row>
    <row r="12960" spans="1:1" s="200" customFormat="1" ht="12" hidden="1" customHeight="1">
      <c r="A12960" s="199"/>
    </row>
    <row r="12961" spans="1:1" s="200" customFormat="1" ht="12" hidden="1" customHeight="1">
      <c r="A12961" s="199"/>
    </row>
    <row r="12962" spans="1:1" s="200" customFormat="1" ht="12" hidden="1" customHeight="1">
      <c r="A12962" s="199"/>
    </row>
    <row r="12963" spans="1:1" s="200" customFormat="1" ht="12" hidden="1" customHeight="1">
      <c r="A12963" s="199"/>
    </row>
    <row r="12964" spans="1:1" s="200" customFormat="1" ht="12" hidden="1" customHeight="1">
      <c r="A12964" s="199"/>
    </row>
    <row r="12965" spans="1:1" s="200" customFormat="1" ht="12" hidden="1" customHeight="1">
      <c r="A12965" s="199"/>
    </row>
    <row r="12966" spans="1:1" s="200" customFormat="1" ht="12" hidden="1" customHeight="1">
      <c r="A12966" s="199"/>
    </row>
    <row r="12967" spans="1:1" s="200" customFormat="1" ht="12" hidden="1" customHeight="1">
      <c r="A12967" s="199"/>
    </row>
    <row r="12968" spans="1:1" s="200" customFormat="1" ht="12" hidden="1" customHeight="1">
      <c r="A12968" s="199"/>
    </row>
    <row r="12969" spans="1:1" s="200" customFormat="1" ht="12" hidden="1" customHeight="1">
      <c r="A12969" s="199"/>
    </row>
    <row r="12970" spans="1:1" s="200" customFormat="1" ht="12" hidden="1" customHeight="1">
      <c r="A12970" s="199"/>
    </row>
    <row r="12971" spans="1:1" s="200" customFormat="1" ht="12" hidden="1" customHeight="1">
      <c r="A12971" s="199"/>
    </row>
    <row r="12972" spans="1:1" s="200" customFormat="1" ht="12" hidden="1" customHeight="1">
      <c r="A12972" s="199"/>
    </row>
    <row r="12973" spans="1:1" s="200" customFormat="1" ht="12" hidden="1" customHeight="1">
      <c r="A12973" s="199"/>
    </row>
    <row r="12974" spans="1:1" s="200" customFormat="1" ht="12" hidden="1" customHeight="1">
      <c r="A12974" s="199"/>
    </row>
    <row r="12975" spans="1:1" s="200" customFormat="1" ht="12" hidden="1" customHeight="1">
      <c r="A12975" s="199"/>
    </row>
    <row r="12976" spans="1:1" s="200" customFormat="1" ht="12" hidden="1" customHeight="1">
      <c r="A12976" s="199"/>
    </row>
    <row r="12977" spans="1:1" s="200" customFormat="1" ht="12" hidden="1" customHeight="1">
      <c r="A12977" s="199"/>
    </row>
    <row r="12978" spans="1:1" s="200" customFormat="1" ht="12" hidden="1" customHeight="1">
      <c r="A12978" s="199"/>
    </row>
    <row r="12979" spans="1:1" s="200" customFormat="1" ht="12" hidden="1" customHeight="1">
      <c r="A12979" s="199"/>
    </row>
    <row r="12980" spans="1:1" s="200" customFormat="1" ht="12" hidden="1" customHeight="1">
      <c r="A12980" s="199"/>
    </row>
    <row r="12981" spans="1:1" s="200" customFormat="1" ht="12" hidden="1" customHeight="1">
      <c r="A12981" s="199"/>
    </row>
    <row r="12982" spans="1:1" s="200" customFormat="1" ht="12" hidden="1" customHeight="1">
      <c r="A12982" s="199"/>
    </row>
    <row r="12983" spans="1:1" s="200" customFormat="1" ht="12" hidden="1" customHeight="1">
      <c r="A12983" s="199"/>
    </row>
    <row r="12984" spans="1:1" s="200" customFormat="1" ht="12" hidden="1" customHeight="1">
      <c r="A12984" s="199"/>
    </row>
    <row r="12985" spans="1:1" s="200" customFormat="1" ht="12" hidden="1" customHeight="1">
      <c r="A12985" s="199"/>
    </row>
    <row r="12986" spans="1:1" s="200" customFormat="1" ht="12" hidden="1" customHeight="1">
      <c r="A12986" s="199"/>
    </row>
    <row r="12987" spans="1:1" s="200" customFormat="1" ht="12" hidden="1" customHeight="1">
      <c r="A12987" s="199"/>
    </row>
    <row r="12988" spans="1:1" s="200" customFormat="1" ht="12" hidden="1" customHeight="1">
      <c r="A12988" s="199"/>
    </row>
    <row r="12989" spans="1:1" s="200" customFormat="1" ht="12" hidden="1" customHeight="1">
      <c r="A12989" s="199"/>
    </row>
    <row r="12990" spans="1:1" s="200" customFormat="1" ht="12" hidden="1" customHeight="1">
      <c r="A12990" s="199"/>
    </row>
    <row r="12991" spans="1:1" s="200" customFormat="1" ht="12" hidden="1" customHeight="1">
      <c r="A12991" s="199"/>
    </row>
    <row r="12992" spans="1:1" s="200" customFormat="1" ht="12" hidden="1" customHeight="1">
      <c r="A12992" s="199"/>
    </row>
    <row r="12993" spans="1:1" s="200" customFormat="1" ht="12" hidden="1" customHeight="1">
      <c r="A12993" s="199"/>
    </row>
    <row r="12994" spans="1:1" s="200" customFormat="1" ht="12" hidden="1" customHeight="1">
      <c r="A12994" s="199"/>
    </row>
    <row r="12995" spans="1:1" s="200" customFormat="1" ht="12" hidden="1" customHeight="1">
      <c r="A12995" s="199"/>
    </row>
    <row r="12996" spans="1:1" s="200" customFormat="1" ht="12" hidden="1" customHeight="1">
      <c r="A12996" s="199"/>
    </row>
    <row r="12997" spans="1:1" s="200" customFormat="1" ht="12" hidden="1" customHeight="1">
      <c r="A12997" s="199"/>
    </row>
    <row r="12998" spans="1:1" s="200" customFormat="1" ht="12" hidden="1" customHeight="1">
      <c r="A12998" s="199"/>
    </row>
    <row r="12999" spans="1:1" s="200" customFormat="1" ht="12" hidden="1" customHeight="1">
      <c r="A12999" s="199"/>
    </row>
    <row r="13000" spans="1:1" s="200" customFormat="1" ht="12" hidden="1" customHeight="1">
      <c r="A13000" s="199"/>
    </row>
    <row r="13001" spans="1:1" s="200" customFormat="1" ht="12" hidden="1" customHeight="1">
      <c r="A13001" s="199"/>
    </row>
    <row r="13002" spans="1:1" s="200" customFormat="1" ht="12" hidden="1" customHeight="1">
      <c r="A13002" s="199"/>
    </row>
    <row r="13003" spans="1:1" s="200" customFormat="1" ht="12" hidden="1" customHeight="1">
      <c r="A13003" s="199"/>
    </row>
    <row r="13004" spans="1:1" s="200" customFormat="1" ht="12" hidden="1" customHeight="1">
      <c r="A13004" s="199"/>
    </row>
    <row r="13005" spans="1:1" s="200" customFormat="1" ht="12" hidden="1" customHeight="1">
      <c r="A13005" s="199"/>
    </row>
    <row r="13006" spans="1:1" s="200" customFormat="1" ht="12" hidden="1" customHeight="1">
      <c r="A13006" s="199"/>
    </row>
    <row r="13007" spans="1:1" s="200" customFormat="1" ht="12" hidden="1" customHeight="1">
      <c r="A13007" s="199"/>
    </row>
    <row r="13008" spans="1:1" s="200" customFormat="1" ht="12" hidden="1" customHeight="1">
      <c r="A13008" s="199"/>
    </row>
    <row r="13009" spans="1:1" s="200" customFormat="1" ht="12" hidden="1" customHeight="1">
      <c r="A13009" s="199"/>
    </row>
    <row r="13010" spans="1:1" s="200" customFormat="1" ht="12" hidden="1" customHeight="1">
      <c r="A13010" s="199"/>
    </row>
    <row r="13011" spans="1:1" s="200" customFormat="1" ht="12" hidden="1" customHeight="1">
      <c r="A13011" s="199"/>
    </row>
    <row r="13012" spans="1:1" s="200" customFormat="1" ht="12" hidden="1" customHeight="1">
      <c r="A13012" s="199"/>
    </row>
    <row r="13013" spans="1:1" s="200" customFormat="1" ht="12" hidden="1" customHeight="1">
      <c r="A13013" s="199"/>
    </row>
    <row r="13014" spans="1:1" s="200" customFormat="1" ht="12" hidden="1" customHeight="1">
      <c r="A13014" s="199"/>
    </row>
    <row r="13015" spans="1:1" s="200" customFormat="1" ht="12" hidden="1" customHeight="1">
      <c r="A13015" s="199"/>
    </row>
    <row r="13016" spans="1:1" s="200" customFormat="1" ht="12" hidden="1" customHeight="1">
      <c r="A13016" s="199"/>
    </row>
    <row r="13017" spans="1:1" s="200" customFormat="1" ht="12" hidden="1" customHeight="1">
      <c r="A13017" s="199"/>
    </row>
    <row r="13018" spans="1:1" s="200" customFormat="1" ht="12" hidden="1" customHeight="1">
      <c r="A13018" s="199"/>
    </row>
    <row r="13019" spans="1:1" s="200" customFormat="1" ht="12" hidden="1" customHeight="1">
      <c r="A13019" s="199"/>
    </row>
    <row r="13020" spans="1:1" s="200" customFormat="1" ht="12" hidden="1" customHeight="1">
      <c r="A13020" s="199"/>
    </row>
    <row r="13021" spans="1:1" s="200" customFormat="1" ht="12" hidden="1" customHeight="1">
      <c r="A13021" s="199"/>
    </row>
    <row r="13022" spans="1:1" s="200" customFormat="1" ht="12" hidden="1" customHeight="1">
      <c r="A13022" s="199"/>
    </row>
    <row r="13023" spans="1:1" s="200" customFormat="1" ht="12" hidden="1" customHeight="1">
      <c r="A13023" s="199"/>
    </row>
    <row r="13024" spans="1:1" s="200" customFormat="1" ht="12" hidden="1" customHeight="1">
      <c r="A13024" s="199"/>
    </row>
    <row r="13025" spans="1:1" s="200" customFormat="1" ht="12" hidden="1" customHeight="1">
      <c r="A13025" s="199"/>
    </row>
    <row r="13026" spans="1:1" s="200" customFormat="1" ht="12" hidden="1" customHeight="1">
      <c r="A13026" s="199"/>
    </row>
    <row r="13027" spans="1:1" s="200" customFormat="1" ht="12" hidden="1" customHeight="1">
      <c r="A13027" s="199"/>
    </row>
    <row r="13028" spans="1:1" s="200" customFormat="1" ht="12" hidden="1" customHeight="1">
      <c r="A13028" s="199"/>
    </row>
    <row r="13029" spans="1:1" s="200" customFormat="1" ht="12" hidden="1" customHeight="1">
      <c r="A13029" s="199"/>
    </row>
    <row r="13030" spans="1:1" s="200" customFormat="1" ht="12" hidden="1" customHeight="1">
      <c r="A13030" s="199"/>
    </row>
    <row r="13031" spans="1:1" s="200" customFormat="1" ht="12" hidden="1" customHeight="1">
      <c r="A13031" s="199"/>
    </row>
    <row r="13032" spans="1:1" s="200" customFormat="1" ht="12" hidden="1" customHeight="1">
      <c r="A13032" s="199"/>
    </row>
    <row r="13033" spans="1:1" s="200" customFormat="1" ht="12" hidden="1" customHeight="1">
      <c r="A13033" s="199"/>
    </row>
    <row r="13034" spans="1:1" s="200" customFormat="1" ht="12" hidden="1" customHeight="1">
      <c r="A13034" s="199"/>
    </row>
    <row r="13035" spans="1:1" s="200" customFormat="1" ht="12" hidden="1" customHeight="1">
      <c r="A13035" s="199"/>
    </row>
    <row r="13036" spans="1:1" s="200" customFormat="1" ht="12" hidden="1" customHeight="1">
      <c r="A13036" s="199"/>
    </row>
    <row r="13037" spans="1:1" s="200" customFormat="1" ht="12" hidden="1" customHeight="1">
      <c r="A13037" s="199"/>
    </row>
    <row r="13038" spans="1:1" s="200" customFormat="1" ht="12" hidden="1" customHeight="1">
      <c r="A13038" s="199"/>
    </row>
    <row r="13039" spans="1:1" s="200" customFormat="1" ht="12" hidden="1" customHeight="1">
      <c r="A13039" s="199"/>
    </row>
    <row r="13040" spans="1:1" s="200" customFormat="1" ht="12" hidden="1" customHeight="1">
      <c r="A13040" s="199"/>
    </row>
    <row r="13041" spans="1:1" s="200" customFormat="1" ht="12" hidden="1" customHeight="1">
      <c r="A13041" s="199"/>
    </row>
    <row r="13042" spans="1:1" s="200" customFormat="1" ht="12" hidden="1" customHeight="1">
      <c r="A13042" s="199"/>
    </row>
    <row r="13043" spans="1:1" s="200" customFormat="1" ht="12" hidden="1" customHeight="1">
      <c r="A13043" s="199"/>
    </row>
    <row r="13044" spans="1:1" s="200" customFormat="1" ht="12" hidden="1" customHeight="1">
      <c r="A13044" s="199"/>
    </row>
    <row r="13045" spans="1:1" s="200" customFormat="1" ht="12" hidden="1" customHeight="1">
      <c r="A13045" s="199"/>
    </row>
    <row r="13046" spans="1:1" s="200" customFormat="1" ht="12" hidden="1" customHeight="1">
      <c r="A13046" s="199"/>
    </row>
    <row r="13047" spans="1:1" s="200" customFormat="1" ht="12" hidden="1" customHeight="1">
      <c r="A13047" s="199"/>
    </row>
    <row r="13048" spans="1:1" s="200" customFormat="1" ht="12" hidden="1" customHeight="1">
      <c r="A13048" s="199"/>
    </row>
    <row r="13049" spans="1:1" s="200" customFormat="1" ht="12" hidden="1" customHeight="1">
      <c r="A13049" s="199"/>
    </row>
    <row r="13050" spans="1:1" s="200" customFormat="1" ht="12" hidden="1" customHeight="1">
      <c r="A13050" s="199"/>
    </row>
    <row r="13051" spans="1:1" s="200" customFormat="1" ht="12" hidden="1" customHeight="1">
      <c r="A13051" s="199"/>
    </row>
    <row r="13052" spans="1:1" s="200" customFormat="1" ht="12" hidden="1" customHeight="1">
      <c r="A13052" s="199"/>
    </row>
    <row r="13053" spans="1:1" s="200" customFormat="1" ht="12" hidden="1" customHeight="1">
      <c r="A13053" s="199"/>
    </row>
    <row r="13054" spans="1:1" s="200" customFormat="1" ht="12" hidden="1" customHeight="1">
      <c r="A13054" s="199"/>
    </row>
    <row r="13055" spans="1:1" s="200" customFormat="1" ht="12" hidden="1" customHeight="1">
      <c r="A13055" s="199"/>
    </row>
    <row r="13056" spans="1:1" s="200" customFormat="1" ht="12" hidden="1" customHeight="1">
      <c r="A13056" s="199"/>
    </row>
    <row r="13057" spans="1:1" s="200" customFormat="1" ht="12" hidden="1" customHeight="1">
      <c r="A13057" s="199"/>
    </row>
    <row r="13058" spans="1:1" s="200" customFormat="1" ht="12" hidden="1" customHeight="1">
      <c r="A13058" s="199"/>
    </row>
    <row r="13059" spans="1:1" s="200" customFormat="1" ht="12" hidden="1" customHeight="1">
      <c r="A13059" s="199"/>
    </row>
    <row r="13060" spans="1:1" s="200" customFormat="1" ht="12" hidden="1" customHeight="1">
      <c r="A13060" s="199"/>
    </row>
    <row r="13061" spans="1:1" s="200" customFormat="1" ht="12" hidden="1" customHeight="1">
      <c r="A13061" s="199"/>
    </row>
    <row r="13062" spans="1:1" s="200" customFormat="1" ht="12" hidden="1" customHeight="1">
      <c r="A13062" s="199"/>
    </row>
    <row r="13063" spans="1:1" s="200" customFormat="1" ht="12" hidden="1" customHeight="1">
      <c r="A13063" s="199"/>
    </row>
    <row r="13064" spans="1:1" s="200" customFormat="1" ht="12" hidden="1" customHeight="1">
      <c r="A13064" s="199"/>
    </row>
    <row r="13065" spans="1:1" s="200" customFormat="1" ht="12" hidden="1" customHeight="1">
      <c r="A13065" s="199"/>
    </row>
    <row r="13066" spans="1:1" s="200" customFormat="1" ht="12" hidden="1" customHeight="1">
      <c r="A13066" s="199"/>
    </row>
    <row r="13067" spans="1:1" s="200" customFormat="1" ht="12" hidden="1" customHeight="1">
      <c r="A13067" s="199"/>
    </row>
    <row r="13068" spans="1:1" s="200" customFormat="1" ht="12" hidden="1" customHeight="1">
      <c r="A13068" s="199"/>
    </row>
    <row r="13069" spans="1:1" s="200" customFormat="1" ht="12" hidden="1" customHeight="1">
      <c r="A13069" s="199"/>
    </row>
    <row r="13070" spans="1:1" s="200" customFormat="1" ht="12" hidden="1" customHeight="1">
      <c r="A13070" s="199"/>
    </row>
    <row r="13071" spans="1:1" s="200" customFormat="1" ht="12" hidden="1" customHeight="1">
      <c r="A13071" s="199"/>
    </row>
    <row r="13072" spans="1:1" s="200" customFormat="1" ht="12" hidden="1" customHeight="1">
      <c r="A13072" s="199"/>
    </row>
    <row r="13073" spans="1:1" s="200" customFormat="1" ht="12" hidden="1" customHeight="1">
      <c r="A13073" s="199"/>
    </row>
    <row r="13074" spans="1:1" s="200" customFormat="1" ht="12" hidden="1" customHeight="1">
      <c r="A13074" s="199"/>
    </row>
    <row r="13075" spans="1:1" s="200" customFormat="1" ht="12" hidden="1" customHeight="1">
      <c r="A13075" s="199"/>
    </row>
    <row r="13076" spans="1:1" s="200" customFormat="1" ht="12" hidden="1" customHeight="1">
      <c r="A13076" s="199"/>
    </row>
    <row r="13077" spans="1:1" s="200" customFormat="1" ht="12" hidden="1" customHeight="1">
      <c r="A13077" s="199"/>
    </row>
    <row r="13078" spans="1:1" s="200" customFormat="1" ht="12" hidden="1" customHeight="1">
      <c r="A13078" s="199"/>
    </row>
    <row r="13079" spans="1:1" s="200" customFormat="1" ht="12" hidden="1" customHeight="1">
      <c r="A13079" s="199"/>
    </row>
    <row r="13080" spans="1:1" s="200" customFormat="1" ht="12" hidden="1" customHeight="1">
      <c r="A13080" s="199"/>
    </row>
    <row r="13081" spans="1:1" s="200" customFormat="1" ht="12" hidden="1" customHeight="1">
      <c r="A13081" s="199"/>
    </row>
    <row r="13082" spans="1:1" s="200" customFormat="1" ht="12" hidden="1" customHeight="1">
      <c r="A13082" s="199"/>
    </row>
    <row r="13083" spans="1:1" s="200" customFormat="1" ht="12" hidden="1" customHeight="1">
      <c r="A13083" s="199"/>
    </row>
    <row r="13084" spans="1:1" s="200" customFormat="1" ht="12" hidden="1" customHeight="1">
      <c r="A13084" s="199"/>
    </row>
    <row r="13085" spans="1:1" s="200" customFormat="1" ht="12" hidden="1" customHeight="1">
      <c r="A13085" s="199"/>
    </row>
    <row r="13086" spans="1:1" s="200" customFormat="1" ht="12" hidden="1" customHeight="1">
      <c r="A13086" s="199"/>
    </row>
    <row r="13087" spans="1:1" s="200" customFormat="1" ht="12" hidden="1" customHeight="1">
      <c r="A13087" s="199"/>
    </row>
    <row r="13088" spans="1:1" s="200" customFormat="1" ht="12" hidden="1" customHeight="1">
      <c r="A13088" s="199"/>
    </row>
    <row r="13089" spans="1:1" s="200" customFormat="1" ht="12" hidden="1" customHeight="1">
      <c r="A13089" s="199"/>
    </row>
    <row r="13090" spans="1:1" s="200" customFormat="1" ht="12" hidden="1" customHeight="1">
      <c r="A13090" s="199"/>
    </row>
    <row r="13091" spans="1:1" s="200" customFormat="1" ht="12" hidden="1" customHeight="1">
      <c r="A13091" s="199"/>
    </row>
    <row r="13092" spans="1:1" s="200" customFormat="1" ht="12" hidden="1" customHeight="1">
      <c r="A13092" s="199"/>
    </row>
    <row r="13093" spans="1:1" s="200" customFormat="1" ht="12" hidden="1" customHeight="1">
      <c r="A13093" s="199"/>
    </row>
    <row r="13094" spans="1:1" s="200" customFormat="1" ht="12" hidden="1" customHeight="1">
      <c r="A13094" s="199"/>
    </row>
    <row r="13095" spans="1:1" s="200" customFormat="1" ht="12" hidden="1" customHeight="1">
      <c r="A13095" s="199"/>
    </row>
    <row r="13096" spans="1:1" s="200" customFormat="1" ht="12" hidden="1" customHeight="1">
      <c r="A13096" s="199"/>
    </row>
    <row r="13097" spans="1:1" s="200" customFormat="1" ht="12" hidden="1" customHeight="1">
      <c r="A13097" s="199"/>
    </row>
    <row r="13098" spans="1:1" s="200" customFormat="1" ht="12" hidden="1" customHeight="1">
      <c r="A13098" s="199"/>
    </row>
    <row r="13099" spans="1:1" s="200" customFormat="1" ht="12" hidden="1" customHeight="1">
      <c r="A13099" s="199"/>
    </row>
    <row r="13100" spans="1:1" s="200" customFormat="1" ht="12" hidden="1" customHeight="1">
      <c r="A13100" s="199"/>
    </row>
    <row r="13101" spans="1:1" s="200" customFormat="1" ht="12" hidden="1" customHeight="1">
      <c r="A13101" s="199"/>
    </row>
    <row r="13102" spans="1:1" s="200" customFormat="1" ht="12" hidden="1" customHeight="1">
      <c r="A13102" s="199"/>
    </row>
    <row r="13103" spans="1:1" s="200" customFormat="1" ht="12" hidden="1" customHeight="1">
      <c r="A13103" s="199"/>
    </row>
    <row r="13104" spans="1:1" s="200" customFormat="1" ht="12" hidden="1" customHeight="1">
      <c r="A13104" s="199"/>
    </row>
    <row r="13105" spans="1:1" s="200" customFormat="1" ht="12" hidden="1" customHeight="1">
      <c r="A13105" s="199"/>
    </row>
    <row r="13106" spans="1:1" s="200" customFormat="1" ht="12" hidden="1" customHeight="1">
      <c r="A13106" s="199"/>
    </row>
    <row r="13107" spans="1:1" s="200" customFormat="1" ht="12" hidden="1" customHeight="1">
      <c r="A13107" s="199"/>
    </row>
    <row r="13108" spans="1:1" s="200" customFormat="1" ht="12" hidden="1" customHeight="1">
      <c r="A13108" s="199"/>
    </row>
    <row r="13109" spans="1:1" s="200" customFormat="1" ht="12" hidden="1" customHeight="1">
      <c r="A13109" s="199"/>
    </row>
    <row r="13110" spans="1:1" s="200" customFormat="1" ht="12" hidden="1" customHeight="1">
      <c r="A13110" s="199"/>
    </row>
    <row r="13111" spans="1:1" s="200" customFormat="1" ht="12" hidden="1" customHeight="1">
      <c r="A13111" s="199"/>
    </row>
    <row r="13112" spans="1:1" s="200" customFormat="1" ht="12" hidden="1" customHeight="1">
      <c r="A13112" s="199"/>
    </row>
    <row r="13113" spans="1:1" s="200" customFormat="1" ht="12" hidden="1" customHeight="1">
      <c r="A13113" s="199"/>
    </row>
    <row r="13114" spans="1:1" s="200" customFormat="1" ht="12" hidden="1" customHeight="1">
      <c r="A13114" s="199"/>
    </row>
    <row r="13115" spans="1:1" s="200" customFormat="1" ht="12" hidden="1" customHeight="1">
      <c r="A13115" s="199"/>
    </row>
    <row r="13116" spans="1:1" s="200" customFormat="1" ht="12" hidden="1" customHeight="1">
      <c r="A13116" s="199"/>
    </row>
    <row r="13117" spans="1:1" s="200" customFormat="1" ht="12" hidden="1" customHeight="1">
      <c r="A13117" s="199"/>
    </row>
    <row r="13118" spans="1:1" s="200" customFormat="1" ht="12" hidden="1" customHeight="1">
      <c r="A13118" s="199"/>
    </row>
    <row r="13119" spans="1:1" s="200" customFormat="1" ht="12" hidden="1" customHeight="1">
      <c r="A13119" s="199"/>
    </row>
    <row r="13120" spans="1:1" s="200" customFormat="1" ht="12" hidden="1" customHeight="1">
      <c r="A13120" s="199"/>
    </row>
    <row r="13121" spans="1:1" s="200" customFormat="1" ht="12" hidden="1" customHeight="1">
      <c r="A13121" s="199"/>
    </row>
    <row r="13122" spans="1:1" s="200" customFormat="1" ht="12" hidden="1" customHeight="1">
      <c r="A13122" s="199"/>
    </row>
    <row r="13123" spans="1:1" s="200" customFormat="1" ht="12" hidden="1" customHeight="1">
      <c r="A13123" s="199"/>
    </row>
    <row r="13124" spans="1:1" s="200" customFormat="1" ht="12" hidden="1" customHeight="1">
      <c r="A13124" s="199"/>
    </row>
    <row r="13125" spans="1:1" s="200" customFormat="1" ht="12" hidden="1" customHeight="1">
      <c r="A13125" s="199"/>
    </row>
    <row r="13126" spans="1:1" s="200" customFormat="1" ht="12" hidden="1" customHeight="1">
      <c r="A13126" s="199"/>
    </row>
    <row r="13127" spans="1:1" s="200" customFormat="1" ht="12" hidden="1" customHeight="1">
      <c r="A13127" s="199"/>
    </row>
    <row r="13128" spans="1:1" s="200" customFormat="1" ht="12" hidden="1" customHeight="1">
      <c r="A13128" s="199"/>
    </row>
    <row r="13129" spans="1:1" s="200" customFormat="1" ht="12" hidden="1" customHeight="1">
      <c r="A13129" s="199"/>
    </row>
    <row r="13130" spans="1:1" s="200" customFormat="1" ht="12" hidden="1" customHeight="1">
      <c r="A13130" s="199"/>
    </row>
    <row r="13131" spans="1:1" s="200" customFormat="1" ht="12" hidden="1" customHeight="1">
      <c r="A13131" s="199"/>
    </row>
    <row r="13132" spans="1:1" s="200" customFormat="1" ht="12" hidden="1" customHeight="1">
      <c r="A13132" s="199"/>
    </row>
    <row r="13133" spans="1:1" s="200" customFormat="1" ht="12" hidden="1" customHeight="1">
      <c r="A13133" s="199"/>
    </row>
    <row r="13134" spans="1:1" s="200" customFormat="1" ht="12" hidden="1" customHeight="1">
      <c r="A13134" s="199"/>
    </row>
    <row r="13135" spans="1:1" s="200" customFormat="1" ht="12" hidden="1" customHeight="1">
      <c r="A13135" s="199"/>
    </row>
    <row r="13136" spans="1:1" s="200" customFormat="1" ht="12" hidden="1" customHeight="1">
      <c r="A13136" s="199"/>
    </row>
    <row r="13137" spans="1:1" s="200" customFormat="1" ht="12" hidden="1" customHeight="1">
      <c r="A13137" s="199"/>
    </row>
    <row r="13138" spans="1:1" s="200" customFormat="1" ht="12" hidden="1" customHeight="1">
      <c r="A13138" s="199"/>
    </row>
    <row r="13139" spans="1:1" s="200" customFormat="1" ht="12" hidden="1" customHeight="1">
      <c r="A13139" s="199"/>
    </row>
    <row r="13140" spans="1:1" s="200" customFormat="1" ht="12" hidden="1" customHeight="1">
      <c r="A13140" s="199"/>
    </row>
    <row r="13141" spans="1:1" s="200" customFormat="1" ht="12" hidden="1" customHeight="1">
      <c r="A13141" s="199"/>
    </row>
    <row r="13142" spans="1:1" s="200" customFormat="1" ht="12" hidden="1" customHeight="1">
      <c r="A13142" s="199"/>
    </row>
    <row r="13143" spans="1:1" s="200" customFormat="1" ht="12" hidden="1" customHeight="1">
      <c r="A13143" s="199"/>
    </row>
    <row r="13144" spans="1:1" s="200" customFormat="1" ht="12" hidden="1" customHeight="1">
      <c r="A13144" s="199"/>
    </row>
    <row r="13145" spans="1:1" s="200" customFormat="1" ht="12" hidden="1" customHeight="1">
      <c r="A13145" s="199"/>
    </row>
    <row r="13146" spans="1:1" s="200" customFormat="1" ht="12" hidden="1" customHeight="1">
      <c r="A13146" s="199"/>
    </row>
    <row r="13147" spans="1:1" s="200" customFormat="1" ht="12" hidden="1" customHeight="1">
      <c r="A13147" s="199"/>
    </row>
    <row r="13148" spans="1:1" s="200" customFormat="1" ht="12" hidden="1" customHeight="1">
      <c r="A13148" s="199"/>
    </row>
    <row r="13149" spans="1:1" s="200" customFormat="1" ht="12" hidden="1" customHeight="1">
      <c r="A13149" s="199"/>
    </row>
    <row r="13150" spans="1:1" s="200" customFormat="1" ht="12" hidden="1" customHeight="1">
      <c r="A13150" s="199"/>
    </row>
    <row r="13151" spans="1:1" s="200" customFormat="1" ht="12" hidden="1" customHeight="1">
      <c r="A13151" s="199"/>
    </row>
    <row r="13152" spans="1:1" s="200" customFormat="1" ht="12" hidden="1" customHeight="1">
      <c r="A13152" s="199"/>
    </row>
    <row r="13153" spans="1:1" s="200" customFormat="1" ht="12" hidden="1" customHeight="1">
      <c r="A13153" s="199"/>
    </row>
    <row r="13154" spans="1:1" s="200" customFormat="1" ht="12" hidden="1" customHeight="1">
      <c r="A13154" s="199"/>
    </row>
    <row r="13155" spans="1:1" s="200" customFormat="1" ht="12" hidden="1" customHeight="1">
      <c r="A13155" s="199"/>
    </row>
    <row r="13156" spans="1:1" s="200" customFormat="1" ht="12" hidden="1" customHeight="1">
      <c r="A13156" s="199"/>
    </row>
    <row r="13157" spans="1:1" s="200" customFormat="1" ht="12" hidden="1" customHeight="1">
      <c r="A13157" s="199"/>
    </row>
    <row r="13158" spans="1:1" s="200" customFormat="1" ht="12" hidden="1" customHeight="1">
      <c r="A13158" s="199"/>
    </row>
    <row r="13159" spans="1:1" s="200" customFormat="1" ht="12" hidden="1" customHeight="1">
      <c r="A13159" s="199"/>
    </row>
    <row r="13160" spans="1:1" s="200" customFormat="1" ht="12" hidden="1" customHeight="1">
      <c r="A13160" s="199"/>
    </row>
    <row r="13161" spans="1:1" s="200" customFormat="1" ht="12" hidden="1" customHeight="1">
      <c r="A13161" s="199"/>
    </row>
    <row r="13162" spans="1:1" s="200" customFormat="1" ht="12" hidden="1" customHeight="1">
      <c r="A13162" s="199"/>
    </row>
    <row r="13163" spans="1:1" s="200" customFormat="1" ht="12" hidden="1" customHeight="1">
      <c r="A13163" s="199"/>
    </row>
    <row r="13164" spans="1:1" s="200" customFormat="1" ht="12" hidden="1" customHeight="1">
      <c r="A13164" s="199"/>
    </row>
    <row r="13165" spans="1:1" s="200" customFormat="1" ht="12" hidden="1" customHeight="1">
      <c r="A13165" s="199"/>
    </row>
    <row r="13166" spans="1:1" s="200" customFormat="1" ht="12" hidden="1" customHeight="1">
      <c r="A13166" s="199"/>
    </row>
    <row r="13167" spans="1:1" s="200" customFormat="1" ht="12" hidden="1" customHeight="1">
      <c r="A13167" s="199"/>
    </row>
    <row r="13168" spans="1:1" s="200" customFormat="1" ht="12" hidden="1" customHeight="1">
      <c r="A13168" s="199"/>
    </row>
    <row r="13169" spans="1:1" s="200" customFormat="1" ht="12" hidden="1" customHeight="1">
      <c r="A13169" s="199"/>
    </row>
    <row r="13170" spans="1:1" s="200" customFormat="1" ht="12" hidden="1" customHeight="1">
      <c r="A13170" s="199"/>
    </row>
    <row r="13171" spans="1:1" s="200" customFormat="1" ht="12" hidden="1" customHeight="1">
      <c r="A13171" s="199"/>
    </row>
    <row r="13172" spans="1:1" s="200" customFormat="1" ht="12" hidden="1" customHeight="1">
      <c r="A13172" s="199"/>
    </row>
    <row r="13173" spans="1:1" s="200" customFormat="1" ht="12" hidden="1" customHeight="1">
      <c r="A13173" s="199"/>
    </row>
    <row r="13174" spans="1:1" s="200" customFormat="1" ht="12" hidden="1" customHeight="1">
      <c r="A13174" s="199"/>
    </row>
    <row r="13175" spans="1:1" s="200" customFormat="1" ht="12" hidden="1" customHeight="1">
      <c r="A13175" s="199"/>
    </row>
    <row r="13176" spans="1:1" s="200" customFormat="1" ht="12" hidden="1" customHeight="1">
      <c r="A13176" s="199"/>
    </row>
    <row r="13177" spans="1:1" s="200" customFormat="1" ht="12" hidden="1" customHeight="1">
      <c r="A13177" s="199"/>
    </row>
    <row r="13178" spans="1:1" s="200" customFormat="1" ht="12" hidden="1" customHeight="1">
      <c r="A13178" s="199"/>
    </row>
    <row r="13179" spans="1:1" s="200" customFormat="1" ht="12" hidden="1" customHeight="1">
      <c r="A13179" s="199"/>
    </row>
    <row r="13180" spans="1:1" s="200" customFormat="1" ht="12" hidden="1" customHeight="1">
      <c r="A13180" s="199"/>
    </row>
    <row r="13181" spans="1:1" s="200" customFormat="1" ht="12" hidden="1" customHeight="1">
      <c r="A13181" s="199"/>
    </row>
    <row r="13182" spans="1:1" s="200" customFormat="1" ht="12" hidden="1" customHeight="1">
      <c r="A13182" s="199"/>
    </row>
    <row r="13183" spans="1:1" s="200" customFormat="1" ht="12" hidden="1" customHeight="1">
      <c r="A13183" s="199"/>
    </row>
    <row r="13184" spans="1:1" s="200" customFormat="1" ht="12" hidden="1" customHeight="1">
      <c r="A13184" s="199"/>
    </row>
    <row r="13185" spans="1:1" s="200" customFormat="1" ht="12" hidden="1" customHeight="1">
      <c r="A13185" s="199"/>
    </row>
    <row r="13186" spans="1:1" s="200" customFormat="1" ht="12" hidden="1" customHeight="1">
      <c r="A13186" s="199"/>
    </row>
    <row r="13187" spans="1:1" s="200" customFormat="1" ht="12" hidden="1" customHeight="1">
      <c r="A13187" s="199"/>
    </row>
    <row r="13188" spans="1:1" s="200" customFormat="1" ht="12" hidden="1" customHeight="1">
      <c r="A13188" s="199"/>
    </row>
    <row r="13189" spans="1:1" s="200" customFormat="1" ht="12" hidden="1" customHeight="1">
      <c r="A13189" s="199"/>
    </row>
    <row r="13190" spans="1:1" s="200" customFormat="1" ht="12" hidden="1" customHeight="1">
      <c r="A13190" s="199"/>
    </row>
    <row r="13191" spans="1:1" s="200" customFormat="1" ht="12" hidden="1" customHeight="1">
      <c r="A13191" s="199"/>
    </row>
    <row r="13192" spans="1:1" s="200" customFormat="1" ht="12" hidden="1" customHeight="1">
      <c r="A13192" s="199"/>
    </row>
    <row r="13193" spans="1:1" s="200" customFormat="1" ht="12" hidden="1" customHeight="1">
      <c r="A13193" s="199"/>
    </row>
    <row r="13194" spans="1:1" s="200" customFormat="1" ht="12" hidden="1" customHeight="1">
      <c r="A13194" s="199"/>
    </row>
    <row r="13195" spans="1:1" s="200" customFormat="1" ht="12" hidden="1" customHeight="1">
      <c r="A13195" s="199"/>
    </row>
    <row r="13196" spans="1:1" s="200" customFormat="1" ht="12" hidden="1" customHeight="1">
      <c r="A13196" s="199"/>
    </row>
    <row r="13197" spans="1:1" s="200" customFormat="1" ht="12" hidden="1" customHeight="1">
      <c r="A13197" s="199"/>
    </row>
    <row r="13198" spans="1:1" s="200" customFormat="1" ht="12" hidden="1" customHeight="1">
      <c r="A13198" s="199"/>
    </row>
    <row r="13199" spans="1:1" s="200" customFormat="1" ht="12" hidden="1" customHeight="1">
      <c r="A13199" s="199"/>
    </row>
    <row r="13200" spans="1:1" s="200" customFormat="1" ht="12" hidden="1" customHeight="1">
      <c r="A13200" s="199"/>
    </row>
    <row r="13201" spans="1:1" s="200" customFormat="1" ht="12" hidden="1" customHeight="1">
      <c r="A13201" s="199"/>
    </row>
    <row r="13202" spans="1:1" s="200" customFormat="1" ht="12" hidden="1" customHeight="1">
      <c r="A13202" s="199"/>
    </row>
    <row r="13203" spans="1:1" s="200" customFormat="1" ht="12" hidden="1" customHeight="1">
      <c r="A13203" s="199"/>
    </row>
    <row r="13204" spans="1:1" s="200" customFormat="1" ht="12" hidden="1" customHeight="1">
      <c r="A13204" s="199"/>
    </row>
    <row r="13205" spans="1:1" s="200" customFormat="1" ht="12" hidden="1" customHeight="1">
      <c r="A13205" s="199"/>
    </row>
    <row r="13206" spans="1:1" s="200" customFormat="1" ht="12" hidden="1" customHeight="1">
      <c r="A13206" s="199"/>
    </row>
    <row r="13207" spans="1:1" s="200" customFormat="1" ht="12" hidden="1" customHeight="1">
      <c r="A13207" s="199"/>
    </row>
    <row r="13208" spans="1:1" s="200" customFormat="1" ht="12" hidden="1" customHeight="1">
      <c r="A13208" s="199"/>
    </row>
    <row r="13209" spans="1:1" s="200" customFormat="1" ht="12" hidden="1" customHeight="1">
      <c r="A13209" s="199"/>
    </row>
    <row r="13210" spans="1:1" s="200" customFormat="1" ht="12" hidden="1" customHeight="1">
      <c r="A13210" s="199"/>
    </row>
    <row r="13211" spans="1:1" s="200" customFormat="1" ht="12" hidden="1" customHeight="1">
      <c r="A13211" s="199"/>
    </row>
    <row r="13212" spans="1:1" s="200" customFormat="1" ht="12" hidden="1" customHeight="1">
      <c r="A13212" s="199"/>
    </row>
    <row r="13213" spans="1:1" s="200" customFormat="1" ht="12" hidden="1" customHeight="1">
      <c r="A13213" s="199"/>
    </row>
    <row r="13214" spans="1:1" s="200" customFormat="1" ht="12" hidden="1" customHeight="1">
      <c r="A13214" s="199"/>
    </row>
    <row r="13215" spans="1:1" s="200" customFormat="1" ht="12" hidden="1" customHeight="1">
      <c r="A13215" s="199"/>
    </row>
    <row r="13216" spans="1:1" s="200" customFormat="1" ht="12" hidden="1" customHeight="1">
      <c r="A13216" s="199"/>
    </row>
    <row r="13217" spans="1:1" s="200" customFormat="1" ht="12" hidden="1" customHeight="1">
      <c r="A13217" s="199"/>
    </row>
    <row r="13218" spans="1:1" s="200" customFormat="1" ht="12" hidden="1" customHeight="1">
      <c r="A13218" s="199"/>
    </row>
    <row r="13219" spans="1:1" s="200" customFormat="1" ht="12" hidden="1" customHeight="1">
      <c r="A13219" s="199"/>
    </row>
    <row r="13220" spans="1:1" s="200" customFormat="1" ht="12" hidden="1" customHeight="1">
      <c r="A13220" s="199"/>
    </row>
    <row r="13221" spans="1:1" s="200" customFormat="1" ht="12" hidden="1" customHeight="1">
      <c r="A13221" s="199"/>
    </row>
    <row r="13222" spans="1:1" s="200" customFormat="1" ht="12" hidden="1" customHeight="1">
      <c r="A13222" s="199"/>
    </row>
    <row r="13223" spans="1:1" s="200" customFormat="1" ht="12" hidden="1" customHeight="1">
      <c r="A13223" s="199"/>
    </row>
    <row r="13224" spans="1:1" s="200" customFormat="1" ht="12" hidden="1" customHeight="1">
      <c r="A13224" s="199"/>
    </row>
    <row r="13225" spans="1:1" s="200" customFormat="1" ht="12" hidden="1" customHeight="1">
      <c r="A13225" s="199"/>
    </row>
    <row r="13226" spans="1:1" s="200" customFormat="1" ht="12" hidden="1" customHeight="1">
      <c r="A13226" s="199"/>
    </row>
    <row r="13227" spans="1:1" s="200" customFormat="1" ht="12" hidden="1" customHeight="1">
      <c r="A13227" s="199"/>
    </row>
    <row r="13228" spans="1:1" s="200" customFormat="1" ht="12" hidden="1" customHeight="1">
      <c r="A13228" s="199"/>
    </row>
    <row r="13229" spans="1:1" s="200" customFormat="1" ht="12" hidden="1" customHeight="1">
      <c r="A13229" s="199"/>
    </row>
    <row r="13230" spans="1:1" s="200" customFormat="1" ht="12" hidden="1" customHeight="1">
      <c r="A13230" s="199"/>
    </row>
    <row r="13231" spans="1:1" s="200" customFormat="1" ht="12" hidden="1" customHeight="1">
      <c r="A13231" s="199"/>
    </row>
    <row r="13232" spans="1:1" s="200" customFormat="1" ht="12" hidden="1" customHeight="1">
      <c r="A13232" s="199"/>
    </row>
    <row r="13233" spans="1:1" s="200" customFormat="1" ht="12" hidden="1" customHeight="1">
      <c r="A13233" s="199"/>
    </row>
    <row r="13234" spans="1:1" s="200" customFormat="1" ht="12" hidden="1" customHeight="1">
      <c r="A13234" s="199"/>
    </row>
    <row r="13235" spans="1:1" s="200" customFormat="1" ht="12" hidden="1" customHeight="1">
      <c r="A13235" s="199"/>
    </row>
    <row r="13236" spans="1:1" s="200" customFormat="1" ht="12" hidden="1" customHeight="1">
      <c r="A13236" s="199"/>
    </row>
    <row r="13237" spans="1:1" s="200" customFormat="1" ht="12" hidden="1" customHeight="1">
      <c r="A13237" s="199"/>
    </row>
    <row r="13238" spans="1:1" s="200" customFormat="1" ht="12" hidden="1" customHeight="1">
      <c r="A13238" s="199"/>
    </row>
    <row r="13239" spans="1:1" s="200" customFormat="1" ht="12" hidden="1" customHeight="1">
      <c r="A13239" s="199"/>
    </row>
    <row r="13240" spans="1:1" s="200" customFormat="1" ht="12" hidden="1" customHeight="1">
      <c r="A13240" s="199"/>
    </row>
    <row r="13241" spans="1:1" s="200" customFormat="1" ht="12" hidden="1" customHeight="1">
      <c r="A13241" s="199"/>
    </row>
    <row r="13242" spans="1:1" s="200" customFormat="1" ht="12" hidden="1" customHeight="1">
      <c r="A13242" s="199"/>
    </row>
    <row r="13243" spans="1:1" s="200" customFormat="1" ht="12" hidden="1" customHeight="1">
      <c r="A13243" s="199"/>
    </row>
    <row r="13244" spans="1:1" s="200" customFormat="1" ht="12" hidden="1" customHeight="1">
      <c r="A13244" s="199"/>
    </row>
    <row r="13245" spans="1:1" s="200" customFormat="1" ht="12" hidden="1" customHeight="1">
      <c r="A13245" s="199"/>
    </row>
    <row r="13246" spans="1:1" s="200" customFormat="1" ht="12" hidden="1" customHeight="1">
      <c r="A13246" s="199"/>
    </row>
    <row r="13247" spans="1:1" s="200" customFormat="1" ht="12" hidden="1" customHeight="1">
      <c r="A13247" s="199"/>
    </row>
    <row r="13248" spans="1:1" s="200" customFormat="1" ht="12" hidden="1" customHeight="1">
      <c r="A13248" s="199"/>
    </row>
    <row r="13249" spans="1:1" s="200" customFormat="1" ht="12" hidden="1" customHeight="1">
      <c r="A13249" s="199"/>
    </row>
    <row r="13250" spans="1:1" s="200" customFormat="1" ht="12" hidden="1" customHeight="1">
      <c r="A13250" s="199"/>
    </row>
    <row r="13251" spans="1:1" s="200" customFormat="1" ht="12" hidden="1" customHeight="1">
      <c r="A13251" s="199"/>
    </row>
    <row r="13252" spans="1:1" s="200" customFormat="1" ht="12" hidden="1" customHeight="1">
      <c r="A13252" s="199"/>
    </row>
    <row r="13253" spans="1:1" s="200" customFormat="1" ht="12" hidden="1" customHeight="1">
      <c r="A13253" s="199"/>
    </row>
    <row r="13254" spans="1:1" s="200" customFormat="1" ht="12" hidden="1" customHeight="1">
      <c r="A13254" s="199"/>
    </row>
    <row r="13255" spans="1:1" s="200" customFormat="1" ht="12" hidden="1" customHeight="1">
      <c r="A13255" s="199"/>
    </row>
    <row r="13256" spans="1:1" s="200" customFormat="1" ht="12" hidden="1" customHeight="1">
      <c r="A13256" s="199"/>
    </row>
    <row r="13257" spans="1:1" s="200" customFormat="1" ht="12" hidden="1" customHeight="1">
      <c r="A13257" s="199"/>
    </row>
    <row r="13258" spans="1:1" s="200" customFormat="1" ht="12" hidden="1" customHeight="1">
      <c r="A13258" s="199"/>
    </row>
    <row r="13259" spans="1:1" s="200" customFormat="1" ht="12" hidden="1" customHeight="1">
      <c r="A13259" s="199"/>
    </row>
    <row r="13260" spans="1:1" s="200" customFormat="1" ht="12" hidden="1" customHeight="1">
      <c r="A13260" s="199"/>
    </row>
    <row r="13261" spans="1:1" s="200" customFormat="1" ht="12" hidden="1" customHeight="1">
      <c r="A13261" s="199"/>
    </row>
    <row r="13262" spans="1:1" s="200" customFormat="1" ht="12" hidden="1" customHeight="1">
      <c r="A13262" s="199"/>
    </row>
    <row r="13263" spans="1:1" s="200" customFormat="1" ht="12" hidden="1" customHeight="1">
      <c r="A13263" s="199"/>
    </row>
    <row r="13264" spans="1:1" s="200" customFormat="1" ht="12" hidden="1" customHeight="1">
      <c r="A13264" s="199"/>
    </row>
    <row r="13265" spans="1:1" s="200" customFormat="1" ht="12" hidden="1" customHeight="1">
      <c r="A13265" s="199"/>
    </row>
    <row r="13266" spans="1:1" s="200" customFormat="1" ht="12" hidden="1" customHeight="1">
      <c r="A13266" s="199"/>
    </row>
    <row r="13267" spans="1:1" s="200" customFormat="1" ht="12" hidden="1" customHeight="1">
      <c r="A13267" s="199"/>
    </row>
    <row r="13268" spans="1:1" s="200" customFormat="1" ht="12" hidden="1" customHeight="1">
      <c r="A13268" s="199"/>
    </row>
    <row r="13269" spans="1:1" s="200" customFormat="1" ht="12" hidden="1" customHeight="1">
      <c r="A13269" s="199"/>
    </row>
    <row r="13270" spans="1:1" s="200" customFormat="1" ht="12" hidden="1" customHeight="1">
      <c r="A13270" s="199"/>
    </row>
    <row r="13271" spans="1:1" s="200" customFormat="1" ht="12" hidden="1" customHeight="1">
      <c r="A13271" s="199"/>
    </row>
    <row r="13272" spans="1:1" s="200" customFormat="1" ht="12" hidden="1" customHeight="1">
      <c r="A13272" s="199"/>
    </row>
    <row r="13273" spans="1:1" s="200" customFormat="1" ht="12" hidden="1" customHeight="1">
      <c r="A13273" s="199"/>
    </row>
    <row r="13274" spans="1:1" s="200" customFormat="1" ht="12" hidden="1" customHeight="1">
      <c r="A13274" s="199"/>
    </row>
    <row r="13275" spans="1:1" s="200" customFormat="1" ht="12" hidden="1" customHeight="1">
      <c r="A13275" s="199"/>
    </row>
    <row r="13276" spans="1:1" s="200" customFormat="1" ht="12" hidden="1" customHeight="1">
      <c r="A13276" s="199"/>
    </row>
    <row r="13277" spans="1:1" s="200" customFormat="1" ht="12" hidden="1" customHeight="1">
      <c r="A13277" s="199"/>
    </row>
    <row r="13278" spans="1:1" s="200" customFormat="1" ht="12" hidden="1" customHeight="1">
      <c r="A13278" s="199"/>
    </row>
    <row r="13279" spans="1:1" s="200" customFormat="1" ht="12" hidden="1" customHeight="1">
      <c r="A13279" s="199"/>
    </row>
    <row r="13280" spans="1:1" s="200" customFormat="1" ht="12" hidden="1" customHeight="1">
      <c r="A13280" s="199"/>
    </row>
    <row r="13281" spans="1:1" s="200" customFormat="1" ht="12" hidden="1" customHeight="1">
      <c r="A13281" s="199"/>
    </row>
    <row r="13282" spans="1:1" s="200" customFormat="1" ht="12" hidden="1" customHeight="1">
      <c r="A13282" s="199"/>
    </row>
    <row r="13283" spans="1:1" s="200" customFormat="1" ht="12" hidden="1" customHeight="1">
      <c r="A13283" s="199"/>
    </row>
    <row r="13284" spans="1:1" s="200" customFormat="1" ht="12" hidden="1" customHeight="1">
      <c r="A13284" s="199"/>
    </row>
    <row r="13285" spans="1:1" s="200" customFormat="1" ht="12" hidden="1" customHeight="1">
      <c r="A13285" s="199"/>
    </row>
    <row r="13286" spans="1:1" s="200" customFormat="1" ht="12" hidden="1" customHeight="1">
      <c r="A13286" s="199"/>
    </row>
    <row r="13287" spans="1:1" s="200" customFormat="1" ht="12" hidden="1" customHeight="1">
      <c r="A13287" s="199"/>
    </row>
    <row r="13288" spans="1:1" s="200" customFormat="1" ht="12" hidden="1" customHeight="1">
      <c r="A13288" s="199"/>
    </row>
    <row r="13289" spans="1:1" s="200" customFormat="1" ht="12" hidden="1" customHeight="1">
      <c r="A13289" s="199"/>
    </row>
    <row r="13290" spans="1:1" s="200" customFormat="1" ht="12" hidden="1" customHeight="1">
      <c r="A13290" s="199"/>
    </row>
    <row r="13291" spans="1:1" s="200" customFormat="1" ht="12" hidden="1" customHeight="1">
      <c r="A13291" s="199"/>
    </row>
    <row r="13292" spans="1:1" s="200" customFormat="1" ht="12" hidden="1" customHeight="1">
      <c r="A13292" s="199"/>
    </row>
    <row r="13293" spans="1:1" s="200" customFormat="1" ht="12" hidden="1" customHeight="1">
      <c r="A13293" s="199"/>
    </row>
    <row r="13294" spans="1:1" s="200" customFormat="1" ht="12" hidden="1" customHeight="1">
      <c r="A13294" s="199"/>
    </row>
    <row r="13295" spans="1:1" s="200" customFormat="1" ht="12" hidden="1" customHeight="1">
      <c r="A13295" s="199"/>
    </row>
    <row r="13296" spans="1:1" s="200" customFormat="1" ht="12" hidden="1" customHeight="1">
      <c r="A13296" s="199"/>
    </row>
    <row r="13297" spans="1:1" s="200" customFormat="1" ht="12" hidden="1" customHeight="1">
      <c r="A13297" s="199"/>
    </row>
    <row r="13298" spans="1:1" s="200" customFormat="1" ht="12" hidden="1" customHeight="1">
      <c r="A13298" s="199"/>
    </row>
    <row r="13299" spans="1:1" s="200" customFormat="1" ht="12" hidden="1" customHeight="1">
      <c r="A13299" s="199"/>
    </row>
    <row r="13300" spans="1:1" s="200" customFormat="1" ht="12" hidden="1" customHeight="1">
      <c r="A13300" s="199"/>
    </row>
    <row r="13301" spans="1:1" s="200" customFormat="1" ht="12" hidden="1" customHeight="1">
      <c r="A13301" s="199"/>
    </row>
    <row r="13302" spans="1:1" s="200" customFormat="1" ht="12" hidden="1" customHeight="1">
      <c r="A13302" s="199"/>
    </row>
    <row r="13303" spans="1:1" s="200" customFormat="1" ht="12" hidden="1" customHeight="1">
      <c r="A13303" s="199"/>
    </row>
    <row r="13304" spans="1:1" s="200" customFormat="1" ht="12" hidden="1" customHeight="1">
      <c r="A13304" s="199"/>
    </row>
    <row r="13305" spans="1:1" s="200" customFormat="1" ht="12" hidden="1" customHeight="1">
      <c r="A13305" s="199"/>
    </row>
    <row r="13306" spans="1:1" s="200" customFormat="1" ht="12" hidden="1" customHeight="1">
      <c r="A13306" s="199"/>
    </row>
    <row r="13307" spans="1:1" s="200" customFormat="1" ht="12" hidden="1" customHeight="1">
      <c r="A13307" s="199"/>
    </row>
    <row r="13308" spans="1:1" s="200" customFormat="1" ht="12" hidden="1" customHeight="1">
      <c r="A13308" s="199"/>
    </row>
    <row r="13309" spans="1:1" s="200" customFormat="1" ht="12" hidden="1" customHeight="1">
      <c r="A13309" s="199"/>
    </row>
    <row r="13310" spans="1:1" s="200" customFormat="1" ht="12" hidden="1" customHeight="1">
      <c r="A13310" s="199"/>
    </row>
    <row r="13311" spans="1:1" s="200" customFormat="1" ht="12" hidden="1" customHeight="1">
      <c r="A13311" s="199"/>
    </row>
    <row r="13312" spans="1:1" s="200" customFormat="1" ht="12" hidden="1" customHeight="1">
      <c r="A13312" s="199"/>
    </row>
    <row r="13313" spans="1:1" s="200" customFormat="1" ht="12" hidden="1" customHeight="1">
      <c r="A13313" s="199"/>
    </row>
    <row r="13314" spans="1:1" s="200" customFormat="1" ht="12" hidden="1" customHeight="1">
      <c r="A13314" s="199"/>
    </row>
    <row r="13315" spans="1:1" s="200" customFormat="1" ht="12" hidden="1" customHeight="1">
      <c r="A13315" s="199"/>
    </row>
    <row r="13316" spans="1:1" s="200" customFormat="1" ht="12" hidden="1" customHeight="1">
      <c r="A13316" s="199"/>
    </row>
    <row r="13317" spans="1:1" s="200" customFormat="1" ht="12" hidden="1" customHeight="1">
      <c r="A13317" s="199"/>
    </row>
    <row r="13318" spans="1:1" s="200" customFormat="1" ht="12" hidden="1" customHeight="1">
      <c r="A13318" s="199"/>
    </row>
    <row r="13319" spans="1:1" s="200" customFormat="1" ht="12" hidden="1" customHeight="1">
      <c r="A13319" s="199"/>
    </row>
    <row r="13320" spans="1:1" s="200" customFormat="1" ht="12" hidden="1" customHeight="1">
      <c r="A13320" s="199"/>
    </row>
    <row r="13321" spans="1:1" s="200" customFormat="1" ht="12" hidden="1" customHeight="1">
      <c r="A13321" s="199"/>
    </row>
    <row r="13322" spans="1:1" s="200" customFormat="1" ht="12" hidden="1" customHeight="1">
      <c r="A13322" s="199"/>
    </row>
    <row r="13323" spans="1:1" s="200" customFormat="1" ht="12" hidden="1" customHeight="1">
      <c r="A13323" s="199"/>
    </row>
    <row r="13324" spans="1:1" s="200" customFormat="1" ht="12" hidden="1" customHeight="1">
      <c r="A13324" s="199"/>
    </row>
    <row r="13325" spans="1:1" s="200" customFormat="1" ht="12" hidden="1" customHeight="1">
      <c r="A13325" s="199"/>
    </row>
    <row r="13326" spans="1:1" s="200" customFormat="1" ht="12" hidden="1" customHeight="1">
      <c r="A13326" s="199"/>
    </row>
    <row r="13327" spans="1:1" s="200" customFormat="1" ht="12" hidden="1" customHeight="1">
      <c r="A13327" s="199"/>
    </row>
    <row r="13328" spans="1:1" s="200" customFormat="1" ht="12" hidden="1" customHeight="1">
      <c r="A13328" s="199"/>
    </row>
    <row r="13329" spans="1:1" s="200" customFormat="1" ht="12" hidden="1" customHeight="1">
      <c r="A13329" s="199"/>
    </row>
    <row r="13330" spans="1:1" s="200" customFormat="1" ht="12" hidden="1" customHeight="1">
      <c r="A13330" s="199"/>
    </row>
    <row r="13331" spans="1:1" s="200" customFormat="1" ht="12" hidden="1" customHeight="1">
      <c r="A13331" s="199"/>
    </row>
    <row r="13332" spans="1:1" s="200" customFormat="1" ht="12" hidden="1" customHeight="1">
      <c r="A13332" s="199"/>
    </row>
    <row r="13333" spans="1:1" s="200" customFormat="1" ht="12" hidden="1" customHeight="1">
      <c r="A13333" s="199"/>
    </row>
    <row r="13334" spans="1:1" s="200" customFormat="1" ht="12" hidden="1" customHeight="1">
      <c r="A13334" s="199"/>
    </row>
    <row r="13335" spans="1:1" s="200" customFormat="1" ht="12" hidden="1" customHeight="1">
      <c r="A13335" s="199"/>
    </row>
    <row r="13336" spans="1:1" s="200" customFormat="1" ht="12" hidden="1" customHeight="1">
      <c r="A13336" s="199"/>
    </row>
    <row r="13337" spans="1:1" s="200" customFormat="1" ht="12" hidden="1" customHeight="1">
      <c r="A13337" s="199"/>
    </row>
    <row r="13338" spans="1:1" s="200" customFormat="1" ht="12" hidden="1" customHeight="1">
      <c r="A13338" s="199"/>
    </row>
    <row r="13339" spans="1:1" s="200" customFormat="1" ht="12" hidden="1" customHeight="1">
      <c r="A13339" s="199"/>
    </row>
    <row r="13340" spans="1:1" s="200" customFormat="1" ht="12" hidden="1" customHeight="1">
      <c r="A13340" s="199"/>
    </row>
    <row r="13341" spans="1:1" s="200" customFormat="1" ht="12" hidden="1" customHeight="1">
      <c r="A13341" s="199"/>
    </row>
    <row r="13342" spans="1:1" s="200" customFormat="1" ht="12" hidden="1" customHeight="1">
      <c r="A13342" s="199"/>
    </row>
    <row r="13343" spans="1:1" s="200" customFormat="1" ht="12" hidden="1" customHeight="1">
      <c r="A13343" s="199"/>
    </row>
    <row r="13344" spans="1:1" s="200" customFormat="1" ht="12" hidden="1" customHeight="1">
      <c r="A13344" s="199"/>
    </row>
    <row r="13345" spans="1:1" s="200" customFormat="1" ht="12" hidden="1" customHeight="1">
      <c r="A13345" s="199"/>
    </row>
    <row r="13346" spans="1:1" s="200" customFormat="1" ht="12" hidden="1" customHeight="1">
      <c r="A13346" s="199"/>
    </row>
    <row r="13347" spans="1:1" s="200" customFormat="1" ht="12" hidden="1" customHeight="1">
      <c r="A13347" s="199"/>
    </row>
    <row r="13348" spans="1:1" s="200" customFormat="1" ht="12" hidden="1" customHeight="1">
      <c r="A13348" s="199"/>
    </row>
    <row r="13349" spans="1:1" s="200" customFormat="1" ht="12" hidden="1" customHeight="1">
      <c r="A13349" s="199"/>
    </row>
    <row r="13350" spans="1:1" s="200" customFormat="1" ht="12" hidden="1" customHeight="1">
      <c r="A13350" s="199"/>
    </row>
    <row r="13351" spans="1:1" s="200" customFormat="1" ht="12" hidden="1" customHeight="1">
      <c r="A13351" s="199"/>
    </row>
    <row r="13352" spans="1:1" s="200" customFormat="1" ht="12" hidden="1" customHeight="1">
      <c r="A13352" s="199"/>
    </row>
    <row r="13353" spans="1:1" s="200" customFormat="1" ht="12" hidden="1" customHeight="1">
      <c r="A13353" s="199"/>
    </row>
    <row r="13354" spans="1:1" s="200" customFormat="1" ht="12" hidden="1" customHeight="1">
      <c r="A13354" s="199"/>
    </row>
    <row r="13355" spans="1:1" s="200" customFormat="1" ht="12" hidden="1" customHeight="1">
      <c r="A13355" s="199"/>
    </row>
    <row r="13356" spans="1:1" s="200" customFormat="1" ht="12" hidden="1" customHeight="1">
      <c r="A13356" s="199"/>
    </row>
    <row r="13357" spans="1:1" s="200" customFormat="1" ht="12" hidden="1" customHeight="1">
      <c r="A13357" s="199"/>
    </row>
    <row r="13358" spans="1:1" s="200" customFormat="1" ht="12" hidden="1" customHeight="1">
      <c r="A13358" s="199"/>
    </row>
    <row r="13359" spans="1:1" s="200" customFormat="1" ht="12" hidden="1" customHeight="1">
      <c r="A13359" s="199"/>
    </row>
    <row r="13360" spans="1:1" s="200" customFormat="1" ht="12" hidden="1" customHeight="1">
      <c r="A13360" s="199"/>
    </row>
    <row r="13361" spans="1:1" s="200" customFormat="1" ht="12" hidden="1" customHeight="1">
      <c r="A13361" s="199"/>
    </row>
    <row r="13362" spans="1:1" s="200" customFormat="1" ht="12" hidden="1" customHeight="1">
      <c r="A13362" s="199"/>
    </row>
    <row r="13363" spans="1:1" s="200" customFormat="1" ht="12" hidden="1" customHeight="1">
      <c r="A13363" s="199"/>
    </row>
    <row r="13364" spans="1:1" s="200" customFormat="1" ht="12" hidden="1" customHeight="1">
      <c r="A13364" s="199"/>
    </row>
    <row r="13365" spans="1:1" s="200" customFormat="1" ht="12" hidden="1" customHeight="1">
      <c r="A13365" s="199"/>
    </row>
    <row r="13366" spans="1:1" s="200" customFormat="1" ht="12" hidden="1" customHeight="1">
      <c r="A13366" s="199"/>
    </row>
    <row r="13367" spans="1:1" s="200" customFormat="1" ht="12" hidden="1" customHeight="1">
      <c r="A13367" s="199"/>
    </row>
    <row r="13368" spans="1:1" s="200" customFormat="1" ht="12" hidden="1" customHeight="1">
      <c r="A13368" s="199"/>
    </row>
    <row r="13369" spans="1:1" s="200" customFormat="1" ht="12" hidden="1" customHeight="1">
      <c r="A13369" s="199"/>
    </row>
    <row r="13370" spans="1:1" s="200" customFormat="1" ht="12" hidden="1" customHeight="1">
      <c r="A13370" s="199"/>
    </row>
    <row r="13371" spans="1:1" s="200" customFormat="1" ht="12" hidden="1" customHeight="1">
      <c r="A13371" s="199"/>
    </row>
    <row r="13372" spans="1:1" s="200" customFormat="1" ht="12" hidden="1" customHeight="1">
      <c r="A13372" s="199"/>
    </row>
    <row r="13373" spans="1:1" s="200" customFormat="1" ht="12" hidden="1" customHeight="1">
      <c r="A13373" s="199"/>
    </row>
    <row r="13374" spans="1:1" s="200" customFormat="1" ht="12" hidden="1" customHeight="1">
      <c r="A13374" s="199"/>
    </row>
    <row r="13375" spans="1:1" s="200" customFormat="1" ht="12" hidden="1" customHeight="1">
      <c r="A13375" s="199"/>
    </row>
    <row r="13376" spans="1:1" s="200" customFormat="1" ht="12" hidden="1" customHeight="1">
      <c r="A13376" s="199"/>
    </row>
    <row r="13377" spans="1:1" s="200" customFormat="1" ht="12" hidden="1" customHeight="1">
      <c r="A13377" s="199"/>
    </row>
    <row r="13378" spans="1:1" s="200" customFormat="1" ht="12" hidden="1" customHeight="1">
      <c r="A13378" s="199"/>
    </row>
    <row r="13379" spans="1:1" s="200" customFormat="1" ht="12" hidden="1" customHeight="1">
      <c r="A13379" s="199"/>
    </row>
    <row r="13380" spans="1:1" s="200" customFormat="1" ht="12" hidden="1" customHeight="1">
      <c r="A13380" s="199"/>
    </row>
    <row r="13381" spans="1:1" s="200" customFormat="1" ht="12" hidden="1" customHeight="1">
      <c r="A13381" s="199"/>
    </row>
    <row r="13382" spans="1:1" s="200" customFormat="1" ht="12" hidden="1" customHeight="1">
      <c r="A13382" s="199"/>
    </row>
    <row r="13383" spans="1:1" s="200" customFormat="1" ht="12" hidden="1" customHeight="1">
      <c r="A13383" s="199"/>
    </row>
    <row r="13384" spans="1:1" s="200" customFormat="1" ht="12" hidden="1" customHeight="1">
      <c r="A13384" s="199"/>
    </row>
    <row r="13385" spans="1:1" s="200" customFormat="1" ht="12" hidden="1" customHeight="1">
      <c r="A13385" s="199"/>
    </row>
    <row r="13386" spans="1:1" s="200" customFormat="1" ht="12" hidden="1" customHeight="1">
      <c r="A13386" s="199"/>
    </row>
    <row r="13387" spans="1:1" s="200" customFormat="1" ht="12" hidden="1" customHeight="1">
      <c r="A13387" s="199"/>
    </row>
    <row r="13388" spans="1:1" s="200" customFormat="1" ht="12" hidden="1" customHeight="1">
      <c r="A13388" s="199"/>
    </row>
    <row r="13389" spans="1:1" s="200" customFormat="1" ht="12" hidden="1" customHeight="1">
      <c r="A13389" s="199"/>
    </row>
    <row r="13390" spans="1:1" s="200" customFormat="1" ht="12" hidden="1" customHeight="1">
      <c r="A13390" s="199"/>
    </row>
    <row r="13391" spans="1:1" s="200" customFormat="1" ht="12" hidden="1" customHeight="1">
      <c r="A13391" s="199"/>
    </row>
    <row r="13392" spans="1:1" s="200" customFormat="1" ht="12" hidden="1" customHeight="1">
      <c r="A13392" s="199"/>
    </row>
    <row r="13393" spans="1:1" s="200" customFormat="1" ht="12" hidden="1" customHeight="1">
      <c r="A13393" s="199"/>
    </row>
    <row r="13394" spans="1:1" s="200" customFormat="1" ht="12" hidden="1" customHeight="1">
      <c r="A13394" s="199"/>
    </row>
    <row r="13395" spans="1:1" s="200" customFormat="1" ht="12" hidden="1" customHeight="1">
      <c r="A13395" s="199"/>
    </row>
    <row r="13396" spans="1:1" s="200" customFormat="1" ht="12" hidden="1" customHeight="1">
      <c r="A13396" s="199"/>
    </row>
    <row r="13397" spans="1:1" s="200" customFormat="1" ht="12" hidden="1" customHeight="1">
      <c r="A13397" s="199"/>
    </row>
    <row r="13398" spans="1:1" s="200" customFormat="1" ht="12" hidden="1" customHeight="1">
      <c r="A13398" s="199"/>
    </row>
    <row r="13399" spans="1:1" s="200" customFormat="1" ht="12" hidden="1" customHeight="1">
      <c r="A13399" s="199"/>
    </row>
    <row r="13400" spans="1:1" s="200" customFormat="1" ht="12" hidden="1" customHeight="1">
      <c r="A13400" s="199"/>
    </row>
    <row r="13401" spans="1:1" s="200" customFormat="1" ht="12" hidden="1" customHeight="1">
      <c r="A13401" s="199"/>
    </row>
    <row r="13402" spans="1:1" s="200" customFormat="1" ht="12" hidden="1" customHeight="1">
      <c r="A13402" s="199"/>
    </row>
    <row r="13403" spans="1:1" s="200" customFormat="1" ht="12" hidden="1" customHeight="1">
      <c r="A13403" s="199"/>
    </row>
    <row r="13404" spans="1:1" s="200" customFormat="1" ht="12" hidden="1" customHeight="1">
      <c r="A13404" s="199"/>
    </row>
    <row r="13405" spans="1:1" s="200" customFormat="1" ht="12" hidden="1" customHeight="1">
      <c r="A13405" s="199"/>
    </row>
    <row r="13406" spans="1:1" s="200" customFormat="1" ht="12" hidden="1" customHeight="1">
      <c r="A13406" s="199"/>
    </row>
    <row r="13407" spans="1:1" s="200" customFormat="1" ht="12" hidden="1" customHeight="1">
      <c r="A13407" s="199"/>
    </row>
    <row r="13408" spans="1:1" s="200" customFormat="1" ht="12" hidden="1" customHeight="1">
      <c r="A13408" s="199"/>
    </row>
    <row r="13409" spans="1:1" s="200" customFormat="1" ht="12" hidden="1" customHeight="1">
      <c r="A13409" s="199"/>
    </row>
    <row r="13410" spans="1:1" s="200" customFormat="1" ht="12" hidden="1" customHeight="1">
      <c r="A13410" s="199"/>
    </row>
    <row r="13411" spans="1:1" s="200" customFormat="1" ht="12" hidden="1" customHeight="1">
      <c r="A13411" s="199"/>
    </row>
    <row r="13412" spans="1:1" s="200" customFormat="1" ht="12" hidden="1" customHeight="1">
      <c r="A13412" s="199"/>
    </row>
    <row r="13413" spans="1:1" s="200" customFormat="1" ht="12" hidden="1" customHeight="1">
      <c r="A13413" s="199"/>
    </row>
    <row r="13414" spans="1:1" s="200" customFormat="1" ht="12" hidden="1" customHeight="1">
      <c r="A13414" s="199"/>
    </row>
    <row r="13415" spans="1:1" s="200" customFormat="1" ht="12" hidden="1" customHeight="1">
      <c r="A13415" s="199"/>
    </row>
    <row r="13416" spans="1:1" s="200" customFormat="1" ht="12" hidden="1" customHeight="1">
      <c r="A13416" s="199"/>
    </row>
    <row r="13417" spans="1:1" s="200" customFormat="1" ht="12" hidden="1" customHeight="1">
      <c r="A13417" s="199"/>
    </row>
    <row r="13418" spans="1:1" s="200" customFormat="1" ht="12" hidden="1" customHeight="1">
      <c r="A13418" s="199"/>
    </row>
    <row r="13419" spans="1:1" s="200" customFormat="1" ht="12" hidden="1" customHeight="1">
      <c r="A13419" s="199"/>
    </row>
    <row r="13420" spans="1:1" s="200" customFormat="1" ht="12" hidden="1" customHeight="1">
      <c r="A13420" s="199"/>
    </row>
    <row r="13421" spans="1:1" s="200" customFormat="1" ht="12" hidden="1" customHeight="1">
      <c r="A13421" s="199"/>
    </row>
    <row r="13422" spans="1:1" s="200" customFormat="1" ht="12" hidden="1" customHeight="1">
      <c r="A13422" s="199"/>
    </row>
    <row r="13423" spans="1:1" s="200" customFormat="1" ht="12" hidden="1" customHeight="1">
      <c r="A13423" s="199"/>
    </row>
    <row r="13424" spans="1:1" s="200" customFormat="1" ht="12" hidden="1" customHeight="1">
      <c r="A13424" s="199"/>
    </row>
    <row r="13425" spans="1:1" s="200" customFormat="1" ht="12" hidden="1" customHeight="1">
      <c r="A13425" s="199"/>
    </row>
    <row r="13426" spans="1:1" s="200" customFormat="1" ht="12" hidden="1" customHeight="1">
      <c r="A13426" s="199"/>
    </row>
    <row r="13427" spans="1:1" s="200" customFormat="1" ht="12" hidden="1" customHeight="1">
      <c r="A13427" s="199"/>
    </row>
    <row r="13428" spans="1:1" s="200" customFormat="1" ht="12" hidden="1" customHeight="1">
      <c r="A13428" s="199"/>
    </row>
    <row r="13429" spans="1:1" s="200" customFormat="1" ht="12" hidden="1" customHeight="1">
      <c r="A13429" s="199"/>
    </row>
    <row r="13430" spans="1:1" s="200" customFormat="1" ht="12" hidden="1" customHeight="1">
      <c r="A13430" s="199"/>
    </row>
    <row r="13431" spans="1:1" s="200" customFormat="1" ht="12" hidden="1" customHeight="1">
      <c r="A13431" s="199"/>
    </row>
    <row r="13432" spans="1:1" s="200" customFormat="1" ht="12" hidden="1" customHeight="1">
      <c r="A13432" s="199"/>
    </row>
    <row r="13433" spans="1:1" s="200" customFormat="1" ht="12" hidden="1" customHeight="1">
      <c r="A13433" s="199"/>
    </row>
    <row r="13434" spans="1:1" s="200" customFormat="1" ht="12" hidden="1" customHeight="1">
      <c r="A13434" s="199"/>
    </row>
    <row r="13435" spans="1:1" s="200" customFormat="1" ht="12" hidden="1" customHeight="1">
      <c r="A13435" s="199"/>
    </row>
    <row r="13436" spans="1:1" s="200" customFormat="1" ht="12" hidden="1" customHeight="1">
      <c r="A13436" s="199"/>
    </row>
    <row r="13437" spans="1:1" s="200" customFormat="1" ht="12" hidden="1" customHeight="1">
      <c r="A13437" s="199"/>
    </row>
    <row r="13438" spans="1:1" s="200" customFormat="1" ht="12" hidden="1" customHeight="1">
      <c r="A13438" s="199"/>
    </row>
    <row r="13439" spans="1:1" s="200" customFormat="1" ht="12" hidden="1" customHeight="1">
      <c r="A13439" s="199"/>
    </row>
    <row r="13440" spans="1:1" s="200" customFormat="1" ht="12" hidden="1" customHeight="1">
      <c r="A13440" s="199"/>
    </row>
    <row r="13441" spans="1:1" s="200" customFormat="1" ht="12" hidden="1" customHeight="1">
      <c r="A13441" s="199"/>
    </row>
    <row r="13442" spans="1:1" s="200" customFormat="1" ht="12" hidden="1" customHeight="1">
      <c r="A13442" s="199"/>
    </row>
    <row r="13443" spans="1:1" s="200" customFormat="1" ht="12" hidden="1" customHeight="1">
      <c r="A13443" s="199"/>
    </row>
    <row r="13444" spans="1:1" s="200" customFormat="1" ht="12" hidden="1" customHeight="1">
      <c r="A13444" s="199"/>
    </row>
    <row r="13445" spans="1:1" s="200" customFormat="1" ht="12" hidden="1" customHeight="1">
      <c r="A13445" s="199"/>
    </row>
    <row r="13446" spans="1:1" s="200" customFormat="1" ht="12" hidden="1" customHeight="1">
      <c r="A13446" s="199"/>
    </row>
    <row r="13447" spans="1:1" s="200" customFormat="1" ht="12" hidden="1" customHeight="1">
      <c r="A13447" s="199"/>
    </row>
    <row r="13448" spans="1:1" s="200" customFormat="1" ht="12" hidden="1" customHeight="1">
      <c r="A13448" s="199"/>
    </row>
    <row r="13449" spans="1:1" s="200" customFormat="1" ht="12" hidden="1" customHeight="1">
      <c r="A13449" s="199"/>
    </row>
    <row r="13450" spans="1:1" s="200" customFormat="1" ht="12" hidden="1" customHeight="1">
      <c r="A13450" s="199"/>
    </row>
    <row r="13451" spans="1:1" s="200" customFormat="1" ht="12" hidden="1" customHeight="1">
      <c r="A13451" s="199"/>
    </row>
    <row r="13452" spans="1:1" s="200" customFormat="1" ht="12" hidden="1" customHeight="1">
      <c r="A13452" s="199"/>
    </row>
    <row r="13453" spans="1:1" s="200" customFormat="1" ht="12" hidden="1" customHeight="1">
      <c r="A13453" s="199"/>
    </row>
    <row r="13454" spans="1:1" s="200" customFormat="1" ht="12" hidden="1" customHeight="1">
      <c r="A13454" s="199"/>
    </row>
    <row r="13455" spans="1:1" s="200" customFormat="1" ht="12" hidden="1" customHeight="1">
      <c r="A13455" s="199"/>
    </row>
    <row r="13456" spans="1:1" s="200" customFormat="1" ht="12" hidden="1" customHeight="1">
      <c r="A13456" s="199"/>
    </row>
    <row r="13457" spans="1:1" s="200" customFormat="1" ht="12" hidden="1" customHeight="1">
      <c r="A13457" s="199"/>
    </row>
    <row r="13458" spans="1:1" s="200" customFormat="1" ht="12" hidden="1" customHeight="1">
      <c r="A13458" s="199"/>
    </row>
    <row r="13459" spans="1:1" s="200" customFormat="1" ht="12" hidden="1" customHeight="1">
      <c r="A13459" s="199"/>
    </row>
    <row r="13460" spans="1:1" s="200" customFormat="1" ht="12" hidden="1" customHeight="1">
      <c r="A13460" s="199"/>
    </row>
    <row r="13461" spans="1:1" s="200" customFormat="1" ht="12" hidden="1" customHeight="1">
      <c r="A13461" s="199"/>
    </row>
    <row r="13462" spans="1:1" s="200" customFormat="1" ht="12" hidden="1" customHeight="1">
      <c r="A13462" s="199"/>
    </row>
    <row r="13463" spans="1:1" s="200" customFormat="1" ht="12" hidden="1" customHeight="1">
      <c r="A13463" s="199"/>
    </row>
    <row r="13464" spans="1:1" s="200" customFormat="1" ht="12" hidden="1" customHeight="1">
      <c r="A13464" s="199"/>
    </row>
    <row r="13465" spans="1:1" s="200" customFormat="1" ht="12" hidden="1" customHeight="1">
      <c r="A13465" s="199"/>
    </row>
    <row r="13466" spans="1:1" s="200" customFormat="1" ht="12" hidden="1" customHeight="1">
      <c r="A13466" s="199"/>
    </row>
    <row r="13467" spans="1:1" s="200" customFormat="1" ht="12" hidden="1" customHeight="1">
      <c r="A13467" s="199"/>
    </row>
    <row r="13468" spans="1:1" s="200" customFormat="1" ht="12" hidden="1" customHeight="1">
      <c r="A13468" s="199"/>
    </row>
    <row r="13469" spans="1:1" s="200" customFormat="1" ht="12" hidden="1" customHeight="1">
      <c r="A13469" s="199"/>
    </row>
    <row r="13470" spans="1:1" s="200" customFormat="1" ht="12" hidden="1" customHeight="1">
      <c r="A13470" s="199"/>
    </row>
    <row r="13471" spans="1:1" s="200" customFormat="1" ht="12" hidden="1" customHeight="1">
      <c r="A13471" s="199"/>
    </row>
    <row r="13472" spans="1:1" s="200" customFormat="1" ht="12" hidden="1" customHeight="1">
      <c r="A13472" s="199"/>
    </row>
    <row r="13473" spans="1:1" s="200" customFormat="1" ht="12" hidden="1" customHeight="1">
      <c r="A13473" s="199"/>
    </row>
    <row r="13474" spans="1:1" s="200" customFormat="1" ht="12" hidden="1" customHeight="1">
      <c r="A13474" s="199"/>
    </row>
    <row r="13475" spans="1:1" s="200" customFormat="1" ht="12" hidden="1" customHeight="1">
      <c r="A13475" s="199"/>
    </row>
    <row r="13476" spans="1:1" s="200" customFormat="1" ht="12" hidden="1" customHeight="1">
      <c r="A13476" s="199"/>
    </row>
    <row r="13477" spans="1:1" s="200" customFormat="1" ht="12" hidden="1" customHeight="1">
      <c r="A13477" s="199"/>
    </row>
    <row r="13478" spans="1:1" s="200" customFormat="1" ht="12" hidden="1" customHeight="1">
      <c r="A13478" s="199"/>
    </row>
    <row r="13479" spans="1:1" s="200" customFormat="1" ht="12" hidden="1" customHeight="1">
      <c r="A13479" s="199"/>
    </row>
    <row r="13480" spans="1:1" s="200" customFormat="1" ht="12" hidden="1" customHeight="1">
      <c r="A13480" s="199"/>
    </row>
    <row r="13481" spans="1:1" s="200" customFormat="1" ht="12" hidden="1" customHeight="1">
      <c r="A13481" s="199"/>
    </row>
    <row r="13482" spans="1:1" s="200" customFormat="1" ht="12" hidden="1" customHeight="1">
      <c r="A13482" s="199"/>
    </row>
    <row r="13483" spans="1:1" s="200" customFormat="1" ht="12" hidden="1" customHeight="1">
      <c r="A13483" s="199"/>
    </row>
    <row r="13484" spans="1:1" s="200" customFormat="1" ht="12" hidden="1" customHeight="1">
      <c r="A13484" s="199"/>
    </row>
    <row r="13485" spans="1:1" s="200" customFormat="1" ht="12" hidden="1" customHeight="1">
      <c r="A13485" s="199"/>
    </row>
    <row r="13486" spans="1:1" s="200" customFormat="1" ht="12" hidden="1" customHeight="1">
      <c r="A13486" s="199"/>
    </row>
    <row r="13487" spans="1:1" s="200" customFormat="1" ht="12" hidden="1" customHeight="1">
      <c r="A13487" s="199"/>
    </row>
    <row r="13488" spans="1:1" s="200" customFormat="1" ht="12" hidden="1" customHeight="1">
      <c r="A13488" s="199"/>
    </row>
    <row r="13489" spans="1:1" s="200" customFormat="1" ht="12" hidden="1" customHeight="1">
      <c r="A13489" s="199"/>
    </row>
    <row r="13490" spans="1:1" s="200" customFormat="1" ht="12" hidden="1" customHeight="1">
      <c r="A13490" s="199"/>
    </row>
    <row r="13491" spans="1:1" s="200" customFormat="1" ht="12" hidden="1" customHeight="1">
      <c r="A13491" s="199"/>
    </row>
    <row r="13492" spans="1:1" s="200" customFormat="1" ht="12" hidden="1" customHeight="1">
      <c r="A13492" s="199"/>
    </row>
    <row r="13493" spans="1:1" s="200" customFormat="1" ht="12" hidden="1" customHeight="1">
      <c r="A13493" s="199"/>
    </row>
    <row r="13494" spans="1:1" s="200" customFormat="1" ht="12" hidden="1" customHeight="1">
      <c r="A13494" s="199"/>
    </row>
    <row r="13495" spans="1:1" s="200" customFormat="1" ht="12" hidden="1" customHeight="1">
      <c r="A13495" s="199"/>
    </row>
    <row r="13496" spans="1:1" s="200" customFormat="1" ht="12" hidden="1" customHeight="1">
      <c r="A13496" s="199"/>
    </row>
    <row r="13497" spans="1:1" s="200" customFormat="1" ht="12" hidden="1" customHeight="1">
      <c r="A13497" s="199"/>
    </row>
    <row r="13498" spans="1:1" s="200" customFormat="1" ht="12" hidden="1" customHeight="1">
      <c r="A13498" s="199"/>
    </row>
    <row r="13499" spans="1:1" s="200" customFormat="1" ht="12" hidden="1" customHeight="1">
      <c r="A13499" s="199"/>
    </row>
    <row r="13500" spans="1:1" s="200" customFormat="1" ht="12" hidden="1" customHeight="1">
      <c r="A13500" s="199"/>
    </row>
    <row r="13501" spans="1:1" s="200" customFormat="1" ht="12" hidden="1" customHeight="1">
      <c r="A13501" s="199"/>
    </row>
    <row r="13502" spans="1:1" s="200" customFormat="1" ht="12" hidden="1" customHeight="1">
      <c r="A13502" s="199"/>
    </row>
    <row r="13503" spans="1:1" s="200" customFormat="1" ht="12" hidden="1" customHeight="1">
      <c r="A13503" s="199"/>
    </row>
    <row r="13504" spans="1:1" s="200" customFormat="1" ht="12" hidden="1" customHeight="1">
      <c r="A13504" s="199"/>
    </row>
    <row r="13505" spans="1:1" s="200" customFormat="1" ht="12" hidden="1" customHeight="1">
      <c r="A13505" s="199"/>
    </row>
    <row r="13506" spans="1:1" s="200" customFormat="1" ht="12" hidden="1" customHeight="1">
      <c r="A13506" s="199"/>
    </row>
    <row r="13507" spans="1:1" s="200" customFormat="1" ht="12" hidden="1" customHeight="1">
      <c r="A13507" s="199"/>
    </row>
    <row r="13508" spans="1:1" s="200" customFormat="1" ht="12" hidden="1" customHeight="1">
      <c r="A13508" s="199"/>
    </row>
    <row r="13509" spans="1:1" s="200" customFormat="1" ht="12" hidden="1" customHeight="1">
      <c r="A13509" s="199"/>
    </row>
    <row r="13510" spans="1:1" s="200" customFormat="1" ht="12" hidden="1" customHeight="1">
      <c r="A13510" s="199"/>
    </row>
    <row r="13511" spans="1:1" s="200" customFormat="1" ht="12" hidden="1" customHeight="1">
      <c r="A13511" s="199"/>
    </row>
    <row r="13512" spans="1:1" s="200" customFormat="1" ht="12" hidden="1" customHeight="1">
      <c r="A13512" s="199"/>
    </row>
    <row r="13513" spans="1:1" s="200" customFormat="1" ht="12" hidden="1" customHeight="1">
      <c r="A13513" s="199"/>
    </row>
    <row r="13514" spans="1:1" s="200" customFormat="1" ht="12" hidden="1" customHeight="1">
      <c r="A13514" s="199"/>
    </row>
    <row r="13515" spans="1:1" s="200" customFormat="1" ht="12" hidden="1" customHeight="1">
      <c r="A13515" s="199"/>
    </row>
    <row r="13516" spans="1:1" s="200" customFormat="1" ht="12" hidden="1" customHeight="1">
      <c r="A13516" s="199"/>
    </row>
    <row r="13517" spans="1:1" s="200" customFormat="1" ht="12" hidden="1" customHeight="1">
      <c r="A13517" s="199"/>
    </row>
    <row r="13518" spans="1:1" s="200" customFormat="1" ht="12" hidden="1" customHeight="1">
      <c r="A13518" s="199"/>
    </row>
    <row r="13519" spans="1:1" s="200" customFormat="1" ht="12" hidden="1" customHeight="1">
      <c r="A13519" s="199"/>
    </row>
    <row r="13520" spans="1:1" s="200" customFormat="1" ht="12" hidden="1" customHeight="1">
      <c r="A13520" s="199"/>
    </row>
    <row r="13521" spans="1:1" s="200" customFormat="1" ht="12" hidden="1" customHeight="1">
      <c r="A13521" s="199"/>
    </row>
    <row r="13522" spans="1:1" s="200" customFormat="1" ht="12" hidden="1" customHeight="1">
      <c r="A13522" s="199"/>
    </row>
    <row r="13523" spans="1:1" s="200" customFormat="1" ht="12" hidden="1" customHeight="1">
      <c r="A13523" s="199"/>
    </row>
    <row r="13524" spans="1:1" s="200" customFormat="1" ht="12" hidden="1" customHeight="1">
      <c r="A13524" s="199"/>
    </row>
    <row r="13525" spans="1:1" s="200" customFormat="1" ht="12" hidden="1" customHeight="1">
      <c r="A13525" s="199"/>
    </row>
    <row r="13526" spans="1:1" s="200" customFormat="1" ht="12" hidden="1" customHeight="1">
      <c r="A13526" s="199"/>
    </row>
    <row r="13527" spans="1:1" s="200" customFormat="1" ht="12" hidden="1" customHeight="1">
      <c r="A13527" s="199"/>
    </row>
    <row r="13528" spans="1:1" s="200" customFormat="1" ht="12" hidden="1" customHeight="1">
      <c r="A13528" s="199"/>
    </row>
    <row r="13529" spans="1:1" s="200" customFormat="1" ht="12" hidden="1" customHeight="1">
      <c r="A13529" s="199"/>
    </row>
    <row r="13530" spans="1:1" s="200" customFormat="1" ht="12" hidden="1" customHeight="1">
      <c r="A13530" s="199"/>
    </row>
    <row r="13531" spans="1:1" s="200" customFormat="1" ht="12" hidden="1" customHeight="1">
      <c r="A13531" s="199"/>
    </row>
    <row r="13532" spans="1:1" s="200" customFormat="1" ht="12" hidden="1" customHeight="1">
      <c r="A13532" s="199"/>
    </row>
    <row r="13533" spans="1:1" s="200" customFormat="1" ht="12" hidden="1" customHeight="1">
      <c r="A13533" s="199"/>
    </row>
    <row r="13534" spans="1:1" s="200" customFormat="1" ht="12" hidden="1" customHeight="1">
      <c r="A13534" s="199"/>
    </row>
    <row r="13535" spans="1:1" s="200" customFormat="1" ht="12" hidden="1" customHeight="1">
      <c r="A13535" s="199"/>
    </row>
    <row r="13536" spans="1:1" s="200" customFormat="1" ht="12" hidden="1" customHeight="1">
      <c r="A13536" s="199"/>
    </row>
    <row r="13537" spans="1:1" s="200" customFormat="1" ht="12" hidden="1" customHeight="1">
      <c r="A13537" s="199"/>
    </row>
    <row r="13538" spans="1:1" s="200" customFormat="1" ht="12" hidden="1" customHeight="1">
      <c r="A13538" s="199"/>
    </row>
    <row r="13539" spans="1:1" s="200" customFormat="1" ht="12" hidden="1" customHeight="1">
      <c r="A13539" s="199"/>
    </row>
    <row r="13540" spans="1:1" s="200" customFormat="1" ht="12" hidden="1" customHeight="1">
      <c r="A13540" s="199"/>
    </row>
    <row r="13541" spans="1:1" s="200" customFormat="1" ht="12" hidden="1" customHeight="1">
      <c r="A13541" s="199"/>
    </row>
    <row r="13542" spans="1:1" s="200" customFormat="1" ht="12" hidden="1" customHeight="1">
      <c r="A13542" s="199"/>
    </row>
    <row r="13543" spans="1:1" s="200" customFormat="1" ht="12" hidden="1" customHeight="1">
      <c r="A13543" s="199"/>
    </row>
    <row r="13544" spans="1:1" s="200" customFormat="1" ht="12" hidden="1" customHeight="1">
      <c r="A13544" s="199"/>
    </row>
    <row r="13545" spans="1:1" s="200" customFormat="1" ht="12" hidden="1" customHeight="1">
      <c r="A13545" s="199"/>
    </row>
    <row r="13546" spans="1:1" s="200" customFormat="1" ht="12" hidden="1" customHeight="1">
      <c r="A13546" s="199"/>
    </row>
    <row r="13547" spans="1:1" s="200" customFormat="1" ht="12" hidden="1" customHeight="1">
      <c r="A13547" s="199"/>
    </row>
    <row r="13548" spans="1:1" s="200" customFormat="1" ht="12" hidden="1" customHeight="1">
      <c r="A13548" s="199"/>
    </row>
    <row r="13549" spans="1:1" s="200" customFormat="1" ht="12" hidden="1" customHeight="1">
      <c r="A13549" s="199"/>
    </row>
    <row r="13550" spans="1:1" s="200" customFormat="1" ht="12" hidden="1" customHeight="1">
      <c r="A13550" s="199"/>
    </row>
    <row r="13551" spans="1:1" s="200" customFormat="1" ht="12" hidden="1" customHeight="1">
      <c r="A13551" s="199"/>
    </row>
    <row r="13552" spans="1:1" s="200" customFormat="1" ht="12" hidden="1" customHeight="1">
      <c r="A13552" s="199"/>
    </row>
    <row r="13553" spans="1:1" s="200" customFormat="1" ht="12" hidden="1" customHeight="1">
      <c r="A13553" s="199"/>
    </row>
    <row r="13554" spans="1:1" s="200" customFormat="1" ht="12" hidden="1" customHeight="1">
      <c r="A13554" s="199"/>
    </row>
    <row r="13555" spans="1:1" s="200" customFormat="1" ht="12" hidden="1" customHeight="1">
      <c r="A13555" s="199"/>
    </row>
    <row r="13556" spans="1:1" s="200" customFormat="1" ht="12" hidden="1" customHeight="1">
      <c r="A13556" s="199"/>
    </row>
    <row r="13557" spans="1:1" s="200" customFormat="1" ht="12" hidden="1" customHeight="1">
      <c r="A13557" s="199"/>
    </row>
    <row r="13558" spans="1:1" s="200" customFormat="1" ht="12" hidden="1" customHeight="1">
      <c r="A13558" s="199"/>
    </row>
    <row r="13559" spans="1:1" s="200" customFormat="1" ht="12" hidden="1" customHeight="1">
      <c r="A13559" s="199"/>
    </row>
    <row r="13560" spans="1:1" s="200" customFormat="1" ht="12" hidden="1" customHeight="1">
      <c r="A13560" s="199"/>
    </row>
    <row r="13561" spans="1:1" s="200" customFormat="1" ht="12" hidden="1" customHeight="1">
      <c r="A13561" s="199"/>
    </row>
    <row r="13562" spans="1:1" s="200" customFormat="1" ht="12" hidden="1" customHeight="1">
      <c r="A13562" s="199"/>
    </row>
    <row r="13563" spans="1:1" s="200" customFormat="1" ht="12" hidden="1" customHeight="1">
      <c r="A13563" s="199"/>
    </row>
    <row r="13564" spans="1:1" s="200" customFormat="1" ht="12" hidden="1" customHeight="1">
      <c r="A13564" s="199"/>
    </row>
    <row r="13565" spans="1:1" s="200" customFormat="1" ht="12" hidden="1" customHeight="1">
      <c r="A13565" s="199"/>
    </row>
    <row r="13566" spans="1:1" s="200" customFormat="1" ht="12" hidden="1" customHeight="1">
      <c r="A13566" s="199"/>
    </row>
    <row r="13567" spans="1:1" s="200" customFormat="1" ht="12" hidden="1" customHeight="1">
      <c r="A13567" s="199"/>
    </row>
    <row r="13568" spans="1:1" s="200" customFormat="1" ht="12" hidden="1" customHeight="1">
      <c r="A13568" s="199"/>
    </row>
    <row r="13569" spans="1:1" s="200" customFormat="1" ht="12" hidden="1" customHeight="1">
      <c r="A13569" s="199"/>
    </row>
    <row r="13570" spans="1:1" s="200" customFormat="1" ht="12" hidden="1" customHeight="1">
      <c r="A13570" s="199"/>
    </row>
    <row r="13571" spans="1:1" s="200" customFormat="1" ht="12" hidden="1" customHeight="1">
      <c r="A13571" s="199"/>
    </row>
    <row r="13572" spans="1:1" s="200" customFormat="1" ht="12" hidden="1" customHeight="1">
      <c r="A13572" s="199"/>
    </row>
    <row r="13573" spans="1:1" s="200" customFormat="1" ht="12" hidden="1" customHeight="1">
      <c r="A13573" s="199"/>
    </row>
    <row r="13574" spans="1:1" s="200" customFormat="1" ht="12" hidden="1" customHeight="1">
      <c r="A13574" s="199"/>
    </row>
    <row r="13575" spans="1:1" s="200" customFormat="1" ht="12" hidden="1" customHeight="1">
      <c r="A13575" s="199"/>
    </row>
    <row r="13576" spans="1:1" s="200" customFormat="1" ht="12" hidden="1" customHeight="1">
      <c r="A13576" s="199"/>
    </row>
    <row r="13577" spans="1:1" s="200" customFormat="1" ht="12" hidden="1" customHeight="1">
      <c r="A13577" s="199"/>
    </row>
    <row r="13578" spans="1:1" s="200" customFormat="1" ht="12" hidden="1" customHeight="1">
      <c r="A13578" s="199"/>
    </row>
    <row r="13579" spans="1:1" s="200" customFormat="1" ht="12" hidden="1" customHeight="1">
      <c r="A13579" s="199"/>
    </row>
    <row r="13580" spans="1:1" s="200" customFormat="1" ht="12" hidden="1" customHeight="1">
      <c r="A13580" s="199"/>
    </row>
    <row r="13581" spans="1:1" s="200" customFormat="1" ht="12" hidden="1" customHeight="1">
      <c r="A13581" s="199"/>
    </row>
    <row r="13582" spans="1:1" s="200" customFormat="1" ht="12" hidden="1" customHeight="1">
      <c r="A13582" s="199"/>
    </row>
    <row r="13583" spans="1:1" s="200" customFormat="1" ht="12" hidden="1" customHeight="1">
      <c r="A13583" s="199"/>
    </row>
    <row r="13584" spans="1:1" s="200" customFormat="1" ht="12" hidden="1" customHeight="1">
      <c r="A13584" s="199"/>
    </row>
    <row r="13585" spans="1:1" s="200" customFormat="1" ht="12" hidden="1" customHeight="1">
      <c r="A13585" s="199"/>
    </row>
    <row r="13586" spans="1:1" s="200" customFormat="1" ht="12" hidden="1" customHeight="1">
      <c r="A13586" s="199"/>
    </row>
    <row r="13587" spans="1:1" s="200" customFormat="1" ht="12" hidden="1" customHeight="1">
      <c r="A13587" s="199"/>
    </row>
    <row r="13588" spans="1:1" s="200" customFormat="1" ht="12" hidden="1" customHeight="1">
      <c r="A13588" s="199"/>
    </row>
    <row r="13589" spans="1:1" s="200" customFormat="1" ht="12" hidden="1" customHeight="1">
      <c r="A13589" s="199"/>
    </row>
    <row r="13590" spans="1:1" s="200" customFormat="1" ht="12" hidden="1" customHeight="1">
      <c r="A13590" s="199"/>
    </row>
    <row r="13591" spans="1:1" s="200" customFormat="1" ht="12" hidden="1" customHeight="1">
      <c r="A13591" s="199"/>
    </row>
    <row r="13592" spans="1:1" s="200" customFormat="1" ht="12" hidden="1" customHeight="1">
      <c r="A13592" s="199"/>
    </row>
    <row r="13593" spans="1:1" s="200" customFormat="1" ht="12" hidden="1" customHeight="1">
      <c r="A13593" s="199"/>
    </row>
    <row r="13594" spans="1:1" s="200" customFormat="1" ht="12" hidden="1" customHeight="1">
      <c r="A13594" s="199"/>
    </row>
    <row r="13595" spans="1:1" s="200" customFormat="1" ht="12" hidden="1" customHeight="1">
      <c r="A13595" s="199"/>
    </row>
    <row r="13596" spans="1:1" s="200" customFormat="1" ht="12" hidden="1" customHeight="1">
      <c r="A13596" s="199"/>
    </row>
    <row r="13597" spans="1:1" s="200" customFormat="1" ht="12" hidden="1" customHeight="1">
      <c r="A13597" s="199"/>
    </row>
    <row r="13598" spans="1:1" s="200" customFormat="1" ht="12" hidden="1" customHeight="1">
      <c r="A13598" s="199"/>
    </row>
    <row r="13599" spans="1:1" s="200" customFormat="1" ht="12" hidden="1" customHeight="1">
      <c r="A13599" s="199"/>
    </row>
    <row r="13600" spans="1:1" s="200" customFormat="1" ht="12" hidden="1" customHeight="1">
      <c r="A13600" s="199"/>
    </row>
    <row r="13601" spans="1:1" s="200" customFormat="1" ht="12" hidden="1" customHeight="1">
      <c r="A13601" s="199"/>
    </row>
    <row r="13602" spans="1:1" s="200" customFormat="1" ht="12" hidden="1" customHeight="1">
      <c r="A13602" s="199"/>
    </row>
    <row r="13603" spans="1:1" s="200" customFormat="1" ht="12" hidden="1" customHeight="1">
      <c r="A13603" s="199"/>
    </row>
    <row r="13604" spans="1:1" s="200" customFormat="1" ht="12" hidden="1" customHeight="1">
      <c r="A13604" s="199"/>
    </row>
    <row r="13605" spans="1:1" s="200" customFormat="1" ht="12" hidden="1" customHeight="1">
      <c r="A13605" s="199"/>
    </row>
    <row r="13606" spans="1:1" s="200" customFormat="1" ht="12" hidden="1" customHeight="1">
      <c r="A13606" s="199"/>
    </row>
    <row r="13607" spans="1:1" s="200" customFormat="1" ht="12" hidden="1" customHeight="1">
      <c r="A13607" s="199"/>
    </row>
    <row r="13608" spans="1:1" s="200" customFormat="1" ht="12" hidden="1" customHeight="1">
      <c r="A13608" s="199"/>
    </row>
    <row r="13609" spans="1:1" s="200" customFormat="1" ht="12" hidden="1" customHeight="1">
      <c r="A13609" s="199"/>
    </row>
    <row r="13610" spans="1:1" s="200" customFormat="1" ht="12" hidden="1" customHeight="1">
      <c r="A13610" s="199"/>
    </row>
    <row r="13611" spans="1:1" s="200" customFormat="1" ht="12" hidden="1" customHeight="1">
      <c r="A13611" s="199"/>
    </row>
    <row r="13612" spans="1:1" s="200" customFormat="1" ht="12" hidden="1" customHeight="1">
      <c r="A13612" s="199"/>
    </row>
    <row r="13613" spans="1:1" s="200" customFormat="1" ht="12" hidden="1" customHeight="1">
      <c r="A13613" s="199"/>
    </row>
    <row r="13614" spans="1:1" s="200" customFormat="1" ht="12" hidden="1" customHeight="1">
      <c r="A13614" s="199"/>
    </row>
    <row r="13615" spans="1:1" s="200" customFormat="1" ht="12" hidden="1" customHeight="1">
      <c r="A13615" s="199"/>
    </row>
    <row r="13616" spans="1:1" s="200" customFormat="1" ht="12" hidden="1" customHeight="1">
      <c r="A13616" s="199"/>
    </row>
    <row r="13617" spans="1:1" s="200" customFormat="1" ht="12" hidden="1" customHeight="1">
      <c r="A13617" s="199"/>
    </row>
    <row r="13618" spans="1:1" s="200" customFormat="1" ht="12" hidden="1" customHeight="1">
      <c r="A13618" s="199"/>
    </row>
    <row r="13619" spans="1:1" s="200" customFormat="1" ht="12" hidden="1" customHeight="1">
      <c r="A13619" s="199"/>
    </row>
    <row r="13620" spans="1:1" s="200" customFormat="1" ht="12" hidden="1" customHeight="1">
      <c r="A13620" s="199"/>
    </row>
    <row r="13621" spans="1:1" s="200" customFormat="1" ht="12" hidden="1" customHeight="1">
      <c r="A13621" s="199"/>
    </row>
    <row r="13622" spans="1:1" s="200" customFormat="1" ht="12" hidden="1" customHeight="1">
      <c r="A13622" s="199"/>
    </row>
    <row r="13623" spans="1:1" s="200" customFormat="1" ht="12" hidden="1" customHeight="1">
      <c r="A13623" s="199"/>
    </row>
    <row r="13624" spans="1:1" s="200" customFormat="1" ht="12" hidden="1" customHeight="1">
      <c r="A13624" s="199"/>
    </row>
    <row r="13625" spans="1:1" s="200" customFormat="1" ht="12" hidden="1" customHeight="1">
      <c r="A13625" s="199"/>
    </row>
    <row r="13626" spans="1:1" s="200" customFormat="1" ht="12" hidden="1" customHeight="1">
      <c r="A13626" s="199"/>
    </row>
    <row r="13627" spans="1:1" s="200" customFormat="1" ht="12" hidden="1" customHeight="1">
      <c r="A13627" s="199"/>
    </row>
    <row r="13628" spans="1:1" s="200" customFormat="1" ht="12" hidden="1" customHeight="1">
      <c r="A13628" s="199"/>
    </row>
    <row r="13629" spans="1:1" s="200" customFormat="1" ht="12" hidden="1" customHeight="1">
      <c r="A13629" s="199"/>
    </row>
    <row r="13630" spans="1:1" s="200" customFormat="1" ht="12" hidden="1" customHeight="1">
      <c r="A13630" s="199"/>
    </row>
    <row r="13631" spans="1:1" s="200" customFormat="1" ht="12" hidden="1" customHeight="1">
      <c r="A13631" s="199"/>
    </row>
    <row r="13632" spans="1:1" s="200" customFormat="1" ht="12" hidden="1" customHeight="1">
      <c r="A13632" s="199"/>
    </row>
    <row r="13633" spans="1:1" s="200" customFormat="1" ht="12" hidden="1" customHeight="1">
      <c r="A13633" s="199"/>
    </row>
    <row r="13634" spans="1:1" s="200" customFormat="1" ht="12" hidden="1" customHeight="1">
      <c r="A13634" s="199"/>
    </row>
    <row r="13635" spans="1:1" s="200" customFormat="1" ht="12" hidden="1" customHeight="1">
      <c r="A13635" s="199"/>
    </row>
    <row r="13636" spans="1:1" s="200" customFormat="1" ht="12" hidden="1" customHeight="1">
      <c r="A13636" s="199"/>
    </row>
    <row r="13637" spans="1:1" s="200" customFormat="1" ht="12" hidden="1" customHeight="1">
      <c r="A13637" s="199"/>
    </row>
    <row r="13638" spans="1:1" s="200" customFormat="1" ht="12" hidden="1" customHeight="1">
      <c r="A13638" s="199"/>
    </row>
    <row r="13639" spans="1:1" s="200" customFormat="1" ht="12" hidden="1" customHeight="1">
      <c r="A13639" s="199"/>
    </row>
    <row r="13640" spans="1:1" s="200" customFormat="1" ht="12" hidden="1" customHeight="1">
      <c r="A13640" s="199"/>
    </row>
    <row r="13641" spans="1:1" s="200" customFormat="1" ht="12" hidden="1" customHeight="1">
      <c r="A13641" s="199"/>
    </row>
    <row r="13642" spans="1:1" s="200" customFormat="1" ht="12" hidden="1" customHeight="1">
      <c r="A13642" s="199"/>
    </row>
    <row r="13643" spans="1:1" s="200" customFormat="1" ht="12" hidden="1" customHeight="1">
      <c r="A13643" s="199"/>
    </row>
    <row r="13644" spans="1:1" s="200" customFormat="1" ht="12" hidden="1" customHeight="1">
      <c r="A13644" s="199"/>
    </row>
    <row r="13645" spans="1:1" s="200" customFormat="1" ht="12" hidden="1" customHeight="1">
      <c r="A13645" s="199"/>
    </row>
    <row r="13646" spans="1:1" s="200" customFormat="1" ht="12" hidden="1" customHeight="1">
      <c r="A13646" s="199"/>
    </row>
    <row r="13647" spans="1:1" s="200" customFormat="1" ht="12" hidden="1" customHeight="1">
      <c r="A13647" s="199"/>
    </row>
    <row r="13648" spans="1:1" s="200" customFormat="1" ht="12" hidden="1" customHeight="1">
      <c r="A13648" s="199"/>
    </row>
    <row r="13649" spans="1:1" s="200" customFormat="1" ht="12" hidden="1" customHeight="1">
      <c r="A13649" s="199"/>
    </row>
    <row r="13650" spans="1:1" s="200" customFormat="1" ht="12" hidden="1" customHeight="1">
      <c r="A13650" s="199"/>
    </row>
    <row r="13651" spans="1:1" s="200" customFormat="1" ht="12" hidden="1" customHeight="1">
      <c r="A13651" s="199"/>
    </row>
    <row r="13652" spans="1:1" s="200" customFormat="1" ht="12" hidden="1" customHeight="1">
      <c r="A13652" s="199"/>
    </row>
    <row r="13653" spans="1:1" s="200" customFormat="1" ht="12" hidden="1" customHeight="1">
      <c r="A13653" s="199"/>
    </row>
    <row r="13654" spans="1:1" s="200" customFormat="1" ht="12" hidden="1" customHeight="1">
      <c r="A13654" s="199"/>
    </row>
    <row r="13655" spans="1:1" s="200" customFormat="1" ht="12" hidden="1" customHeight="1">
      <c r="A13655" s="199"/>
    </row>
    <row r="13656" spans="1:1" s="200" customFormat="1" ht="12" hidden="1" customHeight="1">
      <c r="A13656" s="199"/>
    </row>
    <row r="13657" spans="1:1" s="200" customFormat="1" ht="12" hidden="1" customHeight="1">
      <c r="A13657" s="199"/>
    </row>
    <row r="13658" spans="1:1" s="200" customFormat="1" ht="12" hidden="1" customHeight="1">
      <c r="A13658" s="199"/>
    </row>
    <row r="13659" spans="1:1" s="200" customFormat="1" ht="12" hidden="1" customHeight="1">
      <c r="A13659" s="199"/>
    </row>
    <row r="13660" spans="1:1" s="200" customFormat="1" ht="12" hidden="1" customHeight="1">
      <c r="A13660" s="199"/>
    </row>
    <row r="13661" spans="1:1" s="200" customFormat="1" ht="12" hidden="1" customHeight="1">
      <c r="A13661" s="199"/>
    </row>
    <row r="13662" spans="1:1" s="200" customFormat="1" ht="12" hidden="1" customHeight="1">
      <c r="A13662" s="199"/>
    </row>
    <row r="13663" spans="1:1" s="200" customFormat="1" ht="12" hidden="1" customHeight="1">
      <c r="A13663" s="199"/>
    </row>
    <row r="13664" spans="1:1" s="200" customFormat="1" ht="12" hidden="1" customHeight="1">
      <c r="A13664" s="199"/>
    </row>
    <row r="13665" spans="1:1" s="200" customFormat="1" ht="12" hidden="1" customHeight="1">
      <c r="A13665" s="199"/>
    </row>
    <row r="13666" spans="1:1" s="200" customFormat="1" ht="12" hidden="1" customHeight="1">
      <c r="A13666" s="199"/>
    </row>
    <row r="13667" spans="1:1" s="200" customFormat="1" ht="12" hidden="1" customHeight="1">
      <c r="A13667" s="199"/>
    </row>
    <row r="13668" spans="1:1" s="200" customFormat="1" ht="12" hidden="1" customHeight="1">
      <c r="A13668" s="199"/>
    </row>
    <row r="13669" spans="1:1" s="200" customFormat="1" ht="12" hidden="1" customHeight="1">
      <c r="A13669" s="199"/>
    </row>
    <row r="13670" spans="1:1" s="200" customFormat="1" ht="12" hidden="1" customHeight="1">
      <c r="A13670" s="199"/>
    </row>
    <row r="13671" spans="1:1" s="200" customFormat="1" ht="12" hidden="1" customHeight="1">
      <c r="A13671" s="199"/>
    </row>
    <row r="13672" spans="1:1" s="200" customFormat="1" ht="12" hidden="1" customHeight="1">
      <c r="A13672" s="199"/>
    </row>
    <row r="13673" spans="1:1" s="200" customFormat="1" ht="12" hidden="1" customHeight="1">
      <c r="A13673" s="199"/>
    </row>
    <row r="13674" spans="1:1" s="200" customFormat="1" ht="12" hidden="1" customHeight="1">
      <c r="A13674" s="199"/>
    </row>
    <row r="13675" spans="1:1" s="200" customFormat="1" ht="12" hidden="1" customHeight="1">
      <c r="A13675" s="199"/>
    </row>
    <row r="13676" spans="1:1" s="200" customFormat="1" ht="12" hidden="1" customHeight="1">
      <c r="A13676" s="199"/>
    </row>
    <row r="13677" spans="1:1" s="200" customFormat="1" ht="12" hidden="1" customHeight="1">
      <c r="A13677" s="199"/>
    </row>
    <row r="13678" spans="1:1" s="200" customFormat="1" ht="12" hidden="1" customHeight="1">
      <c r="A13678" s="199"/>
    </row>
    <row r="13679" spans="1:1" s="200" customFormat="1" ht="12" hidden="1" customHeight="1">
      <c r="A13679" s="199"/>
    </row>
    <row r="13680" spans="1:1" s="200" customFormat="1" ht="12" hidden="1" customHeight="1">
      <c r="A13680" s="199"/>
    </row>
    <row r="13681" spans="1:1" s="200" customFormat="1" ht="12" hidden="1" customHeight="1">
      <c r="A13681" s="199"/>
    </row>
    <row r="13682" spans="1:1" s="200" customFormat="1" ht="12" hidden="1" customHeight="1">
      <c r="A13682" s="199"/>
    </row>
    <row r="13683" spans="1:1" s="200" customFormat="1" ht="12" hidden="1" customHeight="1">
      <c r="A13683" s="199"/>
    </row>
    <row r="13684" spans="1:1" s="200" customFormat="1" ht="12" hidden="1" customHeight="1">
      <c r="A13684" s="199"/>
    </row>
    <row r="13685" spans="1:1" s="200" customFormat="1" ht="12" hidden="1" customHeight="1">
      <c r="A13685" s="199"/>
    </row>
    <row r="13686" spans="1:1" s="200" customFormat="1" ht="12" hidden="1" customHeight="1">
      <c r="A13686" s="199"/>
    </row>
    <row r="13687" spans="1:1" s="200" customFormat="1" ht="12" hidden="1" customHeight="1">
      <c r="A13687" s="199"/>
    </row>
    <row r="13688" spans="1:1" s="200" customFormat="1" ht="12" hidden="1" customHeight="1">
      <c r="A13688" s="199"/>
    </row>
    <row r="13689" spans="1:1" s="200" customFormat="1" ht="12" hidden="1" customHeight="1">
      <c r="A13689" s="199"/>
    </row>
    <row r="13690" spans="1:1" s="200" customFormat="1" ht="12" hidden="1" customHeight="1">
      <c r="A13690" s="199"/>
    </row>
    <row r="13691" spans="1:1" s="200" customFormat="1" ht="12" hidden="1" customHeight="1">
      <c r="A13691" s="199"/>
    </row>
    <row r="13692" spans="1:1" s="200" customFormat="1" ht="12" hidden="1" customHeight="1">
      <c r="A13692" s="199"/>
    </row>
    <row r="13693" spans="1:1" s="200" customFormat="1" ht="12" hidden="1" customHeight="1">
      <c r="A13693" s="199"/>
    </row>
    <row r="13694" spans="1:1" s="200" customFormat="1" ht="12" hidden="1" customHeight="1">
      <c r="A13694" s="199"/>
    </row>
    <row r="13695" spans="1:1" s="200" customFormat="1" ht="12" hidden="1" customHeight="1">
      <c r="A13695" s="199"/>
    </row>
    <row r="13696" spans="1:1" s="200" customFormat="1" ht="12" hidden="1" customHeight="1">
      <c r="A13696" s="199"/>
    </row>
    <row r="13697" spans="1:1" s="200" customFormat="1" ht="12" hidden="1" customHeight="1">
      <c r="A13697" s="199"/>
    </row>
    <row r="13698" spans="1:1" s="200" customFormat="1" ht="12" hidden="1" customHeight="1">
      <c r="A13698" s="199"/>
    </row>
    <row r="13699" spans="1:1" s="200" customFormat="1" ht="12" hidden="1" customHeight="1">
      <c r="A13699" s="199"/>
    </row>
    <row r="13700" spans="1:1" s="200" customFormat="1" ht="12" hidden="1" customHeight="1">
      <c r="A13700" s="199"/>
    </row>
    <row r="13701" spans="1:1" s="200" customFormat="1" ht="12" hidden="1" customHeight="1">
      <c r="A13701" s="199"/>
    </row>
    <row r="13702" spans="1:1" s="200" customFormat="1" ht="12" hidden="1" customHeight="1">
      <c r="A13702" s="199"/>
    </row>
    <row r="13703" spans="1:1" s="200" customFormat="1" ht="12" hidden="1" customHeight="1">
      <c r="A13703" s="199"/>
    </row>
    <row r="13704" spans="1:1" s="200" customFormat="1" ht="12" hidden="1" customHeight="1">
      <c r="A13704" s="199"/>
    </row>
    <row r="13705" spans="1:1" s="200" customFormat="1" ht="12" hidden="1" customHeight="1">
      <c r="A13705" s="199"/>
    </row>
    <row r="13706" spans="1:1" s="200" customFormat="1" ht="12" hidden="1" customHeight="1">
      <c r="A13706" s="199"/>
    </row>
    <row r="13707" spans="1:1" s="200" customFormat="1" ht="12" hidden="1" customHeight="1">
      <c r="A13707" s="199"/>
    </row>
    <row r="13708" spans="1:1" s="200" customFormat="1" ht="12" hidden="1" customHeight="1">
      <c r="A13708" s="199"/>
    </row>
    <row r="13709" spans="1:1" s="200" customFormat="1" ht="12" hidden="1" customHeight="1">
      <c r="A13709" s="199"/>
    </row>
    <row r="13710" spans="1:1" s="200" customFormat="1" ht="12" hidden="1" customHeight="1">
      <c r="A13710" s="199"/>
    </row>
    <row r="13711" spans="1:1" s="200" customFormat="1" ht="12" hidden="1" customHeight="1">
      <c r="A13711" s="199"/>
    </row>
    <row r="13712" spans="1:1" s="200" customFormat="1" ht="12" hidden="1" customHeight="1">
      <c r="A13712" s="199"/>
    </row>
    <row r="13713" spans="1:1" s="200" customFormat="1" ht="12" hidden="1" customHeight="1">
      <c r="A13713" s="199"/>
    </row>
    <row r="13714" spans="1:1" s="200" customFormat="1" ht="12" hidden="1" customHeight="1">
      <c r="A13714" s="199"/>
    </row>
    <row r="13715" spans="1:1" s="200" customFormat="1" ht="12" hidden="1" customHeight="1">
      <c r="A13715" s="199"/>
    </row>
    <row r="13716" spans="1:1" s="200" customFormat="1" ht="12" hidden="1" customHeight="1">
      <c r="A13716" s="199"/>
    </row>
    <row r="13717" spans="1:1" s="200" customFormat="1" ht="12" hidden="1" customHeight="1">
      <c r="A13717" s="199"/>
    </row>
    <row r="13718" spans="1:1" s="200" customFormat="1" ht="12" hidden="1" customHeight="1">
      <c r="A13718" s="199"/>
    </row>
    <row r="13719" spans="1:1" s="200" customFormat="1" ht="12" hidden="1" customHeight="1">
      <c r="A13719" s="199"/>
    </row>
    <row r="13720" spans="1:1" s="200" customFormat="1" ht="12" hidden="1" customHeight="1">
      <c r="A13720" s="199"/>
    </row>
    <row r="13721" spans="1:1" s="200" customFormat="1" ht="12" hidden="1" customHeight="1">
      <c r="A13721" s="199"/>
    </row>
    <row r="13722" spans="1:1" s="200" customFormat="1" ht="12" hidden="1" customHeight="1">
      <c r="A13722" s="199"/>
    </row>
    <row r="13723" spans="1:1" s="200" customFormat="1" ht="12" hidden="1" customHeight="1">
      <c r="A13723" s="199"/>
    </row>
    <row r="13724" spans="1:1" s="200" customFormat="1" ht="12" hidden="1" customHeight="1">
      <c r="A13724" s="199"/>
    </row>
    <row r="13725" spans="1:1" s="200" customFormat="1" ht="12" hidden="1" customHeight="1">
      <c r="A13725" s="199"/>
    </row>
    <row r="13726" spans="1:1" s="200" customFormat="1" ht="12" hidden="1" customHeight="1">
      <c r="A13726" s="199"/>
    </row>
    <row r="13727" spans="1:1" s="200" customFormat="1" ht="12" hidden="1" customHeight="1">
      <c r="A13727" s="199"/>
    </row>
    <row r="13728" spans="1:1" s="200" customFormat="1" ht="12" hidden="1" customHeight="1">
      <c r="A13728" s="199"/>
    </row>
    <row r="13729" spans="1:1" s="200" customFormat="1" ht="12" hidden="1" customHeight="1">
      <c r="A13729" s="199"/>
    </row>
    <row r="13730" spans="1:1" s="200" customFormat="1" ht="12" hidden="1" customHeight="1">
      <c r="A13730" s="199"/>
    </row>
    <row r="13731" spans="1:1" s="200" customFormat="1" ht="12" hidden="1" customHeight="1">
      <c r="A13731" s="199"/>
    </row>
    <row r="13732" spans="1:1" s="200" customFormat="1" ht="12" hidden="1" customHeight="1">
      <c r="A13732" s="199"/>
    </row>
    <row r="13733" spans="1:1" s="200" customFormat="1" ht="12" hidden="1" customHeight="1">
      <c r="A13733" s="199"/>
    </row>
    <row r="13734" spans="1:1" s="200" customFormat="1" ht="12" hidden="1" customHeight="1">
      <c r="A13734" s="199"/>
    </row>
    <row r="13735" spans="1:1" s="200" customFormat="1" ht="12" hidden="1" customHeight="1">
      <c r="A13735" s="199"/>
    </row>
    <row r="13736" spans="1:1" s="200" customFormat="1" ht="12" hidden="1" customHeight="1">
      <c r="A13736" s="199"/>
    </row>
    <row r="13737" spans="1:1" s="200" customFormat="1" ht="12" hidden="1" customHeight="1">
      <c r="A13737" s="199"/>
    </row>
    <row r="13738" spans="1:1" s="200" customFormat="1" ht="12" hidden="1" customHeight="1">
      <c r="A13738" s="199"/>
    </row>
    <row r="13739" spans="1:1" s="200" customFormat="1" ht="12" hidden="1" customHeight="1">
      <c r="A13739" s="199"/>
    </row>
    <row r="13740" spans="1:1" s="200" customFormat="1" ht="12" hidden="1" customHeight="1">
      <c r="A13740" s="199"/>
    </row>
    <row r="13741" spans="1:1" s="200" customFormat="1" ht="12" hidden="1" customHeight="1">
      <c r="A13741" s="199"/>
    </row>
    <row r="13742" spans="1:1" s="200" customFormat="1" ht="12" hidden="1" customHeight="1">
      <c r="A13742" s="199"/>
    </row>
    <row r="13743" spans="1:1" s="200" customFormat="1" ht="12" hidden="1" customHeight="1">
      <c r="A13743" s="199"/>
    </row>
    <row r="13744" spans="1:1" s="200" customFormat="1" ht="12" hidden="1" customHeight="1">
      <c r="A13744" s="199"/>
    </row>
    <row r="13745" spans="1:1" s="200" customFormat="1" ht="12" hidden="1" customHeight="1">
      <c r="A13745" s="199"/>
    </row>
    <row r="13746" spans="1:1" s="200" customFormat="1" ht="12" hidden="1" customHeight="1">
      <c r="A13746" s="199"/>
    </row>
    <row r="13747" spans="1:1" s="200" customFormat="1" ht="12" hidden="1" customHeight="1">
      <c r="A13747" s="199"/>
    </row>
    <row r="13748" spans="1:1" s="200" customFormat="1" ht="12" hidden="1" customHeight="1">
      <c r="A13748" s="199"/>
    </row>
    <row r="13749" spans="1:1" s="200" customFormat="1" ht="12" hidden="1" customHeight="1">
      <c r="A13749" s="199"/>
    </row>
    <row r="13750" spans="1:1" s="200" customFormat="1" ht="12" hidden="1" customHeight="1">
      <c r="A13750" s="199"/>
    </row>
    <row r="13751" spans="1:1" s="200" customFormat="1" ht="12" hidden="1" customHeight="1">
      <c r="A13751" s="199"/>
    </row>
    <row r="13752" spans="1:1" s="200" customFormat="1" ht="12" hidden="1" customHeight="1">
      <c r="A13752" s="199"/>
    </row>
    <row r="13753" spans="1:1" s="200" customFormat="1" ht="12" hidden="1" customHeight="1">
      <c r="A13753" s="199"/>
    </row>
    <row r="13754" spans="1:1" s="200" customFormat="1" ht="12" hidden="1" customHeight="1">
      <c r="A13754" s="199"/>
    </row>
    <row r="13755" spans="1:1" s="200" customFormat="1" ht="12" hidden="1" customHeight="1">
      <c r="A13755" s="199"/>
    </row>
    <row r="13756" spans="1:1" s="200" customFormat="1" ht="12" hidden="1" customHeight="1">
      <c r="A13756" s="199"/>
    </row>
    <row r="13757" spans="1:1" s="200" customFormat="1" ht="12" hidden="1" customHeight="1">
      <c r="A13757" s="199"/>
    </row>
    <row r="13758" spans="1:1" s="200" customFormat="1" ht="12" hidden="1" customHeight="1">
      <c r="A13758" s="199"/>
    </row>
    <row r="13759" spans="1:1" s="200" customFormat="1" ht="12" hidden="1" customHeight="1">
      <c r="A13759" s="199"/>
    </row>
    <row r="13760" spans="1:1" s="200" customFormat="1" ht="12" hidden="1" customHeight="1">
      <c r="A13760" s="199"/>
    </row>
    <row r="13761" spans="1:1" s="200" customFormat="1" ht="12" hidden="1" customHeight="1">
      <c r="A13761" s="199"/>
    </row>
    <row r="13762" spans="1:1" s="200" customFormat="1" ht="12" hidden="1" customHeight="1">
      <c r="A13762" s="199"/>
    </row>
    <row r="13763" spans="1:1" s="200" customFormat="1" ht="12" hidden="1" customHeight="1">
      <c r="A13763" s="199"/>
    </row>
    <row r="13764" spans="1:1" s="200" customFormat="1" ht="12" hidden="1" customHeight="1">
      <c r="A13764" s="199"/>
    </row>
    <row r="13765" spans="1:1" s="200" customFormat="1" ht="12" hidden="1" customHeight="1">
      <c r="A13765" s="199"/>
    </row>
    <row r="13766" spans="1:1" s="200" customFormat="1" ht="12" hidden="1" customHeight="1">
      <c r="A13766" s="199"/>
    </row>
    <row r="13767" spans="1:1" s="200" customFormat="1" ht="12" hidden="1" customHeight="1">
      <c r="A13767" s="199"/>
    </row>
    <row r="13768" spans="1:1" s="200" customFormat="1" ht="12" hidden="1" customHeight="1">
      <c r="A13768" s="199"/>
    </row>
    <row r="13769" spans="1:1" s="200" customFormat="1" ht="12" hidden="1" customHeight="1">
      <c r="A13769" s="199"/>
    </row>
    <row r="13770" spans="1:1" s="200" customFormat="1" ht="12" hidden="1" customHeight="1">
      <c r="A13770" s="199"/>
    </row>
    <row r="13771" spans="1:1" s="200" customFormat="1" ht="12" hidden="1" customHeight="1">
      <c r="A13771" s="199"/>
    </row>
    <row r="13772" spans="1:1" s="200" customFormat="1" ht="12" hidden="1" customHeight="1">
      <c r="A13772" s="199"/>
    </row>
    <row r="13773" spans="1:1" s="200" customFormat="1" ht="12" hidden="1" customHeight="1">
      <c r="A13773" s="199"/>
    </row>
    <row r="13774" spans="1:1" s="200" customFormat="1" ht="12" hidden="1" customHeight="1">
      <c r="A13774" s="199"/>
    </row>
    <row r="13775" spans="1:1" s="200" customFormat="1" ht="12" hidden="1" customHeight="1">
      <c r="A13775" s="199"/>
    </row>
    <row r="13776" spans="1:1" s="200" customFormat="1" ht="12" hidden="1" customHeight="1">
      <c r="A13776" s="199"/>
    </row>
    <row r="13777" spans="1:1" s="200" customFormat="1" ht="12" hidden="1" customHeight="1">
      <c r="A13777" s="199"/>
    </row>
    <row r="13778" spans="1:1" s="200" customFormat="1" ht="12" hidden="1" customHeight="1">
      <c r="A13778" s="199"/>
    </row>
    <row r="13779" spans="1:1" s="200" customFormat="1" ht="12" hidden="1" customHeight="1">
      <c r="A13779" s="199"/>
    </row>
    <row r="13780" spans="1:1" s="200" customFormat="1" ht="12" hidden="1" customHeight="1">
      <c r="A13780" s="199"/>
    </row>
    <row r="13781" spans="1:1" s="200" customFormat="1" ht="12" hidden="1" customHeight="1">
      <c r="A13781" s="199"/>
    </row>
    <row r="13782" spans="1:1" s="200" customFormat="1" ht="12" hidden="1" customHeight="1">
      <c r="A13782" s="199"/>
    </row>
    <row r="13783" spans="1:1" s="200" customFormat="1" ht="12" hidden="1" customHeight="1">
      <c r="A13783" s="199"/>
    </row>
    <row r="13784" spans="1:1" s="200" customFormat="1" ht="12" hidden="1" customHeight="1">
      <c r="A13784" s="199"/>
    </row>
    <row r="13785" spans="1:1" s="200" customFormat="1" ht="12" hidden="1" customHeight="1">
      <c r="A13785" s="199"/>
    </row>
    <row r="13786" spans="1:1" s="200" customFormat="1" ht="12" hidden="1" customHeight="1">
      <c r="A13786" s="199"/>
    </row>
    <row r="13787" spans="1:1" s="200" customFormat="1" ht="12" hidden="1" customHeight="1">
      <c r="A13787" s="199"/>
    </row>
    <row r="13788" spans="1:1" s="200" customFormat="1" ht="12" hidden="1" customHeight="1">
      <c r="A13788" s="199"/>
    </row>
    <row r="13789" spans="1:1" s="200" customFormat="1" ht="12" hidden="1" customHeight="1">
      <c r="A13789" s="199"/>
    </row>
    <row r="13790" spans="1:1" s="200" customFormat="1" ht="12" hidden="1" customHeight="1">
      <c r="A13790" s="199"/>
    </row>
    <row r="13791" spans="1:1" s="200" customFormat="1" ht="12" hidden="1" customHeight="1">
      <c r="A13791" s="199"/>
    </row>
    <row r="13792" spans="1:1" s="200" customFormat="1" ht="12" hidden="1" customHeight="1">
      <c r="A13792" s="199"/>
    </row>
    <row r="13793" spans="1:1" s="200" customFormat="1" ht="12" hidden="1" customHeight="1">
      <c r="A13793" s="199"/>
    </row>
    <row r="13794" spans="1:1" s="200" customFormat="1" ht="12" hidden="1" customHeight="1">
      <c r="A13794" s="199"/>
    </row>
    <row r="13795" spans="1:1" s="200" customFormat="1" ht="12" hidden="1" customHeight="1">
      <c r="A13795" s="199"/>
    </row>
    <row r="13796" spans="1:1" s="200" customFormat="1" ht="12" hidden="1" customHeight="1">
      <c r="A13796" s="199"/>
    </row>
    <row r="13797" spans="1:1" s="200" customFormat="1" ht="12" hidden="1" customHeight="1">
      <c r="A13797" s="199"/>
    </row>
    <row r="13798" spans="1:1" s="200" customFormat="1" ht="12" hidden="1" customHeight="1">
      <c r="A13798" s="199"/>
    </row>
    <row r="13799" spans="1:1" s="200" customFormat="1" ht="12" hidden="1" customHeight="1">
      <c r="A13799" s="199"/>
    </row>
    <row r="13800" spans="1:1" s="200" customFormat="1" ht="12" hidden="1" customHeight="1">
      <c r="A13800" s="199"/>
    </row>
    <row r="13801" spans="1:1" s="200" customFormat="1" ht="12" hidden="1" customHeight="1">
      <c r="A13801" s="199"/>
    </row>
    <row r="13802" spans="1:1" s="200" customFormat="1" ht="12" hidden="1" customHeight="1">
      <c r="A13802" s="199"/>
    </row>
    <row r="13803" spans="1:1" s="200" customFormat="1" ht="12" hidden="1" customHeight="1">
      <c r="A13803" s="199"/>
    </row>
    <row r="13804" spans="1:1" s="200" customFormat="1" ht="12" hidden="1" customHeight="1">
      <c r="A13804" s="199"/>
    </row>
    <row r="13805" spans="1:1" s="200" customFormat="1" ht="12" hidden="1" customHeight="1">
      <c r="A13805" s="199"/>
    </row>
    <row r="13806" spans="1:1" s="200" customFormat="1" ht="12" hidden="1" customHeight="1">
      <c r="A13806" s="199"/>
    </row>
    <row r="13807" spans="1:1" s="200" customFormat="1" ht="12" hidden="1" customHeight="1">
      <c r="A13807" s="199"/>
    </row>
    <row r="13808" spans="1:1" s="200" customFormat="1" ht="12" hidden="1" customHeight="1">
      <c r="A13808" s="199"/>
    </row>
    <row r="13809" spans="1:1" s="200" customFormat="1" ht="12" hidden="1" customHeight="1">
      <c r="A13809" s="199"/>
    </row>
    <row r="13810" spans="1:1" s="200" customFormat="1" ht="12" hidden="1" customHeight="1">
      <c r="A13810" s="199"/>
    </row>
    <row r="13811" spans="1:1" s="200" customFormat="1" ht="12" hidden="1" customHeight="1">
      <c r="A13811" s="199"/>
    </row>
    <row r="13812" spans="1:1" s="200" customFormat="1" ht="12" hidden="1" customHeight="1">
      <c r="A13812" s="199"/>
    </row>
    <row r="13813" spans="1:1" s="200" customFormat="1" ht="12" hidden="1" customHeight="1">
      <c r="A13813" s="199"/>
    </row>
    <row r="13814" spans="1:1" s="200" customFormat="1" ht="12" hidden="1" customHeight="1">
      <c r="A13814" s="199"/>
    </row>
    <row r="13815" spans="1:1" s="200" customFormat="1" ht="12" hidden="1" customHeight="1">
      <c r="A13815" s="199"/>
    </row>
    <row r="13816" spans="1:1" s="200" customFormat="1" ht="12" hidden="1" customHeight="1">
      <c r="A13816" s="199"/>
    </row>
    <row r="13817" spans="1:1" s="200" customFormat="1" ht="12" hidden="1" customHeight="1">
      <c r="A13817" s="199"/>
    </row>
    <row r="13818" spans="1:1" s="200" customFormat="1" ht="12" hidden="1" customHeight="1">
      <c r="A13818" s="199"/>
    </row>
    <row r="13819" spans="1:1" s="200" customFormat="1" ht="12" hidden="1" customHeight="1">
      <c r="A13819" s="199"/>
    </row>
    <row r="13820" spans="1:1" s="200" customFormat="1" ht="12" hidden="1" customHeight="1">
      <c r="A13820" s="199"/>
    </row>
    <row r="13821" spans="1:1" s="200" customFormat="1" ht="12" hidden="1" customHeight="1">
      <c r="A13821" s="199"/>
    </row>
    <row r="13822" spans="1:1" s="200" customFormat="1" ht="12" hidden="1" customHeight="1">
      <c r="A13822" s="199"/>
    </row>
    <row r="13823" spans="1:1" s="200" customFormat="1" ht="12" hidden="1" customHeight="1">
      <c r="A13823" s="199"/>
    </row>
    <row r="13824" spans="1:1" s="200" customFormat="1" ht="12" hidden="1" customHeight="1">
      <c r="A13824" s="199"/>
    </row>
    <row r="13825" spans="1:1" s="200" customFormat="1" ht="12" hidden="1" customHeight="1">
      <c r="A13825" s="199"/>
    </row>
    <row r="13826" spans="1:1" s="200" customFormat="1" ht="12" hidden="1" customHeight="1">
      <c r="A13826" s="199"/>
    </row>
    <row r="13827" spans="1:1" s="200" customFormat="1" ht="12" hidden="1" customHeight="1">
      <c r="A13827" s="199"/>
    </row>
    <row r="13828" spans="1:1" s="200" customFormat="1" ht="12" hidden="1" customHeight="1">
      <c r="A13828" s="199"/>
    </row>
    <row r="13829" spans="1:1" s="200" customFormat="1" ht="12" hidden="1" customHeight="1">
      <c r="A13829" s="199"/>
    </row>
    <row r="13830" spans="1:1" s="200" customFormat="1" ht="12" hidden="1" customHeight="1">
      <c r="A13830" s="199"/>
    </row>
    <row r="13831" spans="1:1" s="200" customFormat="1" ht="12" hidden="1" customHeight="1">
      <c r="A13831" s="199"/>
    </row>
    <row r="13832" spans="1:1" s="200" customFormat="1" ht="12" hidden="1" customHeight="1">
      <c r="A13832" s="199"/>
    </row>
    <row r="13833" spans="1:1" s="200" customFormat="1" ht="12" hidden="1" customHeight="1">
      <c r="A13833" s="199"/>
    </row>
    <row r="13834" spans="1:1" s="200" customFormat="1" ht="12" hidden="1" customHeight="1">
      <c r="A13834" s="199"/>
    </row>
    <row r="13835" spans="1:1" s="200" customFormat="1" ht="12" hidden="1" customHeight="1">
      <c r="A13835" s="199"/>
    </row>
    <row r="13836" spans="1:1" s="200" customFormat="1" ht="12" hidden="1" customHeight="1">
      <c r="A13836" s="199"/>
    </row>
    <row r="13837" spans="1:1" s="200" customFormat="1" ht="12" hidden="1" customHeight="1">
      <c r="A13837" s="199"/>
    </row>
    <row r="13838" spans="1:1" s="200" customFormat="1" ht="12" hidden="1" customHeight="1">
      <c r="A13838" s="199"/>
    </row>
    <row r="13839" spans="1:1" s="200" customFormat="1" ht="12" hidden="1" customHeight="1">
      <c r="A13839" s="199"/>
    </row>
    <row r="13840" spans="1:1" s="200" customFormat="1" ht="12" hidden="1" customHeight="1">
      <c r="A13840" s="199"/>
    </row>
    <row r="13841" spans="1:1" s="200" customFormat="1" ht="12" hidden="1" customHeight="1">
      <c r="A13841" s="199"/>
    </row>
    <row r="13842" spans="1:1" s="200" customFormat="1" ht="12" hidden="1" customHeight="1">
      <c r="A13842" s="199"/>
    </row>
    <row r="13843" spans="1:1" s="200" customFormat="1" ht="12" hidden="1" customHeight="1">
      <c r="A13843" s="199"/>
    </row>
    <row r="13844" spans="1:1" s="200" customFormat="1" ht="12" hidden="1" customHeight="1">
      <c r="A13844" s="199"/>
    </row>
    <row r="13845" spans="1:1" s="200" customFormat="1" ht="12" hidden="1" customHeight="1">
      <c r="A13845" s="199"/>
    </row>
    <row r="13846" spans="1:1" s="200" customFormat="1" ht="12" hidden="1" customHeight="1">
      <c r="A13846" s="199"/>
    </row>
    <row r="13847" spans="1:1" s="200" customFormat="1" ht="12" hidden="1" customHeight="1">
      <c r="A13847" s="199"/>
    </row>
    <row r="13848" spans="1:1" s="200" customFormat="1" ht="12" hidden="1" customHeight="1">
      <c r="A13848" s="199"/>
    </row>
    <row r="13849" spans="1:1" s="200" customFormat="1" ht="12" hidden="1" customHeight="1">
      <c r="A13849" s="199"/>
    </row>
    <row r="13850" spans="1:1" s="200" customFormat="1" ht="12" hidden="1" customHeight="1">
      <c r="A13850" s="199"/>
    </row>
    <row r="13851" spans="1:1" s="200" customFormat="1" ht="12" hidden="1" customHeight="1">
      <c r="A13851" s="199"/>
    </row>
    <row r="13852" spans="1:1" s="200" customFormat="1" ht="12" hidden="1" customHeight="1">
      <c r="A13852" s="199"/>
    </row>
    <row r="13853" spans="1:1" s="200" customFormat="1" ht="12" hidden="1" customHeight="1">
      <c r="A13853" s="199"/>
    </row>
    <row r="13854" spans="1:1" s="200" customFormat="1" ht="12" hidden="1" customHeight="1">
      <c r="A13854" s="199"/>
    </row>
    <row r="13855" spans="1:1" s="200" customFormat="1" ht="12" hidden="1" customHeight="1">
      <c r="A13855" s="199"/>
    </row>
    <row r="13856" spans="1:1" s="200" customFormat="1" ht="12" hidden="1" customHeight="1">
      <c r="A13856" s="199"/>
    </row>
    <row r="13857" spans="1:1" s="200" customFormat="1" ht="12" hidden="1" customHeight="1">
      <c r="A13857" s="199"/>
    </row>
    <row r="13858" spans="1:1" s="200" customFormat="1" ht="12" hidden="1" customHeight="1">
      <c r="A13858" s="199"/>
    </row>
    <row r="13859" spans="1:1" s="200" customFormat="1" ht="12" hidden="1" customHeight="1">
      <c r="A13859" s="199"/>
    </row>
    <row r="13860" spans="1:1" s="200" customFormat="1" ht="12" hidden="1" customHeight="1">
      <c r="A13860" s="199"/>
    </row>
    <row r="13861" spans="1:1" s="200" customFormat="1" ht="12" hidden="1" customHeight="1">
      <c r="A13861" s="199"/>
    </row>
    <row r="13862" spans="1:1" s="200" customFormat="1" ht="12" hidden="1" customHeight="1">
      <c r="A13862" s="199"/>
    </row>
    <row r="13863" spans="1:1" s="200" customFormat="1" ht="12" hidden="1" customHeight="1">
      <c r="A13863" s="199"/>
    </row>
    <row r="13864" spans="1:1" s="200" customFormat="1" ht="12" hidden="1" customHeight="1">
      <c r="A13864" s="199"/>
    </row>
    <row r="13865" spans="1:1" s="200" customFormat="1" ht="12" hidden="1" customHeight="1">
      <c r="A13865" s="199"/>
    </row>
    <row r="13866" spans="1:1" s="200" customFormat="1" ht="12" hidden="1" customHeight="1">
      <c r="A13866" s="199"/>
    </row>
    <row r="13867" spans="1:1" s="200" customFormat="1" ht="12" hidden="1" customHeight="1">
      <c r="A13867" s="199"/>
    </row>
    <row r="13868" spans="1:1" s="200" customFormat="1" ht="12" hidden="1" customHeight="1">
      <c r="A13868" s="199"/>
    </row>
    <row r="13869" spans="1:1" s="200" customFormat="1" ht="12" hidden="1" customHeight="1">
      <c r="A13869" s="199"/>
    </row>
    <row r="13870" spans="1:1" s="200" customFormat="1" ht="12" hidden="1" customHeight="1">
      <c r="A13870" s="199"/>
    </row>
    <row r="13871" spans="1:1" s="200" customFormat="1" ht="12" hidden="1" customHeight="1">
      <c r="A13871" s="199"/>
    </row>
    <row r="13872" spans="1:1" s="200" customFormat="1" ht="12" hidden="1" customHeight="1">
      <c r="A13872" s="199"/>
    </row>
    <row r="13873" spans="1:1" s="200" customFormat="1" ht="12" hidden="1" customHeight="1">
      <c r="A13873" s="199"/>
    </row>
    <row r="13874" spans="1:1" s="200" customFormat="1" ht="12" hidden="1" customHeight="1">
      <c r="A13874" s="199"/>
    </row>
    <row r="13875" spans="1:1" s="200" customFormat="1" ht="12" hidden="1" customHeight="1">
      <c r="A13875" s="199"/>
    </row>
    <row r="13876" spans="1:1" s="200" customFormat="1" ht="12" hidden="1" customHeight="1">
      <c r="A13876" s="199"/>
    </row>
    <row r="13877" spans="1:1" s="200" customFormat="1" ht="12" hidden="1" customHeight="1">
      <c r="A13877" s="199"/>
    </row>
    <row r="13878" spans="1:1" s="200" customFormat="1" ht="12" hidden="1" customHeight="1">
      <c r="A13878" s="199"/>
    </row>
    <row r="13879" spans="1:1" s="200" customFormat="1" ht="12" hidden="1" customHeight="1">
      <c r="A13879" s="199"/>
    </row>
    <row r="13880" spans="1:1" s="200" customFormat="1" ht="12" hidden="1" customHeight="1">
      <c r="A13880" s="199"/>
    </row>
    <row r="13881" spans="1:1" s="200" customFormat="1" ht="12" hidden="1" customHeight="1">
      <c r="A13881" s="199"/>
    </row>
    <row r="13882" spans="1:1" s="200" customFormat="1" ht="12" hidden="1" customHeight="1">
      <c r="A13882" s="199"/>
    </row>
    <row r="13883" spans="1:1" s="200" customFormat="1" ht="12" hidden="1" customHeight="1">
      <c r="A13883" s="199"/>
    </row>
    <row r="13884" spans="1:1" s="200" customFormat="1" ht="12" hidden="1" customHeight="1">
      <c r="A13884" s="199"/>
    </row>
    <row r="13885" spans="1:1" s="200" customFormat="1" ht="12" hidden="1" customHeight="1">
      <c r="A13885" s="199"/>
    </row>
    <row r="13886" spans="1:1" s="200" customFormat="1" ht="12" hidden="1" customHeight="1">
      <c r="A13886" s="199"/>
    </row>
    <row r="13887" spans="1:1" s="200" customFormat="1" ht="12" hidden="1" customHeight="1">
      <c r="A13887" s="199"/>
    </row>
    <row r="13888" spans="1:1" s="200" customFormat="1" ht="12" hidden="1" customHeight="1">
      <c r="A13888" s="199"/>
    </row>
    <row r="13889" spans="1:1" s="200" customFormat="1" ht="12" hidden="1" customHeight="1">
      <c r="A13889" s="199"/>
    </row>
    <row r="13890" spans="1:1" s="200" customFormat="1" ht="12" hidden="1" customHeight="1">
      <c r="A13890" s="199"/>
    </row>
    <row r="13891" spans="1:1" s="200" customFormat="1" ht="12" hidden="1" customHeight="1">
      <c r="A13891" s="199"/>
    </row>
    <row r="13892" spans="1:1" s="200" customFormat="1" ht="12" hidden="1" customHeight="1">
      <c r="A13892" s="199"/>
    </row>
    <row r="13893" spans="1:1" s="200" customFormat="1" ht="12" hidden="1" customHeight="1">
      <c r="A13893" s="199"/>
    </row>
    <row r="13894" spans="1:1" s="200" customFormat="1" ht="12" hidden="1" customHeight="1">
      <c r="A13894" s="199"/>
    </row>
    <row r="13895" spans="1:1" s="200" customFormat="1" ht="12" hidden="1" customHeight="1">
      <c r="A13895" s="199"/>
    </row>
    <row r="13896" spans="1:1" s="200" customFormat="1" ht="12" hidden="1" customHeight="1">
      <c r="A13896" s="199"/>
    </row>
    <row r="13897" spans="1:1" s="200" customFormat="1" ht="12" hidden="1" customHeight="1">
      <c r="A13897" s="199"/>
    </row>
    <row r="13898" spans="1:1" s="200" customFormat="1" ht="12" hidden="1" customHeight="1">
      <c r="A13898" s="199"/>
    </row>
    <row r="13899" spans="1:1" s="200" customFormat="1" ht="12" hidden="1" customHeight="1">
      <c r="A13899" s="199"/>
    </row>
    <row r="13900" spans="1:1" s="200" customFormat="1" ht="12" hidden="1" customHeight="1">
      <c r="A13900" s="199"/>
    </row>
    <row r="13901" spans="1:1" s="200" customFormat="1" ht="12" hidden="1" customHeight="1">
      <c r="A13901" s="199"/>
    </row>
    <row r="13902" spans="1:1" s="200" customFormat="1" ht="12" hidden="1" customHeight="1">
      <c r="A13902" s="199"/>
    </row>
    <row r="13903" spans="1:1" s="200" customFormat="1" ht="12" hidden="1" customHeight="1">
      <c r="A13903" s="199"/>
    </row>
    <row r="13904" spans="1:1" s="200" customFormat="1" ht="12" hidden="1" customHeight="1">
      <c r="A13904" s="199"/>
    </row>
    <row r="13905" spans="1:1" s="200" customFormat="1" ht="12" hidden="1" customHeight="1">
      <c r="A13905" s="199"/>
    </row>
    <row r="13906" spans="1:1" s="200" customFormat="1" ht="12" hidden="1" customHeight="1">
      <c r="A13906" s="199"/>
    </row>
    <row r="13907" spans="1:1" s="200" customFormat="1" ht="12" hidden="1" customHeight="1">
      <c r="A13907" s="199"/>
    </row>
    <row r="13908" spans="1:1" s="200" customFormat="1" ht="12" hidden="1" customHeight="1">
      <c r="A13908" s="199"/>
    </row>
    <row r="13909" spans="1:1" s="200" customFormat="1" ht="12" hidden="1" customHeight="1">
      <c r="A13909" s="199"/>
    </row>
    <row r="13910" spans="1:1" s="200" customFormat="1" ht="12" hidden="1" customHeight="1">
      <c r="A13910" s="199"/>
    </row>
    <row r="13911" spans="1:1" s="200" customFormat="1" ht="12" hidden="1" customHeight="1">
      <c r="A13911" s="199"/>
    </row>
    <row r="13912" spans="1:1" s="200" customFormat="1" ht="12" hidden="1" customHeight="1">
      <c r="A13912" s="199"/>
    </row>
    <row r="13913" spans="1:1" s="200" customFormat="1" ht="12" hidden="1" customHeight="1">
      <c r="A13913" s="199"/>
    </row>
    <row r="13914" spans="1:1" s="200" customFormat="1" ht="12" hidden="1" customHeight="1">
      <c r="A13914" s="199"/>
    </row>
    <row r="13915" spans="1:1" s="200" customFormat="1" ht="12" hidden="1" customHeight="1">
      <c r="A13915" s="199"/>
    </row>
    <row r="13916" spans="1:1" s="200" customFormat="1" ht="12" hidden="1" customHeight="1">
      <c r="A13916" s="199"/>
    </row>
    <row r="13917" spans="1:1" s="200" customFormat="1" ht="12" hidden="1" customHeight="1">
      <c r="A13917" s="199"/>
    </row>
    <row r="13918" spans="1:1" s="200" customFormat="1" ht="12" hidden="1" customHeight="1">
      <c r="A13918" s="199"/>
    </row>
    <row r="13919" spans="1:1" s="200" customFormat="1" ht="12" hidden="1" customHeight="1">
      <c r="A13919" s="199"/>
    </row>
    <row r="13920" spans="1:1" s="200" customFormat="1" ht="12" hidden="1" customHeight="1">
      <c r="A13920" s="199"/>
    </row>
    <row r="13921" spans="1:1" s="200" customFormat="1" ht="12" hidden="1" customHeight="1">
      <c r="A13921" s="199"/>
    </row>
    <row r="13922" spans="1:1" s="200" customFormat="1" ht="12" hidden="1" customHeight="1">
      <c r="A13922" s="199"/>
    </row>
    <row r="13923" spans="1:1" s="200" customFormat="1" ht="12" hidden="1" customHeight="1">
      <c r="A13923" s="199"/>
    </row>
    <row r="13924" spans="1:1" s="200" customFormat="1" ht="12" hidden="1" customHeight="1">
      <c r="A13924" s="199"/>
    </row>
    <row r="13925" spans="1:1" s="200" customFormat="1" ht="12" hidden="1" customHeight="1">
      <c r="A13925" s="199"/>
    </row>
    <row r="13926" spans="1:1" s="200" customFormat="1" ht="12" hidden="1" customHeight="1">
      <c r="A13926" s="199"/>
    </row>
    <row r="13927" spans="1:1" s="200" customFormat="1" ht="12" hidden="1" customHeight="1">
      <c r="A13927" s="199"/>
    </row>
    <row r="13928" spans="1:1" s="200" customFormat="1" ht="12" hidden="1" customHeight="1">
      <c r="A13928" s="199"/>
    </row>
    <row r="13929" spans="1:1" s="200" customFormat="1" ht="12" hidden="1" customHeight="1">
      <c r="A13929" s="199"/>
    </row>
    <row r="13930" spans="1:1" s="200" customFormat="1" ht="12" hidden="1" customHeight="1">
      <c r="A13930" s="199"/>
    </row>
    <row r="13931" spans="1:1" s="200" customFormat="1" ht="12" hidden="1" customHeight="1">
      <c r="A13931" s="199"/>
    </row>
    <row r="13932" spans="1:1" s="200" customFormat="1" ht="12" hidden="1" customHeight="1">
      <c r="A13932" s="199"/>
    </row>
    <row r="13933" spans="1:1" s="200" customFormat="1" ht="12" hidden="1" customHeight="1">
      <c r="A13933" s="199"/>
    </row>
    <row r="13934" spans="1:1" s="200" customFormat="1" ht="12" hidden="1" customHeight="1">
      <c r="A13934" s="199"/>
    </row>
    <row r="13935" spans="1:1" s="200" customFormat="1" ht="12" hidden="1" customHeight="1">
      <c r="A13935" s="199"/>
    </row>
    <row r="13936" spans="1:1" s="200" customFormat="1" ht="12" hidden="1" customHeight="1">
      <c r="A13936" s="199"/>
    </row>
    <row r="13937" spans="1:1" s="200" customFormat="1" ht="12" hidden="1" customHeight="1">
      <c r="A13937" s="199"/>
    </row>
    <row r="13938" spans="1:1" s="200" customFormat="1" ht="12" hidden="1" customHeight="1">
      <c r="A13938" s="199"/>
    </row>
    <row r="13939" spans="1:1" s="200" customFormat="1" ht="12" hidden="1" customHeight="1">
      <c r="A13939" s="199"/>
    </row>
    <row r="13940" spans="1:1" s="200" customFormat="1" ht="12" hidden="1" customHeight="1">
      <c r="A13940" s="199"/>
    </row>
    <row r="13941" spans="1:1" s="200" customFormat="1" ht="12" hidden="1" customHeight="1">
      <c r="A13941" s="199"/>
    </row>
    <row r="13942" spans="1:1" s="200" customFormat="1" ht="12" hidden="1" customHeight="1">
      <c r="A13942" s="199"/>
    </row>
    <row r="13943" spans="1:1" s="200" customFormat="1" ht="12" hidden="1" customHeight="1">
      <c r="A13943" s="199"/>
    </row>
    <row r="13944" spans="1:1" s="200" customFormat="1" ht="12" hidden="1" customHeight="1">
      <c r="A13944" s="199"/>
    </row>
    <row r="13945" spans="1:1" s="200" customFormat="1" ht="12" hidden="1" customHeight="1">
      <c r="A13945" s="199"/>
    </row>
    <row r="13946" spans="1:1" s="200" customFormat="1" ht="12" hidden="1" customHeight="1">
      <c r="A13946" s="199"/>
    </row>
    <row r="13947" spans="1:1" s="200" customFormat="1" ht="12" hidden="1" customHeight="1">
      <c r="A13947" s="199"/>
    </row>
    <row r="13948" spans="1:1" s="200" customFormat="1" ht="12" hidden="1" customHeight="1">
      <c r="A13948" s="199"/>
    </row>
    <row r="13949" spans="1:1" s="200" customFormat="1" ht="12" hidden="1" customHeight="1">
      <c r="A13949" s="199"/>
    </row>
    <row r="13950" spans="1:1" s="200" customFormat="1" ht="12" hidden="1" customHeight="1">
      <c r="A13950" s="199"/>
    </row>
    <row r="13951" spans="1:1" s="200" customFormat="1" ht="12" hidden="1" customHeight="1">
      <c r="A13951" s="199"/>
    </row>
    <row r="13952" spans="1:1" s="200" customFormat="1" ht="12" hidden="1" customHeight="1">
      <c r="A13952" s="199"/>
    </row>
    <row r="13953" spans="1:1" s="200" customFormat="1" ht="12" hidden="1" customHeight="1">
      <c r="A13953" s="199"/>
    </row>
    <row r="13954" spans="1:1" s="200" customFormat="1" ht="12" hidden="1" customHeight="1">
      <c r="A13954" s="199"/>
    </row>
    <row r="13955" spans="1:1" s="200" customFormat="1" ht="12" hidden="1" customHeight="1">
      <c r="A13955" s="199"/>
    </row>
    <row r="13956" spans="1:1" s="200" customFormat="1" ht="12" hidden="1" customHeight="1">
      <c r="A13956" s="199"/>
    </row>
    <row r="13957" spans="1:1" s="200" customFormat="1" ht="12" hidden="1" customHeight="1">
      <c r="A13957" s="199"/>
    </row>
    <row r="13958" spans="1:1" s="200" customFormat="1" ht="12" hidden="1" customHeight="1">
      <c r="A13958" s="199"/>
    </row>
    <row r="13959" spans="1:1" s="200" customFormat="1" ht="12" hidden="1" customHeight="1">
      <c r="A13959" s="199"/>
    </row>
    <row r="13960" spans="1:1" s="200" customFormat="1" ht="12" hidden="1" customHeight="1">
      <c r="A13960" s="199"/>
    </row>
    <row r="13961" spans="1:1" s="200" customFormat="1" ht="12" hidden="1" customHeight="1">
      <c r="A13961" s="199"/>
    </row>
    <row r="13962" spans="1:1" s="200" customFormat="1" ht="12" hidden="1" customHeight="1">
      <c r="A13962" s="199"/>
    </row>
    <row r="13963" spans="1:1" s="200" customFormat="1" ht="12" hidden="1" customHeight="1">
      <c r="A13963" s="199"/>
    </row>
    <row r="13964" spans="1:1" s="200" customFormat="1" ht="12" hidden="1" customHeight="1">
      <c r="A13964" s="199"/>
    </row>
    <row r="13965" spans="1:1" s="200" customFormat="1" ht="12" hidden="1" customHeight="1">
      <c r="A13965" s="199"/>
    </row>
    <row r="13966" spans="1:1" s="200" customFormat="1" ht="12" hidden="1" customHeight="1">
      <c r="A13966" s="199"/>
    </row>
    <row r="13967" spans="1:1" s="200" customFormat="1" ht="12" hidden="1" customHeight="1">
      <c r="A13967" s="199"/>
    </row>
    <row r="13968" spans="1:1" s="200" customFormat="1" ht="12" hidden="1" customHeight="1">
      <c r="A13968" s="199"/>
    </row>
    <row r="13969" spans="1:1" s="200" customFormat="1" ht="12" hidden="1" customHeight="1">
      <c r="A13969" s="199"/>
    </row>
    <row r="13970" spans="1:1" s="200" customFormat="1" ht="12" hidden="1" customHeight="1">
      <c r="A13970" s="199"/>
    </row>
    <row r="13971" spans="1:1" s="200" customFormat="1" ht="12" hidden="1" customHeight="1">
      <c r="A13971" s="199"/>
    </row>
    <row r="13972" spans="1:1" s="200" customFormat="1" ht="12" hidden="1" customHeight="1">
      <c r="A13972" s="199"/>
    </row>
    <row r="13973" spans="1:1" s="200" customFormat="1" ht="12" hidden="1" customHeight="1">
      <c r="A13973" s="199"/>
    </row>
    <row r="13974" spans="1:1" s="200" customFormat="1" ht="12" hidden="1" customHeight="1">
      <c r="A13974" s="199"/>
    </row>
    <row r="13975" spans="1:1" s="200" customFormat="1" ht="12" hidden="1" customHeight="1">
      <c r="A13975" s="199"/>
    </row>
    <row r="13976" spans="1:1" s="200" customFormat="1" ht="12" hidden="1" customHeight="1">
      <c r="A13976" s="199"/>
    </row>
    <row r="13977" spans="1:1" s="200" customFormat="1" ht="12" hidden="1" customHeight="1">
      <c r="A13977" s="199"/>
    </row>
    <row r="13978" spans="1:1" s="200" customFormat="1" ht="12" hidden="1" customHeight="1">
      <c r="A13978" s="199"/>
    </row>
    <row r="13979" spans="1:1" s="200" customFormat="1" ht="12" hidden="1" customHeight="1">
      <c r="A13979" s="199"/>
    </row>
    <row r="13980" spans="1:1" s="200" customFormat="1" ht="12" hidden="1" customHeight="1">
      <c r="A13980" s="199"/>
    </row>
    <row r="13981" spans="1:1" s="200" customFormat="1" ht="12" hidden="1" customHeight="1">
      <c r="A13981" s="199"/>
    </row>
    <row r="13982" spans="1:1" s="200" customFormat="1" ht="12" hidden="1" customHeight="1">
      <c r="A13982" s="199"/>
    </row>
    <row r="13983" spans="1:1" s="200" customFormat="1" ht="12" hidden="1" customHeight="1">
      <c r="A13983" s="199"/>
    </row>
    <row r="13984" spans="1:1" s="200" customFormat="1" ht="12" hidden="1" customHeight="1">
      <c r="A13984" s="199"/>
    </row>
    <row r="13985" spans="1:1" s="200" customFormat="1" ht="12" hidden="1" customHeight="1">
      <c r="A13985" s="199"/>
    </row>
    <row r="13986" spans="1:1" s="200" customFormat="1" ht="12" hidden="1" customHeight="1">
      <c r="A13986" s="199"/>
    </row>
    <row r="13987" spans="1:1" s="200" customFormat="1" ht="12" hidden="1" customHeight="1">
      <c r="A13987" s="199"/>
    </row>
    <row r="13988" spans="1:1" s="200" customFormat="1" ht="12" hidden="1" customHeight="1">
      <c r="A13988" s="199"/>
    </row>
    <row r="13989" spans="1:1" s="200" customFormat="1" ht="12" hidden="1" customHeight="1">
      <c r="A13989" s="199"/>
    </row>
    <row r="13990" spans="1:1" s="200" customFormat="1" ht="12" hidden="1" customHeight="1">
      <c r="A13990" s="199"/>
    </row>
    <row r="13991" spans="1:1" s="200" customFormat="1" ht="12" hidden="1" customHeight="1">
      <c r="A13991" s="199"/>
    </row>
    <row r="13992" spans="1:1" s="200" customFormat="1" ht="12" hidden="1" customHeight="1">
      <c r="A13992" s="199"/>
    </row>
    <row r="13993" spans="1:1" s="200" customFormat="1" ht="12" hidden="1" customHeight="1">
      <c r="A13993" s="199"/>
    </row>
    <row r="13994" spans="1:1" s="200" customFormat="1" ht="12" hidden="1" customHeight="1">
      <c r="A13994" s="199"/>
    </row>
    <row r="13995" spans="1:1" s="200" customFormat="1" ht="12" hidden="1" customHeight="1">
      <c r="A13995" s="199"/>
    </row>
    <row r="13996" spans="1:1" s="200" customFormat="1" ht="12" hidden="1" customHeight="1">
      <c r="A13996" s="199"/>
    </row>
    <row r="13997" spans="1:1" s="200" customFormat="1" ht="12" hidden="1" customHeight="1">
      <c r="A13997" s="199"/>
    </row>
    <row r="13998" spans="1:1" s="200" customFormat="1" ht="12" hidden="1" customHeight="1">
      <c r="A13998" s="199"/>
    </row>
    <row r="13999" spans="1:1" s="200" customFormat="1" ht="12" hidden="1" customHeight="1">
      <c r="A13999" s="199"/>
    </row>
    <row r="14000" spans="1:1" s="200" customFormat="1" ht="12" hidden="1" customHeight="1">
      <c r="A14000" s="199"/>
    </row>
    <row r="14001" spans="1:1" s="200" customFormat="1" ht="12" hidden="1" customHeight="1">
      <c r="A14001" s="199"/>
    </row>
    <row r="14002" spans="1:1" s="200" customFormat="1" ht="12" hidden="1" customHeight="1">
      <c r="A14002" s="199"/>
    </row>
    <row r="14003" spans="1:1" s="200" customFormat="1" ht="12" hidden="1" customHeight="1">
      <c r="A14003" s="199"/>
    </row>
    <row r="14004" spans="1:1" s="200" customFormat="1" ht="12" hidden="1" customHeight="1">
      <c r="A14004" s="199"/>
    </row>
    <row r="14005" spans="1:1" s="200" customFormat="1" ht="12" hidden="1" customHeight="1">
      <c r="A14005" s="199"/>
    </row>
    <row r="14006" spans="1:1" s="200" customFormat="1" ht="12" hidden="1" customHeight="1">
      <c r="A14006" s="199"/>
    </row>
    <row r="14007" spans="1:1" s="200" customFormat="1" ht="12" hidden="1" customHeight="1">
      <c r="A14007" s="199"/>
    </row>
    <row r="14008" spans="1:1" s="200" customFormat="1" ht="12" hidden="1" customHeight="1">
      <c r="A14008" s="199"/>
    </row>
    <row r="14009" spans="1:1" s="200" customFormat="1" ht="12" hidden="1" customHeight="1">
      <c r="A14009" s="199"/>
    </row>
    <row r="14010" spans="1:1" s="200" customFormat="1" ht="12" hidden="1" customHeight="1">
      <c r="A14010" s="199"/>
    </row>
    <row r="14011" spans="1:1" s="200" customFormat="1" ht="12" hidden="1" customHeight="1">
      <c r="A14011" s="199"/>
    </row>
    <row r="14012" spans="1:1" s="200" customFormat="1" ht="12" hidden="1" customHeight="1">
      <c r="A14012" s="199"/>
    </row>
    <row r="14013" spans="1:1" s="200" customFormat="1" ht="12" hidden="1" customHeight="1">
      <c r="A14013" s="199"/>
    </row>
    <row r="14014" spans="1:1" s="200" customFormat="1" ht="12" hidden="1" customHeight="1">
      <c r="A14014" s="199"/>
    </row>
    <row r="14015" spans="1:1" s="200" customFormat="1" ht="12" hidden="1" customHeight="1">
      <c r="A14015" s="199"/>
    </row>
    <row r="14016" spans="1:1" s="200" customFormat="1" ht="12" hidden="1" customHeight="1">
      <c r="A14016" s="199"/>
    </row>
    <row r="14017" spans="1:1" s="200" customFormat="1" ht="12" hidden="1" customHeight="1">
      <c r="A14017" s="199"/>
    </row>
    <row r="14018" spans="1:1" s="200" customFormat="1" ht="12" hidden="1" customHeight="1">
      <c r="A14018" s="199"/>
    </row>
    <row r="14019" spans="1:1" s="200" customFormat="1" ht="12" hidden="1" customHeight="1">
      <c r="A14019" s="199"/>
    </row>
    <row r="14020" spans="1:1" s="200" customFormat="1" ht="12" hidden="1" customHeight="1">
      <c r="A14020" s="199"/>
    </row>
    <row r="14021" spans="1:1" s="200" customFormat="1" ht="12" hidden="1" customHeight="1">
      <c r="A14021" s="199"/>
    </row>
    <row r="14022" spans="1:1" s="200" customFormat="1" ht="12" hidden="1" customHeight="1">
      <c r="A14022" s="199"/>
    </row>
    <row r="14023" spans="1:1" s="200" customFormat="1" ht="12" hidden="1" customHeight="1">
      <c r="A14023" s="199"/>
    </row>
    <row r="14024" spans="1:1" s="200" customFormat="1" ht="12" hidden="1" customHeight="1">
      <c r="A14024" s="199"/>
    </row>
    <row r="14025" spans="1:1" s="200" customFormat="1" ht="12" hidden="1" customHeight="1">
      <c r="A14025" s="199"/>
    </row>
    <row r="14026" spans="1:1" s="200" customFormat="1" ht="12" hidden="1" customHeight="1">
      <c r="A14026" s="199"/>
    </row>
    <row r="14027" spans="1:1" s="200" customFormat="1" ht="12" hidden="1" customHeight="1">
      <c r="A14027" s="199"/>
    </row>
    <row r="14028" spans="1:1" s="200" customFormat="1" ht="12" hidden="1" customHeight="1">
      <c r="A14028" s="199"/>
    </row>
    <row r="14029" spans="1:1" s="200" customFormat="1" ht="12" hidden="1" customHeight="1">
      <c r="A14029" s="199"/>
    </row>
    <row r="14030" spans="1:1" s="200" customFormat="1" ht="12" hidden="1" customHeight="1">
      <c r="A14030" s="199"/>
    </row>
    <row r="14031" spans="1:1" s="200" customFormat="1" ht="12" hidden="1" customHeight="1">
      <c r="A14031" s="199"/>
    </row>
    <row r="14032" spans="1:1" s="200" customFormat="1" ht="12" hidden="1" customHeight="1">
      <c r="A14032" s="199"/>
    </row>
    <row r="14033" spans="1:1" s="200" customFormat="1" ht="12" hidden="1" customHeight="1">
      <c r="A14033" s="199"/>
    </row>
    <row r="14034" spans="1:1" s="200" customFormat="1" ht="12" hidden="1" customHeight="1">
      <c r="A14034" s="199"/>
    </row>
    <row r="14035" spans="1:1" s="200" customFormat="1" ht="12" hidden="1" customHeight="1">
      <c r="A14035" s="199"/>
    </row>
    <row r="14036" spans="1:1" s="200" customFormat="1" ht="12" hidden="1" customHeight="1">
      <c r="A14036" s="199"/>
    </row>
    <row r="14037" spans="1:1" s="200" customFormat="1" ht="12" hidden="1" customHeight="1">
      <c r="A14037" s="199"/>
    </row>
    <row r="14038" spans="1:1" s="200" customFormat="1" ht="12" hidden="1" customHeight="1">
      <c r="A14038" s="199"/>
    </row>
    <row r="14039" spans="1:1" s="200" customFormat="1" ht="12" hidden="1" customHeight="1">
      <c r="A14039" s="199"/>
    </row>
    <row r="14040" spans="1:1" s="200" customFormat="1" ht="12" hidden="1" customHeight="1">
      <c r="A14040" s="199"/>
    </row>
    <row r="14041" spans="1:1" s="200" customFormat="1" ht="12" hidden="1" customHeight="1">
      <c r="A14041" s="199"/>
    </row>
    <row r="14042" spans="1:1" s="200" customFormat="1" ht="12" hidden="1" customHeight="1">
      <c r="A14042" s="199"/>
    </row>
    <row r="14043" spans="1:1" s="200" customFormat="1" ht="12" hidden="1" customHeight="1">
      <c r="A14043" s="199"/>
    </row>
    <row r="14044" spans="1:1" s="200" customFormat="1" ht="12" hidden="1" customHeight="1">
      <c r="A14044" s="199"/>
    </row>
    <row r="14045" spans="1:1" s="200" customFormat="1" ht="12" hidden="1" customHeight="1">
      <c r="A14045" s="199"/>
    </row>
    <row r="14046" spans="1:1" s="200" customFormat="1" ht="12" hidden="1" customHeight="1">
      <c r="A14046" s="199"/>
    </row>
    <row r="14047" spans="1:1" s="200" customFormat="1" ht="12" hidden="1" customHeight="1">
      <c r="A14047" s="199"/>
    </row>
    <row r="14048" spans="1:1" s="200" customFormat="1" ht="12" hidden="1" customHeight="1">
      <c r="A14048" s="199"/>
    </row>
    <row r="14049" spans="1:1" s="200" customFormat="1" ht="12" hidden="1" customHeight="1">
      <c r="A14049" s="199"/>
    </row>
    <row r="14050" spans="1:1" s="200" customFormat="1" ht="12" hidden="1" customHeight="1">
      <c r="A14050" s="199"/>
    </row>
    <row r="14051" spans="1:1" s="200" customFormat="1" ht="12" hidden="1" customHeight="1">
      <c r="A14051" s="199"/>
    </row>
    <row r="14052" spans="1:1" s="200" customFormat="1" ht="12" hidden="1" customHeight="1">
      <c r="A14052" s="199"/>
    </row>
    <row r="14053" spans="1:1" s="200" customFormat="1" ht="12" hidden="1" customHeight="1">
      <c r="A14053" s="199"/>
    </row>
    <row r="14054" spans="1:1" s="200" customFormat="1" ht="12" hidden="1" customHeight="1">
      <c r="A14054" s="199"/>
    </row>
    <row r="14055" spans="1:1" s="200" customFormat="1" ht="12" hidden="1" customHeight="1">
      <c r="A14055" s="199"/>
    </row>
    <row r="14056" spans="1:1" s="200" customFormat="1" ht="12" hidden="1" customHeight="1">
      <c r="A14056" s="199"/>
    </row>
    <row r="14057" spans="1:1" s="200" customFormat="1" ht="12" hidden="1" customHeight="1">
      <c r="A14057" s="199"/>
    </row>
    <row r="14058" spans="1:1" s="200" customFormat="1" ht="12" hidden="1" customHeight="1">
      <c r="A14058" s="199"/>
    </row>
    <row r="14059" spans="1:1" s="200" customFormat="1" ht="12" hidden="1" customHeight="1">
      <c r="A14059" s="199"/>
    </row>
    <row r="14060" spans="1:1" s="200" customFormat="1" ht="12" hidden="1" customHeight="1">
      <c r="A14060" s="199"/>
    </row>
    <row r="14061" spans="1:1" s="200" customFormat="1" ht="12" hidden="1" customHeight="1">
      <c r="A14061" s="199"/>
    </row>
    <row r="14062" spans="1:1" s="200" customFormat="1" ht="12" hidden="1" customHeight="1">
      <c r="A14062" s="199"/>
    </row>
    <row r="14063" spans="1:1" s="200" customFormat="1" ht="12" hidden="1" customHeight="1">
      <c r="A14063" s="199"/>
    </row>
    <row r="14064" spans="1:1" s="200" customFormat="1" ht="12" hidden="1" customHeight="1">
      <c r="A14064" s="199"/>
    </row>
    <row r="14065" spans="1:1" s="200" customFormat="1" ht="12" hidden="1" customHeight="1">
      <c r="A14065" s="199"/>
    </row>
    <row r="14066" spans="1:1" s="200" customFormat="1" ht="12" hidden="1" customHeight="1">
      <c r="A14066" s="199"/>
    </row>
    <row r="14067" spans="1:1" s="200" customFormat="1" ht="12" hidden="1" customHeight="1">
      <c r="A14067" s="199"/>
    </row>
    <row r="14068" spans="1:1" s="200" customFormat="1" ht="12" hidden="1" customHeight="1">
      <c r="A14068" s="199"/>
    </row>
    <row r="14069" spans="1:1" s="200" customFormat="1" ht="12" hidden="1" customHeight="1">
      <c r="A14069" s="199"/>
    </row>
    <row r="14070" spans="1:1" s="200" customFormat="1" ht="12" hidden="1" customHeight="1">
      <c r="A14070" s="199"/>
    </row>
    <row r="14071" spans="1:1" s="200" customFormat="1" ht="12" hidden="1" customHeight="1">
      <c r="A14071" s="199"/>
    </row>
    <row r="14072" spans="1:1" s="200" customFormat="1" ht="12" hidden="1" customHeight="1">
      <c r="A14072" s="199"/>
    </row>
    <row r="14073" spans="1:1" s="200" customFormat="1" ht="12" hidden="1" customHeight="1">
      <c r="A14073" s="199"/>
    </row>
    <row r="14074" spans="1:1" s="200" customFormat="1" ht="12" hidden="1" customHeight="1">
      <c r="A14074" s="199"/>
    </row>
    <row r="14075" spans="1:1" s="200" customFormat="1" ht="12" hidden="1" customHeight="1">
      <c r="A14075" s="199"/>
    </row>
    <row r="14076" spans="1:1" s="200" customFormat="1" ht="12" hidden="1" customHeight="1">
      <c r="A14076" s="199"/>
    </row>
    <row r="14077" spans="1:1" s="200" customFormat="1" ht="12" hidden="1" customHeight="1">
      <c r="A14077" s="199"/>
    </row>
    <row r="14078" spans="1:1" s="200" customFormat="1" ht="12" hidden="1" customHeight="1">
      <c r="A14078" s="199"/>
    </row>
    <row r="14079" spans="1:1" s="200" customFormat="1" ht="12" hidden="1" customHeight="1">
      <c r="A14079" s="199"/>
    </row>
    <row r="14080" spans="1:1" s="200" customFormat="1" ht="12" hidden="1" customHeight="1">
      <c r="A14080" s="199"/>
    </row>
    <row r="14081" spans="1:1" s="200" customFormat="1" ht="12" hidden="1" customHeight="1">
      <c r="A14081" s="199"/>
    </row>
    <row r="14082" spans="1:1" s="200" customFormat="1" ht="12" hidden="1" customHeight="1">
      <c r="A14082" s="199"/>
    </row>
    <row r="14083" spans="1:1" s="200" customFormat="1" ht="12" hidden="1" customHeight="1">
      <c r="A14083" s="199"/>
    </row>
    <row r="14084" spans="1:1" s="200" customFormat="1" ht="12" hidden="1" customHeight="1">
      <c r="A14084" s="199"/>
    </row>
    <row r="14085" spans="1:1" s="200" customFormat="1" ht="12" hidden="1" customHeight="1">
      <c r="A14085" s="199"/>
    </row>
    <row r="14086" spans="1:1" s="200" customFormat="1" ht="12" hidden="1" customHeight="1">
      <c r="A14086" s="199"/>
    </row>
    <row r="14087" spans="1:1" s="200" customFormat="1" ht="12" hidden="1" customHeight="1">
      <c r="A14087" s="199"/>
    </row>
    <row r="14088" spans="1:1" s="200" customFormat="1" ht="12" hidden="1" customHeight="1">
      <c r="A14088" s="199"/>
    </row>
    <row r="14089" spans="1:1" s="200" customFormat="1" ht="12" hidden="1" customHeight="1">
      <c r="A14089" s="199"/>
    </row>
    <row r="14090" spans="1:1" s="200" customFormat="1" ht="12" hidden="1" customHeight="1">
      <c r="A14090" s="199"/>
    </row>
    <row r="14091" spans="1:1" s="200" customFormat="1" ht="12" hidden="1" customHeight="1">
      <c r="A14091" s="199"/>
    </row>
    <row r="14092" spans="1:1" s="200" customFormat="1" ht="12" hidden="1" customHeight="1">
      <c r="A14092" s="199"/>
    </row>
    <row r="14093" spans="1:1" s="200" customFormat="1" ht="12" hidden="1" customHeight="1">
      <c r="A14093" s="199"/>
    </row>
    <row r="14094" spans="1:1" s="200" customFormat="1" ht="12" hidden="1" customHeight="1">
      <c r="A14094" s="199"/>
    </row>
    <row r="14095" spans="1:1" s="200" customFormat="1" ht="12" hidden="1" customHeight="1">
      <c r="A14095" s="199"/>
    </row>
    <row r="14096" spans="1:1" s="200" customFormat="1" ht="12" hidden="1" customHeight="1">
      <c r="A14096" s="199"/>
    </row>
    <row r="14097" spans="1:1" s="200" customFormat="1" ht="12" hidden="1" customHeight="1">
      <c r="A14097" s="199"/>
    </row>
    <row r="14098" spans="1:1" s="200" customFormat="1" ht="12" hidden="1" customHeight="1">
      <c r="A14098" s="199"/>
    </row>
    <row r="14099" spans="1:1" s="200" customFormat="1" ht="12" hidden="1" customHeight="1">
      <c r="A14099" s="199"/>
    </row>
    <row r="14100" spans="1:1" s="200" customFormat="1" ht="12" hidden="1" customHeight="1">
      <c r="A14100" s="199"/>
    </row>
    <row r="14101" spans="1:1" s="200" customFormat="1" ht="12" hidden="1" customHeight="1">
      <c r="A14101" s="199"/>
    </row>
    <row r="14102" spans="1:1" s="200" customFormat="1" ht="12" hidden="1" customHeight="1">
      <c r="A14102" s="199"/>
    </row>
    <row r="14103" spans="1:1" s="200" customFormat="1" ht="12" hidden="1" customHeight="1">
      <c r="A14103" s="199"/>
    </row>
    <row r="14104" spans="1:1" s="200" customFormat="1" ht="12" hidden="1" customHeight="1">
      <c r="A14104" s="199"/>
    </row>
    <row r="14105" spans="1:1" s="200" customFormat="1" ht="12" hidden="1" customHeight="1">
      <c r="A14105" s="199"/>
    </row>
    <row r="14106" spans="1:1" s="200" customFormat="1" ht="12" hidden="1" customHeight="1">
      <c r="A14106" s="199"/>
    </row>
    <row r="14107" spans="1:1" s="200" customFormat="1" ht="12" hidden="1" customHeight="1">
      <c r="A14107" s="199"/>
    </row>
    <row r="14108" spans="1:1" s="200" customFormat="1" ht="12" hidden="1" customHeight="1">
      <c r="A14108" s="199"/>
    </row>
    <row r="14109" spans="1:1" s="200" customFormat="1" ht="12" hidden="1" customHeight="1">
      <c r="A14109" s="199"/>
    </row>
    <row r="14110" spans="1:1" s="200" customFormat="1" ht="12" hidden="1" customHeight="1">
      <c r="A14110" s="199"/>
    </row>
    <row r="14111" spans="1:1" s="200" customFormat="1" ht="12" hidden="1" customHeight="1">
      <c r="A14111" s="199"/>
    </row>
    <row r="14112" spans="1:1" s="200" customFormat="1" ht="12" hidden="1" customHeight="1">
      <c r="A14112" s="199"/>
    </row>
    <row r="14113" spans="1:1" s="200" customFormat="1" ht="12" hidden="1" customHeight="1">
      <c r="A14113" s="199"/>
    </row>
    <row r="14114" spans="1:1" s="200" customFormat="1" ht="12" hidden="1" customHeight="1">
      <c r="A14114" s="199"/>
    </row>
    <row r="14115" spans="1:1" s="200" customFormat="1" ht="12" hidden="1" customHeight="1">
      <c r="A14115" s="199"/>
    </row>
    <row r="14116" spans="1:1" s="200" customFormat="1" ht="12" hidden="1" customHeight="1">
      <c r="A14116" s="199"/>
    </row>
    <row r="14117" spans="1:1" s="200" customFormat="1" ht="12" hidden="1" customHeight="1">
      <c r="A14117" s="199"/>
    </row>
    <row r="14118" spans="1:1" s="200" customFormat="1" ht="12" hidden="1" customHeight="1">
      <c r="A14118" s="199"/>
    </row>
    <row r="14119" spans="1:1" s="200" customFormat="1" ht="12" hidden="1" customHeight="1">
      <c r="A14119" s="199"/>
    </row>
    <row r="14120" spans="1:1" s="200" customFormat="1" ht="12" hidden="1" customHeight="1">
      <c r="A14120" s="199"/>
    </row>
    <row r="14121" spans="1:1" s="200" customFormat="1" ht="12" hidden="1" customHeight="1">
      <c r="A14121" s="199"/>
    </row>
    <row r="14122" spans="1:1" s="200" customFormat="1" ht="12" hidden="1" customHeight="1">
      <c r="A14122" s="199"/>
    </row>
    <row r="14123" spans="1:1" s="200" customFormat="1" ht="12" hidden="1" customHeight="1">
      <c r="A14123" s="199"/>
    </row>
    <row r="14124" spans="1:1" s="200" customFormat="1" ht="12" hidden="1" customHeight="1">
      <c r="A14124" s="199"/>
    </row>
    <row r="14125" spans="1:1" s="200" customFormat="1" ht="12" hidden="1" customHeight="1">
      <c r="A14125" s="199"/>
    </row>
    <row r="14126" spans="1:1" s="200" customFormat="1" ht="12" hidden="1" customHeight="1">
      <c r="A14126" s="199"/>
    </row>
    <row r="14127" spans="1:1" s="200" customFormat="1" ht="12" hidden="1" customHeight="1">
      <c r="A14127" s="199"/>
    </row>
    <row r="14128" spans="1:1" s="200" customFormat="1" ht="12" hidden="1" customHeight="1">
      <c r="A14128" s="199"/>
    </row>
    <row r="14129" spans="1:1" s="200" customFormat="1" ht="12" hidden="1" customHeight="1">
      <c r="A14129" s="199"/>
    </row>
    <row r="14130" spans="1:1" s="200" customFormat="1" ht="12" hidden="1" customHeight="1">
      <c r="A14130" s="199"/>
    </row>
    <row r="14131" spans="1:1" s="200" customFormat="1" ht="12" hidden="1" customHeight="1">
      <c r="A14131" s="199"/>
    </row>
    <row r="14132" spans="1:1" s="200" customFormat="1" ht="12" hidden="1" customHeight="1">
      <c r="A14132" s="199"/>
    </row>
    <row r="14133" spans="1:1" s="200" customFormat="1" ht="12" hidden="1" customHeight="1">
      <c r="A14133" s="199"/>
    </row>
    <row r="14134" spans="1:1" s="200" customFormat="1" ht="12" hidden="1" customHeight="1">
      <c r="A14134" s="199"/>
    </row>
    <row r="14135" spans="1:1" s="200" customFormat="1" ht="12" hidden="1" customHeight="1">
      <c r="A14135" s="199"/>
    </row>
    <row r="14136" spans="1:1" s="200" customFormat="1" ht="12" hidden="1" customHeight="1">
      <c r="A14136" s="199"/>
    </row>
    <row r="14137" spans="1:1" s="200" customFormat="1" ht="12" hidden="1" customHeight="1">
      <c r="A14137" s="199"/>
    </row>
    <row r="14138" spans="1:1" s="200" customFormat="1" ht="12" hidden="1" customHeight="1">
      <c r="A14138" s="199"/>
    </row>
    <row r="14139" spans="1:1" s="200" customFormat="1" ht="12" hidden="1" customHeight="1">
      <c r="A14139" s="199"/>
    </row>
    <row r="14140" spans="1:1" s="200" customFormat="1" ht="12" hidden="1" customHeight="1">
      <c r="A14140" s="199"/>
    </row>
    <row r="14141" spans="1:1" s="200" customFormat="1" ht="12" hidden="1" customHeight="1">
      <c r="A14141" s="199"/>
    </row>
    <row r="14142" spans="1:1" s="200" customFormat="1" ht="12" hidden="1" customHeight="1">
      <c r="A14142" s="199"/>
    </row>
    <row r="14143" spans="1:1" s="200" customFormat="1" ht="12" hidden="1" customHeight="1">
      <c r="A14143" s="199"/>
    </row>
    <row r="14144" spans="1:1" s="200" customFormat="1" ht="12" hidden="1" customHeight="1">
      <c r="A14144" s="199"/>
    </row>
    <row r="14145" spans="1:1" s="200" customFormat="1" ht="12" hidden="1" customHeight="1">
      <c r="A14145" s="199"/>
    </row>
    <row r="14146" spans="1:1" s="200" customFormat="1" ht="12" hidden="1" customHeight="1">
      <c r="A14146" s="199"/>
    </row>
    <row r="14147" spans="1:1" s="200" customFormat="1" ht="12" hidden="1" customHeight="1">
      <c r="A14147" s="199"/>
    </row>
    <row r="14148" spans="1:1" s="200" customFormat="1" ht="12" hidden="1" customHeight="1">
      <c r="A14148" s="199"/>
    </row>
    <row r="14149" spans="1:1" s="200" customFormat="1" ht="12" hidden="1" customHeight="1">
      <c r="A14149" s="199"/>
    </row>
    <row r="14150" spans="1:1" s="200" customFormat="1" ht="12" hidden="1" customHeight="1">
      <c r="A14150" s="199"/>
    </row>
    <row r="14151" spans="1:1" s="200" customFormat="1" ht="12" hidden="1" customHeight="1">
      <c r="A14151" s="199"/>
    </row>
    <row r="14152" spans="1:1" s="200" customFormat="1" ht="12" hidden="1" customHeight="1">
      <c r="A14152" s="199"/>
    </row>
    <row r="14153" spans="1:1" s="200" customFormat="1" ht="12" hidden="1" customHeight="1">
      <c r="A14153" s="199"/>
    </row>
    <row r="14154" spans="1:1" s="200" customFormat="1" ht="12" hidden="1" customHeight="1">
      <c r="A14154" s="199"/>
    </row>
    <row r="14155" spans="1:1" s="200" customFormat="1" ht="12" hidden="1" customHeight="1">
      <c r="A14155" s="199"/>
    </row>
    <row r="14156" spans="1:1" s="200" customFormat="1" ht="12" hidden="1" customHeight="1">
      <c r="A14156" s="199"/>
    </row>
    <row r="14157" spans="1:1" s="200" customFormat="1" ht="12" hidden="1" customHeight="1">
      <c r="A14157" s="199"/>
    </row>
    <row r="14158" spans="1:1" s="200" customFormat="1" ht="12" hidden="1" customHeight="1">
      <c r="A14158" s="199"/>
    </row>
    <row r="14159" spans="1:1" s="200" customFormat="1" ht="12" hidden="1" customHeight="1">
      <c r="A14159" s="199"/>
    </row>
    <row r="14160" spans="1:1" s="200" customFormat="1" ht="12" hidden="1" customHeight="1">
      <c r="A14160" s="199"/>
    </row>
    <row r="14161" spans="1:1" s="200" customFormat="1" ht="12" hidden="1" customHeight="1">
      <c r="A14161" s="199"/>
    </row>
    <row r="14162" spans="1:1" s="200" customFormat="1" ht="12" hidden="1" customHeight="1">
      <c r="A14162" s="199"/>
    </row>
    <row r="14163" spans="1:1" s="200" customFormat="1" ht="12" hidden="1" customHeight="1">
      <c r="A14163" s="199"/>
    </row>
    <row r="14164" spans="1:1" s="200" customFormat="1" ht="12" hidden="1" customHeight="1">
      <c r="A14164" s="199"/>
    </row>
    <row r="14165" spans="1:1" s="200" customFormat="1" ht="12" hidden="1" customHeight="1">
      <c r="A14165" s="199"/>
    </row>
    <row r="14166" spans="1:1" s="200" customFormat="1" ht="12" hidden="1" customHeight="1">
      <c r="A14166" s="199"/>
    </row>
    <row r="14167" spans="1:1" s="200" customFormat="1" ht="12" hidden="1" customHeight="1">
      <c r="A14167" s="199"/>
    </row>
    <row r="14168" spans="1:1" s="200" customFormat="1" ht="12" hidden="1" customHeight="1">
      <c r="A14168" s="199"/>
    </row>
    <row r="14169" spans="1:1" s="200" customFormat="1" ht="12" hidden="1" customHeight="1">
      <c r="A14169" s="199"/>
    </row>
    <row r="14170" spans="1:1" s="200" customFormat="1" ht="12" hidden="1" customHeight="1">
      <c r="A14170" s="199"/>
    </row>
    <row r="14171" spans="1:1" s="200" customFormat="1" ht="12" hidden="1" customHeight="1">
      <c r="A14171" s="199"/>
    </row>
    <row r="14172" spans="1:1" s="200" customFormat="1" ht="12" hidden="1" customHeight="1">
      <c r="A14172" s="199"/>
    </row>
    <row r="14173" spans="1:1" s="200" customFormat="1" ht="12" hidden="1" customHeight="1">
      <c r="A14173" s="199"/>
    </row>
    <row r="14174" spans="1:1" s="200" customFormat="1" ht="12" hidden="1" customHeight="1">
      <c r="A14174" s="199"/>
    </row>
    <row r="14175" spans="1:1" s="200" customFormat="1" ht="12" hidden="1" customHeight="1">
      <c r="A14175" s="199"/>
    </row>
    <row r="14176" spans="1:1" s="200" customFormat="1" ht="12" hidden="1" customHeight="1">
      <c r="A14176" s="199"/>
    </row>
    <row r="14177" spans="1:1" s="200" customFormat="1" ht="12" hidden="1" customHeight="1">
      <c r="A14177" s="199"/>
    </row>
    <row r="14178" spans="1:1" s="200" customFormat="1" ht="12" hidden="1" customHeight="1">
      <c r="A14178" s="199"/>
    </row>
    <row r="14179" spans="1:1" s="200" customFormat="1" ht="12" hidden="1" customHeight="1">
      <c r="A14179" s="199"/>
    </row>
    <row r="14180" spans="1:1" s="200" customFormat="1" ht="12" hidden="1" customHeight="1">
      <c r="A14180" s="199"/>
    </row>
    <row r="14181" spans="1:1" s="200" customFormat="1" ht="12" hidden="1" customHeight="1">
      <c r="A14181" s="199"/>
    </row>
    <row r="14182" spans="1:1" s="200" customFormat="1" ht="12" hidden="1" customHeight="1">
      <c r="A14182" s="199"/>
    </row>
    <row r="14183" spans="1:1" s="200" customFormat="1" ht="12" hidden="1" customHeight="1">
      <c r="A14183" s="199"/>
    </row>
    <row r="14184" spans="1:1" s="200" customFormat="1" ht="12" hidden="1" customHeight="1">
      <c r="A14184" s="199"/>
    </row>
    <row r="14185" spans="1:1" s="200" customFormat="1" ht="12" hidden="1" customHeight="1">
      <c r="A14185" s="199"/>
    </row>
    <row r="14186" spans="1:1" s="200" customFormat="1" ht="12" hidden="1" customHeight="1">
      <c r="A14186" s="199"/>
    </row>
    <row r="14187" spans="1:1" s="200" customFormat="1" ht="12" hidden="1" customHeight="1">
      <c r="A14187" s="199"/>
    </row>
    <row r="14188" spans="1:1" s="200" customFormat="1" ht="12" hidden="1" customHeight="1">
      <c r="A14188" s="199"/>
    </row>
    <row r="14189" spans="1:1" s="200" customFormat="1" ht="12" hidden="1" customHeight="1">
      <c r="A14189" s="199"/>
    </row>
    <row r="14190" spans="1:1" s="200" customFormat="1" ht="12" hidden="1" customHeight="1">
      <c r="A14190" s="199"/>
    </row>
    <row r="14191" spans="1:1" s="200" customFormat="1" ht="12" hidden="1" customHeight="1">
      <c r="A14191" s="199"/>
    </row>
    <row r="14192" spans="1:1" s="200" customFormat="1" ht="12" hidden="1" customHeight="1">
      <c r="A14192" s="199"/>
    </row>
    <row r="14193" spans="1:1" s="200" customFormat="1" ht="12" hidden="1" customHeight="1">
      <c r="A14193" s="199"/>
    </row>
    <row r="14194" spans="1:1" s="200" customFormat="1" ht="12" hidden="1" customHeight="1">
      <c r="A14194" s="199"/>
    </row>
    <row r="14195" spans="1:1" s="200" customFormat="1" ht="12" hidden="1" customHeight="1">
      <c r="A14195" s="199"/>
    </row>
    <row r="14196" spans="1:1" s="200" customFormat="1" ht="12" hidden="1" customHeight="1">
      <c r="A14196" s="199"/>
    </row>
    <row r="14197" spans="1:1" s="200" customFormat="1" ht="12" hidden="1" customHeight="1">
      <c r="A14197" s="199"/>
    </row>
    <row r="14198" spans="1:1" s="200" customFormat="1" ht="12" hidden="1" customHeight="1">
      <c r="A14198" s="199"/>
    </row>
    <row r="14199" spans="1:1" s="200" customFormat="1" ht="12" hidden="1" customHeight="1">
      <c r="A14199" s="199"/>
    </row>
    <row r="14200" spans="1:1" s="200" customFormat="1" ht="12" hidden="1" customHeight="1">
      <c r="A14200" s="199"/>
    </row>
    <row r="14201" spans="1:1" s="200" customFormat="1" ht="12" hidden="1" customHeight="1">
      <c r="A14201" s="199"/>
    </row>
    <row r="14202" spans="1:1" s="200" customFormat="1" ht="12" hidden="1" customHeight="1">
      <c r="A14202" s="199"/>
    </row>
    <row r="14203" spans="1:1" s="200" customFormat="1" ht="12" hidden="1" customHeight="1">
      <c r="A14203" s="199"/>
    </row>
    <row r="14204" spans="1:1" s="200" customFormat="1" ht="12" hidden="1" customHeight="1">
      <c r="A14204" s="199"/>
    </row>
    <row r="14205" spans="1:1" s="200" customFormat="1" ht="12" hidden="1" customHeight="1">
      <c r="A14205" s="199"/>
    </row>
    <row r="14206" spans="1:1" s="200" customFormat="1" ht="12" hidden="1" customHeight="1">
      <c r="A14206" s="199"/>
    </row>
    <row r="14207" spans="1:1" s="200" customFormat="1" ht="12" hidden="1" customHeight="1">
      <c r="A14207" s="199"/>
    </row>
    <row r="14208" spans="1:1" s="200" customFormat="1" ht="12" hidden="1" customHeight="1">
      <c r="A14208" s="199"/>
    </row>
    <row r="14209" spans="1:1" s="200" customFormat="1" ht="12" hidden="1" customHeight="1">
      <c r="A14209" s="199"/>
    </row>
    <row r="14210" spans="1:1" s="200" customFormat="1" ht="12" hidden="1" customHeight="1">
      <c r="A14210" s="199"/>
    </row>
    <row r="14211" spans="1:1" s="200" customFormat="1" ht="12" hidden="1" customHeight="1">
      <c r="A14211" s="199"/>
    </row>
    <row r="14212" spans="1:1" s="200" customFormat="1" ht="12" hidden="1" customHeight="1">
      <c r="A14212" s="199"/>
    </row>
    <row r="14213" spans="1:1" s="200" customFormat="1" ht="12" hidden="1" customHeight="1">
      <c r="A14213" s="199"/>
    </row>
    <row r="14214" spans="1:1" s="200" customFormat="1" ht="12" hidden="1" customHeight="1">
      <c r="A14214" s="199"/>
    </row>
    <row r="14215" spans="1:1" s="200" customFormat="1" ht="12" hidden="1" customHeight="1">
      <c r="A14215" s="199"/>
    </row>
    <row r="14216" spans="1:1" s="200" customFormat="1" ht="12" hidden="1" customHeight="1">
      <c r="A14216" s="199"/>
    </row>
    <row r="14217" spans="1:1" s="200" customFormat="1" ht="12" hidden="1" customHeight="1">
      <c r="A14217" s="199"/>
    </row>
    <row r="14218" spans="1:1" s="200" customFormat="1" ht="12" hidden="1" customHeight="1">
      <c r="A14218" s="199"/>
    </row>
    <row r="14219" spans="1:1" s="200" customFormat="1" ht="12" hidden="1" customHeight="1">
      <c r="A14219" s="199"/>
    </row>
    <row r="14220" spans="1:1" s="200" customFormat="1" ht="12" hidden="1" customHeight="1">
      <c r="A14220" s="199"/>
    </row>
    <row r="14221" spans="1:1" s="200" customFormat="1" ht="12" hidden="1" customHeight="1">
      <c r="A14221" s="199"/>
    </row>
    <row r="14222" spans="1:1" s="200" customFormat="1" ht="12" hidden="1" customHeight="1">
      <c r="A14222" s="199"/>
    </row>
    <row r="14223" spans="1:1" s="200" customFormat="1" ht="12" hidden="1" customHeight="1">
      <c r="A14223" s="199"/>
    </row>
    <row r="14224" spans="1:1" s="200" customFormat="1" ht="12" hidden="1" customHeight="1">
      <c r="A14224" s="199"/>
    </row>
    <row r="14225" spans="1:1" s="200" customFormat="1" ht="12" hidden="1" customHeight="1">
      <c r="A14225" s="199"/>
    </row>
    <row r="14226" spans="1:1" s="200" customFormat="1" ht="12" hidden="1" customHeight="1">
      <c r="A14226" s="199"/>
    </row>
    <row r="14227" spans="1:1" s="200" customFormat="1" ht="12" hidden="1" customHeight="1">
      <c r="A14227" s="199"/>
    </row>
    <row r="14228" spans="1:1" s="200" customFormat="1" ht="12" hidden="1" customHeight="1">
      <c r="A14228" s="199"/>
    </row>
    <row r="14229" spans="1:1" s="200" customFormat="1" ht="12" hidden="1" customHeight="1">
      <c r="A14229" s="199"/>
    </row>
    <row r="14230" spans="1:1" s="200" customFormat="1" ht="12" hidden="1" customHeight="1">
      <c r="A14230" s="199"/>
    </row>
    <row r="14231" spans="1:1" s="200" customFormat="1" ht="12" hidden="1" customHeight="1">
      <c r="A14231" s="199"/>
    </row>
    <row r="14232" spans="1:1" s="200" customFormat="1" ht="12" hidden="1" customHeight="1">
      <c r="A14232" s="199"/>
    </row>
    <row r="14233" spans="1:1" s="200" customFormat="1" ht="12" hidden="1" customHeight="1">
      <c r="A14233" s="199"/>
    </row>
    <row r="14234" spans="1:1" s="200" customFormat="1" ht="12" hidden="1" customHeight="1">
      <c r="A14234" s="199"/>
    </row>
    <row r="14235" spans="1:1" s="200" customFormat="1" ht="12" hidden="1" customHeight="1">
      <c r="A14235" s="199"/>
    </row>
    <row r="14236" spans="1:1" s="200" customFormat="1" ht="12" hidden="1" customHeight="1">
      <c r="A14236" s="199"/>
    </row>
    <row r="14237" spans="1:1" s="200" customFormat="1" ht="12" hidden="1" customHeight="1">
      <c r="A14237" s="199"/>
    </row>
    <row r="14238" spans="1:1" s="200" customFormat="1" ht="12" hidden="1" customHeight="1">
      <c r="A14238" s="199"/>
    </row>
    <row r="14239" spans="1:1" s="200" customFormat="1" ht="12" hidden="1" customHeight="1">
      <c r="A14239" s="199"/>
    </row>
    <row r="14240" spans="1:1" s="200" customFormat="1" ht="12" hidden="1" customHeight="1">
      <c r="A14240" s="199"/>
    </row>
    <row r="14241" spans="1:1" s="200" customFormat="1" ht="12" hidden="1" customHeight="1">
      <c r="A14241" s="199"/>
    </row>
    <row r="14242" spans="1:1" s="200" customFormat="1" ht="12" hidden="1" customHeight="1">
      <c r="A14242" s="199"/>
    </row>
    <row r="14243" spans="1:1" s="200" customFormat="1" ht="12" hidden="1" customHeight="1">
      <c r="A14243" s="199"/>
    </row>
    <row r="14244" spans="1:1" s="200" customFormat="1" ht="12" hidden="1" customHeight="1">
      <c r="A14244" s="199"/>
    </row>
    <row r="14245" spans="1:1" s="200" customFormat="1" ht="12" hidden="1" customHeight="1">
      <c r="A14245" s="199"/>
    </row>
    <row r="14246" spans="1:1" s="200" customFormat="1" ht="12" hidden="1" customHeight="1">
      <c r="A14246" s="199"/>
    </row>
    <row r="14247" spans="1:1" s="200" customFormat="1" ht="12" hidden="1" customHeight="1">
      <c r="A14247" s="199"/>
    </row>
    <row r="14248" spans="1:1" s="200" customFormat="1" ht="12" hidden="1" customHeight="1">
      <c r="A14248" s="199"/>
    </row>
    <row r="14249" spans="1:1" s="200" customFormat="1" ht="12" hidden="1" customHeight="1">
      <c r="A14249" s="199"/>
    </row>
    <row r="14250" spans="1:1" s="200" customFormat="1" ht="12" hidden="1" customHeight="1">
      <c r="A14250" s="199"/>
    </row>
    <row r="14251" spans="1:1" s="200" customFormat="1" ht="12" hidden="1" customHeight="1">
      <c r="A14251" s="199"/>
    </row>
    <row r="14252" spans="1:1" s="200" customFormat="1" ht="12" hidden="1" customHeight="1">
      <c r="A14252" s="199"/>
    </row>
    <row r="14253" spans="1:1" s="200" customFormat="1" ht="12" hidden="1" customHeight="1">
      <c r="A14253" s="199"/>
    </row>
    <row r="14254" spans="1:1" s="200" customFormat="1" ht="12" hidden="1" customHeight="1">
      <c r="A14254" s="199"/>
    </row>
    <row r="14255" spans="1:1" s="200" customFormat="1" ht="12" hidden="1" customHeight="1">
      <c r="A14255" s="199"/>
    </row>
    <row r="14256" spans="1:1" s="200" customFormat="1" ht="12" hidden="1" customHeight="1">
      <c r="A14256" s="199"/>
    </row>
    <row r="14257" spans="1:1" s="200" customFormat="1" ht="12" hidden="1" customHeight="1">
      <c r="A14257" s="199"/>
    </row>
    <row r="14258" spans="1:1" s="200" customFormat="1" ht="12" hidden="1" customHeight="1">
      <c r="A14258" s="199"/>
    </row>
    <row r="14259" spans="1:1" s="200" customFormat="1" ht="12" hidden="1" customHeight="1">
      <c r="A14259" s="199"/>
    </row>
    <row r="14260" spans="1:1" s="200" customFormat="1" ht="12" hidden="1" customHeight="1">
      <c r="A14260" s="199"/>
    </row>
    <row r="14261" spans="1:1" s="200" customFormat="1" ht="12" hidden="1" customHeight="1">
      <c r="A14261" s="199"/>
    </row>
    <row r="14262" spans="1:1" s="200" customFormat="1" ht="12" hidden="1" customHeight="1">
      <c r="A14262" s="199"/>
    </row>
    <row r="14263" spans="1:1" s="200" customFormat="1" ht="12" hidden="1" customHeight="1">
      <c r="A14263" s="199"/>
    </row>
    <row r="14264" spans="1:1" s="200" customFormat="1" ht="12" hidden="1" customHeight="1">
      <c r="A14264" s="199"/>
    </row>
    <row r="14265" spans="1:1" s="200" customFormat="1" ht="12" hidden="1" customHeight="1">
      <c r="A14265" s="199"/>
    </row>
    <row r="14266" spans="1:1" s="200" customFormat="1" ht="12" hidden="1" customHeight="1">
      <c r="A14266" s="199"/>
    </row>
    <row r="14267" spans="1:1" s="200" customFormat="1" ht="12" hidden="1" customHeight="1">
      <c r="A14267" s="199"/>
    </row>
    <row r="14268" spans="1:1" s="200" customFormat="1" ht="12" hidden="1" customHeight="1">
      <c r="A14268" s="199"/>
    </row>
    <row r="14269" spans="1:1" s="200" customFormat="1" ht="12" hidden="1" customHeight="1">
      <c r="A14269" s="199"/>
    </row>
    <row r="14270" spans="1:1" s="200" customFormat="1" ht="12" hidden="1" customHeight="1">
      <c r="A14270" s="199"/>
    </row>
    <row r="14271" spans="1:1" s="200" customFormat="1" ht="12" hidden="1" customHeight="1">
      <c r="A14271" s="199"/>
    </row>
    <row r="14272" spans="1:1" s="200" customFormat="1" ht="12" hidden="1" customHeight="1">
      <c r="A14272" s="199"/>
    </row>
    <row r="14273" spans="1:1" s="200" customFormat="1" ht="12" hidden="1" customHeight="1">
      <c r="A14273" s="199"/>
    </row>
    <row r="14274" spans="1:1" s="200" customFormat="1" ht="12" hidden="1" customHeight="1">
      <c r="A14274" s="199"/>
    </row>
    <row r="14275" spans="1:1" s="200" customFormat="1" ht="12" hidden="1" customHeight="1">
      <c r="A14275" s="199"/>
    </row>
    <row r="14276" spans="1:1" s="200" customFormat="1" ht="12" hidden="1" customHeight="1">
      <c r="A14276" s="199"/>
    </row>
    <row r="14277" spans="1:1" s="200" customFormat="1" ht="12" hidden="1" customHeight="1">
      <c r="A14277" s="199"/>
    </row>
    <row r="14278" spans="1:1" s="200" customFormat="1" ht="12" hidden="1" customHeight="1">
      <c r="A14278" s="199"/>
    </row>
    <row r="14279" spans="1:1" s="200" customFormat="1" ht="12" hidden="1" customHeight="1">
      <c r="A14279" s="199"/>
    </row>
    <row r="14280" spans="1:1" s="200" customFormat="1" ht="12" hidden="1" customHeight="1">
      <c r="A14280" s="199"/>
    </row>
    <row r="14281" spans="1:1" s="200" customFormat="1" ht="12" hidden="1" customHeight="1">
      <c r="A14281" s="199"/>
    </row>
    <row r="14282" spans="1:1" s="200" customFormat="1" ht="12" hidden="1" customHeight="1">
      <c r="A14282" s="199"/>
    </row>
    <row r="14283" spans="1:1" s="200" customFormat="1" ht="12" hidden="1" customHeight="1">
      <c r="A14283" s="199"/>
    </row>
    <row r="14284" spans="1:1" s="200" customFormat="1" ht="12" hidden="1" customHeight="1">
      <c r="A14284" s="199"/>
    </row>
    <row r="14285" spans="1:1" s="200" customFormat="1" ht="12" hidden="1" customHeight="1">
      <c r="A14285" s="199"/>
    </row>
    <row r="14286" spans="1:1" s="200" customFormat="1" ht="12" hidden="1" customHeight="1">
      <c r="A14286" s="199"/>
    </row>
    <row r="14287" spans="1:1" s="200" customFormat="1" ht="12" hidden="1" customHeight="1">
      <c r="A14287" s="199"/>
    </row>
    <row r="14288" spans="1:1" s="200" customFormat="1" ht="12" hidden="1" customHeight="1">
      <c r="A14288" s="199"/>
    </row>
    <row r="14289" spans="1:1" s="200" customFormat="1" ht="12" hidden="1" customHeight="1">
      <c r="A14289" s="199"/>
    </row>
    <row r="14290" spans="1:1" s="200" customFormat="1" ht="12" hidden="1" customHeight="1">
      <c r="A14290" s="199"/>
    </row>
    <row r="14291" spans="1:1" s="200" customFormat="1" ht="12" hidden="1" customHeight="1">
      <c r="A14291" s="199"/>
    </row>
    <row r="14292" spans="1:1" s="200" customFormat="1" ht="12" hidden="1" customHeight="1">
      <c r="A14292" s="199"/>
    </row>
    <row r="14293" spans="1:1" s="200" customFormat="1" ht="12" hidden="1" customHeight="1">
      <c r="A14293" s="199"/>
    </row>
    <row r="14294" spans="1:1" s="200" customFormat="1" ht="12" hidden="1" customHeight="1">
      <c r="A14294" s="199"/>
    </row>
    <row r="14295" spans="1:1" s="200" customFormat="1" ht="12" hidden="1" customHeight="1">
      <c r="A14295" s="199"/>
    </row>
    <row r="14296" spans="1:1" s="200" customFormat="1" ht="12" hidden="1" customHeight="1">
      <c r="A14296" s="199"/>
    </row>
    <row r="14297" spans="1:1" s="200" customFormat="1" ht="12" hidden="1" customHeight="1">
      <c r="A14297" s="199"/>
    </row>
    <row r="14298" spans="1:1" s="200" customFormat="1" ht="12" hidden="1" customHeight="1">
      <c r="A14298" s="199"/>
    </row>
    <row r="14299" spans="1:1" s="200" customFormat="1" ht="12" hidden="1" customHeight="1">
      <c r="A14299" s="199"/>
    </row>
    <row r="14300" spans="1:1" s="200" customFormat="1" ht="12" hidden="1" customHeight="1">
      <c r="A14300" s="199"/>
    </row>
    <row r="14301" spans="1:1" s="200" customFormat="1" ht="12" hidden="1" customHeight="1">
      <c r="A14301" s="199"/>
    </row>
    <row r="14302" spans="1:1" s="200" customFormat="1" ht="12" hidden="1" customHeight="1">
      <c r="A14302" s="199"/>
    </row>
    <row r="14303" spans="1:1" s="200" customFormat="1" ht="12" hidden="1" customHeight="1">
      <c r="A14303" s="199"/>
    </row>
    <row r="14304" spans="1:1" s="200" customFormat="1" ht="12" hidden="1" customHeight="1">
      <c r="A14304" s="199"/>
    </row>
    <row r="14305" spans="1:1" s="200" customFormat="1" ht="12" hidden="1" customHeight="1">
      <c r="A14305" s="199"/>
    </row>
    <row r="14306" spans="1:1" s="200" customFormat="1" ht="12" hidden="1" customHeight="1">
      <c r="A14306" s="199"/>
    </row>
    <row r="14307" spans="1:1" s="200" customFormat="1" ht="12" hidden="1" customHeight="1">
      <c r="A14307" s="199"/>
    </row>
    <row r="14308" spans="1:1" s="200" customFormat="1" ht="12" hidden="1" customHeight="1">
      <c r="A14308" s="199"/>
    </row>
    <row r="14309" spans="1:1" s="200" customFormat="1" ht="12" hidden="1" customHeight="1">
      <c r="A14309" s="199"/>
    </row>
    <row r="14310" spans="1:1" s="200" customFormat="1" ht="12" hidden="1" customHeight="1">
      <c r="A14310" s="199"/>
    </row>
    <row r="14311" spans="1:1" s="200" customFormat="1" ht="12" hidden="1" customHeight="1">
      <c r="A14311" s="199"/>
    </row>
    <row r="14312" spans="1:1" s="200" customFormat="1" ht="12" hidden="1" customHeight="1">
      <c r="A14312" s="199"/>
    </row>
    <row r="14313" spans="1:1" s="200" customFormat="1" ht="12" hidden="1" customHeight="1">
      <c r="A14313" s="199"/>
    </row>
    <row r="14314" spans="1:1" s="200" customFormat="1" ht="12" hidden="1" customHeight="1">
      <c r="A14314" s="199"/>
    </row>
    <row r="14315" spans="1:1" s="200" customFormat="1" ht="12" hidden="1" customHeight="1">
      <c r="A14315" s="199"/>
    </row>
    <row r="14316" spans="1:1" s="200" customFormat="1" ht="12" hidden="1" customHeight="1">
      <c r="A14316" s="199"/>
    </row>
    <row r="14317" spans="1:1" s="200" customFormat="1" ht="12" hidden="1" customHeight="1">
      <c r="A14317" s="199"/>
    </row>
    <row r="14318" spans="1:1" s="200" customFormat="1" ht="12" hidden="1" customHeight="1">
      <c r="A14318" s="199"/>
    </row>
    <row r="14319" spans="1:1" s="200" customFormat="1" ht="12" hidden="1" customHeight="1">
      <c r="A14319" s="199"/>
    </row>
    <row r="14320" spans="1:1" s="200" customFormat="1" ht="12" hidden="1" customHeight="1">
      <c r="A14320" s="199"/>
    </row>
    <row r="14321" spans="1:1" s="200" customFormat="1" ht="12" hidden="1" customHeight="1">
      <c r="A14321" s="199"/>
    </row>
    <row r="14322" spans="1:1" s="200" customFormat="1" ht="12" hidden="1" customHeight="1">
      <c r="A14322" s="199"/>
    </row>
    <row r="14323" spans="1:1" s="200" customFormat="1" ht="12" hidden="1" customHeight="1">
      <c r="A14323" s="199"/>
    </row>
    <row r="14324" spans="1:1" s="200" customFormat="1" ht="12" hidden="1" customHeight="1">
      <c r="A14324" s="199"/>
    </row>
    <row r="14325" spans="1:1" s="200" customFormat="1" ht="12" hidden="1" customHeight="1">
      <c r="A14325" s="199"/>
    </row>
    <row r="14326" spans="1:1" s="200" customFormat="1" ht="12" hidden="1" customHeight="1">
      <c r="A14326" s="199"/>
    </row>
    <row r="14327" spans="1:1" s="200" customFormat="1" ht="12" hidden="1" customHeight="1">
      <c r="A14327" s="199"/>
    </row>
    <row r="14328" spans="1:1" s="200" customFormat="1" ht="12" hidden="1" customHeight="1">
      <c r="A14328" s="199"/>
    </row>
    <row r="14329" spans="1:1" s="200" customFormat="1" ht="12" hidden="1" customHeight="1">
      <c r="A14329" s="199"/>
    </row>
    <row r="14330" spans="1:1" s="200" customFormat="1" ht="12" hidden="1" customHeight="1">
      <c r="A14330" s="199"/>
    </row>
    <row r="14331" spans="1:1" s="200" customFormat="1" ht="12" hidden="1" customHeight="1">
      <c r="A14331" s="199"/>
    </row>
    <row r="14332" spans="1:1" s="200" customFormat="1" ht="12" hidden="1" customHeight="1">
      <c r="A14332" s="199"/>
    </row>
    <row r="14333" spans="1:1" s="200" customFormat="1" ht="12" hidden="1" customHeight="1">
      <c r="A14333" s="199"/>
    </row>
    <row r="14334" spans="1:1" s="200" customFormat="1" ht="12" hidden="1" customHeight="1">
      <c r="A14334" s="199"/>
    </row>
    <row r="14335" spans="1:1" s="200" customFormat="1" ht="12" hidden="1" customHeight="1">
      <c r="A14335" s="199"/>
    </row>
    <row r="14336" spans="1:1" s="200" customFormat="1" ht="12" hidden="1" customHeight="1">
      <c r="A14336" s="199"/>
    </row>
    <row r="14337" spans="1:1" s="200" customFormat="1" ht="12" hidden="1" customHeight="1">
      <c r="A14337" s="199"/>
    </row>
    <row r="14338" spans="1:1" s="200" customFormat="1" ht="12" hidden="1" customHeight="1">
      <c r="A14338" s="199"/>
    </row>
    <row r="14339" spans="1:1" s="200" customFormat="1" ht="12" hidden="1" customHeight="1">
      <c r="A14339" s="199"/>
    </row>
    <row r="14340" spans="1:1" s="200" customFormat="1" ht="12" hidden="1" customHeight="1">
      <c r="A14340" s="199"/>
    </row>
    <row r="14341" spans="1:1" s="200" customFormat="1" ht="12" hidden="1" customHeight="1">
      <c r="A14341" s="199"/>
    </row>
    <row r="14342" spans="1:1" s="200" customFormat="1" ht="12" hidden="1" customHeight="1">
      <c r="A14342" s="199"/>
    </row>
    <row r="14343" spans="1:1" s="200" customFormat="1" ht="12" hidden="1" customHeight="1">
      <c r="A14343" s="199"/>
    </row>
    <row r="14344" spans="1:1" s="200" customFormat="1" ht="12" hidden="1" customHeight="1">
      <c r="A14344" s="199"/>
    </row>
    <row r="14345" spans="1:1" s="200" customFormat="1" ht="12" hidden="1" customHeight="1">
      <c r="A14345" s="199"/>
    </row>
    <row r="14346" spans="1:1" s="200" customFormat="1" ht="12" hidden="1" customHeight="1">
      <c r="A14346" s="199"/>
    </row>
    <row r="14347" spans="1:1" s="200" customFormat="1" ht="12" hidden="1" customHeight="1">
      <c r="A14347" s="199"/>
    </row>
    <row r="14348" spans="1:1" s="200" customFormat="1" ht="12" hidden="1" customHeight="1">
      <c r="A14348" s="199"/>
    </row>
    <row r="14349" spans="1:1" s="200" customFormat="1" ht="12" hidden="1" customHeight="1">
      <c r="A14349" s="199"/>
    </row>
    <row r="14350" spans="1:1" s="200" customFormat="1" ht="12" hidden="1" customHeight="1">
      <c r="A14350" s="199"/>
    </row>
    <row r="14351" spans="1:1" s="200" customFormat="1" ht="12" hidden="1" customHeight="1">
      <c r="A14351" s="199"/>
    </row>
    <row r="14352" spans="1:1" s="200" customFormat="1" ht="12" hidden="1" customHeight="1">
      <c r="A14352" s="199"/>
    </row>
    <row r="14353" spans="1:1" s="200" customFormat="1" ht="12" hidden="1" customHeight="1">
      <c r="A14353" s="199"/>
    </row>
    <row r="14354" spans="1:1" s="200" customFormat="1" ht="12" hidden="1" customHeight="1">
      <c r="A14354" s="199"/>
    </row>
    <row r="14355" spans="1:1" s="200" customFormat="1" ht="12" hidden="1" customHeight="1">
      <c r="A14355" s="199"/>
    </row>
    <row r="14356" spans="1:1" s="200" customFormat="1" ht="12" hidden="1" customHeight="1">
      <c r="A14356" s="199"/>
    </row>
    <row r="14357" spans="1:1" s="200" customFormat="1" ht="12" hidden="1" customHeight="1">
      <c r="A14357" s="199"/>
    </row>
    <row r="14358" spans="1:1" s="200" customFormat="1" ht="12" hidden="1" customHeight="1">
      <c r="A14358" s="199"/>
    </row>
    <row r="14359" spans="1:1" s="200" customFormat="1" ht="12" hidden="1" customHeight="1">
      <c r="A14359" s="199"/>
    </row>
    <row r="14360" spans="1:1" s="200" customFormat="1" ht="12" hidden="1" customHeight="1">
      <c r="A14360" s="199"/>
    </row>
    <row r="14361" spans="1:1" s="200" customFormat="1" ht="12" hidden="1" customHeight="1">
      <c r="A14361" s="199"/>
    </row>
    <row r="14362" spans="1:1" s="200" customFormat="1" ht="12" hidden="1" customHeight="1">
      <c r="A14362" s="199"/>
    </row>
    <row r="14363" spans="1:1" s="200" customFormat="1" ht="12" hidden="1" customHeight="1">
      <c r="A14363" s="199"/>
    </row>
    <row r="14364" spans="1:1" s="200" customFormat="1" ht="12" hidden="1" customHeight="1">
      <c r="A14364" s="199"/>
    </row>
    <row r="14365" spans="1:1" s="200" customFormat="1" ht="12" hidden="1" customHeight="1">
      <c r="A14365" s="199"/>
    </row>
    <row r="14366" spans="1:1" s="200" customFormat="1" ht="12" hidden="1" customHeight="1">
      <c r="A14366" s="199"/>
    </row>
    <row r="14367" spans="1:1" s="200" customFormat="1" ht="12" hidden="1" customHeight="1">
      <c r="A14367" s="199"/>
    </row>
    <row r="14368" spans="1:1" s="200" customFormat="1" ht="12" hidden="1" customHeight="1">
      <c r="A14368" s="199"/>
    </row>
    <row r="14369" spans="1:1" s="200" customFormat="1" ht="12" hidden="1" customHeight="1">
      <c r="A14369" s="199"/>
    </row>
    <row r="14370" spans="1:1" s="200" customFormat="1" ht="12" hidden="1" customHeight="1">
      <c r="A14370" s="199"/>
    </row>
    <row r="14371" spans="1:1" s="200" customFormat="1" ht="12" hidden="1" customHeight="1">
      <c r="A14371" s="199"/>
    </row>
    <row r="14372" spans="1:1" s="200" customFormat="1" ht="12" hidden="1" customHeight="1">
      <c r="A14372" s="199"/>
    </row>
    <row r="14373" spans="1:1" s="200" customFormat="1" ht="12" hidden="1" customHeight="1">
      <c r="A14373" s="199"/>
    </row>
    <row r="14374" spans="1:1" s="200" customFormat="1" ht="12" hidden="1" customHeight="1">
      <c r="A14374" s="199"/>
    </row>
    <row r="14375" spans="1:1" s="200" customFormat="1" ht="12" hidden="1" customHeight="1">
      <c r="A14375" s="199"/>
    </row>
    <row r="14376" spans="1:1" s="200" customFormat="1" ht="12" hidden="1" customHeight="1">
      <c r="A14376" s="199"/>
    </row>
    <row r="14377" spans="1:1" s="200" customFormat="1" ht="12" hidden="1" customHeight="1">
      <c r="A14377" s="199"/>
    </row>
    <row r="14378" spans="1:1" s="200" customFormat="1" ht="12" hidden="1" customHeight="1">
      <c r="A14378" s="199"/>
    </row>
    <row r="14379" spans="1:1" s="200" customFormat="1" ht="12" hidden="1" customHeight="1">
      <c r="A14379" s="199"/>
    </row>
    <row r="14380" spans="1:1" s="200" customFormat="1" ht="12" hidden="1" customHeight="1">
      <c r="A14380" s="199"/>
    </row>
    <row r="14381" spans="1:1" s="200" customFormat="1" ht="12" hidden="1" customHeight="1">
      <c r="A14381" s="199"/>
    </row>
    <row r="14382" spans="1:1" s="200" customFormat="1" ht="12" hidden="1" customHeight="1">
      <c r="A14382" s="199"/>
    </row>
    <row r="14383" spans="1:1" s="200" customFormat="1" ht="12" hidden="1" customHeight="1">
      <c r="A14383" s="199"/>
    </row>
    <row r="14384" spans="1:1" s="200" customFormat="1" ht="12" hidden="1" customHeight="1">
      <c r="A14384" s="199"/>
    </row>
    <row r="14385" spans="1:1" s="200" customFormat="1" ht="12" hidden="1" customHeight="1">
      <c r="A14385" s="199"/>
    </row>
    <row r="14386" spans="1:1" s="200" customFormat="1" ht="12" hidden="1" customHeight="1">
      <c r="A14386" s="199"/>
    </row>
    <row r="14387" spans="1:1" s="200" customFormat="1" ht="12" hidden="1" customHeight="1">
      <c r="A14387" s="199"/>
    </row>
    <row r="14388" spans="1:1" s="200" customFormat="1" ht="12" hidden="1" customHeight="1">
      <c r="A14388" s="199"/>
    </row>
    <row r="14389" spans="1:1" s="200" customFormat="1" ht="12" hidden="1" customHeight="1">
      <c r="A14389" s="199"/>
    </row>
    <row r="14390" spans="1:1" s="200" customFormat="1" ht="12" hidden="1" customHeight="1">
      <c r="A14390" s="199"/>
    </row>
    <row r="14391" spans="1:1" s="200" customFormat="1" ht="12" hidden="1" customHeight="1">
      <c r="A14391" s="199"/>
    </row>
    <row r="14392" spans="1:1" s="200" customFormat="1" ht="12" hidden="1" customHeight="1">
      <c r="A14392" s="199"/>
    </row>
    <row r="14393" spans="1:1" s="200" customFormat="1" ht="12" hidden="1" customHeight="1">
      <c r="A14393" s="199"/>
    </row>
    <row r="14394" spans="1:1" s="200" customFormat="1" ht="12" hidden="1" customHeight="1">
      <c r="A14394" s="199"/>
    </row>
    <row r="14395" spans="1:1" s="200" customFormat="1" ht="12" hidden="1" customHeight="1">
      <c r="A14395" s="199"/>
    </row>
    <row r="14396" spans="1:1" s="200" customFormat="1" ht="12" hidden="1" customHeight="1">
      <c r="A14396" s="199"/>
    </row>
    <row r="14397" spans="1:1" s="200" customFormat="1" ht="12" hidden="1" customHeight="1">
      <c r="A14397" s="199"/>
    </row>
    <row r="14398" spans="1:1" s="200" customFormat="1" ht="12" hidden="1" customHeight="1">
      <c r="A14398" s="199"/>
    </row>
    <row r="14399" spans="1:1" s="200" customFormat="1" ht="12" hidden="1" customHeight="1">
      <c r="A14399" s="199"/>
    </row>
    <row r="14400" spans="1:1" s="200" customFormat="1" ht="12" hidden="1" customHeight="1">
      <c r="A14400" s="199"/>
    </row>
    <row r="14401" spans="1:1" s="200" customFormat="1" ht="12" hidden="1" customHeight="1">
      <c r="A14401" s="199"/>
    </row>
    <row r="14402" spans="1:1" s="200" customFormat="1" ht="12" hidden="1" customHeight="1">
      <c r="A14402" s="199"/>
    </row>
    <row r="14403" spans="1:1" s="200" customFormat="1" ht="12" hidden="1" customHeight="1">
      <c r="A14403" s="199"/>
    </row>
    <row r="14404" spans="1:1" s="200" customFormat="1" ht="12" hidden="1" customHeight="1">
      <c r="A14404" s="199"/>
    </row>
    <row r="14405" spans="1:1" s="200" customFormat="1" ht="12" hidden="1" customHeight="1">
      <c r="A14405" s="199"/>
    </row>
    <row r="14406" spans="1:1" s="200" customFormat="1" ht="12" hidden="1" customHeight="1">
      <c r="A14406" s="199"/>
    </row>
    <row r="14407" spans="1:1" s="200" customFormat="1" ht="12" hidden="1" customHeight="1">
      <c r="A14407" s="199"/>
    </row>
    <row r="14408" spans="1:1" s="200" customFormat="1" ht="12" hidden="1" customHeight="1">
      <c r="A14408" s="199"/>
    </row>
    <row r="14409" spans="1:1" s="200" customFormat="1" ht="12" hidden="1" customHeight="1">
      <c r="A14409" s="199"/>
    </row>
    <row r="14410" spans="1:1" s="200" customFormat="1" ht="12" hidden="1" customHeight="1">
      <c r="A14410" s="199"/>
    </row>
    <row r="14411" spans="1:1" s="200" customFormat="1" ht="12" hidden="1" customHeight="1">
      <c r="A14411" s="199"/>
    </row>
    <row r="14412" spans="1:1" s="200" customFormat="1" ht="12" hidden="1" customHeight="1">
      <c r="A14412" s="199"/>
    </row>
    <row r="14413" spans="1:1" s="200" customFormat="1" ht="12" hidden="1" customHeight="1">
      <c r="A14413" s="199"/>
    </row>
    <row r="14414" spans="1:1" s="200" customFormat="1" ht="12" hidden="1" customHeight="1">
      <c r="A14414" s="199"/>
    </row>
    <row r="14415" spans="1:1" s="200" customFormat="1" ht="12" hidden="1" customHeight="1">
      <c r="A14415" s="199"/>
    </row>
    <row r="14416" spans="1:1" s="200" customFormat="1" ht="12" hidden="1" customHeight="1">
      <c r="A14416" s="199"/>
    </row>
    <row r="14417" spans="1:1" s="200" customFormat="1" ht="12" hidden="1" customHeight="1">
      <c r="A14417" s="199"/>
    </row>
    <row r="14418" spans="1:1" s="200" customFormat="1" ht="12" hidden="1" customHeight="1">
      <c r="A14418" s="199"/>
    </row>
    <row r="14419" spans="1:1" s="200" customFormat="1" ht="12" hidden="1" customHeight="1">
      <c r="A14419" s="199"/>
    </row>
    <row r="14420" spans="1:1" s="200" customFormat="1" ht="12" hidden="1" customHeight="1">
      <c r="A14420" s="199"/>
    </row>
    <row r="14421" spans="1:1" s="200" customFormat="1" ht="12" hidden="1" customHeight="1">
      <c r="A14421" s="199"/>
    </row>
    <row r="14422" spans="1:1" s="200" customFormat="1" ht="12" hidden="1" customHeight="1">
      <c r="A14422" s="199"/>
    </row>
    <row r="14423" spans="1:1" s="200" customFormat="1" ht="12" hidden="1" customHeight="1">
      <c r="A14423" s="199"/>
    </row>
    <row r="14424" spans="1:1" s="200" customFormat="1" ht="12" hidden="1" customHeight="1">
      <c r="A14424" s="199"/>
    </row>
    <row r="14425" spans="1:1" s="200" customFormat="1" ht="12" hidden="1" customHeight="1">
      <c r="A14425" s="199"/>
    </row>
    <row r="14426" spans="1:1" s="200" customFormat="1" ht="12" hidden="1" customHeight="1">
      <c r="A14426" s="199"/>
    </row>
    <row r="14427" spans="1:1" s="200" customFormat="1" ht="12" hidden="1" customHeight="1">
      <c r="A14427" s="199"/>
    </row>
    <row r="14428" spans="1:1" s="200" customFormat="1" ht="12" hidden="1" customHeight="1">
      <c r="A14428" s="199"/>
    </row>
    <row r="14429" spans="1:1" s="200" customFormat="1" ht="12" hidden="1" customHeight="1">
      <c r="A14429" s="199"/>
    </row>
    <row r="14430" spans="1:1" s="200" customFormat="1" ht="12" hidden="1" customHeight="1">
      <c r="A14430" s="199"/>
    </row>
    <row r="14431" spans="1:1" s="200" customFormat="1" ht="12" hidden="1" customHeight="1">
      <c r="A14431" s="199"/>
    </row>
    <row r="14432" spans="1:1" s="200" customFormat="1" ht="12" hidden="1" customHeight="1">
      <c r="A14432" s="199"/>
    </row>
    <row r="14433" spans="1:1" s="200" customFormat="1" ht="12" hidden="1" customHeight="1">
      <c r="A14433" s="199"/>
    </row>
    <row r="14434" spans="1:1" s="200" customFormat="1" ht="12" hidden="1" customHeight="1">
      <c r="A14434" s="199"/>
    </row>
    <row r="14435" spans="1:1" s="200" customFormat="1" ht="12" hidden="1" customHeight="1">
      <c r="A14435" s="199"/>
    </row>
    <row r="14436" spans="1:1" s="200" customFormat="1" ht="12" hidden="1" customHeight="1">
      <c r="A14436" s="199"/>
    </row>
    <row r="14437" spans="1:1" s="200" customFormat="1" ht="12" hidden="1" customHeight="1">
      <c r="A14437" s="199"/>
    </row>
    <row r="14438" spans="1:1" s="200" customFormat="1" ht="12" hidden="1" customHeight="1">
      <c r="A14438" s="199"/>
    </row>
    <row r="14439" spans="1:1" s="200" customFormat="1" ht="12" hidden="1" customHeight="1">
      <c r="A14439" s="199"/>
    </row>
    <row r="14440" spans="1:1" s="200" customFormat="1" ht="12" hidden="1" customHeight="1">
      <c r="A14440" s="199"/>
    </row>
    <row r="14441" spans="1:1" s="200" customFormat="1" ht="12" hidden="1" customHeight="1">
      <c r="A14441" s="199"/>
    </row>
    <row r="14442" spans="1:1" s="200" customFormat="1" ht="12" hidden="1" customHeight="1">
      <c r="A14442" s="199"/>
    </row>
    <row r="14443" spans="1:1" s="200" customFormat="1" ht="12" hidden="1" customHeight="1">
      <c r="A14443" s="199"/>
    </row>
    <row r="14444" spans="1:1" s="200" customFormat="1" ht="12" hidden="1" customHeight="1">
      <c r="A14444" s="199"/>
    </row>
    <row r="14445" spans="1:1" s="200" customFormat="1" ht="12" hidden="1" customHeight="1">
      <c r="A14445" s="199"/>
    </row>
    <row r="14446" spans="1:1" s="200" customFormat="1" ht="12" hidden="1" customHeight="1">
      <c r="A14446" s="199"/>
    </row>
    <row r="14447" spans="1:1" s="200" customFormat="1" ht="12" hidden="1" customHeight="1">
      <c r="A14447" s="199"/>
    </row>
    <row r="14448" spans="1:1" s="200" customFormat="1" ht="12" hidden="1" customHeight="1">
      <c r="A14448" s="199"/>
    </row>
    <row r="14449" spans="1:1" s="200" customFormat="1" ht="12" hidden="1" customHeight="1">
      <c r="A14449" s="199"/>
    </row>
    <row r="14450" spans="1:1" s="200" customFormat="1" ht="12" hidden="1" customHeight="1">
      <c r="A14450" s="199"/>
    </row>
    <row r="14451" spans="1:1" s="200" customFormat="1" ht="12" hidden="1" customHeight="1">
      <c r="A14451" s="199"/>
    </row>
    <row r="14452" spans="1:1" s="200" customFormat="1" ht="12" hidden="1" customHeight="1">
      <c r="A14452" s="199"/>
    </row>
    <row r="14453" spans="1:1" s="200" customFormat="1" ht="12" hidden="1" customHeight="1">
      <c r="A14453" s="199"/>
    </row>
    <row r="14454" spans="1:1" s="200" customFormat="1" ht="12" hidden="1" customHeight="1">
      <c r="A14454" s="199"/>
    </row>
    <row r="14455" spans="1:1" s="200" customFormat="1" ht="12" hidden="1" customHeight="1">
      <c r="A14455" s="199"/>
    </row>
    <row r="14456" spans="1:1" s="200" customFormat="1" ht="12" hidden="1" customHeight="1">
      <c r="A14456" s="199"/>
    </row>
    <row r="14457" spans="1:1" s="200" customFormat="1" ht="12" hidden="1" customHeight="1">
      <c r="A14457" s="199"/>
    </row>
    <row r="14458" spans="1:1" s="200" customFormat="1" ht="12" hidden="1" customHeight="1">
      <c r="A14458" s="199"/>
    </row>
    <row r="14459" spans="1:1" s="200" customFormat="1" ht="12" hidden="1" customHeight="1">
      <c r="A14459" s="199"/>
    </row>
    <row r="14460" spans="1:1" s="200" customFormat="1" ht="12" hidden="1" customHeight="1">
      <c r="A14460" s="199"/>
    </row>
    <row r="14461" spans="1:1" s="200" customFormat="1" ht="12" hidden="1" customHeight="1">
      <c r="A14461" s="199"/>
    </row>
    <row r="14462" spans="1:1" s="200" customFormat="1" ht="12" hidden="1" customHeight="1">
      <c r="A14462" s="199"/>
    </row>
    <row r="14463" spans="1:1" s="200" customFormat="1" ht="12" hidden="1" customHeight="1">
      <c r="A14463" s="199"/>
    </row>
    <row r="14464" spans="1:1" s="200" customFormat="1" ht="12" hidden="1" customHeight="1">
      <c r="A14464" s="199"/>
    </row>
    <row r="14465" spans="1:1" s="200" customFormat="1" ht="12" hidden="1" customHeight="1">
      <c r="A14465" s="199"/>
    </row>
    <row r="14466" spans="1:1" s="200" customFormat="1" ht="12" hidden="1" customHeight="1">
      <c r="A14466" s="199"/>
    </row>
    <row r="14467" spans="1:1" s="200" customFormat="1" ht="12" hidden="1" customHeight="1">
      <c r="A14467" s="199"/>
    </row>
    <row r="14468" spans="1:1" s="200" customFormat="1" ht="12" hidden="1" customHeight="1">
      <c r="A14468" s="199"/>
    </row>
    <row r="14469" spans="1:1" s="200" customFormat="1" ht="12" hidden="1" customHeight="1">
      <c r="A14469" s="199"/>
    </row>
    <row r="14470" spans="1:1" s="200" customFormat="1" ht="12" hidden="1" customHeight="1">
      <c r="A14470" s="199"/>
    </row>
    <row r="14471" spans="1:1" s="200" customFormat="1" ht="12" hidden="1" customHeight="1">
      <c r="A14471" s="199"/>
    </row>
    <row r="14472" spans="1:1" s="200" customFormat="1" ht="12" hidden="1" customHeight="1">
      <c r="A14472" s="199"/>
    </row>
    <row r="14473" spans="1:1" s="200" customFormat="1" ht="12" hidden="1" customHeight="1">
      <c r="A14473" s="199"/>
    </row>
    <row r="14474" spans="1:1" s="200" customFormat="1" ht="12" hidden="1" customHeight="1">
      <c r="A14474" s="199"/>
    </row>
    <row r="14475" spans="1:1" s="200" customFormat="1" ht="12" hidden="1" customHeight="1">
      <c r="A14475" s="199"/>
    </row>
    <row r="14476" spans="1:1" s="200" customFormat="1" ht="12" hidden="1" customHeight="1">
      <c r="A14476" s="199"/>
    </row>
    <row r="14477" spans="1:1" s="200" customFormat="1" ht="12" hidden="1" customHeight="1">
      <c r="A14477" s="199"/>
    </row>
    <row r="14478" spans="1:1" s="200" customFormat="1" ht="12" hidden="1" customHeight="1">
      <c r="A14478" s="199"/>
    </row>
    <row r="14479" spans="1:1" s="200" customFormat="1" ht="12" hidden="1" customHeight="1">
      <c r="A14479" s="199"/>
    </row>
    <row r="14480" spans="1:1" s="200" customFormat="1" ht="12" hidden="1" customHeight="1">
      <c r="A14480" s="199"/>
    </row>
    <row r="14481" spans="1:1" s="200" customFormat="1" ht="12" hidden="1" customHeight="1">
      <c r="A14481" s="199"/>
    </row>
    <row r="14482" spans="1:1" s="200" customFormat="1" ht="12" hidden="1" customHeight="1">
      <c r="A14482" s="199"/>
    </row>
    <row r="14483" spans="1:1" s="200" customFormat="1" ht="12" hidden="1" customHeight="1">
      <c r="A14483" s="199"/>
    </row>
    <row r="14484" spans="1:1" s="200" customFormat="1" ht="12" hidden="1" customHeight="1">
      <c r="A14484" s="199"/>
    </row>
    <row r="14485" spans="1:1" s="200" customFormat="1" ht="12" hidden="1" customHeight="1">
      <c r="A14485" s="199"/>
    </row>
    <row r="14486" spans="1:1" s="200" customFormat="1" ht="12" hidden="1" customHeight="1">
      <c r="A14486" s="199"/>
    </row>
    <row r="14487" spans="1:1" s="200" customFormat="1" ht="12" hidden="1" customHeight="1">
      <c r="A14487" s="199"/>
    </row>
    <row r="14488" spans="1:1" s="200" customFormat="1" ht="12" hidden="1" customHeight="1">
      <c r="A14488" s="199"/>
    </row>
    <row r="14489" spans="1:1" s="200" customFormat="1" ht="12" hidden="1" customHeight="1">
      <c r="A14489" s="199"/>
    </row>
    <row r="14490" spans="1:1" s="200" customFormat="1" ht="12" hidden="1" customHeight="1">
      <c r="A14490" s="199"/>
    </row>
    <row r="14491" spans="1:1" s="200" customFormat="1" ht="12" hidden="1" customHeight="1">
      <c r="A14491" s="199"/>
    </row>
    <row r="14492" spans="1:1" s="200" customFormat="1" ht="12" hidden="1" customHeight="1">
      <c r="A14492" s="199"/>
    </row>
    <row r="14493" spans="1:1" s="200" customFormat="1" ht="12" hidden="1" customHeight="1">
      <c r="A14493" s="199"/>
    </row>
    <row r="14494" spans="1:1" s="200" customFormat="1" ht="12" hidden="1" customHeight="1">
      <c r="A14494" s="199"/>
    </row>
    <row r="14495" spans="1:1" s="200" customFormat="1" ht="12" hidden="1" customHeight="1">
      <c r="A14495" s="199"/>
    </row>
    <row r="14496" spans="1:1" s="200" customFormat="1" ht="12" hidden="1" customHeight="1">
      <c r="A14496" s="199"/>
    </row>
    <row r="14497" spans="1:1" s="200" customFormat="1" ht="12" hidden="1" customHeight="1">
      <c r="A14497" s="199"/>
    </row>
    <row r="14498" spans="1:1" s="200" customFormat="1" ht="12" hidden="1" customHeight="1">
      <c r="A14498" s="199"/>
    </row>
    <row r="14499" spans="1:1" s="200" customFormat="1" ht="12" hidden="1" customHeight="1">
      <c r="A14499" s="199"/>
    </row>
    <row r="14500" spans="1:1" s="200" customFormat="1" ht="12" hidden="1" customHeight="1">
      <c r="A14500" s="199"/>
    </row>
    <row r="14501" spans="1:1" s="200" customFormat="1" ht="12" hidden="1" customHeight="1">
      <c r="A14501" s="199"/>
    </row>
    <row r="14502" spans="1:1" s="200" customFormat="1" ht="12" hidden="1" customHeight="1">
      <c r="A14502" s="199"/>
    </row>
    <row r="14503" spans="1:1" s="200" customFormat="1" ht="12" hidden="1" customHeight="1">
      <c r="A14503" s="199"/>
    </row>
    <row r="14504" spans="1:1" s="200" customFormat="1" ht="12" hidden="1" customHeight="1">
      <c r="A14504" s="199"/>
    </row>
    <row r="14505" spans="1:1" s="200" customFormat="1" ht="12" hidden="1" customHeight="1">
      <c r="A14505" s="199"/>
    </row>
    <row r="14506" spans="1:1" s="200" customFormat="1" ht="12" hidden="1" customHeight="1">
      <c r="A14506" s="199"/>
    </row>
    <row r="14507" spans="1:1" s="200" customFormat="1" ht="12" hidden="1" customHeight="1">
      <c r="A14507" s="199"/>
    </row>
    <row r="14508" spans="1:1" s="200" customFormat="1" ht="12" hidden="1" customHeight="1">
      <c r="A14508" s="199"/>
    </row>
    <row r="14509" spans="1:1" s="200" customFormat="1" ht="12" hidden="1" customHeight="1">
      <c r="A14509" s="199"/>
    </row>
    <row r="14510" spans="1:1" s="200" customFormat="1" ht="12" hidden="1" customHeight="1">
      <c r="A14510" s="199"/>
    </row>
    <row r="14511" spans="1:1" s="200" customFormat="1" ht="12" hidden="1" customHeight="1">
      <c r="A14511" s="199"/>
    </row>
    <row r="14512" spans="1:1" s="200" customFormat="1" ht="12" hidden="1" customHeight="1">
      <c r="A14512" s="199"/>
    </row>
    <row r="14513" spans="1:1" s="200" customFormat="1" ht="12" hidden="1" customHeight="1">
      <c r="A14513" s="199"/>
    </row>
    <row r="14514" spans="1:1" s="200" customFormat="1" ht="12" hidden="1" customHeight="1">
      <c r="A14514" s="199"/>
    </row>
    <row r="14515" spans="1:1" s="200" customFormat="1" ht="12" hidden="1" customHeight="1">
      <c r="A14515" s="199"/>
    </row>
    <row r="14516" spans="1:1" s="200" customFormat="1" ht="12" hidden="1" customHeight="1">
      <c r="A14516" s="199"/>
    </row>
    <row r="14517" spans="1:1" s="200" customFormat="1" ht="12" hidden="1" customHeight="1">
      <c r="A14517" s="199"/>
    </row>
    <row r="14518" spans="1:1" s="200" customFormat="1" ht="12" hidden="1" customHeight="1">
      <c r="A14518" s="199"/>
    </row>
    <row r="14519" spans="1:1" s="200" customFormat="1" ht="12" hidden="1" customHeight="1">
      <c r="A14519" s="199"/>
    </row>
    <row r="14520" spans="1:1" s="200" customFormat="1" ht="12" hidden="1" customHeight="1">
      <c r="A14520" s="199"/>
    </row>
    <row r="14521" spans="1:1" s="200" customFormat="1" ht="12" hidden="1" customHeight="1">
      <c r="A14521" s="199"/>
    </row>
    <row r="14522" spans="1:1" s="200" customFormat="1" ht="12" hidden="1" customHeight="1">
      <c r="A14522" s="199"/>
    </row>
    <row r="14523" spans="1:1" s="200" customFormat="1" ht="12" hidden="1" customHeight="1">
      <c r="A14523" s="199"/>
    </row>
    <row r="14524" spans="1:1" s="200" customFormat="1" ht="12" hidden="1" customHeight="1">
      <c r="A14524" s="199"/>
    </row>
    <row r="14525" spans="1:1" s="200" customFormat="1" ht="12" hidden="1" customHeight="1">
      <c r="A14525" s="199"/>
    </row>
    <row r="14526" spans="1:1" s="200" customFormat="1" ht="12" hidden="1" customHeight="1">
      <c r="A14526" s="199"/>
    </row>
    <row r="14527" spans="1:1" s="200" customFormat="1" ht="12" hidden="1" customHeight="1">
      <c r="A14527" s="199"/>
    </row>
    <row r="14528" spans="1:1" s="200" customFormat="1" ht="12" hidden="1" customHeight="1">
      <c r="A14528" s="199"/>
    </row>
    <row r="14529" spans="1:1" s="200" customFormat="1" ht="12" hidden="1" customHeight="1">
      <c r="A14529" s="199"/>
    </row>
    <row r="14530" spans="1:1" s="200" customFormat="1" ht="12" hidden="1" customHeight="1">
      <c r="A14530" s="199"/>
    </row>
    <row r="14531" spans="1:1" s="200" customFormat="1" ht="12" hidden="1" customHeight="1">
      <c r="A14531" s="199"/>
    </row>
    <row r="14532" spans="1:1" s="200" customFormat="1" ht="12" hidden="1" customHeight="1">
      <c r="A14532" s="199"/>
    </row>
    <row r="14533" spans="1:1" s="200" customFormat="1" ht="12" hidden="1" customHeight="1">
      <c r="A14533" s="199"/>
    </row>
    <row r="14534" spans="1:1" s="200" customFormat="1" ht="12" hidden="1" customHeight="1">
      <c r="A14534" s="199"/>
    </row>
    <row r="14535" spans="1:1" s="200" customFormat="1" ht="12" hidden="1" customHeight="1">
      <c r="A14535" s="199"/>
    </row>
    <row r="14536" spans="1:1" s="200" customFormat="1" ht="12" hidden="1" customHeight="1">
      <c r="A14536" s="199"/>
    </row>
    <row r="14537" spans="1:1" s="200" customFormat="1" ht="12" hidden="1" customHeight="1">
      <c r="A14537" s="199"/>
    </row>
    <row r="14538" spans="1:1" s="200" customFormat="1" ht="12" hidden="1" customHeight="1">
      <c r="A14538" s="199"/>
    </row>
    <row r="14539" spans="1:1" s="200" customFormat="1" ht="12" hidden="1" customHeight="1">
      <c r="A14539" s="199"/>
    </row>
    <row r="14540" spans="1:1" s="200" customFormat="1" ht="12" hidden="1" customHeight="1">
      <c r="A14540" s="199"/>
    </row>
    <row r="14541" spans="1:1" s="200" customFormat="1" ht="12" hidden="1" customHeight="1">
      <c r="A14541" s="199"/>
    </row>
    <row r="14542" spans="1:1" s="200" customFormat="1" ht="12" hidden="1" customHeight="1">
      <c r="A14542" s="199"/>
    </row>
    <row r="14543" spans="1:1" s="200" customFormat="1" ht="12" hidden="1" customHeight="1">
      <c r="A14543" s="199"/>
    </row>
    <row r="14544" spans="1:1" s="200" customFormat="1" ht="12" hidden="1" customHeight="1">
      <c r="A14544" s="199"/>
    </row>
    <row r="14545" spans="1:1" s="200" customFormat="1" ht="12" hidden="1" customHeight="1">
      <c r="A14545" s="199"/>
    </row>
    <row r="14546" spans="1:1" s="200" customFormat="1" ht="12" hidden="1" customHeight="1">
      <c r="A14546" s="199"/>
    </row>
    <row r="14547" spans="1:1" s="200" customFormat="1" ht="12" hidden="1" customHeight="1">
      <c r="A14547" s="199"/>
    </row>
    <row r="14548" spans="1:1" s="200" customFormat="1" ht="12" hidden="1" customHeight="1">
      <c r="A14548" s="199"/>
    </row>
    <row r="14549" spans="1:1" s="200" customFormat="1" ht="12" hidden="1" customHeight="1">
      <c r="A14549" s="199"/>
    </row>
    <row r="14550" spans="1:1" s="200" customFormat="1" ht="12" hidden="1" customHeight="1">
      <c r="A14550" s="199"/>
    </row>
    <row r="14551" spans="1:1" s="200" customFormat="1" ht="12" hidden="1" customHeight="1">
      <c r="A14551" s="199"/>
    </row>
    <row r="14552" spans="1:1" s="200" customFormat="1" ht="12" hidden="1" customHeight="1">
      <c r="A14552" s="199"/>
    </row>
    <row r="14553" spans="1:1" s="200" customFormat="1" ht="12" hidden="1" customHeight="1">
      <c r="A14553" s="199"/>
    </row>
    <row r="14554" spans="1:1" s="200" customFormat="1" ht="12" hidden="1" customHeight="1">
      <c r="A14554" s="199"/>
    </row>
    <row r="14555" spans="1:1" s="200" customFormat="1" ht="12" hidden="1" customHeight="1">
      <c r="A14555" s="199"/>
    </row>
    <row r="14556" spans="1:1" s="200" customFormat="1" ht="12" hidden="1" customHeight="1">
      <c r="A14556" s="199"/>
    </row>
    <row r="14557" spans="1:1" s="200" customFormat="1" ht="12" hidden="1" customHeight="1">
      <c r="A14557" s="199"/>
    </row>
    <row r="14558" spans="1:1" s="200" customFormat="1" ht="12" hidden="1" customHeight="1">
      <c r="A14558" s="199"/>
    </row>
    <row r="14559" spans="1:1" s="200" customFormat="1" ht="12" hidden="1" customHeight="1">
      <c r="A14559" s="199"/>
    </row>
    <row r="14560" spans="1:1" s="200" customFormat="1" ht="12" hidden="1" customHeight="1">
      <c r="A14560" s="199"/>
    </row>
    <row r="14561" spans="1:1" s="200" customFormat="1" ht="12" hidden="1" customHeight="1">
      <c r="A14561" s="199"/>
    </row>
    <row r="14562" spans="1:1" s="200" customFormat="1" ht="12" hidden="1" customHeight="1">
      <c r="A14562" s="199"/>
    </row>
    <row r="14563" spans="1:1" s="200" customFormat="1" ht="12" hidden="1" customHeight="1">
      <c r="A14563" s="199"/>
    </row>
    <row r="14564" spans="1:1" s="200" customFormat="1" ht="12" hidden="1" customHeight="1">
      <c r="A14564" s="199"/>
    </row>
    <row r="14565" spans="1:1" s="200" customFormat="1" ht="12" hidden="1" customHeight="1">
      <c r="A14565" s="199"/>
    </row>
    <row r="14566" spans="1:1" s="200" customFormat="1" ht="12" hidden="1" customHeight="1">
      <c r="A14566" s="199"/>
    </row>
    <row r="14567" spans="1:1" s="200" customFormat="1" ht="12" hidden="1" customHeight="1">
      <c r="A14567" s="199"/>
    </row>
    <row r="14568" spans="1:1" s="200" customFormat="1" ht="12" hidden="1" customHeight="1">
      <c r="A14568" s="199"/>
    </row>
    <row r="14569" spans="1:1" s="200" customFormat="1" ht="12" hidden="1" customHeight="1">
      <c r="A14569" s="199"/>
    </row>
    <row r="14570" spans="1:1" s="200" customFormat="1" ht="12" hidden="1" customHeight="1">
      <c r="A14570" s="199"/>
    </row>
    <row r="14571" spans="1:1" s="200" customFormat="1" ht="12" hidden="1" customHeight="1">
      <c r="A14571" s="199"/>
    </row>
    <row r="14572" spans="1:1" s="200" customFormat="1" ht="12" hidden="1" customHeight="1">
      <c r="A14572" s="199"/>
    </row>
    <row r="14573" spans="1:1" s="200" customFormat="1" ht="12" hidden="1" customHeight="1">
      <c r="A14573" s="199"/>
    </row>
    <row r="14574" spans="1:1" s="200" customFormat="1" ht="12" hidden="1" customHeight="1">
      <c r="A14574" s="199"/>
    </row>
    <row r="14575" spans="1:1" s="200" customFormat="1" ht="12" hidden="1" customHeight="1">
      <c r="A14575" s="199"/>
    </row>
    <row r="14576" spans="1:1" s="200" customFormat="1" ht="12" hidden="1" customHeight="1">
      <c r="A14576" s="199"/>
    </row>
    <row r="14577" spans="1:1" s="200" customFormat="1" ht="12" hidden="1" customHeight="1">
      <c r="A14577" s="199"/>
    </row>
    <row r="14578" spans="1:1" s="200" customFormat="1" ht="12" hidden="1" customHeight="1">
      <c r="A14578" s="199"/>
    </row>
    <row r="14579" spans="1:1" s="200" customFormat="1" ht="12" hidden="1" customHeight="1">
      <c r="A14579" s="199"/>
    </row>
    <row r="14580" spans="1:1" s="200" customFormat="1" ht="12" hidden="1" customHeight="1">
      <c r="A14580" s="199"/>
    </row>
    <row r="14581" spans="1:1" s="200" customFormat="1" ht="12" hidden="1" customHeight="1">
      <c r="A14581" s="199"/>
    </row>
    <row r="14582" spans="1:1" s="200" customFormat="1" ht="12" hidden="1" customHeight="1">
      <c r="A14582" s="199"/>
    </row>
    <row r="14583" spans="1:1" s="200" customFormat="1" ht="12" hidden="1" customHeight="1">
      <c r="A14583" s="199"/>
    </row>
    <row r="14584" spans="1:1" s="200" customFormat="1" ht="12" hidden="1" customHeight="1">
      <c r="A14584" s="199"/>
    </row>
    <row r="14585" spans="1:1" s="200" customFormat="1" ht="12" hidden="1" customHeight="1">
      <c r="A14585" s="199"/>
    </row>
    <row r="14586" spans="1:1" s="200" customFormat="1" ht="12" hidden="1" customHeight="1">
      <c r="A14586" s="199"/>
    </row>
    <row r="14587" spans="1:1" s="200" customFormat="1" ht="12" hidden="1" customHeight="1">
      <c r="A14587" s="199"/>
    </row>
    <row r="14588" spans="1:1" s="200" customFormat="1" ht="12" hidden="1" customHeight="1">
      <c r="A14588" s="199"/>
    </row>
    <row r="14589" spans="1:1" s="200" customFormat="1" ht="12" hidden="1" customHeight="1">
      <c r="A14589" s="199"/>
    </row>
    <row r="14590" spans="1:1" s="200" customFormat="1" ht="12" hidden="1" customHeight="1">
      <c r="A14590" s="199"/>
    </row>
    <row r="14591" spans="1:1" s="200" customFormat="1" ht="12" hidden="1" customHeight="1">
      <c r="A14591" s="199"/>
    </row>
    <row r="14592" spans="1:1" s="200" customFormat="1" ht="12" hidden="1" customHeight="1">
      <c r="A14592" s="199"/>
    </row>
    <row r="14593" spans="1:1" s="200" customFormat="1" ht="12" hidden="1" customHeight="1">
      <c r="A14593" s="199"/>
    </row>
    <row r="14594" spans="1:1" s="200" customFormat="1" ht="12" hidden="1" customHeight="1">
      <c r="A14594" s="199"/>
    </row>
    <row r="14595" spans="1:1" s="200" customFormat="1" ht="12" hidden="1" customHeight="1">
      <c r="A14595" s="199"/>
    </row>
    <row r="14596" spans="1:1" s="200" customFormat="1" ht="12" hidden="1" customHeight="1">
      <c r="A14596" s="199"/>
    </row>
    <row r="14597" spans="1:1" s="200" customFormat="1" ht="12" hidden="1" customHeight="1">
      <c r="A14597" s="199"/>
    </row>
    <row r="14598" spans="1:1" s="200" customFormat="1" ht="12" hidden="1" customHeight="1">
      <c r="A14598" s="199"/>
    </row>
    <row r="14599" spans="1:1" s="200" customFormat="1" ht="12" hidden="1" customHeight="1">
      <c r="A14599" s="199"/>
    </row>
    <row r="14600" spans="1:1" s="200" customFormat="1" ht="12" hidden="1" customHeight="1">
      <c r="A14600" s="199"/>
    </row>
    <row r="14601" spans="1:1" s="200" customFormat="1" ht="12" hidden="1" customHeight="1">
      <c r="A14601" s="199"/>
    </row>
    <row r="14602" spans="1:1" s="200" customFormat="1" ht="12" hidden="1" customHeight="1">
      <c r="A14602" s="199"/>
    </row>
    <row r="14603" spans="1:1" s="200" customFormat="1" ht="12" hidden="1" customHeight="1">
      <c r="A14603" s="199"/>
    </row>
    <row r="14604" spans="1:1" s="200" customFormat="1" ht="12" hidden="1" customHeight="1">
      <c r="A14604" s="199"/>
    </row>
    <row r="14605" spans="1:1" s="200" customFormat="1" ht="12" hidden="1" customHeight="1">
      <c r="A14605" s="199"/>
    </row>
    <row r="14606" spans="1:1" s="200" customFormat="1" ht="12" hidden="1" customHeight="1">
      <c r="A14606" s="199"/>
    </row>
    <row r="14607" spans="1:1" s="200" customFormat="1" ht="12" hidden="1" customHeight="1">
      <c r="A14607" s="199"/>
    </row>
    <row r="14608" spans="1:1" s="200" customFormat="1" ht="12" hidden="1" customHeight="1">
      <c r="A14608" s="199"/>
    </row>
    <row r="14609" spans="1:1" s="200" customFormat="1" ht="12" hidden="1" customHeight="1">
      <c r="A14609" s="199"/>
    </row>
    <row r="14610" spans="1:1" s="200" customFormat="1" ht="12" hidden="1" customHeight="1">
      <c r="A14610" s="199"/>
    </row>
    <row r="14611" spans="1:1" s="200" customFormat="1" ht="12" hidden="1" customHeight="1">
      <c r="A14611" s="199"/>
    </row>
    <row r="14612" spans="1:1" s="200" customFormat="1" ht="12" hidden="1" customHeight="1">
      <c r="A14612" s="199"/>
    </row>
    <row r="14613" spans="1:1" s="200" customFormat="1" ht="12" hidden="1" customHeight="1">
      <c r="A14613" s="199"/>
    </row>
    <row r="14614" spans="1:1" s="200" customFormat="1" ht="12" hidden="1" customHeight="1">
      <c r="A14614" s="199"/>
    </row>
    <row r="14615" spans="1:1" s="200" customFormat="1" ht="12" hidden="1" customHeight="1">
      <c r="A14615" s="199"/>
    </row>
    <row r="14616" spans="1:1" s="200" customFormat="1" ht="12" hidden="1" customHeight="1">
      <c r="A14616" s="199"/>
    </row>
    <row r="14617" spans="1:1" s="200" customFormat="1" ht="12" hidden="1" customHeight="1">
      <c r="A14617" s="199"/>
    </row>
    <row r="14618" spans="1:1" s="200" customFormat="1" ht="12" hidden="1" customHeight="1">
      <c r="A14618" s="199"/>
    </row>
    <row r="14619" spans="1:1" s="200" customFormat="1" ht="12" hidden="1" customHeight="1">
      <c r="A14619" s="199"/>
    </row>
    <row r="14620" spans="1:1" s="200" customFormat="1" ht="12" hidden="1" customHeight="1">
      <c r="A14620" s="199"/>
    </row>
    <row r="14621" spans="1:1" s="200" customFormat="1" ht="12" hidden="1" customHeight="1">
      <c r="A14621" s="199"/>
    </row>
    <row r="14622" spans="1:1" s="200" customFormat="1" ht="12" hidden="1" customHeight="1">
      <c r="A14622" s="199"/>
    </row>
    <row r="14623" spans="1:1" s="200" customFormat="1" ht="12" hidden="1" customHeight="1">
      <c r="A14623" s="199"/>
    </row>
    <row r="14624" spans="1:1" s="200" customFormat="1" ht="12" hidden="1" customHeight="1">
      <c r="A14624" s="199"/>
    </row>
    <row r="14625" spans="1:1" s="200" customFormat="1" ht="12" hidden="1" customHeight="1">
      <c r="A14625" s="199"/>
    </row>
    <row r="14626" spans="1:1" s="200" customFormat="1" ht="12" hidden="1" customHeight="1">
      <c r="A14626" s="199"/>
    </row>
    <row r="14627" spans="1:1" s="200" customFormat="1" ht="12" hidden="1" customHeight="1">
      <c r="A14627" s="199"/>
    </row>
    <row r="14628" spans="1:1" s="200" customFormat="1" ht="12" hidden="1" customHeight="1">
      <c r="A14628" s="199"/>
    </row>
    <row r="14629" spans="1:1" s="200" customFormat="1" ht="12" hidden="1" customHeight="1">
      <c r="A14629" s="199"/>
    </row>
    <row r="14630" spans="1:1" s="200" customFormat="1" ht="12" hidden="1" customHeight="1">
      <c r="A14630" s="199"/>
    </row>
    <row r="14631" spans="1:1" s="200" customFormat="1" ht="12" hidden="1" customHeight="1">
      <c r="A14631" s="199"/>
    </row>
    <row r="14632" spans="1:1" s="200" customFormat="1" ht="12" hidden="1" customHeight="1">
      <c r="A14632" s="199"/>
    </row>
    <row r="14633" spans="1:1" s="200" customFormat="1" ht="12" hidden="1" customHeight="1">
      <c r="A14633" s="199"/>
    </row>
    <row r="14634" spans="1:1" s="200" customFormat="1" ht="12" hidden="1" customHeight="1">
      <c r="A14634" s="199"/>
    </row>
    <row r="14635" spans="1:1" s="200" customFormat="1" ht="12" hidden="1" customHeight="1">
      <c r="A14635" s="199"/>
    </row>
    <row r="14636" spans="1:1" s="200" customFormat="1" ht="12" hidden="1" customHeight="1">
      <c r="A14636" s="199"/>
    </row>
    <row r="14637" spans="1:1" s="200" customFormat="1" ht="12" hidden="1" customHeight="1">
      <c r="A14637" s="199"/>
    </row>
    <row r="14638" spans="1:1" s="200" customFormat="1" ht="12" hidden="1" customHeight="1">
      <c r="A14638" s="199"/>
    </row>
    <row r="14639" spans="1:1" s="200" customFormat="1" ht="12" hidden="1" customHeight="1">
      <c r="A14639" s="199"/>
    </row>
    <row r="14640" spans="1:1" s="200" customFormat="1" ht="12" hidden="1" customHeight="1">
      <c r="A14640" s="199"/>
    </row>
    <row r="14641" spans="1:1" s="200" customFormat="1" ht="12" hidden="1" customHeight="1">
      <c r="A14641" s="199"/>
    </row>
    <row r="14642" spans="1:1" s="200" customFormat="1" ht="12" hidden="1" customHeight="1">
      <c r="A14642" s="199"/>
    </row>
    <row r="14643" spans="1:1" s="200" customFormat="1" ht="12" hidden="1" customHeight="1">
      <c r="A14643" s="199"/>
    </row>
    <row r="14644" spans="1:1" s="200" customFormat="1" ht="12" hidden="1" customHeight="1">
      <c r="A14644" s="199"/>
    </row>
    <row r="14645" spans="1:1" s="200" customFormat="1" ht="12" hidden="1" customHeight="1">
      <c r="A14645" s="199"/>
    </row>
    <row r="14646" spans="1:1" s="200" customFormat="1" ht="12" hidden="1" customHeight="1">
      <c r="A14646" s="199"/>
    </row>
    <row r="14647" spans="1:1" s="200" customFormat="1" ht="12" hidden="1" customHeight="1">
      <c r="A14647" s="199"/>
    </row>
    <row r="14648" spans="1:1" s="200" customFormat="1" ht="12" hidden="1" customHeight="1">
      <c r="A14648" s="199"/>
    </row>
    <row r="14649" spans="1:1" s="200" customFormat="1" ht="12" hidden="1" customHeight="1">
      <c r="A14649" s="199"/>
    </row>
    <row r="14650" spans="1:1" s="200" customFormat="1" ht="12" hidden="1" customHeight="1">
      <c r="A14650" s="199"/>
    </row>
    <row r="14651" spans="1:1" s="200" customFormat="1" ht="12" hidden="1" customHeight="1">
      <c r="A14651" s="199"/>
    </row>
    <row r="14652" spans="1:1" s="200" customFormat="1" ht="12" hidden="1" customHeight="1">
      <c r="A14652" s="199"/>
    </row>
    <row r="14653" spans="1:1" s="200" customFormat="1" ht="12" hidden="1" customHeight="1">
      <c r="A14653" s="199"/>
    </row>
    <row r="14654" spans="1:1" s="200" customFormat="1" ht="12" hidden="1" customHeight="1">
      <c r="A14654" s="199"/>
    </row>
    <row r="14655" spans="1:1" s="200" customFormat="1" ht="12" hidden="1" customHeight="1">
      <c r="A14655" s="199"/>
    </row>
    <row r="14656" spans="1:1" s="200" customFormat="1" ht="12" hidden="1" customHeight="1">
      <c r="A14656" s="199"/>
    </row>
    <row r="14657" spans="1:1" s="200" customFormat="1" ht="12" hidden="1" customHeight="1">
      <c r="A14657" s="199"/>
    </row>
    <row r="14658" spans="1:1" s="200" customFormat="1" ht="12" hidden="1" customHeight="1">
      <c r="A14658" s="199"/>
    </row>
    <row r="14659" spans="1:1" s="200" customFormat="1" ht="12" hidden="1" customHeight="1">
      <c r="A14659" s="199"/>
    </row>
    <row r="14660" spans="1:1" s="200" customFormat="1" ht="12" hidden="1" customHeight="1">
      <c r="A14660" s="199"/>
    </row>
    <row r="14661" spans="1:1" s="200" customFormat="1" ht="12" hidden="1" customHeight="1">
      <c r="A14661" s="199"/>
    </row>
    <row r="14662" spans="1:1" s="200" customFormat="1" ht="12" hidden="1" customHeight="1">
      <c r="A14662" s="199"/>
    </row>
    <row r="14663" spans="1:1" s="200" customFormat="1" ht="12" hidden="1" customHeight="1">
      <c r="A14663" s="199"/>
    </row>
    <row r="14664" spans="1:1" s="200" customFormat="1" ht="12" hidden="1" customHeight="1">
      <c r="A14664" s="199"/>
    </row>
    <row r="14665" spans="1:1" s="200" customFormat="1" ht="12" hidden="1" customHeight="1">
      <c r="A14665" s="199"/>
    </row>
    <row r="14666" spans="1:1" s="200" customFormat="1" ht="12" hidden="1" customHeight="1">
      <c r="A14666" s="199"/>
    </row>
    <row r="14667" spans="1:1" s="200" customFormat="1" ht="12" hidden="1" customHeight="1">
      <c r="A14667" s="199"/>
    </row>
    <row r="14668" spans="1:1" s="200" customFormat="1" ht="12" hidden="1" customHeight="1">
      <c r="A14668" s="199"/>
    </row>
    <row r="14669" spans="1:1" s="200" customFormat="1" ht="12" hidden="1" customHeight="1">
      <c r="A14669" s="199"/>
    </row>
    <row r="14670" spans="1:1" s="200" customFormat="1" ht="12" hidden="1" customHeight="1">
      <c r="A14670" s="199"/>
    </row>
    <row r="14671" spans="1:1" s="200" customFormat="1" ht="12" hidden="1" customHeight="1">
      <c r="A14671" s="199"/>
    </row>
    <row r="14672" spans="1:1" s="200" customFormat="1" ht="12" hidden="1" customHeight="1">
      <c r="A14672" s="199"/>
    </row>
    <row r="14673" spans="1:1" s="200" customFormat="1" ht="12" hidden="1" customHeight="1">
      <c r="A14673" s="199"/>
    </row>
    <row r="14674" spans="1:1" s="200" customFormat="1" ht="12" hidden="1" customHeight="1">
      <c r="A14674" s="199"/>
    </row>
    <row r="14675" spans="1:1" s="200" customFormat="1" ht="12" hidden="1" customHeight="1">
      <c r="A14675" s="199"/>
    </row>
    <row r="14676" spans="1:1" s="200" customFormat="1" ht="12" hidden="1" customHeight="1">
      <c r="A14676" s="199"/>
    </row>
    <row r="14677" spans="1:1" s="200" customFormat="1" ht="12" hidden="1" customHeight="1">
      <c r="A14677" s="199"/>
    </row>
    <row r="14678" spans="1:1" s="200" customFormat="1" ht="12" hidden="1" customHeight="1">
      <c r="A14678" s="199"/>
    </row>
    <row r="14679" spans="1:1" s="200" customFormat="1" ht="12" hidden="1" customHeight="1">
      <c r="A14679" s="199"/>
    </row>
    <row r="14680" spans="1:1" s="200" customFormat="1" ht="12" hidden="1" customHeight="1">
      <c r="A14680" s="199"/>
    </row>
    <row r="14681" spans="1:1" s="200" customFormat="1" ht="12" hidden="1" customHeight="1">
      <c r="A14681" s="199"/>
    </row>
    <row r="14682" spans="1:1" s="200" customFormat="1" ht="12" hidden="1" customHeight="1">
      <c r="A14682" s="199"/>
    </row>
    <row r="14683" spans="1:1" s="200" customFormat="1" ht="12" hidden="1" customHeight="1">
      <c r="A14683" s="199"/>
    </row>
    <row r="14684" spans="1:1" s="200" customFormat="1" ht="12" hidden="1" customHeight="1">
      <c r="A14684" s="199"/>
    </row>
    <row r="14685" spans="1:1" s="200" customFormat="1" ht="12" hidden="1" customHeight="1">
      <c r="A14685" s="199"/>
    </row>
    <row r="14686" spans="1:1" s="200" customFormat="1" ht="12" hidden="1" customHeight="1">
      <c r="A14686" s="199"/>
    </row>
    <row r="14687" spans="1:1" s="200" customFormat="1" ht="12" hidden="1" customHeight="1">
      <c r="A14687" s="199"/>
    </row>
    <row r="14688" spans="1:1" s="200" customFormat="1" ht="12" hidden="1" customHeight="1">
      <c r="A14688" s="199"/>
    </row>
    <row r="14689" spans="1:1" s="200" customFormat="1" ht="12" hidden="1" customHeight="1">
      <c r="A14689" s="199"/>
    </row>
    <row r="14690" spans="1:1" s="200" customFormat="1" ht="12" hidden="1" customHeight="1">
      <c r="A14690" s="199"/>
    </row>
    <row r="14691" spans="1:1" s="200" customFormat="1" ht="12" hidden="1" customHeight="1">
      <c r="A14691" s="199"/>
    </row>
    <row r="14692" spans="1:1" s="200" customFormat="1" ht="12" hidden="1" customHeight="1">
      <c r="A14692" s="199"/>
    </row>
    <row r="14693" spans="1:1" s="200" customFormat="1" ht="12" hidden="1" customHeight="1">
      <c r="A14693" s="199"/>
    </row>
    <row r="14694" spans="1:1" s="200" customFormat="1" ht="12" hidden="1" customHeight="1">
      <c r="A14694" s="199"/>
    </row>
    <row r="14695" spans="1:1" s="200" customFormat="1" ht="12" hidden="1" customHeight="1">
      <c r="A14695" s="199"/>
    </row>
    <row r="14696" spans="1:1" s="200" customFormat="1" ht="12" hidden="1" customHeight="1">
      <c r="A14696" s="199"/>
    </row>
    <row r="14697" spans="1:1" s="200" customFormat="1" ht="12" hidden="1" customHeight="1">
      <c r="A14697" s="199"/>
    </row>
    <row r="14698" spans="1:1" s="200" customFormat="1" ht="12" hidden="1" customHeight="1">
      <c r="A14698" s="199"/>
    </row>
    <row r="14699" spans="1:1" s="200" customFormat="1" ht="12" hidden="1" customHeight="1">
      <c r="A14699" s="199"/>
    </row>
    <row r="14700" spans="1:1" s="200" customFormat="1" ht="12" hidden="1" customHeight="1">
      <c r="A14700" s="199"/>
    </row>
    <row r="14701" spans="1:1" s="200" customFormat="1" ht="12" hidden="1" customHeight="1">
      <c r="A14701" s="199"/>
    </row>
    <row r="14702" spans="1:1" s="200" customFormat="1" ht="12" hidden="1" customHeight="1">
      <c r="A14702" s="199"/>
    </row>
    <row r="14703" spans="1:1" s="200" customFormat="1" ht="12" hidden="1" customHeight="1">
      <c r="A14703" s="199"/>
    </row>
    <row r="14704" spans="1:1" s="200" customFormat="1" ht="12" hidden="1" customHeight="1">
      <c r="A14704" s="199"/>
    </row>
    <row r="14705" spans="1:1" s="200" customFormat="1" ht="12" hidden="1" customHeight="1">
      <c r="A14705" s="199"/>
    </row>
    <row r="14706" spans="1:1" s="200" customFormat="1" ht="12" hidden="1" customHeight="1">
      <c r="A14706" s="199"/>
    </row>
    <row r="14707" spans="1:1" s="200" customFormat="1" ht="12" hidden="1" customHeight="1">
      <c r="A14707" s="199"/>
    </row>
    <row r="14708" spans="1:1" s="200" customFormat="1" ht="12" hidden="1" customHeight="1">
      <c r="A14708" s="199"/>
    </row>
    <row r="14709" spans="1:1" s="200" customFormat="1" ht="12" hidden="1" customHeight="1">
      <c r="A14709" s="199"/>
    </row>
    <row r="14710" spans="1:1" s="200" customFormat="1" ht="12" hidden="1" customHeight="1">
      <c r="A14710" s="199"/>
    </row>
    <row r="14711" spans="1:1" s="200" customFormat="1" ht="12" hidden="1" customHeight="1">
      <c r="A14711" s="199"/>
    </row>
    <row r="14712" spans="1:1" s="200" customFormat="1" ht="12" hidden="1" customHeight="1">
      <c r="A14712" s="199"/>
    </row>
    <row r="14713" spans="1:1" s="200" customFormat="1" ht="12" hidden="1" customHeight="1">
      <c r="A14713" s="199"/>
    </row>
    <row r="14714" spans="1:1" s="200" customFormat="1" ht="12" hidden="1" customHeight="1">
      <c r="A14714" s="199"/>
    </row>
    <row r="14715" spans="1:1" s="200" customFormat="1" ht="12" hidden="1" customHeight="1">
      <c r="A14715" s="199"/>
    </row>
    <row r="14716" spans="1:1" s="200" customFormat="1" ht="12" hidden="1" customHeight="1">
      <c r="A14716" s="199"/>
    </row>
    <row r="14717" spans="1:1" s="200" customFormat="1" ht="12" hidden="1" customHeight="1">
      <c r="A14717" s="199"/>
    </row>
    <row r="14718" spans="1:1" s="200" customFormat="1" ht="12" hidden="1" customHeight="1">
      <c r="A14718" s="199"/>
    </row>
    <row r="14719" spans="1:1" s="200" customFormat="1" ht="12" hidden="1" customHeight="1">
      <c r="A14719" s="199"/>
    </row>
    <row r="14720" spans="1:1" s="200" customFormat="1" ht="12" hidden="1" customHeight="1">
      <c r="A14720" s="199"/>
    </row>
    <row r="14721" spans="1:1" s="200" customFormat="1" ht="12" hidden="1" customHeight="1">
      <c r="A14721" s="199"/>
    </row>
    <row r="14722" spans="1:1" s="200" customFormat="1" ht="12" hidden="1" customHeight="1">
      <c r="A14722" s="199"/>
    </row>
    <row r="14723" spans="1:1" s="200" customFormat="1" ht="12" hidden="1" customHeight="1">
      <c r="A14723" s="199"/>
    </row>
    <row r="14724" spans="1:1" s="200" customFormat="1" ht="12" hidden="1" customHeight="1">
      <c r="A14724" s="199"/>
    </row>
    <row r="14725" spans="1:1" s="200" customFormat="1" ht="12" hidden="1" customHeight="1">
      <c r="A14725" s="199"/>
    </row>
    <row r="14726" spans="1:1" s="200" customFormat="1" ht="12" hidden="1" customHeight="1">
      <c r="A14726" s="199"/>
    </row>
    <row r="14727" spans="1:1" s="200" customFormat="1" ht="12" hidden="1" customHeight="1">
      <c r="A14727" s="199"/>
    </row>
    <row r="14728" spans="1:1" s="200" customFormat="1" ht="12" hidden="1" customHeight="1">
      <c r="A14728" s="199"/>
    </row>
    <row r="14729" spans="1:1" s="200" customFormat="1" ht="12" hidden="1" customHeight="1">
      <c r="A14729" s="199"/>
    </row>
    <row r="14730" spans="1:1" s="200" customFormat="1" ht="12" hidden="1" customHeight="1">
      <c r="A14730" s="199"/>
    </row>
    <row r="14731" spans="1:1" s="200" customFormat="1" ht="12" hidden="1" customHeight="1">
      <c r="A14731" s="199"/>
    </row>
    <row r="14732" spans="1:1" s="200" customFormat="1" ht="12" hidden="1" customHeight="1">
      <c r="A14732" s="199"/>
    </row>
    <row r="14733" spans="1:1" s="200" customFormat="1" ht="12" hidden="1" customHeight="1">
      <c r="A14733" s="199"/>
    </row>
    <row r="14734" spans="1:1" s="200" customFormat="1" ht="12" hidden="1" customHeight="1">
      <c r="A14734" s="199"/>
    </row>
    <row r="14735" spans="1:1" s="200" customFormat="1" ht="12" hidden="1" customHeight="1">
      <c r="A14735" s="199"/>
    </row>
    <row r="14736" spans="1:1" s="200" customFormat="1" ht="12" hidden="1" customHeight="1">
      <c r="A14736" s="199"/>
    </row>
    <row r="14737" spans="1:1" s="200" customFormat="1" ht="12" hidden="1" customHeight="1">
      <c r="A14737" s="199"/>
    </row>
    <row r="14738" spans="1:1" s="200" customFormat="1" ht="12" hidden="1" customHeight="1">
      <c r="A14738" s="199"/>
    </row>
    <row r="14739" spans="1:1" s="200" customFormat="1" ht="12" hidden="1" customHeight="1">
      <c r="A14739" s="199"/>
    </row>
    <row r="14740" spans="1:1" s="200" customFormat="1" ht="12" hidden="1" customHeight="1">
      <c r="A14740" s="199"/>
    </row>
    <row r="14741" spans="1:1" s="200" customFormat="1" ht="12" hidden="1" customHeight="1">
      <c r="A14741" s="199"/>
    </row>
    <row r="14742" spans="1:1" s="200" customFormat="1" ht="12" hidden="1" customHeight="1">
      <c r="A14742" s="199"/>
    </row>
    <row r="14743" spans="1:1" s="200" customFormat="1" ht="12" hidden="1" customHeight="1">
      <c r="A14743" s="199"/>
    </row>
    <row r="14744" spans="1:1" s="200" customFormat="1" ht="12" hidden="1" customHeight="1">
      <c r="A14744" s="199"/>
    </row>
    <row r="14745" spans="1:1" s="200" customFormat="1" ht="12" hidden="1" customHeight="1">
      <c r="A14745" s="199"/>
    </row>
    <row r="14746" spans="1:1" s="200" customFormat="1" ht="12" hidden="1" customHeight="1">
      <c r="A14746" s="199"/>
    </row>
    <row r="14747" spans="1:1" s="200" customFormat="1" ht="12" hidden="1" customHeight="1">
      <c r="A14747" s="199"/>
    </row>
    <row r="14748" spans="1:1" s="200" customFormat="1" ht="12" hidden="1" customHeight="1">
      <c r="A14748" s="199"/>
    </row>
    <row r="14749" spans="1:1" s="200" customFormat="1" ht="12" hidden="1" customHeight="1">
      <c r="A14749" s="199"/>
    </row>
    <row r="14750" spans="1:1" s="200" customFormat="1" ht="12" hidden="1" customHeight="1">
      <c r="A14750" s="199"/>
    </row>
    <row r="14751" spans="1:1" s="200" customFormat="1" ht="12" hidden="1" customHeight="1">
      <c r="A14751" s="199"/>
    </row>
    <row r="14752" spans="1:1" s="200" customFormat="1" ht="12" hidden="1" customHeight="1">
      <c r="A14752" s="199"/>
    </row>
    <row r="14753" spans="1:1" s="200" customFormat="1" ht="12" hidden="1" customHeight="1">
      <c r="A14753" s="199"/>
    </row>
    <row r="14754" spans="1:1" s="200" customFormat="1" ht="12" hidden="1" customHeight="1">
      <c r="A14754" s="199"/>
    </row>
    <row r="14755" spans="1:1" s="200" customFormat="1" ht="12" hidden="1" customHeight="1">
      <c r="A14755" s="199"/>
    </row>
    <row r="14756" spans="1:1" s="200" customFormat="1" ht="12" hidden="1" customHeight="1">
      <c r="A14756" s="199"/>
    </row>
    <row r="14757" spans="1:1" s="200" customFormat="1" ht="12" hidden="1" customHeight="1">
      <c r="A14757" s="199"/>
    </row>
    <row r="14758" spans="1:1" s="200" customFormat="1" ht="12" hidden="1" customHeight="1">
      <c r="A14758" s="199"/>
    </row>
    <row r="14759" spans="1:1" s="200" customFormat="1" ht="12" hidden="1" customHeight="1">
      <c r="A14759" s="199"/>
    </row>
    <row r="14760" spans="1:1" s="200" customFormat="1" ht="12" hidden="1" customHeight="1">
      <c r="A14760" s="199"/>
    </row>
    <row r="14761" spans="1:1" s="200" customFormat="1" ht="12" hidden="1" customHeight="1">
      <c r="A14761" s="199"/>
    </row>
    <row r="14762" spans="1:1" s="200" customFormat="1" ht="12" hidden="1" customHeight="1">
      <c r="A14762" s="199"/>
    </row>
    <row r="14763" spans="1:1" s="200" customFormat="1" ht="12" hidden="1" customHeight="1">
      <c r="A14763" s="199"/>
    </row>
    <row r="14764" spans="1:1" s="200" customFormat="1" ht="12" hidden="1" customHeight="1">
      <c r="A14764" s="199"/>
    </row>
    <row r="14765" spans="1:1" s="200" customFormat="1" ht="12" hidden="1" customHeight="1">
      <c r="A14765" s="199"/>
    </row>
    <row r="14766" spans="1:1" s="200" customFormat="1" ht="12" hidden="1" customHeight="1">
      <c r="A14766" s="199"/>
    </row>
    <row r="14767" spans="1:1" s="200" customFormat="1" ht="12" hidden="1" customHeight="1">
      <c r="A14767" s="199"/>
    </row>
    <row r="14768" spans="1:1" s="200" customFormat="1" ht="12" hidden="1" customHeight="1">
      <c r="A14768" s="199"/>
    </row>
    <row r="14769" spans="1:1" s="200" customFormat="1" ht="12" hidden="1" customHeight="1">
      <c r="A14769" s="199"/>
    </row>
    <row r="14770" spans="1:1" s="200" customFormat="1" ht="12" hidden="1" customHeight="1">
      <c r="A14770" s="199"/>
    </row>
    <row r="14771" spans="1:1" s="200" customFormat="1" ht="12" hidden="1" customHeight="1">
      <c r="A14771" s="199"/>
    </row>
    <row r="14772" spans="1:1" s="200" customFormat="1" ht="12" hidden="1" customHeight="1">
      <c r="A14772" s="199"/>
    </row>
    <row r="14773" spans="1:1" s="200" customFormat="1" ht="12" hidden="1" customHeight="1">
      <c r="A14773" s="199"/>
    </row>
    <row r="14774" spans="1:1" s="200" customFormat="1" ht="12" hidden="1" customHeight="1">
      <c r="A14774" s="199"/>
    </row>
    <row r="14775" spans="1:1" s="200" customFormat="1" ht="12" hidden="1" customHeight="1">
      <c r="A14775" s="199"/>
    </row>
    <row r="14776" spans="1:1" s="200" customFormat="1" ht="12" hidden="1" customHeight="1">
      <c r="A14776" s="199"/>
    </row>
    <row r="14777" spans="1:1" s="200" customFormat="1" ht="12" hidden="1" customHeight="1">
      <c r="A14777" s="199"/>
    </row>
    <row r="14778" spans="1:1" s="200" customFormat="1" ht="12" hidden="1" customHeight="1">
      <c r="A14778" s="199"/>
    </row>
    <row r="14779" spans="1:1" s="200" customFormat="1" ht="12" hidden="1" customHeight="1">
      <c r="A14779" s="199"/>
    </row>
    <row r="14780" spans="1:1" s="200" customFormat="1" ht="12" hidden="1" customHeight="1">
      <c r="A14780" s="199"/>
    </row>
    <row r="14781" spans="1:1" s="200" customFormat="1" ht="12" hidden="1" customHeight="1">
      <c r="A14781" s="199"/>
    </row>
    <row r="14782" spans="1:1" s="200" customFormat="1" ht="12" hidden="1" customHeight="1">
      <c r="A14782" s="199"/>
    </row>
    <row r="14783" spans="1:1" s="200" customFormat="1" ht="12" hidden="1" customHeight="1">
      <c r="A14783" s="199"/>
    </row>
    <row r="14784" spans="1:1" s="200" customFormat="1" ht="12" hidden="1" customHeight="1">
      <c r="A14784" s="199"/>
    </row>
    <row r="14785" spans="1:1" s="200" customFormat="1" ht="12" hidden="1" customHeight="1">
      <c r="A14785" s="199"/>
    </row>
    <row r="14786" spans="1:1" s="200" customFormat="1" ht="12" hidden="1" customHeight="1">
      <c r="A14786" s="199"/>
    </row>
    <row r="14787" spans="1:1" s="200" customFormat="1" ht="12" hidden="1" customHeight="1">
      <c r="A14787" s="199"/>
    </row>
    <row r="14788" spans="1:1" s="200" customFormat="1" ht="12" hidden="1" customHeight="1">
      <c r="A14788" s="199"/>
    </row>
    <row r="14789" spans="1:1" s="200" customFormat="1" ht="12" hidden="1" customHeight="1">
      <c r="A14789" s="199"/>
    </row>
    <row r="14790" spans="1:1" s="200" customFormat="1" ht="12" hidden="1" customHeight="1">
      <c r="A14790" s="199"/>
    </row>
    <row r="14791" spans="1:1" s="200" customFormat="1" ht="12" hidden="1" customHeight="1">
      <c r="A14791" s="199"/>
    </row>
    <row r="14792" spans="1:1" s="200" customFormat="1" ht="12" hidden="1" customHeight="1">
      <c r="A14792" s="199"/>
    </row>
    <row r="14793" spans="1:1" s="200" customFormat="1" ht="12" hidden="1" customHeight="1">
      <c r="A14793" s="199"/>
    </row>
    <row r="14794" spans="1:1" s="200" customFormat="1" ht="12" hidden="1" customHeight="1">
      <c r="A14794" s="199"/>
    </row>
    <row r="14795" spans="1:1" s="200" customFormat="1" ht="12" hidden="1" customHeight="1">
      <c r="A14795" s="199"/>
    </row>
    <row r="14796" spans="1:1" s="200" customFormat="1" ht="12" hidden="1" customHeight="1">
      <c r="A14796" s="199"/>
    </row>
    <row r="14797" spans="1:1" s="200" customFormat="1" ht="12" hidden="1" customHeight="1">
      <c r="A14797" s="199"/>
    </row>
    <row r="14798" spans="1:1" s="200" customFormat="1" ht="12" hidden="1" customHeight="1">
      <c r="A14798" s="199"/>
    </row>
    <row r="14799" spans="1:1" s="200" customFormat="1" ht="12" hidden="1" customHeight="1">
      <c r="A14799" s="199"/>
    </row>
    <row r="14800" spans="1:1" s="200" customFormat="1" ht="12" hidden="1" customHeight="1">
      <c r="A14800" s="199"/>
    </row>
    <row r="14801" spans="1:1" s="200" customFormat="1" ht="12" hidden="1" customHeight="1">
      <c r="A14801" s="199"/>
    </row>
    <row r="14802" spans="1:1" s="200" customFormat="1" ht="12" hidden="1" customHeight="1">
      <c r="A14802" s="199"/>
    </row>
    <row r="14803" spans="1:1" s="200" customFormat="1" ht="12" hidden="1" customHeight="1">
      <c r="A14803" s="199"/>
    </row>
    <row r="14804" spans="1:1" s="200" customFormat="1" ht="12" hidden="1" customHeight="1">
      <c r="A14804" s="199"/>
    </row>
    <row r="14805" spans="1:1" s="200" customFormat="1" ht="12" hidden="1" customHeight="1">
      <c r="A14805" s="199"/>
    </row>
    <row r="14806" spans="1:1" s="200" customFormat="1" ht="12" hidden="1" customHeight="1">
      <c r="A14806" s="199"/>
    </row>
    <row r="14807" spans="1:1" s="200" customFormat="1" ht="12" hidden="1" customHeight="1">
      <c r="A14807" s="199"/>
    </row>
    <row r="14808" spans="1:1" s="200" customFormat="1" ht="12" hidden="1" customHeight="1">
      <c r="A14808" s="199"/>
    </row>
    <row r="14809" spans="1:1" s="200" customFormat="1" ht="12" hidden="1" customHeight="1">
      <c r="A14809" s="199"/>
    </row>
    <row r="14810" spans="1:1" s="200" customFormat="1" ht="12" hidden="1" customHeight="1">
      <c r="A14810" s="199"/>
    </row>
    <row r="14811" spans="1:1" s="200" customFormat="1" ht="12" hidden="1" customHeight="1">
      <c r="A14811" s="199"/>
    </row>
    <row r="14812" spans="1:1" s="200" customFormat="1" ht="12" hidden="1" customHeight="1">
      <c r="A14812" s="199"/>
    </row>
    <row r="14813" spans="1:1" s="200" customFormat="1" ht="12" hidden="1" customHeight="1">
      <c r="A14813" s="199"/>
    </row>
    <row r="14814" spans="1:1" s="200" customFormat="1" ht="12" hidden="1" customHeight="1">
      <c r="A14814" s="199"/>
    </row>
    <row r="14815" spans="1:1" s="200" customFormat="1" ht="12" hidden="1" customHeight="1">
      <c r="A14815" s="199"/>
    </row>
    <row r="14816" spans="1:1" s="200" customFormat="1" ht="12" hidden="1" customHeight="1">
      <c r="A14816" s="199"/>
    </row>
    <row r="14817" spans="1:1" s="200" customFormat="1" ht="12" hidden="1" customHeight="1">
      <c r="A14817" s="199"/>
    </row>
    <row r="14818" spans="1:1" s="200" customFormat="1" ht="12" hidden="1" customHeight="1">
      <c r="A14818" s="199"/>
    </row>
    <row r="14819" spans="1:1" s="200" customFormat="1" ht="12" hidden="1" customHeight="1">
      <c r="A14819" s="199"/>
    </row>
    <row r="14820" spans="1:1" s="200" customFormat="1" ht="12" hidden="1" customHeight="1">
      <c r="A14820" s="199"/>
    </row>
    <row r="14821" spans="1:1" s="200" customFormat="1" ht="12" hidden="1" customHeight="1">
      <c r="A14821" s="199"/>
    </row>
    <row r="14822" spans="1:1" s="200" customFormat="1" ht="12" hidden="1" customHeight="1">
      <c r="A14822" s="199"/>
    </row>
    <row r="14823" spans="1:1" s="200" customFormat="1" ht="12" hidden="1" customHeight="1">
      <c r="A14823" s="199"/>
    </row>
    <row r="14824" spans="1:1" s="200" customFormat="1" ht="12" hidden="1" customHeight="1">
      <c r="A14824" s="199"/>
    </row>
    <row r="14825" spans="1:1" s="200" customFormat="1" ht="12" hidden="1" customHeight="1">
      <c r="A14825" s="199"/>
    </row>
    <row r="14826" spans="1:1" s="200" customFormat="1" ht="12" hidden="1" customHeight="1">
      <c r="A14826" s="199"/>
    </row>
    <row r="14827" spans="1:1" s="200" customFormat="1" ht="12" hidden="1" customHeight="1">
      <c r="A14827" s="199"/>
    </row>
    <row r="14828" spans="1:1" s="200" customFormat="1" ht="12" hidden="1" customHeight="1">
      <c r="A14828" s="199"/>
    </row>
    <row r="14829" spans="1:1" s="200" customFormat="1" ht="12" hidden="1" customHeight="1">
      <c r="A14829" s="199"/>
    </row>
    <row r="14830" spans="1:1" s="200" customFormat="1" ht="12" hidden="1" customHeight="1">
      <c r="A14830" s="199"/>
    </row>
    <row r="14831" spans="1:1" s="200" customFormat="1" ht="12" hidden="1" customHeight="1">
      <c r="A14831" s="199"/>
    </row>
    <row r="14832" spans="1:1" s="200" customFormat="1" ht="12" hidden="1" customHeight="1">
      <c r="A14832" s="199"/>
    </row>
    <row r="14833" spans="1:1" s="200" customFormat="1" ht="12" hidden="1" customHeight="1">
      <c r="A14833" s="199"/>
    </row>
    <row r="14834" spans="1:1" s="200" customFormat="1" ht="12" hidden="1" customHeight="1">
      <c r="A14834" s="199"/>
    </row>
    <row r="14835" spans="1:1" s="200" customFormat="1" ht="12" hidden="1" customHeight="1">
      <c r="A14835" s="199"/>
    </row>
    <row r="14836" spans="1:1" s="200" customFormat="1" ht="12" hidden="1" customHeight="1">
      <c r="A14836" s="199"/>
    </row>
    <row r="14837" spans="1:1" s="200" customFormat="1" ht="12" hidden="1" customHeight="1">
      <c r="A14837" s="199"/>
    </row>
    <row r="14838" spans="1:1" s="200" customFormat="1" ht="12" hidden="1" customHeight="1">
      <c r="A14838" s="199"/>
    </row>
    <row r="14839" spans="1:1" s="200" customFormat="1" ht="12" hidden="1" customHeight="1">
      <c r="A14839" s="199"/>
    </row>
    <row r="14840" spans="1:1" s="200" customFormat="1" ht="12" hidden="1" customHeight="1">
      <c r="A14840" s="199"/>
    </row>
    <row r="14841" spans="1:1" s="200" customFormat="1" ht="12" hidden="1" customHeight="1">
      <c r="A14841" s="199"/>
    </row>
    <row r="14842" spans="1:1" s="200" customFormat="1" ht="12" hidden="1" customHeight="1">
      <c r="A14842" s="199"/>
    </row>
    <row r="14843" spans="1:1" s="200" customFormat="1" ht="12" hidden="1" customHeight="1">
      <c r="A14843" s="199"/>
    </row>
    <row r="14844" spans="1:1" s="200" customFormat="1" ht="12" hidden="1" customHeight="1">
      <c r="A14844" s="199"/>
    </row>
    <row r="14845" spans="1:1" s="200" customFormat="1" ht="12" hidden="1" customHeight="1">
      <c r="A14845" s="199"/>
    </row>
    <row r="14846" spans="1:1" s="200" customFormat="1" ht="12" hidden="1" customHeight="1">
      <c r="A14846" s="199"/>
    </row>
    <row r="14847" spans="1:1" s="200" customFormat="1" ht="12" hidden="1" customHeight="1">
      <c r="A14847" s="199"/>
    </row>
    <row r="14848" spans="1:1" s="200" customFormat="1" ht="12" hidden="1" customHeight="1">
      <c r="A14848" s="199"/>
    </row>
    <row r="14849" spans="1:1" s="200" customFormat="1" ht="12" hidden="1" customHeight="1">
      <c r="A14849" s="199"/>
    </row>
    <row r="14850" spans="1:1" s="200" customFormat="1" ht="12" hidden="1" customHeight="1">
      <c r="A14850" s="199"/>
    </row>
    <row r="14851" spans="1:1" s="200" customFormat="1" ht="12" hidden="1" customHeight="1">
      <c r="A14851" s="199"/>
    </row>
    <row r="14852" spans="1:1" s="200" customFormat="1" ht="12" hidden="1" customHeight="1">
      <c r="A14852" s="199"/>
    </row>
    <row r="14853" spans="1:1" s="200" customFormat="1" ht="12" hidden="1" customHeight="1">
      <c r="A14853" s="199"/>
    </row>
    <row r="14854" spans="1:1" s="200" customFormat="1" ht="12" hidden="1" customHeight="1">
      <c r="A14854" s="199"/>
    </row>
    <row r="14855" spans="1:1" s="200" customFormat="1" ht="12" hidden="1" customHeight="1">
      <c r="A14855" s="199"/>
    </row>
    <row r="14856" spans="1:1" s="200" customFormat="1" ht="12" hidden="1" customHeight="1">
      <c r="A14856" s="199"/>
    </row>
    <row r="14857" spans="1:1" s="200" customFormat="1" ht="12" hidden="1" customHeight="1">
      <c r="A14857" s="199"/>
    </row>
    <row r="14858" spans="1:1" s="200" customFormat="1" ht="12" hidden="1" customHeight="1">
      <c r="A14858" s="199"/>
    </row>
    <row r="14859" spans="1:1" s="200" customFormat="1" ht="12" hidden="1" customHeight="1">
      <c r="A14859" s="199"/>
    </row>
    <row r="14860" spans="1:1" s="200" customFormat="1" ht="12" hidden="1" customHeight="1">
      <c r="A14860" s="199"/>
    </row>
    <row r="14861" spans="1:1" s="200" customFormat="1" ht="12" hidden="1" customHeight="1">
      <c r="A14861" s="199"/>
    </row>
    <row r="14862" spans="1:1" s="200" customFormat="1" ht="12" hidden="1" customHeight="1">
      <c r="A14862" s="199"/>
    </row>
    <row r="14863" spans="1:1" s="200" customFormat="1" ht="12" hidden="1" customHeight="1">
      <c r="A14863" s="199"/>
    </row>
    <row r="14864" spans="1:1" s="200" customFormat="1" ht="12" hidden="1" customHeight="1">
      <c r="A14864" s="199"/>
    </row>
    <row r="14865" spans="1:1" s="200" customFormat="1" ht="12" hidden="1" customHeight="1">
      <c r="A14865" s="199"/>
    </row>
    <row r="14866" spans="1:1" s="200" customFormat="1" ht="12" hidden="1" customHeight="1">
      <c r="A14866" s="199"/>
    </row>
    <row r="14867" spans="1:1" s="200" customFormat="1" ht="12" hidden="1" customHeight="1">
      <c r="A14867" s="199"/>
    </row>
    <row r="14868" spans="1:1" s="200" customFormat="1" ht="12" hidden="1" customHeight="1">
      <c r="A14868" s="199"/>
    </row>
    <row r="14869" spans="1:1" s="200" customFormat="1" ht="12" hidden="1" customHeight="1">
      <c r="A14869" s="199"/>
    </row>
    <row r="14870" spans="1:1" s="200" customFormat="1" ht="12" hidden="1" customHeight="1">
      <c r="A14870" s="199"/>
    </row>
    <row r="14871" spans="1:1" s="200" customFormat="1" ht="12" hidden="1" customHeight="1">
      <c r="A14871" s="199"/>
    </row>
    <row r="14872" spans="1:1" s="200" customFormat="1" ht="12" hidden="1" customHeight="1">
      <c r="A14872" s="199"/>
    </row>
    <row r="14873" spans="1:1" s="200" customFormat="1" ht="12" hidden="1" customHeight="1">
      <c r="A14873" s="199"/>
    </row>
    <row r="14874" spans="1:1" s="200" customFormat="1" ht="12" hidden="1" customHeight="1">
      <c r="A14874" s="199"/>
    </row>
    <row r="14875" spans="1:1" s="200" customFormat="1" ht="12" hidden="1" customHeight="1">
      <c r="A14875" s="199"/>
    </row>
    <row r="14876" spans="1:1" s="200" customFormat="1" ht="12" hidden="1" customHeight="1">
      <c r="A14876" s="199"/>
    </row>
    <row r="14877" spans="1:1" s="200" customFormat="1" ht="12" hidden="1" customHeight="1">
      <c r="A14877" s="199"/>
    </row>
    <row r="14878" spans="1:1" s="200" customFormat="1" ht="12" hidden="1" customHeight="1">
      <c r="A14878" s="199"/>
    </row>
    <row r="14879" spans="1:1" s="200" customFormat="1" ht="12" hidden="1" customHeight="1">
      <c r="A14879" s="199"/>
    </row>
    <row r="14880" spans="1:1" s="200" customFormat="1" ht="12" hidden="1" customHeight="1">
      <c r="A14880" s="199"/>
    </row>
    <row r="14881" spans="1:1" s="200" customFormat="1" ht="12" hidden="1" customHeight="1">
      <c r="A14881" s="199"/>
    </row>
    <row r="14882" spans="1:1" s="200" customFormat="1" ht="12" hidden="1" customHeight="1">
      <c r="A14882" s="199"/>
    </row>
    <row r="14883" spans="1:1" s="200" customFormat="1" ht="12" hidden="1" customHeight="1">
      <c r="A14883" s="199"/>
    </row>
    <row r="14884" spans="1:1" s="200" customFormat="1" ht="12" hidden="1" customHeight="1">
      <c r="A14884" s="199"/>
    </row>
    <row r="14885" spans="1:1" s="200" customFormat="1" ht="12" hidden="1" customHeight="1">
      <c r="A14885" s="199"/>
    </row>
    <row r="14886" spans="1:1" s="200" customFormat="1" ht="12" hidden="1" customHeight="1">
      <c r="A14886" s="199"/>
    </row>
    <row r="14887" spans="1:1" s="200" customFormat="1" ht="12" hidden="1" customHeight="1">
      <c r="A14887" s="199"/>
    </row>
    <row r="14888" spans="1:1" s="200" customFormat="1" ht="12" hidden="1" customHeight="1">
      <c r="A14888" s="199"/>
    </row>
    <row r="14889" spans="1:1" s="200" customFormat="1" ht="12" hidden="1" customHeight="1">
      <c r="A14889" s="199"/>
    </row>
    <row r="14890" spans="1:1" s="200" customFormat="1" ht="12" hidden="1" customHeight="1">
      <c r="A14890" s="199"/>
    </row>
    <row r="14891" spans="1:1" s="200" customFormat="1" ht="12" hidden="1" customHeight="1">
      <c r="A14891" s="199"/>
    </row>
    <row r="14892" spans="1:1" s="200" customFormat="1" ht="12" hidden="1" customHeight="1">
      <c r="A14892" s="199"/>
    </row>
    <row r="14893" spans="1:1" s="200" customFormat="1" ht="12" hidden="1" customHeight="1">
      <c r="A14893" s="199"/>
    </row>
    <row r="14894" spans="1:1" s="200" customFormat="1" ht="12" hidden="1" customHeight="1">
      <c r="A14894" s="199"/>
    </row>
    <row r="14895" spans="1:1" s="200" customFormat="1" ht="12" hidden="1" customHeight="1">
      <c r="A14895" s="199"/>
    </row>
    <row r="14896" spans="1:1" s="200" customFormat="1" ht="12" hidden="1" customHeight="1">
      <c r="A14896" s="199"/>
    </row>
    <row r="14897" spans="1:1" s="200" customFormat="1" ht="12" hidden="1" customHeight="1">
      <c r="A14897" s="199"/>
    </row>
    <row r="14898" spans="1:1" s="200" customFormat="1" ht="12" hidden="1" customHeight="1">
      <c r="A14898" s="199"/>
    </row>
    <row r="14899" spans="1:1" s="200" customFormat="1" ht="12" hidden="1" customHeight="1">
      <c r="A14899" s="199"/>
    </row>
    <row r="14900" spans="1:1" s="200" customFormat="1" ht="12" hidden="1" customHeight="1">
      <c r="A14900" s="199"/>
    </row>
    <row r="14901" spans="1:1" s="200" customFormat="1" ht="12" hidden="1" customHeight="1">
      <c r="A14901" s="199"/>
    </row>
    <row r="14902" spans="1:1" s="200" customFormat="1" ht="12" hidden="1" customHeight="1">
      <c r="A14902" s="199"/>
    </row>
    <row r="14903" spans="1:1" s="200" customFormat="1" ht="12" hidden="1" customHeight="1">
      <c r="A14903" s="199"/>
    </row>
    <row r="14904" spans="1:1" s="200" customFormat="1" ht="12" hidden="1" customHeight="1">
      <c r="A14904" s="199"/>
    </row>
    <row r="14905" spans="1:1" s="200" customFormat="1" ht="12" hidden="1" customHeight="1">
      <c r="A14905" s="199"/>
    </row>
    <row r="14906" spans="1:1" s="200" customFormat="1" ht="12" hidden="1" customHeight="1">
      <c r="A14906" s="199"/>
    </row>
    <row r="14907" spans="1:1" s="200" customFormat="1" ht="12" hidden="1" customHeight="1">
      <c r="A14907" s="199"/>
    </row>
    <row r="14908" spans="1:1" s="200" customFormat="1" ht="12" hidden="1" customHeight="1">
      <c r="A14908" s="199"/>
    </row>
    <row r="14909" spans="1:1" s="200" customFormat="1" ht="12" hidden="1" customHeight="1">
      <c r="A14909" s="199"/>
    </row>
    <row r="14910" spans="1:1" s="200" customFormat="1" ht="12" hidden="1" customHeight="1">
      <c r="A14910" s="199"/>
    </row>
    <row r="14911" spans="1:1" s="200" customFormat="1" ht="12" hidden="1" customHeight="1">
      <c r="A14911" s="199"/>
    </row>
    <row r="14912" spans="1:1" s="200" customFormat="1" ht="12" hidden="1" customHeight="1">
      <c r="A14912" s="199"/>
    </row>
    <row r="14913" spans="1:1" s="200" customFormat="1" ht="12" hidden="1" customHeight="1">
      <c r="A14913" s="199"/>
    </row>
    <row r="14914" spans="1:1" s="200" customFormat="1" ht="12" hidden="1" customHeight="1">
      <c r="A14914" s="199"/>
    </row>
    <row r="14915" spans="1:1" s="200" customFormat="1" ht="12" hidden="1" customHeight="1">
      <c r="A14915" s="199"/>
    </row>
    <row r="14916" spans="1:1" s="200" customFormat="1" ht="12" hidden="1" customHeight="1">
      <c r="A14916" s="199"/>
    </row>
    <row r="14917" spans="1:1" s="200" customFormat="1" ht="12" hidden="1" customHeight="1">
      <c r="A14917" s="199"/>
    </row>
    <row r="14918" spans="1:1" s="200" customFormat="1" ht="12" hidden="1" customHeight="1">
      <c r="A14918" s="199"/>
    </row>
    <row r="14919" spans="1:1" s="200" customFormat="1" ht="12" hidden="1" customHeight="1">
      <c r="A14919" s="199"/>
    </row>
    <row r="14920" spans="1:1" s="200" customFormat="1" ht="12" hidden="1" customHeight="1">
      <c r="A14920" s="199"/>
    </row>
    <row r="14921" spans="1:1" s="200" customFormat="1" ht="12" hidden="1" customHeight="1">
      <c r="A14921" s="199"/>
    </row>
    <row r="14922" spans="1:1" s="200" customFormat="1" ht="12" hidden="1" customHeight="1">
      <c r="A14922" s="199"/>
    </row>
    <row r="14923" spans="1:1" s="200" customFormat="1" ht="12" hidden="1" customHeight="1">
      <c r="A14923" s="199"/>
    </row>
    <row r="14924" spans="1:1" s="200" customFormat="1" ht="12" hidden="1" customHeight="1">
      <c r="A14924" s="199"/>
    </row>
    <row r="14925" spans="1:1" s="200" customFormat="1" ht="12" hidden="1" customHeight="1">
      <c r="A14925" s="199"/>
    </row>
    <row r="14926" spans="1:1" s="200" customFormat="1" ht="12" hidden="1" customHeight="1">
      <c r="A14926" s="199"/>
    </row>
    <row r="14927" spans="1:1" s="200" customFormat="1" ht="12" hidden="1" customHeight="1">
      <c r="A14927" s="199"/>
    </row>
    <row r="14928" spans="1:1" s="200" customFormat="1" ht="12" hidden="1" customHeight="1">
      <c r="A14928" s="199"/>
    </row>
    <row r="14929" spans="1:1" s="200" customFormat="1" ht="12" hidden="1" customHeight="1">
      <c r="A14929" s="199"/>
    </row>
    <row r="14930" spans="1:1" s="200" customFormat="1" ht="12" hidden="1" customHeight="1">
      <c r="A14930" s="199"/>
    </row>
    <row r="14931" spans="1:1" s="200" customFormat="1" ht="12" hidden="1" customHeight="1">
      <c r="A14931" s="199"/>
    </row>
    <row r="14932" spans="1:1" s="200" customFormat="1" ht="12" hidden="1" customHeight="1">
      <c r="A14932" s="199"/>
    </row>
    <row r="14933" spans="1:1" s="200" customFormat="1" ht="12" hidden="1" customHeight="1">
      <c r="A14933" s="199"/>
    </row>
    <row r="14934" spans="1:1" s="200" customFormat="1" ht="12" hidden="1" customHeight="1">
      <c r="A14934" s="199"/>
    </row>
    <row r="14935" spans="1:1" s="200" customFormat="1" ht="12" hidden="1" customHeight="1">
      <c r="A14935" s="199"/>
    </row>
    <row r="14936" spans="1:1" s="200" customFormat="1" ht="12" hidden="1" customHeight="1">
      <c r="A14936" s="199"/>
    </row>
    <row r="14937" spans="1:1" s="200" customFormat="1" ht="12" hidden="1" customHeight="1">
      <c r="A14937" s="199"/>
    </row>
    <row r="14938" spans="1:1" s="200" customFormat="1" ht="12" hidden="1" customHeight="1">
      <c r="A14938" s="199"/>
    </row>
    <row r="14939" spans="1:1" s="200" customFormat="1" ht="12" hidden="1" customHeight="1">
      <c r="A14939" s="199"/>
    </row>
    <row r="14940" spans="1:1" s="200" customFormat="1" ht="12" hidden="1" customHeight="1">
      <c r="A14940" s="199"/>
    </row>
    <row r="14941" spans="1:1" s="200" customFormat="1" ht="12" hidden="1" customHeight="1">
      <c r="A14941" s="199"/>
    </row>
    <row r="14942" spans="1:1" s="200" customFormat="1" ht="12" hidden="1" customHeight="1">
      <c r="A14942" s="199"/>
    </row>
    <row r="14943" spans="1:1" s="200" customFormat="1" ht="12" hidden="1" customHeight="1">
      <c r="A14943" s="199"/>
    </row>
    <row r="14944" spans="1:1" s="200" customFormat="1" ht="12" hidden="1" customHeight="1">
      <c r="A14944" s="199"/>
    </row>
    <row r="14945" spans="1:1" s="200" customFormat="1" ht="12" hidden="1" customHeight="1">
      <c r="A14945" s="199"/>
    </row>
    <row r="14946" spans="1:1" s="200" customFormat="1" ht="12" hidden="1" customHeight="1">
      <c r="A14946" s="199"/>
    </row>
    <row r="14947" spans="1:1" s="200" customFormat="1" ht="12" hidden="1" customHeight="1">
      <c r="A14947" s="199"/>
    </row>
    <row r="14948" spans="1:1" s="200" customFormat="1" ht="12" hidden="1" customHeight="1">
      <c r="A14948" s="199"/>
    </row>
    <row r="14949" spans="1:1" s="200" customFormat="1" ht="12" hidden="1" customHeight="1">
      <c r="A14949" s="199"/>
    </row>
    <row r="14950" spans="1:1" s="200" customFormat="1" ht="12" hidden="1" customHeight="1">
      <c r="A14950" s="199"/>
    </row>
    <row r="14951" spans="1:1" s="200" customFormat="1" ht="12" hidden="1" customHeight="1">
      <c r="A14951" s="199"/>
    </row>
    <row r="14952" spans="1:1" s="200" customFormat="1" ht="12" hidden="1" customHeight="1">
      <c r="A14952" s="199"/>
    </row>
    <row r="14953" spans="1:1" s="200" customFormat="1" ht="12" hidden="1" customHeight="1">
      <c r="A14953" s="199"/>
    </row>
    <row r="14954" spans="1:1" s="200" customFormat="1" ht="12" hidden="1" customHeight="1">
      <c r="A14954" s="199"/>
    </row>
    <row r="14955" spans="1:1" s="200" customFormat="1" ht="12" hidden="1" customHeight="1">
      <c r="A14955" s="199"/>
    </row>
    <row r="14956" spans="1:1" s="200" customFormat="1" ht="12" hidden="1" customHeight="1">
      <c r="A14956" s="199"/>
    </row>
    <row r="14957" spans="1:1" s="200" customFormat="1" ht="12" hidden="1" customHeight="1">
      <c r="A14957" s="199"/>
    </row>
    <row r="14958" spans="1:1" s="200" customFormat="1" ht="12" hidden="1" customHeight="1">
      <c r="A14958" s="199"/>
    </row>
    <row r="14959" spans="1:1" s="200" customFormat="1" ht="12" hidden="1" customHeight="1">
      <c r="A14959" s="199"/>
    </row>
    <row r="14960" spans="1:1" s="200" customFormat="1" ht="12" hidden="1" customHeight="1">
      <c r="A14960" s="199"/>
    </row>
    <row r="14961" spans="1:1" s="200" customFormat="1" ht="12" hidden="1" customHeight="1">
      <c r="A14961" s="199"/>
    </row>
    <row r="14962" spans="1:1" s="200" customFormat="1" ht="12" hidden="1" customHeight="1">
      <c r="A14962" s="199"/>
    </row>
    <row r="14963" spans="1:1" s="200" customFormat="1" ht="12" hidden="1" customHeight="1">
      <c r="A14963" s="199"/>
    </row>
    <row r="14964" spans="1:1" s="200" customFormat="1" ht="12" hidden="1" customHeight="1">
      <c r="A14964" s="199"/>
    </row>
    <row r="14965" spans="1:1" s="200" customFormat="1" ht="12" hidden="1" customHeight="1">
      <c r="A14965" s="199"/>
    </row>
    <row r="14966" spans="1:1" s="200" customFormat="1" ht="12" hidden="1" customHeight="1">
      <c r="A14966" s="199"/>
    </row>
    <row r="14967" spans="1:1" s="200" customFormat="1" ht="12" hidden="1" customHeight="1">
      <c r="A14967" s="199"/>
    </row>
    <row r="14968" spans="1:1" s="200" customFormat="1" ht="12" hidden="1" customHeight="1">
      <c r="A14968" s="199"/>
    </row>
    <row r="14969" spans="1:1" s="200" customFormat="1" ht="12" hidden="1" customHeight="1">
      <c r="A14969" s="199"/>
    </row>
    <row r="14970" spans="1:1" s="200" customFormat="1" ht="12" hidden="1" customHeight="1">
      <c r="A14970" s="199"/>
    </row>
    <row r="14971" spans="1:1" s="200" customFormat="1" ht="12" hidden="1" customHeight="1">
      <c r="A14971" s="199"/>
    </row>
    <row r="14972" spans="1:1" s="200" customFormat="1" ht="12" hidden="1" customHeight="1">
      <c r="A14972" s="199"/>
    </row>
    <row r="14973" spans="1:1" s="200" customFormat="1" ht="12" hidden="1" customHeight="1">
      <c r="A14973" s="199"/>
    </row>
    <row r="14974" spans="1:1" s="200" customFormat="1" ht="12" hidden="1" customHeight="1">
      <c r="A14974" s="199"/>
    </row>
    <row r="14975" spans="1:1" s="200" customFormat="1" ht="12" hidden="1" customHeight="1">
      <c r="A14975" s="199"/>
    </row>
    <row r="14976" spans="1:1" s="200" customFormat="1" ht="12" hidden="1" customHeight="1">
      <c r="A14976" s="199"/>
    </row>
    <row r="14977" spans="1:1" s="200" customFormat="1" ht="12" hidden="1" customHeight="1">
      <c r="A14977" s="199"/>
    </row>
    <row r="14978" spans="1:1" s="200" customFormat="1" ht="12" hidden="1" customHeight="1">
      <c r="A14978" s="199"/>
    </row>
    <row r="14979" spans="1:1" s="200" customFormat="1" ht="12" hidden="1" customHeight="1">
      <c r="A14979" s="199"/>
    </row>
    <row r="14980" spans="1:1" s="200" customFormat="1" ht="12" hidden="1" customHeight="1">
      <c r="A14980" s="199"/>
    </row>
    <row r="14981" spans="1:1" s="200" customFormat="1" ht="12" hidden="1" customHeight="1">
      <c r="A14981" s="199"/>
    </row>
    <row r="14982" spans="1:1" s="200" customFormat="1" ht="12" hidden="1" customHeight="1">
      <c r="A14982" s="199"/>
    </row>
    <row r="14983" spans="1:1" s="200" customFormat="1" ht="12" hidden="1" customHeight="1">
      <c r="A14983" s="199"/>
    </row>
    <row r="14984" spans="1:1" s="200" customFormat="1" ht="12" hidden="1" customHeight="1">
      <c r="A14984" s="199"/>
    </row>
    <row r="14985" spans="1:1" s="200" customFormat="1" ht="12" hidden="1" customHeight="1">
      <c r="A14985" s="199"/>
    </row>
    <row r="14986" spans="1:1" s="200" customFormat="1" ht="12" hidden="1" customHeight="1">
      <c r="A14986" s="199"/>
    </row>
    <row r="14987" spans="1:1" s="200" customFormat="1" ht="12" hidden="1" customHeight="1">
      <c r="A14987" s="199"/>
    </row>
    <row r="14988" spans="1:1" s="200" customFormat="1" ht="12" hidden="1" customHeight="1">
      <c r="A14988" s="199"/>
    </row>
    <row r="14989" spans="1:1" s="200" customFormat="1" ht="12" hidden="1" customHeight="1">
      <c r="A14989" s="199"/>
    </row>
    <row r="14990" spans="1:1" s="200" customFormat="1" ht="12" hidden="1" customHeight="1">
      <c r="A14990" s="199"/>
    </row>
    <row r="14991" spans="1:1" s="200" customFormat="1" ht="12" hidden="1" customHeight="1">
      <c r="A14991" s="199"/>
    </row>
    <row r="14992" spans="1:1" s="200" customFormat="1" ht="12" hidden="1" customHeight="1">
      <c r="A14992" s="199"/>
    </row>
    <row r="14993" spans="1:1" s="200" customFormat="1" ht="12" hidden="1" customHeight="1">
      <c r="A14993" s="199"/>
    </row>
    <row r="14994" spans="1:1" s="200" customFormat="1" ht="12" hidden="1" customHeight="1">
      <c r="A14994" s="199"/>
    </row>
    <row r="14995" spans="1:1" s="200" customFormat="1" ht="12" hidden="1" customHeight="1">
      <c r="A14995" s="199"/>
    </row>
    <row r="14996" spans="1:1" s="200" customFormat="1" ht="12" hidden="1" customHeight="1">
      <c r="A14996" s="199"/>
    </row>
    <row r="14997" spans="1:1" s="200" customFormat="1" ht="12" hidden="1" customHeight="1">
      <c r="A14997" s="199"/>
    </row>
    <row r="14998" spans="1:1" s="200" customFormat="1" ht="12" hidden="1" customHeight="1">
      <c r="A14998" s="199"/>
    </row>
    <row r="14999" spans="1:1" s="200" customFormat="1" ht="12" hidden="1" customHeight="1">
      <c r="A14999" s="199"/>
    </row>
    <row r="15000" spans="1:1" s="200" customFormat="1" ht="12" hidden="1" customHeight="1">
      <c r="A15000" s="199"/>
    </row>
    <row r="15001" spans="1:1" s="200" customFormat="1" ht="12" hidden="1" customHeight="1">
      <c r="A15001" s="199"/>
    </row>
    <row r="15002" spans="1:1" s="200" customFormat="1" ht="12" hidden="1" customHeight="1">
      <c r="A15002" s="199"/>
    </row>
    <row r="15003" spans="1:1" s="200" customFormat="1" ht="12" hidden="1" customHeight="1">
      <c r="A15003" s="199"/>
    </row>
    <row r="15004" spans="1:1" s="200" customFormat="1" ht="12" hidden="1" customHeight="1">
      <c r="A15004" s="199"/>
    </row>
    <row r="15005" spans="1:1" s="200" customFormat="1" ht="12" hidden="1" customHeight="1">
      <c r="A15005" s="199"/>
    </row>
    <row r="15006" spans="1:1" s="200" customFormat="1" ht="12" hidden="1" customHeight="1">
      <c r="A15006" s="199"/>
    </row>
    <row r="15007" spans="1:1" s="200" customFormat="1" ht="12" hidden="1" customHeight="1">
      <c r="A15007" s="199"/>
    </row>
    <row r="15008" spans="1:1" s="200" customFormat="1" ht="12" hidden="1" customHeight="1">
      <c r="A15008" s="199"/>
    </row>
    <row r="15009" spans="1:1" s="200" customFormat="1" ht="12" hidden="1" customHeight="1">
      <c r="A15009" s="199"/>
    </row>
    <row r="15010" spans="1:1" s="200" customFormat="1" ht="12" hidden="1" customHeight="1">
      <c r="A15010" s="199"/>
    </row>
    <row r="15011" spans="1:1" s="200" customFormat="1" ht="12" hidden="1" customHeight="1">
      <c r="A15011" s="199"/>
    </row>
    <row r="15012" spans="1:1" s="200" customFormat="1" ht="12" hidden="1" customHeight="1">
      <c r="A15012" s="199"/>
    </row>
    <row r="15013" spans="1:1" s="200" customFormat="1" ht="12" hidden="1" customHeight="1">
      <c r="A15013" s="199"/>
    </row>
    <row r="15014" spans="1:1" s="200" customFormat="1" ht="12" hidden="1" customHeight="1">
      <c r="A15014" s="199"/>
    </row>
    <row r="15015" spans="1:1" s="200" customFormat="1" ht="12" hidden="1" customHeight="1">
      <c r="A15015" s="199"/>
    </row>
    <row r="15016" spans="1:1" s="200" customFormat="1" ht="12" hidden="1" customHeight="1">
      <c r="A15016" s="199"/>
    </row>
    <row r="15017" spans="1:1" s="200" customFormat="1" ht="12" hidden="1" customHeight="1">
      <c r="A15017" s="199"/>
    </row>
    <row r="15018" spans="1:1" s="200" customFormat="1" ht="12" hidden="1" customHeight="1">
      <c r="A15018" s="199"/>
    </row>
    <row r="15019" spans="1:1" s="200" customFormat="1" ht="12" hidden="1" customHeight="1">
      <c r="A15019" s="199"/>
    </row>
    <row r="15020" spans="1:1" s="200" customFormat="1" ht="12" hidden="1" customHeight="1">
      <c r="A15020" s="199"/>
    </row>
    <row r="15021" spans="1:1" s="200" customFormat="1" ht="12" hidden="1" customHeight="1">
      <c r="A15021" s="199"/>
    </row>
    <row r="15022" spans="1:1" s="200" customFormat="1" ht="12" hidden="1" customHeight="1">
      <c r="A15022" s="199"/>
    </row>
    <row r="15023" spans="1:1" s="200" customFormat="1" ht="12" hidden="1" customHeight="1">
      <c r="A15023" s="199"/>
    </row>
    <row r="15024" spans="1:1" s="200" customFormat="1" ht="12" hidden="1" customHeight="1">
      <c r="A15024" s="199"/>
    </row>
    <row r="15025" spans="1:1" s="200" customFormat="1" ht="12" hidden="1" customHeight="1">
      <c r="A15025" s="199"/>
    </row>
    <row r="15026" spans="1:1" s="200" customFormat="1" ht="12" hidden="1" customHeight="1">
      <c r="A15026" s="199"/>
    </row>
    <row r="15027" spans="1:1" s="200" customFormat="1" ht="12" hidden="1" customHeight="1">
      <c r="A15027" s="199"/>
    </row>
    <row r="15028" spans="1:1" s="200" customFormat="1" ht="12" hidden="1" customHeight="1">
      <c r="A15028" s="199"/>
    </row>
    <row r="15029" spans="1:1" s="200" customFormat="1" ht="12" hidden="1" customHeight="1">
      <c r="A15029" s="199"/>
    </row>
    <row r="15030" spans="1:1" s="200" customFormat="1" ht="12" hidden="1" customHeight="1">
      <c r="A15030" s="199"/>
    </row>
    <row r="15031" spans="1:1" s="200" customFormat="1" ht="12" hidden="1" customHeight="1">
      <c r="A15031" s="199"/>
    </row>
    <row r="15032" spans="1:1" s="200" customFormat="1" ht="12" hidden="1" customHeight="1">
      <c r="A15032" s="199"/>
    </row>
    <row r="15033" spans="1:1" s="200" customFormat="1" ht="12" hidden="1" customHeight="1">
      <c r="A15033" s="199"/>
    </row>
    <row r="15034" spans="1:1" s="200" customFormat="1" ht="12" hidden="1" customHeight="1">
      <c r="A15034" s="199"/>
    </row>
    <row r="15035" spans="1:1" s="200" customFormat="1" ht="12" hidden="1" customHeight="1">
      <c r="A15035" s="199"/>
    </row>
    <row r="15036" spans="1:1" s="200" customFormat="1" ht="12" hidden="1" customHeight="1">
      <c r="A15036" s="199"/>
    </row>
    <row r="15037" spans="1:1" s="200" customFormat="1" ht="12" hidden="1" customHeight="1">
      <c r="A15037" s="199"/>
    </row>
    <row r="15038" spans="1:1" s="200" customFormat="1" ht="12" hidden="1" customHeight="1">
      <c r="A15038" s="199"/>
    </row>
    <row r="15039" spans="1:1" s="200" customFormat="1" ht="12" hidden="1" customHeight="1">
      <c r="A15039" s="199"/>
    </row>
    <row r="15040" spans="1:1" s="200" customFormat="1" ht="12" hidden="1" customHeight="1">
      <c r="A15040" s="199"/>
    </row>
    <row r="15041" spans="1:1" s="200" customFormat="1" ht="12" hidden="1" customHeight="1">
      <c r="A15041" s="199"/>
    </row>
    <row r="15042" spans="1:1" s="200" customFormat="1" ht="12" hidden="1" customHeight="1">
      <c r="A15042" s="199"/>
    </row>
    <row r="15043" spans="1:1" s="200" customFormat="1" ht="12" hidden="1" customHeight="1">
      <c r="A15043" s="199"/>
    </row>
    <row r="15044" spans="1:1" s="200" customFormat="1" ht="12" hidden="1" customHeight="1">
      <c r="A15044" s="199"/>
    </row>
    <row r="15045" spans="1:1" s="200" customFormat="1" ht="12" hidden="1" customHeight="1">
      <c r="A15045" s="199"/>
    </row>
    <row r="15046" spans="1:1" s="200" customFormat="1" ht="12" hidden="1" customHeight="1">
      <c r="A15046" s="199"/>
    </row>
    <row r="15047" spans="1:1" s="200" customFormat="1" ht="12" hidden="1" customHeight="1">
      <c r="A15047" s="199"/>
    </row>
    <row r="15048" spans="1:1" s="200" customFormat="1" ht="12" hidden="1" customHeight="1">
      <c r="A15048" s="199"/>
    </row>
    <row r="15049" spans="1:1" s="200" customFormat="1" ht="12" hidden="1" customHeight="1">
      <c r="A15049" s="199"/>
    </row>
    <row r="15050" spans="1:1" s="200" customFormat="1" ht="12" hidden="1" customHeight="1">
      <c r="A15050" s="199"/>
    </row>
    <row r="15051" spans="1:1" s="200" customFormat="1" ht="12" hidden="1" customHeight="1">
      <c r="A15051" s="199"/>
    </row>
    <row r="15052" spans="1:1" s="200" customFormat="1" ht="12" hidden="1" customHeight="1">
      <c r="A15052" s="199"/>
    </row>
    <row r="15053" spans="1:1" s="200" customFormat="1" ht="12" hidden="1" customHeight="1">
      <c r="A15053" s="199"/>
    </row>
    <row r="15054" spans="1:1" s="200" customFormat="1" ht="12" hidden="1" customHeight="1">
      <c r="A15054" s="199"/>
    </row>
    <row r="15055" spans="1:1" s="200" customFormat="1" ht="12" hidden="1" customHeight="1">
      <c r="A15055" s="199"/>
    </row>
    <row r="15056" spans="1:1" s="200" customFormat="1" ht="12" hidden="1" customHeight="1">
      <c r="A15056" s="199"/>
    </row>
    <row r="15057" spans="1:1" s="200" customFormat="1" ht="12" hidden="1" customHeight="1">
      <c r="A15057" s="199"/>
    </row>
    <row r="15058" spans="1:1" s="200" customFormat="1" ht="12" hidden="1" customHeight="1">
      <c r="A15058" s="199"/>
    </row>
    <row r="15059" spans="1:1" s="200" customFormat="1" ht="12" hidden="1" customHeight="1">
      <c r="A15059" s="199"/>
    </row>
    <row r="15060" spans="1:1" s="200" customFormat="1" ht="12" hidden="1" customHeight="1">
      <c r="A15060" s="199"/>
    </row>
    <row r="15061" spans="1:1" s="200" customFormat="1" ht="12" hidden="1" customHeight="1">
      <c r="A15061" s="199"/>
    </row>
    <row r="15062" spans="1:1" s="200" customFormat="1" ht="12" hidden="1" customHeight="1">
      <c r="A15062" s="199"/>
    </row>
    <row r="15063" spans="1:1" s="200" customFormat="1" ht="12" hidden="1" customHeight="1">
      <c r="A15063" s="199"/>
    </row>
    <row r="15064" spans="1:1" s="200" customFormat="1" ht="12" hidden="1" customHeight="1">
      <c r="A15064" s="199"/>
    </row>
    <row r="15065" spans="1:1" s="200" customFormat="1" ht="12" hidden="1" customHeight="1">
      <c r="A15065" s="199"/>
    </row>
    <row r="15066" spans="1:1" s="200" customFormat="1" ht="12" hidden="1" customHeight="1">
      <c r="A15066" s="199"/>
    </row>
    <row r="15067" spans="1:1" s="200" customFormat="1" ht="12" hidden="1" customHeight="1">
      <c r="A15067" s="199"/>
    </row>
    <row r="15068" spans="1:1" s="200" customFormat="1" ht="12" hidden="1" customHeight="1">
      <c r="A15068" s="199"/>
    </row>
    <row r="15069" spans="1:1" s="200" customFormat="1" ht="12" hidden="1" customHeight="1">
      <c r="A15069" s="199"/>
    </row>
    <row r="15070" spans="1:1" s="200" customFormat="1" ht="12" hidden="1" customHeight="1">
      <c r="A15070" s="199"/>
    </row>
    <row r="15071" spans="1:1" s="200" customFormat="1" ht="12" hidden="1" customHeight="1">
      <c r="A15071" s="199"/>
    </row>
    <row r="15072" spans="1:1" s="200" customFormat="1" ht="12" hidden="1" customHeight="1">
      <c r="A15072" s="199"/>
    </row>
    <row r="15073" spans="1:1" s="200" customFormat="1" ht="12" hidden="1" customHeight="1">
      <c r="A15073" s="199"/>
    </row>
    <row r="15074" spans="1:1" s="200" customFormat="1" ht="12" hidden="1" customHeight="1">
      <c r="A15074" s="199"/>
    </row>
    <row r="15075" spans="1:1" s="200" customFormat="1" ht="12" hidden="1" customHeight="1">
      <c r="A15075" s="199"/>
    </row>
    <row r="15076" spans="1:1" s="200" customFormat="1" ht="12" hidden="1" customHeight="1">
      <c r="A15076" s="199"/>
    </row>
    <row r="15077" spans="1:1" s="200" customFormat="1" ht="12" hidden="1" customHeight="1">
      <c r="A15077" s="199"/>
    </row>
    <row r="15078" spans="1:1" s="200" customFormat="1" ht="12" hidden="1" customHeight="1">
      <c r="A15078" s="199"/>
    </row>
    <row r="15079" spans="1:1" s="200" customFormat="1" ht="12" hidden="1" customHeight="1">
      <c r="A15079" s="199"/>
    </row>
    <row r="15080" spans="1:1" s="200" customFormat="1" ht="12" hidden="1" customHeight="1">
      <c r="A15080" s="199"/>
    </row>
    <row r="15081" spans="1:1" s="200" customFormat="1" ht="12" hidden="1" customHeight="1">
      <c r="A15081" s="199"/>
    </row>
    <row r="15082" spans="1:1" s="200" customFormat="1" ht="12" hidden="1" customHeight="1">
      <c r="A15082" s="199"/>
    </row>
    <row r="15083" spans="1:1" s="200" customFormat="1" ht="12" hidden="1" customHeight="1">
      <c r="A15083" s="199"/>
    </row>
    <row r="15084" spans="1:1" s="200" customFormat="1" ht="12" hidden="1" customHeight="1">
      <c r="A15084" s="199"/>
    </row>
    <row r="15085" spans="1:1" s="200" customFormat="1" ht="12" hidden="1" customHeight="1">
      <c r="A15085" s="199"/>
    </row>
    <row r="15086" spans="1:1" s="200" customFormat="1" ht="12" hidden="1" customHeight="1">
      <c r="A15086" s="199"/>
    </row>
    <row r="15087" spans="1:1" s="200" customFormat="1" ht="12" hidden="1" customHeight="1">
      <c r="A15087" s="199"/>
    </row>
    <row r="15088" spans="1:1" s="200" customFormat="1" ht="12" hidden="1" customHeight="1">
      <c r="A15088" s="199"/>
    </row>
    <row r="15089" spans="1:1" s="200" customFormat="1" ht="12" hidden="1" customHeight="1">
      <c r="A15089" s="199"/>
    </row>
    <row r="15090" spans="1:1" s="200" customFormat="1" ht="12" hidden="1" customHeight="1">
      <c r="A15090" s="199"/>
    </row>
    <row r="15091" spans="1:1" s="200" customFormat="1" ht="12" hidden="1" customHeight="1">
      <c r="A15091" s="199"/>
    </row>
    <row r="15092" spans="1:1" s="200" customFormat="1" ht="12" hidden="1" customHeight="1">
      <c r="A15092" s="199"/>
    </row>
    <row r="15093" spans="1:1" s="200" customFormat="1" ht="12" hidden="1" customHeight="1">
      <c r="A15093" s="199"/>
    </row>
    <row r="15094" spans="1:1" s="200" customFormat="1" ht="12" hidden="1" customHeight="1">
      <c r="A15094" s="199"/>
    </row>
    <row r="15095" spans="1:1" s="200" customFormat="1" ht="12" hidden="1" customHeight="1">
      <c r="A15095" s="199"/>
    </row>
    <row r="15096" spans="1:1" s="200" customFormat="1" ht="12" hidden="1" customHeight="1">
      <c r="A15096" s="199"/>
    </row>
    <row r="15097" spans="1:1" s="200" customFormat="1" ht="12" hidden="1" customHeight="1">
      <c r="A15097" s="199"/>
    </row>
    <row r="15098" spans="1:1" s="200" customFormat="1" ht="12" hidden="1" customHeight="1">
      <c r="A15098" s="199"/>
    </row>
    <row r="15099" spans="1:1" s="200" customFormat="1" ht="12" hidden="1" customHeight="1">
      <c r="A15099" s="199"/>
    </row>
    <row r="15100" spans="1:1" s="200" customFormat="1" ht="12" hidden="1" customHeight="1">
      <c r="A15100" s="199"/>
    </row>
    <row r="15101" spans="1:1" s="200" customFormat="1" ht="12" hidden="1" customHeight="1">
      <c r="A15101" s="199"/>
    </row>
    <row r="15102" spans="1:1" s="200" customFormat="1" ht="12" hidden="1" customHeight="1">
      <c r="A15102" s="199"/>
    </row>
    <row r="15103" spans="1:1" s="200" customFormat="1" ht="12" hidden="1" customHeight="1">
      <c r="A15103" s="199"/>
    </row>
    <row r="15104" spans="1:1" s="200" customFormat="1" ht="12" hidden="1" customHeight="1">
      <c r="A15104" s="199"/>
    </row>
    <row r="15105" spans="1:1" s="200" customFormat="1" ht="12" hidden="1" customHeight="1">
      <c r="A15105" s="199"/>
    </row>
    <row r="15106" spans="1:1" s="200" customFormat="1" ht="12" hidden="1" customHeight="1">
      <c r="A15106" s="199"/>
    </row>
    <row r="15107" spans="1:1" s="200" customFormat="1" ht="12" hidden="1" customHeight="1">
      <c r="A15107" s="199"/>
    </row>
    <row r="15108" spans="1:1" s="200" customFormat="1" ht="12" hidden="1" customHeight="1">
      <c r="A15108" s="199"/>
    </row>
    <row r="15109" spans="1:1" s="200" customFormat="1" ht="12" hidden="1" customHeight="1">
      <c r="A15109" s="199"/>
    </row>
    <row r="15110" spans="1:1" s="200" customFormat="1" ht="12" hidden="1" customHeight="1">
      <c r="A15110" s="199"/>
    </row>
    <row r="15111" spans="1:1" s="200" customFormat="1" ht="12" hidden="1" customHeight="1">
      <c r="A15111" s="199"/>
    </row>
    <row r="15112" spans="1:1" s="200" customFormat="1" ht="12" hidden="1" customHeight="1">
      <c r="A15112" s="199"/>
    </row>
    <row r="15113" spans="1:1" s="200" customFormat="1" ht="12" hidden="1" customHeight="1">
      <c r="A15113" s="199"/>
    </row>
    <row r="15114" spans="1:1" s="200" customFormat="1" ht="12" hidden="1" customHeight="1">
      <c r="A15114" s="199"/>
    </row>
    <row r="15115" spans="1:1" s="200" customFormat="1" ht="12" hidden="1" customHeight="1">
      <c r="A15115" s="199"/>
    </row>
    <row r="15116" spans="1:1" s="200" customFormat="1" ht="12" hidden="1" customHeight="1">
      <c r="A15116" s="199"/>
    </row>
    <row r="15117" spans="1:1" s="200" customFormat="1" ht="12" hidden="1" customHeight="1">
      <c r="A15117" s="199"/>
    </row>
    <row r="15118" spans="1:1" s="200" customFormat="1" ht="12" hidden="1" customHeight="1">
      <c r="A15118" s="199"/>
    </row>
    <row r="15119" spans="1:1" s="200" customFormat="1" ht="12" hidden="1" customHeight="1">
      <c r="A15119" s="199"/>
    </row>
    <row r="15120" spans="1:1" s="200" customFormat="1" ht="12" hidden="1" customHeight="1">
      <c r="A15120" s="199"/>
    </row>
    <row r="15121" spans="1:1" s="200" customFormat="1" ht="12" hidden="1" customHeight="1">
      <c r="A15121" s="199"/>
    </row>
    <row r="15122" spans="1:1" s="200" customFormat="1" ht="12" hidden="1" customHeight="1">
      <c r="A15122" s="199"/>
    </row>
    <row r="15123" spans="1:1" s="200" customFormat="1" ht="12" hidden="1" customHeight="1">
      <c r="A15123" s="199"/>
    </row>
    <row r="15124" spans="1:1" s="200" customFormat="1" ht="12" hidden="1" customHeight="1">
      <c r="A15124" s="199"/>
    </row>
    <row r="15125" spans="1:1" s="200" customFormat="1" ht="12" hidden="1" customHeight="1">
      <c r="A15125" s="199"/>
    </row>
    <row r="15126" spans="1:1" s="200" customFormat="1" ht="12" hidden="1" customHeight="1">
      <c r="A15126" s="199"/>
    </row>
    <row r="15127" spans="1:1" s="200" customFormat="1" ht="12" hidden="1" customHeight="1">
      <c r="A15127" s="199"/>
    </row>
    <row r="15128" spans="1:1" s="200" customFormat="1" ht="12" hidden="1" customHeight="1">
      <c r="A15128" s="199"/>
    </row>
    <row r="15129" spans="1:1" s="200" customFormat="1" ht="12" hidden="1" customHeight="1">
      <c r="A15129" s="199"/>
    </row>
    <row r="15130" spans="1:1" s="200" customFormat="1" ht="12" hidden="1" customHeight="1">
      <c r="A15130" s="199"/>
    </row>
    <row r="15131" spans="1:1" s="200" customFormat="1" ht="12" hidden="1" customHeight="1">
      <c r="A15131" s="199"/>
    </row>
    <row r="15132" spans="1:1" s="200" customFormat="1" ht="12" hidden="1" customHeight="1">
      <c r="A15132" s="199"/>
    </row>
    <row r="15133" spans="1:1" s="200" customFormat="1" ht="12" hidden="1" customHeight="1">
      <c r="A15133" s="199"/>
    </row>
    <row r="15134" spans="1:1" s="200" customFormat="1" ht="12" hidden="1" customHeight="1">
      <c r="A15134" s="199"/>
    </row>
    <row r="15135" spans="1:1" s="200" customFormat="1" ht="12" hidden="1" customHeight="1">
      <c r="A15135" s="199"/>
    </row>
    <row r="15136" spans="1:1" s="200" customFormat="1" ht="12" hidden="1" customHeight="1">
      <c r="A15136" s="199"/>
    </row>
    <row r="15137" spans="1:1" s="200" customFormat="1" ht="12" hidden="1" customHeight="1">
      <c r="A15137" s="199"/>
    </row>
    <row r="15138" spans="1:1" s="200" customFormat="1" ht="12" hidden="1" customHeight="1">
      <c r="A15138" s="199"/>
    </row>
    <row r="15139" spans="1:1" s="200" customFormat="1" ht="12" hidden="1" customHeight="1">
      <c r="A15139" s="199"/>
    </row>
    <row r="15140" spans="1:1" s="200" customFormat="1" ht="12" hidden="1" customHeight="1">
      <c r="A15140" s="199"/>
    </row>
    <row r="15141" spans="1:1" s="200" customFormat="1" ht="12" hidden="1" customHeight="1">
      <c r="A15141" s="199"/>
    </row>
    <row r="15142" spans="1:1" s="200" customFormat="1" ht="12" hidden="1" customHeight="1">
      <c r="A15142" s="199"/>
    </row>
    <row r="15143" spans="1:1" s="200" customFormat="1" ht="12" hidden="1" customHeight="1">
      <c r="A15143" s="199"/>
    </row>
    <row r="15144" spans="1:1" s="200" customFormat="1" ht="12" hidden="1" customHeight="1">
      <c r="A15144" s="199"/>
    </row>
    <row r="15145" spans="1:1" s="200" customFormat="1" ht="12" hidden="1" customHeight="1">
      <c r="A15145" s="199"/>
    </row>
    <row r="15146" spans="1:1" s="200" customFormat="1" ht="12" hidden="1" customHeight="1">
      <c r="A15146" s="199"/>
    </row>
    <row r="15147" spans="1:1" s="200" customFormat="1" ht="12" hidden="1" customHeight="1">
      <c r="A15147" s="199"/>
    </row>
    <row r="15148" spans="1:1" s="200" customFormat="1" ht="12" hidden="1" customHeight="1">
      <c r="A15148" s="199"/>
    </row>
    <row r="15149" spans="1:1" s="200" customFormat="1" ht="12" hidden="1" customHeight="1">
      <c r="A15149" s="199"/>
    </row>
    <row r="15150" spans="1:1" s="200" customFormat="1" ht="12" hidden="1" customHeight="1">
      <c r="A15150" s="199"/>
    </row>
    <row r="15151" spans="1:1" s="200" customFormat="1" ht="12" hidden="1" customHeight="1">
      <c r="A15151" s="199"/>
    </row>
    <row r="15152" spans="1:1" s="200" customFormat="1" ht="12" hidden="1" customHeight="1">
      <c r="A15152" s="199"/>
    </row>
    <row r="15153" spans="1:1" s="200" customFormat="1" ht="12" hidden="1" customHeight="1">
      <c r="A15153" s="199"/>
    </row>
    <row r="15154" spans="1:1" s="200" customFormat="1" ht="12" hidden="1" customHeight="1">
      <c r="A15154" s="199"/>
    </row>
    <row r="15155" spans="1:1" s="200" customFormat="1" ht="12" hidden="1" customHeight="1">
      <c r="A15155" s="199"/>
    </row>
    <row r="15156" spans="1:1" s="200" customFormat="1" ht="12" hidden="1" customHeight="1">
      <c r="A15156" s="199"/>
    </row>
    <row r="15157" spans="1:1" s="200" customFormat="1" ht="12" hidden="1" customHeight="1">
      <c r="A15157" s="199"/>
    </row>
    <row r="15158" spans="1:1" s="200" customFormat="1" ht="12" hidden="1" customHeight="1">
      <c r="A15158" s="199"/>
    </row>
    <row r="15159" spans="1:1" s="200" customFormat="1" ht="12" hidden="1" customHeight="1">
      <c r="A15159" s="199"/>
    </row>
    <row r="15160" spans="1:1" s="200" customFormat="1" ht="12" hidden="1" customHeight="1">
      <c r="A15160" s="199"/>
    </row>
    <row r="15161" spans="1:1" s="200" customFormat="1" ht="12" hidden="1" customHeight="1">
      <c r="A15161" s="199"/>
    </row>
    <row r="15162" spans="1:1" s="200" customFormat="1" ht="12" hidden="1" customHeight="1">
      <c r="A15162" s="199"/>
    </row>
    <row r="15163" spans="1:1" s="200" customFormat="1" ht="12" hidden="1" customHeight="1">
      <c r="A15163" s="199"/>
    </row>
    <row r="15164" spans="1:1" s="200" customFormat="1" ht="12" hidden="1" customHeight="1">
      <c r="A15164" s="199"/>
    </row>
    <row r="15165" spans="1:1" s="200" customFormat="1" ht="12" hidden="1" customHeight="1">
      <c r="A15165" s="199"/>
    </row>
    <row r="15166" spans="1:1" s="200" customFormat="1" ht="12" hidden="1" customHeight="1">
      <c r="A15166" s="199"/>
    </row>
    <row r="15167" spans="1:1" s="200" customFormat="1" ht="12" hidden="1" customHeight="1">
      <c r="A15167" s="199"/>
    </row>
    <row r="15168" spans="1:1" s="200" customFormat="1" ht="12" hidden="1" customHeight="1">
      <c r="A15168" s="199"/>
    </row>
    <row r="15169" spans="1:1" s="200" customFormat="1" ht="12" hidden="1" customHeight="1">
      <c r="A15169" s="199"/>
    </row>
    <row r="15170" spans="1:1" s="200" customFormat="1" ht="12" hidden="1" customHeight="1">
      <c r="A15170" s="199"/>
    </row>
    <row r="15171" spans="1:1" s="200" customFormat="1" ht="12" hidden="1" customHeight="1">
      <c r="A15171" s="199"/>
    </row>
    <row r="15172" spans="1:1" s="200" customFormat="1" ht="12" hidden="1" customHeight="1">
      <c r="A15172" s="199"/>
    </row>
    <row r="15173" spans="1:1" s="200" customFormat="1" ht="12" hidden="1" customHeight="1">
      <c r="A15173" s="199"/>
    </row>
    <row r="15174" spans="1:1" s="200" customFormat="1" ht="12" hidden="1" customHeight="1">
      <c r="A15174" s="199"/>
    </row>
    <row r="15175" spans="1:1" s="200" customFormat="1" ht="12" hidden="1" customHeight="1">
      <c r="A15175" s="199"/>
    </row>
    <row r="15176" spans="1:1" s="200" customFormat="1" ht="12" hidden="1" customHeight="1">
      <c r="A15176" s="199"/>
    </row>
    <row r="15177" spans="1:1" s="200" customFormat="1" ht="12" hidden="1" customHeight="1">
      <c r="A15177" s="199"/>
    </row>
    <row r="15178" spans="1:1" s="200" customFormat="1" ht="12" hidden="1" customHeight="1">
      <c r="A15178" s="199"/>
    </row>
    <row r="15179" spans="1:1" s="200" customFormat="1" ht="12" hidden="1" customHeight="1">
      <c r="A15179" s="199"/>
    </row>
    <row r="15180" spans="1:1" s="200" customFormat="1" ht="12" hidden="1" customHeight="1">
      <c r="A15180" s="199"/>
    </row>
    <row r="15181" spans="1:1" s="200" customFormat="1" ht="12" hidden="1" customHeight="1">
      <c r="A15181" s="199"/>
    </row>
    <row r="15182" spans="1:1" s="200" customFormat="1" ht="12" hidden="1" customHeight="1">
      <c r="A15182" s="199"/>
    </row>
    <row r="15183" spans="1:1" s="200" customFormat="1" ht="12" hidden="1" customHeight="1">
      <c r="A15183" s="199"/>
    </row>
    <row r="15184" spans="1:1" s="200" customFormat="1" ht="12" hidden="1" customHeight="1">
      <c r="A15184" s="199"/>
    </row>
    <row r="15185" spans="1:1" s="200" customFormat="1" ht="12" hidden="1" customHeight="1">
      <c r="A15185" s="199"/>
    </row>
    <row r="15186" spans="1:1" s="200" customFormat="1" ht="12" hidden="1" customHeight="1">
      <c r="A15186" s="199"/>
    </row>
    <row r="15187" spans="1:1" s="200" customFormat="1" ht="12" hidden="1" customHeight="1">
      <c r="A15187" s="199"/>
    </row>
    <row r="15188" spans="1:1" s="200" customFormat="1" ht="12" hidden="1" customHeight="1">
      <c r="A15188" s="199"/>
    </row>
    <row r="15189" spans="1:1" s="200" customFormat="1" ht="12" hidden="1" customHeight="1">
      <c r="A15189" s="199"/>
    </row>
    <row r="15190" spans="1:1" s="200" customFormat="1" ht="12" hidden="1" customHeight="1">
      <c r="A15190" s="199"/>
    </row>
    <row r="15191" spans="1:1" s="200" customFormat="1" ht="12" hidden="1" customHeight="1">
      <c r="A15191" s="199"/>
    </row>
    <row r="15192" spans="1:1" s="200" customFormat="1" ht="12" hidden="1" customHeight="1">
      <c r="A15192" s="199"/>
    </row>
    <row r="15193" spans="1:1" s="200" customFormat="1" ht="12" hidden="1" customHeight="1">
      <c r="A15193" s="199"/>
    </row>
    <row r="15194" spans="1:1" s="200" customFormat="1" ht="12" hidden="1" customHeight="1">
      <c r="A15194" s="199"/>
    </row>
    <row r="15195" spans="1:1" s="200" customFormat="1" ht="12" hidden="1" customHeight="1">
      <c r="A15195" s="199"/>
    </row>
    <row r="15196" spans="1:1" s="200" customFormat="1" ht="12" hidden="1" customHeight="1">
      <c r="A15196" s="199"/>
    </row>
    <row r="15197" spans="1:1" s="200" customFormat="1" ht="12" hidden="1" customHeight="1">
      <c r="A15197" s="199"/>
    </row>
    <row r="15198" spans="1:1" s="200" customFormat="1" ht="12" hidden="1" customHeight="1">
      <c r="A15198" s="199"/>
    </row>
    <row r="15199" spans="1:1" s="200" customFormat="1" ht="12" hidden="1" customHeight="1">
      <c r="A15199" s="199"/>
    </row>
    <row r="15200" spans="1:1" s="200" customFormat="1" ht="12" hidden="1" customHeight="1">
      <c r="A15200" s="199"/>
    </row>
    <row r="15201" spans="1:1" s="200" customFormat="1" ht="12" hidden="1" customHeight="1">
      <c r="A15201" s="199"/>
    </row>
    <row r="15202" spans="1:1" s="200" customFormat="1" ht="12" hidden="1" customHeight="1">
      <c r="A15202" s="199"/>
    </row>
    <row r="15203" spans="1:1" s="200" customFormat="1" ht="12" hidden="1" customHeight="1">
      <c r="A15203" s="199"/>
    </row>
    <row r="15204" spans="1:1" s="200" customFormat="1" ht="12" hidden="1" customHeight="1">
      <c r="A15204" s="199"/>
    </row>
    <row r="15205" spans="1:1" s="200" customFormat="1" ht="12" hidden="1" customHeight="1">
      <c r="A15205" s="199"/>
    </row>
    <row r="15206" spans="1:1" s="200" customFormat="1" ht="12" hidden="1" customHeight="1">
      <c r="A15206" s="199"/>
    </row>
    <row r="15207" spans="1:1" s="200" customFormat="1" ht="12" hidden="1" customHeight="1">
      <c r="A15207" s="199"/>
    </row>
    <row r="15208" spans="1:1" s="200" customFormat="1" ht="12" hidden="1" customHeight="1">
      <c r="A15208" s="199"/>
    </row>
    <row r="15209" spans="1:1" s="200" customFormat="1" ht="12" hidden="1" customHeight="1">
      <c r="A15209" s="199"/>
    </row>
    <row r="15210" spans="1:1" s="200" customFormat="1" ht="12" hidden="1" customHeight="1">
      <c r="A15210" s="199"/>
    </row>
    <row r="15211" spans="1:1" s="200" customFormat="1" ht="12" hidden="1" customHeight="1">
      <c r="A15211" s="199"/>
    </row>
    <row r="15212" spans="1:1" s="200" customFormat="1" ht="12" hidden="1" customHeight="1">
      <c r="A15212" s="199"/>
    </row>
    <row r="15213" spans="1:1" s="200" customFormat="1" ht="12" hidden="1" customHeight="1">
      <c r="A15213" s="199"/>
    </row>
    <row r="15214" spans="1:1" s="200" customFormat="1" ht="12" hidden="1" customHeight="1">
      <c r="A15214" s="199"/>
    </row>
    <row r="15215" spans="1:1" s="200" customFormat="1" ht="12" hidden="1" customHeight="1">
      <c r="A15215" s="199"/>
    </row>
    <row r="15216" spans="1:1" s="200" customFormat="1" ht="12" hidden="1" customHeight="1">
      <c r="A15216" s="199"/>
    </row>
    <row r="15217" spans="1:1" s="200" customFormat="1" ht="12" hidden="1" customHeight="1">
      <c r="A15217" s="199"/>
    </row>
    <row r="15218" spans="1:1" s="200" customFormat="1" ht="12" hidden="1" customHeight="1">
      <c r="A15218" s="199"/>
    </row>
    <row r="15219" spans="1:1" s="200" customFormat="1" ht="12" hidden="1" customHeight="1">
      <c r="A15219" s="199"/>
    </row>
    <row r="15220" spans="1:1" s="200" customFormat="1" ht="12" hidden="1" customHeight="1">
      <c r="A15220" s="199"/>
    </row>
    <row r="15221" spans="1:1" s="200" customFormat="1" ht="12" hidden="1" customHeight="1">
      <c r="A15221" s="199"/>
    </row>
    <row r="15222" spans="1:1" s="200" customFormat="1" ht="12" hidden="1" customHeight="1">
      <c r="A15222" s="199"/>
    </row>
    <row r="15223" spans="1:1" s="200" customFormat="1" ht="12" hidden="1" customHeight="1">
      <c r="A15223" s="199"/>
    </row>
    <row r="15224" spans="1:1" s="200" customFormat="1" ht="12" hidden="1" customHeight="1">
      <c r="A15224" s="199"/>
    </row>
    <row r="15225" spans="1:1" s="200" customFormat="1" ht="12" hidden="1" customHeight="1">
      <c r="A15225" s="199"/>
    </row>
    <row r="15226" spans="1:1" s="200" customFormat="1" ht="12" hidden="1" customHeight="1">
      <c r="A15226" s="199"/>
    </row>
    <row r="15227" spans="1:1" s="200" customFormat="1" ht="12" hidden="1" customHeight="1">
      <c r="A15227" s="199"/>
    </row>
    <row r="15228" spans="1:1" s="200" customFormat="1" ht="12" hidden="1" customHeight="1">
      <c r="A15228" s="199"/>
    </row>
    <row r="15229" spans="1:1" s="200" customFormat="1" ht="12" hidden="1" customHeight="1">
      <c r="A15229" s="199"/>
    </row>
    <row r="15230" spans="1:1" s="200" customFormat="1" ht="12" hidden="1" customHeight="1">
      <c r="A15230" s="199"/>
    </row>
    <row r="15231" spans="1:1" s="200" customFormat="1" ht="12" hidden="1" customHeight="1">
      <c r="A15231" s="199"/>
    </row>
    <row r="15232" spans="1:1" s="200" customFormat="1" ht="12" hidden="1" customHeight="1">
      <c r="A15232" s="199"/>
    </row>
    <row r="15233" spans="1:1" s="200" customFormat="1" ht="12" hidden="1" customHeight="1">
      <c r="A15233" s="199"/>
    </row>
    <row r="15234" spans="1:1" s="200" customFormat="1" ht="12" hidden="1" customHeight="1">
      <c r="A15234" s="199"/>
    </row>
    <row r="15235" spans="1:1" s="200" customFormat="1" ht="12" hidden="1" customHeight="1">
      <c r="A15235" s="199"/>
    </row>
    <row r="15236" spans="1:1" s="200" customFormat="1" ht="12" hidden="1" customHeight="1">
      <c r="A15236" s="199"/>
    </row>
    <row r="15237" spans="1:1" s="200" customFormat="1" ht="12" hidden="1" customHeight="1">
      <c r="A15237" s="199"/>
    </row>
    <row r="15238" spans="1:1" s="200" customFormat="1" ht="12" hidden="1" customHeight="1">
      <c r="A15238" s="199"/>
    </row>
    <row r="15239" spans="1:1" s="200" customFormat="1" ht="12" hidden="1" customHeight="1">
      <c r="A15239" s="199"/>
    </row>
    <row r="15240" spans="1:1" s="200" customFormat="1" ht="12" hidden="1" customHeight="1">
      <c r="A15240" s="199"/>
    </row>
    <row r="15241" spans="1:1" s="200" customFormat="1" ht="12" hidden="1" customHeight="1">
      <c r="A15241" s="199"/>
    </row>
    <row r="15242" spans="1:1" s="200" customFormat="1" ht="12" hidden="1" customHeight="1">
      <c r="A15242" s="199"/>
    </row>
    <row r="15243" spans="1:1" s="200" customFormat="1" ht="12" hidden="1" customHeight="1">
      <c r="A15243" s="199"/>
    </row>
    <row r="15244" spans="1:1" s="200" customFormat="1" ht="12" hidden="1" customHeight="1">
      <c r="A15244" s="199"/>
    </row>
    <row r="15245" spans="1:1" s="200" customFormat="1" ht="12" hidden="1" customHeight="1">
      <c r="A15245" s="199"/>
    </row>
    <row r="15246" spans="1:1" s="200" customFormat="1" ht="12" hidden="1" customHeight="1">
      <c r="A15246" s="199"/>
    </row>
    <row r="15247" spans="1:1" s="200" customFormat="1" ht="12" hidden="1" customHeight="1">
      <c r="A15247" s="199"/>
    </row>
    <row r="15248" spans="1:1" s="200" customFormat="1" ht="12" hidden="1" customHeight="1">
      <c r="A15248" s="199"/>
    </row>
    <row r="15249" spans="1:1" s="200" customFormat="1" ht="12" hidden="1" customHeight="1">
      <c r="A15249" s="199"/>
    </row>
    <row r="15250" spans="1:1" s="200" customFormat="1" ht="12" hidden="1" customHeight="1">
      <c r="A15250" s="199"/>
    </row>
    <row r="15251" spans="1:1" s="200" customFormat="1" ht="12" hidden="1" customHeight="1">
      <c r="A15251" s="199"/>
    </row>
    <row r="15252" spans="1:1" s="200" customFormat="1" ht="12" hidden="1" customHeight="1">
      <c r="A15252" s="199"/>
    </row>
    <row r="15253" spans="1:1" s="200" customFormat="1" ht="12" hidden="1" customHeight="1">
      <c r="A15253" s="199"/>
    </row>
    <row r="15254" spans="1:1" s="200" customFormat="1" ht="12" hidden="1" customHeight="1">
      <c r="A15254" s="199"/>
    </row>
    <row r="15255" spans="1:1" s="200" customFormat="1" ht="12" hidden="1" customHeight="1">
      <c r="A15255" s="199"/>
    </row>
    <row r="15256" spans="1:1" s="200" customFormat="1" ht="12" hidden="1" customHeight="1">
      <c r="A15256" s="199"/>
    </row>
    <row r="15257" spans="1:1" s="200" customFormat="1" ht="12" hidden="1" customHeight="1">
      <c r="A15257" s="199"/>
    </row>
    <row r="15258" spans="1:1" s="200" customFormat="1" ht="12" hidden="1" customHeight="1">
      <c r="A15258" s="199"/>
    </row>
    <row r="15259" spans="1:1" s="200" customFormat="1" ht="12" hidden="1" customHeight="1">
      <c r="A15259" s="199"/>
    </row>
    <row r="15260" spans="1:1" s="200" customFormat="1" ht="12" hidden="1" customHeight="1">
      <c r="A15260" s="199"/>
    </row>
    <row r="15261" spans="1:1" s="200" customFormat="1" ht="12" hidden="1" customHeight="1">
      <c r="A15261" s="199"/>
    </row>
    <row r="15262" spans="1:1" s="200" customFormat="1" ht="12" hidden="1" customHeight="1">
      <c r="A15262" s="199"/>
    </row>
    <row r="15263" spans="1:1" s="200" customFormat="1" ht="12" hidden="1" customHeight="1">
      <c r="A15263" s="199"/>
    </row>
    <row r="15264" spans="1:1" s="200" customFormat="1" ht="12" hidden="1" customHeight="1">
      <c r="A15264" s="199"/>
    </row>
    <row r="15265" spans="1:1" s="200" customFormat="1" ht="12" hidden="1" customHeight="1">
      <c r="A15265" s="199"/>
    </row>
    <row r="15266" spans="1:1" s="200" customFormat="1" ht="12" hidden="1" customHeight="1">
      <c r="A15266" s="199"/>
    </row>
    <row r="15267" spans="1:1" s="200" customFormat="1" ht="12" hidden="1" customHeight="1">
      <c r="A15267" s="199"/>
    </row>
    <row r="15268" spans="1:1" s="200" customFormat="1" ht="12" hidden="1" customHeight="1">
      <c r="A15268" s="199"/>
    </row>
    <row r="15269" spans="1:1" s="200" customFormat="1" ht="12" hidden="1" customHeight="1">
      <c r="A15269" s="199"/>
    </row>
    <row r="15270" spans="1:1" s="200" customFormat="1" ht="12" hidden="1" customHeight="1">
      <c r="A15270" s="199"/>
    </row>
    <row r="15271" spans="1:1" s="200" customFormat="1" ht="12" hidden="1" customHeight="1">
      <c r="A15271" s="199"/>
    </row>
    <row r="15272" spans="1:1" s="200" customFormat="1" ht="12" hidden="1" customHeight="1">
      <c r="A15272" s="199"/>
    </row>
    <row r="15273" spans="1:1" s="200" customFormat="1" ht="12" hidden="1" customHeight="1">
      <c r="A15273" s="199"/>
    </row>
    <row r="15274" spans="1:1" s="200" customFormat="1" ht="12" hidden="1" customHeight="1">
      <c r="A15274" s="199"/>
    </row>
    <row r="15275" spans="1:1" s="200" customFormat="1" ht="12" hidden="1" customHeight="1">
      <c r="A15275" s="199"/>
    </row>
    <row r="15276" spans="1:1" s="200" customFormat="1" ht="12" hidden="1" customHeight="1">
      <c r="A15276" s="199"/>
    </row>
    <row r="15277" spans="1:1" s="200" customFormat="1" ht="12" hidden="1" customHeight="1">
      <c r="A15277" s="199"/>
    </row>
    <row r="15278" spans="1:1" s="200" customFormat="1" ht="12" hidden="1" customHeight="1">
      <c r="A15278" s="199"/>
    </row>
    <row r="15279" spans="1:1" s="200" customFormat="1" ht="12" hidden="1" customHeight="1">
      <c r="A15279" s="199"/>
    </row>
    <row r="15280" spans="1:1" s="200" customFormat="1" ht="12" hidden="1" customHeight="1">
      <c r="A15280" s="199"/>
    </row>
    <row r="15281" spans="1:1" s="200" customFormat="1" ht="12" hidden="1" customHeight="1">
      <c r="A15281" s="199"/>
    </row>
    <row r="15282" spans="1:1" s="200" customFormat="1" ht="12" hidden="1" customHeight="1">
      <c r="A15282" s="199"/>
    </row>
    <row r="15283" spans="1:1" s="200" customFormat="1" ht="12" hidden="1" customHeight="1">
      <c r="A15283" s="199"/>
    </row>
    <row r="15284" spans="1:1" s="200" customFormat="1" ht="12" hidden="1" customHeight="1">
      <c r="A15284" s="199"/>
    </row>
    <row r="15285" spans="1:1" s="200" customFormat="1" ht="12" hidden="1" customHeight="1">
      <c r="A15285" s="199"/>
    </row>
    <row r="15286" spans="1:1" s="200" customFormat="1" ht="12" hidden="1" customHeight="1">
      <c r="A15286" s="199"/>
    </row>
    <row r="15287" spans="1:1" s="200" customFormat="1" ht="12" hidden="1" customHeight="1">
      <c r="A15287" s="199"/>
    </row>
    <row r="15288" spans="1:1" s="200" customFormat="1" ht="12" hidden="1" customHeight="1">
      <c r="A15288" s="199"/>
    </row>
    <row r="15289" spans="1:1" s="200" customFormat="1" ht="12" hidden="1" customHeight="1">
      <c r="A15289" s="199"/>
    </row>
    <row r="15290" spans="1:1" s="200" customFormat="1" ht="12" hidden="1" customHeight="1">
      <c r="A15290" s="199"/>
    </row>
    <row r="15291" spans="1:1" s="200" customFormat="1" ht="12" hidden="1" customHeight="1">
      <c r="A15291" s="199"/>
    </row>
    <row r="15292" spans="1:1" s="200" customFormat="1" ht="12" hidden="1" customHeight="1">
      <c r="A15292" s="199"/>
    </row>
    <row r="15293" spans="1:1" s="200" customFormat="1" ht="12" hidden="1" customHeight="1">
      <c r="A15293" s="199"/>
    </row>
    <row r="15294" spans="1:1" s="200" customFormat="1" ht="12" hidden="1" customHeight="1">
      <c r="A15294" s="199"/>
    </row>
    <row r="15295" spans="1:1" s="200" customFormat="1" ht="12" hidden="1" customHeight="1">
      <c r="A15295" s="199"/>
    </row>
    <row r="15296" spans="1:1" s="200" customFormat="1" ht="12" hidden="1" customHeight="1">
      <c r="A15296" s="199"/>
    </row>
    <row r="15297" spans="1:1" s="200" customFormat="1" ht="12" hidden="1" customHeight="1">
      <c r="A15297" s="199"/>
    </row>
    <row r="15298" spans="1:1" s="200" customFormat="1" ht="12" hidden="1" customHeight="1">
      <c r="A15298" s="199"/>
    </row>
    <row r="15299" spans="1:1" s="200" customFormat="1" ht="12" hidden="1" customHeight="1">
      <c r="A15299" s="199"/>
    </row>
    <row r="15300" spans="1:1" s="200" customFormat="1" ht="12" hidden="1" customHeight="1">
      <c r="A15300" s="199"/>
    </row>
    <row r="15301" spans="1:1" s="200" customFormat="1" ht="12" hidden="1" customHeight="1">
      <c r="A15301" s="199"/>
    </row>
    <row r="15302" spans="1:1" s="200" customFormat="1" ht="12" hidden="1" customHeight="1">
      <c r="A15302" s="199"/>
    </row>
    <row r="15303" spans="1:1" s="200" customFormat="1" ht="12" hidden="1" customHeight="1">
      <c r="A15303" s="199"/>
    </row>
    <row r="15304" spans="1:1" s="200" customFormat="1" ht="12" hidden="1" customHeight="1">
      <c r="A15304" s="199"/>
    </row>
    <row r="15305" spans="1:1" s="200" customFormat="1" ht="12" hidden="1" customHeight="1">
      <c r="A15305" s="199"/>
    </row>
    <row r="15306" spans="1:1" s="200" customFormat="1" ht="12" hidden="1" customHeight="1">
      <c r="A15306" s="199"/>
    </row>
    <row r="15307" spans="1:1" s="200" customFormat="1" ht="12" hidden="1" customHeight="1">
      <c r="A15307" s="199"/>
    </row>
    <row r="15308" spans="1:1" s="200" customFormat="1" ht="12" hidden="1" customHeight="1">
      <c r="A15308" s="199"/>
    </row>
    <row r="15309" spans="1:1" s="200" customFormat="1" ht="12" hidden="1" customHeight="1">
      <c r="A15309" s="199"/>
    </row>
    <row r="15310" spans="1:1" s="200" customFormat="1" ht="12" hidden="1" customHeight="1">
      <c r="A15310" s="199"/>
    </row>
    <row r="15311" spans="1:1" s="200" customFormat="1" ht="12" hidden="1" customHeight="1">
      <c r="A15311" s="199"/>
    </row>
    <row r="15312" spans="1:1" s="200" customFormat="1" ht="12" hidden="1" customHeight="1">
      <c r="A15312" s="199"/>
    </row>
    <row r="15313" spans="1:1" s="200" customFormat="1" ht="12" hidden="1" customHeight="1">
      <c r="A15313" s="199"/>
    </row>
    <row r="15314" spans="1:1" s="200" customFormat="1" ht="12" hidden="1" customHeight="1">
      <c r="A15314" s="199"/>
    </row>
    <row r="15315" spans="1:1" s="200" customFormat="1" ht="12" hidden="1" customHeight="1">
      <c r="A15315" s="199"/>
    </row>
    <row r="15316" spans="1:1" s="200" customFormat="1" ht="12" hidden="1" customHeight="1">
      <c r="A15316" s="199"/>
    </row>
    <row r="15317" spans="1:1" s="200" customFormat="1" ht="12" hidden="1" customHeight="1">
      <c r="A15317" s="199"/>
    </row>
    <row r="15318" spans="1:1" s="200" customFormat="1" ht="12" hidden="1" customHeight="1">
      <c r="A15318" s="199"/>
    </row>
    <row r="15319" spans="1:1" s="200" customFormat="1" ht="12" hidden="1" customHeight="1">
      <c r="A15319" s="199"/>
    </row>
    <row r="15320" spans="1:1" s="200" customFormat="1" ht="12" hidden="1" customHeight="1">
      <c r="A15320" s="199"/>
    </row>
    <row r="15321" spans="1:1" s="200" customFormat="1" ht="12" hidden="1" customHeight="1">
      <c r="A15321" s="199"/>
    </row>
    <row r="15322" spans="1:1" s="200" customFormat="1" ht="12" hidden="1" customHeight="1">
      <c r="A15322" s="199"/>
    </row>
    <row r="15323" spans="1:1" s="200" customFormat="1" ht="12" hidden="1" customHeight="1">
      <c r="A15323" s="199"/>
    </row>
    <row r="15324" spans="1:1" s="200" customFormat="1" ht="12" hidden="1" customHeight="1">
      <c r="A15324" s="199"/>
    </row>
    <row r="15325" spans="1:1" s="200" customFormat="1" ht="12" hidden="1" customHeight="1">
      <c r="A15325" s="199"/>
    </row>
    <row r="15326" spans="1:1" s="200" customFormat="1" ht="12" hidden="1" customHeight="1">
      <c r="A15326" s="199"/>
    </row>
    <row r="15327" spans="1:1" s="200" customFormat="1" ht="12" hidden="1" customHeight="1">
      <c r="A15327" s="199"/>
    </row>
    <row r="15328" spans="1:1" s="200" customFormat="1" ht="12" hidden="1" customHeight="1">
      <c r="A15328" s="199"/>
    </row>
    <row r="15329" spans="1:1" s="200" customFormat="1" ht="12" hidden="1" customHeight="1">
      <c r="A15329" s="199"/>
    </row>
    <row r="15330" spans="1:1" s="200" customFormat="1" ht="12" hidden="1" customHeight="1">
      <c r="A15330" s="199"/>
    </row>
    <row r="15331" spans="1:1" s="200" customFormat="1" ht="12" hidden="1" customHeight="1">
      <c r="A15331" s="199"/>
    </row>
    <row r="15332" spans="1:1" s="200" customFormat="1" ht="12" hidden="1" customHeight="1">
      <c r="A15332" s="199"/>
    </row>
    <row r="15333" spans="1:1" s="200" customFormat="1" ht="12" hidden="1" customHeight="1">
      <c r="A15333" s="199"/>
    </row>
    <row r="15334" spans="1:1" s="200" customFormat="1" ht="12" hidden="1" customHeight="1">
      <c r="A15334" s="199"/>
    </row>
    <row r="15335" spans="1:1" s="200" customFormat="1" ht="12" hidden="1" customHeight="1">
      <c r="A15335" s="199"/>
    </row>
    <row r="15336" spans="1:1" s="200" customFormat="1" ht="12" hidden="1" customHeight="1">
      <c r="A15336" s="199"/>
    </row>
    <row r="15337" spans="1:1" s="200" customFormat="1" ht="12" hidden="1" customHeight="1">
      <c r="A15337" s="199"/>
    </row>
    <row r="15338" spans="1:1" s="200" customFormat="1" ht="12" hidden="1" customHeight="1">
      <c r="A15338" s="199"/>
    </row>
    <row r="15339" spans="1:1" s="200" customFormat="1" ht="12" hidden="1" customHeight="1">
      <c r="A15339" s="199"/>
    </row>
    <row r="15340" spans="1:1" s="200" customFormat="1" ht="12" hidden="1" customHeight="1">
      <c r="A15340" s="199"/>
    </row>
    <row r="15341" spans="1:1" s="200" customFormat="1" ht="12" hidden="1" customHeight="1">
      <c r="A15341" s="199"/>
    </row>
    <row r="15342" spans="1:1" s="200" customFormat="1" ht="12" hidden="1" customHeight="1">
      <c r="A15342" s="199"/>
    </row>
    <row r="15343" spans="1:1" s="200" customFormat="1" ht="12" hidden="1" customHeight="1">
      <c r="A15343" s="199"/>
    </row>
    <row r="15344" spans="1:1" s="200" customFormat="1" ht="12" hidden="1" customHeight="1">
      <c r="A15344" s="199"/>
    </row>
    <row r="15345" spans="1:1" s="200" customFormat="1" ht="12" hidden="1" customHeight="1">
      <c r="A15345" s="199"/>
    </row>
    <row r="15346" spans="1:1" s="200" customFormat="1" ht="12" hidden="1" customHeight="1">
      <c r="A15346" s="199"/>
    </row>
    <row r="15347" spans="1:1" s="200" customFormat="1" ht="12" hidden="1" customHeight="1">
      <c r="A15347" s="199"/>
    </row>
    <row r="15348" spans="1:1" s="200" customFormat="1" ht="12" hidden="1" customHeight="1">
      <c r="A15348" s="199"/>
    </row>
    <row r="15349" spans="1:1" s="200" customFormat="1" ht="12" hidden="1" customHeight="1">
      <c r="A15349" s="199"/>
    </row>
    <row r="15350" spans="1:1" s="200" customFormat="1" ht="12" hidden="1" customHeight="1">
      <c r="A15350" s="199"/>
    </row>
    <row r="15351" spans="1:1" s="200" customFormat="1" ht="12" hidden="1" customHeight="1">
      <c r="A15351" s="199"/>
    </row>
    <row r="15352" spans="1:1" s="200" customFormat="1" ht="12" hidden="1" customHeight="1">
      <c r="A15352" s="199"/>
    </row>
    <row r="15353" spans="1:1" s="200" customFormat="1" ht="12" hidden="1" customHeight="1">
      <c r="A15353" s="199"/>
    </row>
    <row r="15354" spans="1:1" s="200" customFormat="1" ht="12" hidden="1" customHeight="1">
      <c r="A15354" s="199"/>
    </row>
    <row r="15355" spans="1:1" s="200" customFormat="1" ht="12" hidden="1" customHeight="1">
      <c r="A15355" s="199"/>
    </row>
    <row r="15356" spans="1:1" s="200" customFormat="1" ht="12" hidden="1" customHeight="1">
      <c r="A15356" s="199"/>
    </row>
    <row r="15357" spans="1:1" s="200" customFormat="1" ht="12" hidden="1" customHeight="1">
      <c r="A15357" s="199"/>
    </row>
    <row r="15358" spans="1:1" s="200" customFormat="1" ht="12" hidden="1" customHeight="1">
      <c r="A15358" s="199"/>
    </row>
    <row r="15359" spans="1:1" s="200" customFormat="1" ht="12" hidden="1" customHeight="1">
      <c r="A15359" s="199"/>
    </row>
    <row r="15360" spans="1:1" s="200" customFormat="1" ht="12" hidden="1" customHeight="1">
      <c r="A15360" s="199"/>
    </row>
    <row r="15361" spans="1:1" s="200" customFormat="1" ht="12" hidden="1" customHeight="1">
      <c r="A15361" s="199"/>
    </row>
    <row r="15362" spans="1:1" s="200" customFormat="1" ht="12" hidden="1" customHeight="1">
      <c r="A15362" s="199"/>
    </row>
    <row r="15363" spans="1:1" s="200" customFormat="1" ht="12" hidden="1" customHeight="1">
      <c r="A15363" s="199"/>
    </row>
    <row r="15364" spans="1:1" s="200" customFormat="1" ht="12" hidden="1" customHeight="1">
      <c r="A15364" s="199"/>
    </row>
    <row r="15365" spans="1:1" s="200" customFormat="1" ht="12" hidden="1" customHeight="1">
      <c r="A15365" s="199"/>
    </row>
    <row r="15366" spans="1:1" s="200" customFormat="1" ht="12" hidden="1" customHeight="1">
      <c r="A15366" s="199"/>
    </row>
    <row r="15367" spans="1:1" s="200" customFormat="1" ht="12" hidden="1" customHeight="1">
      <c r="A15367" s="199"/>
    </row>
    <row r="15368" spans="1:1" s="200" customFormat="1" ht="12" hidden="1" customHeight="1">
      <c r="A15368" s="199"/>
    </row>
    <row r="15369" spans="1:1" s="200" customFormat="1" ht="12" hidden="1" customHeight="1">
      <c r="A15369" s="199"/>
    </row>
    <row r="15370" spans="1:1" s="200" customFormat="1" ht="12" hidden="1" customHeight="1">
      <c r="A15370" s="199"/>
    </row>
    <row r="15371" spans="1:1" s="200" customFormat="1" ht="12" hidden="1" customHeight="1">
      <c r="A15371" s="199"/>
    </row>
    <row r="15372" spans="1:1" s="200" customFormat="1" ht="12" hidden="1" customHeight="1">
      <c r="A15372" s="199"/>
    </row>
    <row r="15373" spans="1:1" s="200" customFormat="1" ht="12" hidden="1" customHeight="1">
      <c r="A15373" s="199"/>
    </row>
    <row r="15374" spans="1:1" s="200" customFormat="1" ht="12" hidden="1" customHeight="1">
      <c r="A15374" s="199"/>
    </row>
    <row r="15375" spans="1:1" s="200" customFormat="1" ht="12" hidden="1" customHeight="1">
      <c r="A15375" s="199"/>
    </row>
    <row r="15376" spans="1:1" s="200" customFormat="1" ht="12" hidden="1" customHeight="1">
      <c r="A15376" s="199"/>
    </row>
    <row r="15377" spans="1:1" s="200" customFormat="1" ht="12" hidden="1" customHeight="1">
      <c r="A15377" s="199"/>
    </row>
    <row r="15378" spans="1:1" s="200" customFormat="1" ht="12" hidden="1" customHeight="1">
      <c r="A15378" s="199"/>
    </row>
    <row r="15379" spans="1:1" s="200" customFormat="1" ht="12" hidden="1" customHeight="1">
      <c r="A15379" s="199"/>
    </row>
    <row r="15380" spans="1:1" s="200" customFormat="1" ht="12" hidden="1" customHeight="1">
      <c r="A15380" s="199"/>
    </row>
    <row r="15381" spans="1:1" s="200" customFormat="1" ht="12" hidden="1" customHeight="1">
      <c r="A15381" s="199"/>
    </row>
    <row r="15382" spans="1:1" s="200" customFormat="1" ht="12" hidden="1" customHeight="1">
      <c r="A15382" s="199"/>
    </row>
    <row r="15383" spans="1:1" s="200" customFormat="1" ht="12" hidden="1" customHeight="1">
      <c r="A15383" s="199"/>
    </row>
    <row r="15384" spans="1:1" s="200" customFormat="1" ht="12" hidden="1" customHeight="1">
      <c r="A15384" s="199"/>
    </row>
    <row r="15385" spans="1:1" s="200" customFormat="1" ht="12" hidden="1" customHeight="1">
      <c r="A15385" s="199"/>
    </row>
    <row r="15386" spans="1:1" s="200" customFormat="1" ht="12" hidden="1" customHeight="1">
      <c r="A15386" s="199"/>
    </row>
    <row r="15387" spans="1:1" s="200" customFormat="1" ht="12" hidden="1" customHeight="1">
      <c r="A15387" s="199"/>
    </row>
    <row r="15388" spans="1:1" s="200" customFormat="1" ht="12" hidden="1" customHeight="1">
      <c r="A15388" s="199"/>
    </row>
    <row r="15389" spans="1:1" s="200" customFormat="1" ht="12" hidden="1" customHeight="1">
      <c r="A15389" s="199"/>
    </row>
    <row r="15390" spans="1:1" s="200" customFormat="1" ht="12" hidden="1" customHeight="1">
      <c r="A15390" s="199"/>
    </row>
    <row r="15391" spans="1:1" s="200" customFormat="1" ht="12" hidden="1" customHeight="1">
      <c r="A15391" s="199"/>
    </row>
    <row r="15392" spans="1:1" s="200" customFormat="1" ht="12" hidden="1" customHeight="1">
      <c r="A15392" s="199"/>
    </row>
    <row r="15393" spans="1:1" s="200" customFormat="1" ht="12" hidden="1" customHeight="1">
      <c r="A15393" s="199"/>
    </row>
    <row r="15394" spans="1:1" s="200" customFormat="1" ht="12" hidden="1" customHeight="1">
      <c r="A15394" s="199"/>
    </row>
    <row r="15395" spans="1:1" s="200" customFormat="1" ht="12" hidden="1" customHeight="1">
      <c r="A15395" s="199"/>
    </row>
    <row r="15396" spans="1:1" s="200" customFormat="1" ht="12" hidden="1" customHeight="1">
      <c r="A15396" s="199"/>
    </row>
    <row r="15397" spans="1:1" s="200" customFormat="1" ht="12" hidden="1" customHeight="1">
      <c r="A15397" s="199"/>
    </row>
    <row r="15398" spans="1:1" s="200" customFormat="1" ht="12" hidden="1" customHeight="1">
      <c r="A15398" s="199"/>
    </row>
    <row r="15399" spans="1:1" s="200" customFormat="1" ht="12" hidden="1" customHeight="1">
      <c r="A15399" s="199"/>
    </row>
    <row r="15400" spans="1:1" s="200" customFormat="1" ht="12" hidden="1" customHeight="1">
      <c r="A15400" s="199"/>
    </row>
    <row r="15401" spans="1:1" s="200" customFormat="1" ht="12" hidden="1" customHeight="1">
      <c r="A15401" s="199"/>
    </row>
    <row r="15402" spans="1:1" s="200" customFormat="1" ht="12" hidden="1" customHeight="1">
      <c r="A15402" s="199"/>
    </row>
    <row r="15403" spans="1:1" s="200" customFormat="1" ht="12" hidden="1" customHeight="1">
      <c r="A15403" s="199"/>
    </row>
    <row r="15404" spans="1:1" s="200" customFormat="1" ht="12" hidden="1" customHeight="1">
      <c r="A15404" s="199"/>
    </row>
    <row r="15405" spans="1:1" s="200" customFormat="1" ht="12" hidden="1" customHeight="1">
      <c r="A15405" s="199"/>
    </row>
    <row r="15406" spans="1:1" s="200" customFormat="1" ht="12" hidden="1" customHeight="1">
      <c r="A15406" s="199"/>
    </row>
    <row r="15407" spans="1:1" s="200" customFormat="1" ht="12" hidden="1" customHeight="1">
      <c r="A15407" s="199"/>
    </row>
    <row r="15408" spans="1:1" s="200" customFormat="1" ht="12" hidden="1" customHeight="1">
      <c r="A15408" s="199"/>
    </row>
    <row r="15409" spans="1:1" s="200" customFormat="1" ht="12" hidden="1" customHeight="1">
      <c r="A15409" s="199"/>
    </row>
    <row r="15410" spans="1:1" s="200" customFormat="1" ht="12" hidden="1" customHeight="1">
      <c r="A15410" s="199"/>
    </row>
    <row r="15411" spans="1:1" s="200" customFormat="1" ht="12" hidden="1" customHeight="1">
      <c r="A15411" s="199"/>
    </row>
    <row r="15412" spans="1:1" s="200" customFormat="1" ht="12" hidden="1" customHeight="1">
      <c r="A15412" s="199"/>
    </row>
    <row r="15413" spans="1:1" s="200" customFormat="1" ht="12" hidden="1" customHeight="1">
      <c r="A15413" s="199"/>
    </row>
    <row r="15414" spans="1:1" s="200" customFormat="1" ht="12" hidden="1" customHeight="1">
      <c r="A15414" s="199"/>
    </row>
    <row r="15415" spans="1:1" s="200" customFormat="1" ht="12" hidden="1" customHeight="1">
      <c r="A15415" s="199"/>
    </row>
    <row r="15416" spans="1:1" s="200" customFormat="1" ht="12" hidden="1" customHeight="1">
      <c r="A15416" s="199"/>
    </row>
    <row r="15417" spans="1:1" s="200" customFormat="1" ht="12" hidden="1" customHeight="1">
      <c r="A15417" s="199"/>
    </row>
    <row r="15418" spans="1:1" s="200" customFormat="1" ht="12" hidden="1" customHeight="1">
      <c r="A15418" s="199"/>
    </row>
    <row r="15419" spans="1:1" s="200" customFormat="1" ht="12" hidden="1" customHeight="1">
      <c r="A15419" s="199"/>
    </row>
    <row r="15420" spans="1:1" s="200" customFormat="1" ht="12" hidden="1" customHeight="1">
      <c r="A15420" s="199"/>
    </row>
    <row r="15421" spans="1:1" s="200" customFormat="1" ht="12" hidden="1" customHeight="1">
      <c r="A15421" s="199"/>
    </row>
    <row r="15422" spans="1:1" s="200" customFormat="1" ht="12" hidden="1" customHeight="1">
      <c r="A15422" s="199"/>
    </row>
    <row r="15423" spans="1:1" s="200" customFormat="1" ht="12" hidden="1" customHeight="1">
      <c r="A15423" s="199"/>
    </row>
    <row r="15424" spans="1:1" s="200" customFormat="1" ht="12" hidden="1" customHeight="1">
      <c r="A15424" s="199"/>
    </row>
    <row r="15425" spans="1:1" s="200" customFormat="1" ht="12" hidden="1" customHeight="1">
      <c r="A15425" s="199"/>
    </row>
    <row r="15426" spans="1:1" s="200" customFormat="1" ht="12" hidden="1" customHeight="1">
      <c r="A15426" s="199"/>
    </row>
    <row r="15427" spans="1:1" s="200" customFormat="1" ht="12" hidden="1" customHeight="1">
      <c r="A15427" s="199"/>
    </row>
    <row r="15428" spans="1:1" s="200" customFormat="1" ht="12" hidden="1" customHeight="1">
      <c r="A15428" s="199"/>
    </row>
    <row r="15429" spans="1:1" s="200" customFormat="1" ht="12" hidden="1" customHeight="1">
      <c r="A15429" s="199"/>
    </row>
    <row r="15430" spans="1:1" s="200" customFormat="1" ht="12" hidden="1" customHeight="1">
      <c r="A15430" s="199"/>
    </row>
    <row r="15431" spans="1:1" s="200" customFormat="1" ht="12" hidden="1" customHeight="1">
      <c r="A15431" s="199"/>
    </row>
    <row r="15432" spans="1:1" s="200" customFormat="1" ht="12" hidden="1" customHeight="1">
      <c r="A15432" s="199"/>
    </row>
    <row r="15433" spans="1:1" s="200" customFormat="1" ht="12" hidden="1" customHeight="1">
      <c r="A15433" s="199"/>
    </row>
    <row r="15434" spans="1:1" s="200" customFormat="1" ht="12" hidden="1" customHeight="1">
      <c r="A15434" s="199"/>
    </row>
    <row r="15435" spans="1:1" s="200" customFormat="1" ht="12" hidden="1" customHeight="1">
      <c r="A15435" s="199"/>
    </row>
    <row r="15436" spans="1:1" s="200" customFormat="1" ht="12" hidden="1" customHeight="1">
      <c r="A15436" s="199"/>
    </row>
    <row r="15437" spans="1:1" s="200" customFormat="1" ht="12" hidden="1" customHeight="1">
      <c r="A15437" s="199"/>
    </row>
    <row r="15438" spans="1:1" s="200" customFormat="1" ht="12" hidden="1" customHeight="1">
      <c r="A15438" s="199"/>
    </row>
    <row r="15439" spans="1:1" s="200" customFormat="1" ht="12" hidden="1" customHeight="1">
      <c r="A15439" s="199"/>
    </row>
    <row r="15440" spans="1:1" s="200" customFormat="1" ht="12" hidden="1" customHeight="1">
      <c r="A15440" s="199"/>
    </row>
    <row r="15441" spans="1:1" s="200" customFormat="1" ht="12" hidden="1" customHeight="1">
      <c r="A15441" s="199"/>
    </row>
    <row r="15442" spans="1:1" s="200" customFormat="1" ht="12" hidden="1" customHeight="1">
      <c r="A15442" s="199"/>
    </row>
    <row r="15443" spans="1:1" s="200" customFormat="1" ht="12" hidden="1" customHeight="1">
      <c r="A15443" s="199"/>
    </row>
    <row r="15444" spans="1:1" s="200" customFormat="1" ht="12" hidden="1" customHeight="1">
      <c r="A15444" s="199"/>
    </row>
    <row r="15445" spans="1:1" s="200" customFormat="1" ht="12" hidden="1" customHeight="1">
      <c r="A15445" s="199"/>
    </row>
    <row r="15446" spans="1:1" s="200" customFormat="1" ht="12" hidden="1" customHeight="1">
      <c r="A15446" s="199"/>
    </row>
    <row r="15447" spans="1:1" s="200" customFormat="1" ht="12" hidden="1" customHeight="1">
      <c r="A15447" s="199"/>
    </row>
    <row r="15448" spans="1:1" s="200" customFormat="1" ht="12" hidden="1" customHeight="1">
      <c r="A15448" s="199"/>
    </row>
    <row r="15449" spans="1:1" s="200" customFormat="1" ht="12" hidden="1" customHeight="1">
      <c r="A15449" s="199"/>
    </row>
    <row r="15450" spans="1:1" s="200" customFormat="1" ht="12" hidden="1" customHeight="1">
      <c r="A15450" s="199"/>
    </row>
    <row r="15451" spans="1:1" s="200" customFormat="1" ht="12" hidden="1" customHeight="1">
      <c r="A15451" s="199"/>
    </row>
    <row r="15452" spans="1:1" s="200" customFormat="1" ht="12" hidden="1" customHeight="1">
      <c r="A15452" s="199"/>
    </row>
    <row r="15453" spans="1:1" s="200" customFormat="1" ht="12" hidden="1" customHeight="1">
      <c r="A15453" s="199"/>
    </row>
    <row r="15454" spans="1:1" s="200" customFormat="1" ht="12" hidden="1" customHeight="1">
      <c r="A15454" s="199"/>
    </row>
    <row r="15455" spans="1:1" s="200" customFormat="1" ht="12" hidden="1" customHeight="1">
      <c r="A15455" s="199"/>
    </row>
    <row r="15456" spans="1:1" s="200" customFormat="1" ht="12" hidden="1" customHeight="1">
      <c r="A15456" s="199"/>
    </row>
    <row r="15457" spans="1:1" s="200" customFormat="1" ht="12" hidden="1" customHeight="1">
      <c r="A15457" s="199"/>
    </row>
    <row r="15458" spans="1:1" s="200" customFormat="1" ht="12" hidden="1" customHeight="1">
      <c r="A15458" s="199"/>
    </row>
    <row r="15459" spans="1:1" s="200" customFormat="1" ht="12" hidden="1" customHeight="1">
      <c r="A15459" s="199"/>
    </row>
    <row r="15460" spans="1:1" s="200" customFormat="1" ht="12" hidden="1" customHeight="1">
      <c r="A15460" s="199"/>
    </row>
    <row r="15461" spans="1:1" s="200" customFormat="1" ht="12" hidden="1" customHeight="1">
      <c r="A15461" s="199"/>
    </row>
    <row r="15462" spans="1:1" s="200" customFormat="1" ht="12" hidden="1" customHeight="1">
      <c r="A15462" s="199"/>
    </row>
    <row r="15463" spans="1:1" s="200" customFormat="1" ht="12" hidden="1" customHeight="1">
      <c r="A15463" s="199"/>
    </row>
    <row r="15464" spans="1:1" s="200" customFormat="1" ht="12" hidden="1" customHeight="1">
      <c r="A15464" s="199"/>
    </row>
    <row r="15465" spans="1:1" s="200" customFormat="1" ht="12" hidden="1" customHeight="1">
      <c r="A15465" s="199"/>
    </row>
    <row r="15466" spans="1:1" s="200" customFormat="1" ht="12" hidden="1" customHeight="1">
      <c r="A15466" s="199"/>
    </row>
    <row r="15467" spans="1:1" s="200" customFormat="1" ht="12" hidden="1" customHeight="1">
      <c r="A15467" s="199"/>
    </row>
    <row r="15468" spans="1:1" s="200" customFormat="1" ht="12" hidden="1" customHeight="1">
      <c r="A15468" s="199"/>
    </row>
    <row r="15469" spans="1:1" s="200" customFormat="1" ht="12" hidden="1" customHeight="1">
      <c r="A15469" s="199"/>
    </row>
    <row r="15470" spans="1:1" s="200" customFormat="1" ht="12" hidden="1" customHeight="1">
      <c r="A15470" s="199"/>
    </row>
    <row r="15471" spans="1:1" s="200" customFormat="1" ht="12" hidden="1" customHeight="1">
      <c r="A15471" s="199"/>
    </row>
    <row r="15472" spans="1:1" s="200" customFormat="1" ht="12" hidden="1" customHeight="1">
      <c r="A15472" s="199"/>
    </row>
    <row r="15473" spans="1:1" s="200" customFormat="1" ht="12" hidden="1" customHeight="1">
      <c r="A15473" s="199"/>
    </row>
    <row r="15474" spans="1:1" s="200" customFormat="1" ht="12" hidden="1" customHeight="1">
      <c r="A15474" s="199"/>
    </row>
    <row r="15475" spans="1:1" s="200" customFormat="1" ht="12" hidden="1" customHeight="1">
      <c r="A15475" s="199"/>
    </row>
    <row r="15476" spans="1:1" s="200" customFormat="1" ht="12" hidden="1" customHeight="1">
      <c r="A15476" s="199"/>
    </row>
    <row r="15477" spans="1:1" s="200" customFormat="1" ht="12" hidden="1" customHeight="1">
      <c r="A15477" s="199"/>
    </row>
    <row r="15478" spans="1:1" s="200" customFormat="1" ht="12" hidden="1" customHeight="1">
      <c r="A15478" s="199"/>
    </row>
    <row r="15479" spans="1:1" s="200" customFormat="1" ht="12" hidden="1" customHeight="1">
      <c r="A15479" s="199"/>
    </row>
    <row r="15480" spans="1:1" s="200" customFormat="1" ht="12" hidden="1" customHeight="1">
      <c r="A15480" s="199"/>
    </row>
    <row r="15481" spans="1:1" s="200" customFormat="1" ht="12" hidden="1" customHeight="1">
      <c r="A15481" s="199"/>
    </row>
    <row r="15482" spans="1:1" s="200" customFormat="1" ht="12" hidden="1" customHeight="1">
      <c r="A15482" s="199"/>
    </row>
    <row r="15483" spans="1:1" s="200" customFormat="1" ht="12" hidden="1" customHeight="1">
      <c r="A15483" s="199"/>
    </row>
    <row r="15484" spans="1:1" s="200" customFormat="1" ht="12" hidden="1" customHeight="1">
      <c r="A15484" s="199"/>
    </row>
    <row r="15485" spans="1:1" s="200" customFormat="1" ht="12" hidden="1" customHeight="1">
      <c r="A15485" s="199"/>
    </row>
    <row r="15486" spans="1:1" s="200" customFormat="1" ht="12" hidden="1" customHeight="1">
      <c r="A15486" s="199"/>
    </row>
    <row r="15487" spans="1:1" s="200" customFormat="1" ht="12" hidden="1" customHeight="1">
      <c r="A15487" s="199"/>
    </row>
    <row r="15488" spans="1:1" s="200" customFormat="1" ht="12" hidden="1" customHeight="1">
      <c r="A15488" s="199"/>
    </row>
    <row r="15489" spans="1:1" s="200" customFormat="1" ht="12" hidden="1" customHeight="1">
      <c r="A15489" s="199"/>
    </row>
    <row r="15490" spans="1:1" s="200" customFormat="1" ht="12" hidden="1" customHeight="1">
      <c r="A15490" s="199"/>
    </row>
    <row r="15491" spans="1:1" s="200" customFormat="1" ht="12" hidden="1" customHeight="1">
      <c r="A15491" s="199"/>
    </row>
    <row r="15492" spans="1:1" s="200" customFormat="1" ht="12" hidden="1" customHeight="1">
      <c r="A15492" s="199"/>
    </row>
    <row r="15493" spans="1:1" s="200" customFormat="1" ht="12" hidden="1" customHeight="1">
      <c r="A15493" s="199"/>
    </row>
    <row r="15494" spans="1:1" s="200" customFormat="1" ht="12" hidden="1" customHeight="1">
      <c r="A15494" s="199"/>
    </row>
    <row r="15495" spans="1:1" s="200" customFormat="1" ht="12" hidden="1" customHeight="1">
      <c r="A15495" s="199"/>
    </row>
    <row r="15496" spans="1:1" s="200" customFormat="1" ht="12" hidden="1" customHeight="1">
      <c r="A15496" s="199"/>
    </row>
    <row r="15497" spans="1:1" s="200" customFormat="1" ht="12" hidden="1" customHeight="1">
      <c r="A15497" s="199"/>
    </row>
    <row r="15498" spans="1:1" s="200" customFormat="1" ht="12" hidden="1" customHeight="1">
      <c r="A15498" s="199"/>
    </row>
    <row r="15499" spans="1:1" s="200" customFormat="1" ht="12" hidden="1" customHeight="1">
      <c r="A15499" s="199"/>
    </row>
    <row r="15500" spans="1:1" s="200" customFormat="1" ht="12" hidden="1" customHeight="1">
      <c r="A15500" s="199"/>
    </row>
    <row r="15501" spans="1:1" s="200" customFormat="1" ht="12" hidden="1" customHeight="1">
      <c r="A15501" s="199"/>
    </row>
    <row r="15502" spans="1:1" s="200" customFormat="1" ht="12" hidden="1" customHeight="1">
      <c r="A15502" s="199"/>
    </row>
    <row r="15503" spans="1:1" s="200" customFormat="1" ht="12" hidden="1" customHeight="1">
      <c r="A15503" s="199"/>
    </row>
    <row r="15504" spans="1:1" s="200" customFormat="1" ht="12" hidden="1" customHeight="1">
      <c r="A15504" s="199"/>
    </row>
    <row r="15505" spans="1:1" s="200" customFormat="1" ht="12" hidden="1" customHeight="1">
      <c r="A15505" s="199"/>
    </row>
    <row r="15506" spans="1:1" s="200" customFormat="1" ht="12" hidden="1" customHeight="1">
      <c r="A15506" s="199"/>
    </row>
    <row r="15507" spans="1:1" s="200" customFormat="1" ht="12" hidden="1" customHeight="1">
      <c r="A15507" s="199"/>
    </row>
    <row r="15508" spans="1:1" s="200" customFormat="1" ht="12" hidden="1" customHeight="1">
      <c r="A15508" s="199"/>
    </row>
    <row r="15509" spans="1:1" s="200" customFormat="1" ht="12" hidden="1" customHeight="1">
      <c r="A15509" s="199"/>
    </row>
    <row r="15510" spans="1:1" s="200" customFormat="1" ht="12" hidden="1" customHeight="1">
      <c r="A15510" s="199"/>
    </row>
    <row r="15511" spans="1:1" s="200" customFormat="1" ht="12" hidden="1" customHeight="1">
      <c r="A15511" s="199"/>
    </row>
    <row r="15512" spans="1:1" s="200" customFormat="1" ht="12" hidden="1" customHeight="1">
      <c r="A15512" s="199"/>
    </row>
    <row r="15513" spans="1:1" s="200" customFormat="1" ht="12" hidden="1" customHeight="1">
      <c r="A15513" s="199"/>
    </row>
    <row r="15514" spans="1:1" s="200" customFormat="1" ht="12" hidden="1" customHeight="1">
      <c r="A15514" s="199"/>
    </row>
    <row r="15515" spans="1:1" s="200" customFormat="1" ht="12" hidden="1" customHeight="1">
      <c r="A15515" s="199"/>
    </row>
    <row r="15516" spans="1:1" s="200" customFormat="1" ht="12" hidden="1" customHeight="1">
      <c r="A15516" s="199"/>
    </row>
    <row r="15517" spans="1:1" s="200" customFormat="1" ht="12" hidden="1" customHeight="1">
      <c r="A15517" s="199"/>
    </row>
    <row r="15518" spans="1:1" s="200" customFormat="1" ht="12" hidden="1" customHeight="1">
      <c r="A15518" s="199"/>
    </row>
    <row r="15519" spans="1:1" s="200" customFormat="1" ht="12" hidden="1" customHeight="1">
      <c r="A15519" s="199"/>
    </row>
    <row r="15520" spans="1:1" s="200" customFormat="1" ht="12" hidden="1" customHeight="1">
      <c r="A15520" s="199"/>
    </row>
    <row r="15521" spans="1:1" s="200" customFormat="1" ht="12" hidden="1" customHeight="1">
      <c r="A15521" s="199"/>
    </row>
    <row r="15522" spans="1:1" s="200" customFormat="1" ht="12" hidden="1" customHeight="1">
      <c r="A15522" s="199"/>
    </row>
    <row r="15523" spans="1:1" s="200" customFormat="1" ht="12" hidden="1" customHeight="1">
      <c r="A15523" s="199"/>
    </row>
    <row r="15524" spans="1:1" s="200" customFormat="1" ht="12" hidden="1" customHeight="1">
      <c r="A15524" s="199"/>
    </row>
    <row r="15525" spans="1:1" s="200" customFormat="1" ht="12" hidden="1" customHeight="1">
      <c r="A15525" s="199"/>
    </row>
    <row r="15526" spans="1:1" s="200" customFormat="1" ht="12" hidden="1" customHeight="1">
      <c r="A15526" s="199"/>
    </row>
    <row r="15527" spans="1:1" s="200" customFormat="1" ht="12" hidden="1" customHeight="1">
      <c r="A15527" s="199"/>
    </row>
    <row r="15528" spans="1:1" s="200" customFormat="1" ht="12" hidden="1" customHeight="1">
      <c r="A15528" s="199"/>
    </row>
    <row r="15529" spans="1:1" s="200" customFormat="1" ht="12" hidden="1" customHeight="1">
      <c r="A15529" s="199"/>
    </row>
    <row r="15530" spans="1:1" s="200" customFormat="1" ht="12" hidden="1" customHeight="1">
      <c r="A15530" s="199"/>
    </row>
    <row r="15531" spans="1:1" s="200" customFormat="1" ht="12" hidden="1" customHeight="1">
      <c r="A15531" s="199"/>
    </row>
    <row r="15532" spans="1:1" s="200" customFormat="1" ht="12" hidden="1" customHeight="1">
      <c r="A15532" s="199"/>
    </row>
    <row r="15533" spans="1:1" s="200" customFormat="1" ht="12" hidden="1" customHeight="1">
      <c r="A15533" s="199"/>
    </row>
    <row r="15534" spans="1:1" s="200" customFormat="1" ht="12" hidden="1" customHeight="1">
      <c r="A15534" s="199"/>
    </row>
    <row r="15535" spans="1:1" s="200" customFormat="1" ht="12" hidden="1" customHeight="1">
      <c r="A15535" s="199"/>
    </row>
    <row r="15536" spans="1:1" s="200" customFormat="1" ht="12" hidden="1" customHeight="1">
      <c r="A15536" s="199"/>
    </row>
    <row r="15537" spans="1:1" s="200" customFormat="1" ht="12" hidden="1" customHeight="1">
      <c r="A15537" s="199"/>
    </row>
    <row r="15538" spans="1:1" s="200" customFormat="1" ht="12" hidden="1" customHeight="1">
      <c r="A15538" s="199"/>
    </row>
    <row r="15539" spans="1:1" s="200" customFormat="1" ht="12" hidden="1" customHeight="1">
      <c r="A15539" s="199"/>
    </row>
    <row r="15540" spans="1:1" s="200" customFormat="1" ht="12" hidden="1" customHeight="1">
      <c r="A15540" s="199"/>
    </row>
    <row r="15541" spans="1:1" s="200" customFormat="1" ht="12" hidden="1" customHeight="1">
      <c r="A15541" s="199"/>
    </row>
    <row r="15542" spans="1:1" s="200" customFormat="1" ht="12" hidden="1" customHeight="1">
      <c r="A15542" s="199"/>
    </row>
    <row r="15543" spans="1:1" s="200" customFormat="1" ht="12" hidden="1" customHeight="1">
      <c r="A15543" s="199"/>
    </row>
    <row r="15544" spans="1:1" s="200" customFormat="1" ht="12" hidden="1" customHeight="1">
      <c r="A15544" s="199"/>
    </row>
    <row r="15545" spans="1:1" s="200" customFormat="1" ht="12" hidden="1" customHeight="1">
      <c r="A15545" s="199"/>
    </row>
    <row r="15546" spans="1:1" s="200" customFormat="1" ht="12" hidden="1" customHeight="1">
      <c r="A15546" s="199"/>
    </row>
    <row r="15547" spans="1:1" s="200" customFormat="1" ht="12" hidden="1" customHeight="1">
      <c r="A15547" s="199"/>
    </row>
    <row r="15548" spans="1:1" s="200" customFormat="1" ht="12" hidden="1" customHeight="1">
      <c r="A15548" s="199"/>
    </row>
    <row r="15549" spans="1:1" s="200" customFormat="1" ht="12" hidden="1" customHeight="1">
      <c r="A15549" s="199"/>
    </row>
    <row r="15550" spans="1:1" s="200" customFormat="1" ht="12" hidden="1" customHeight="1">
      <c r="A15550" s="199"/>
    </row>
    <row r="15551" spans="1:1" s="200" customFormat="1" ht="12" hidden="1" customHeight="1">
      <c r="A15551" s="199"/>
    </row>
    <row r="15552" spans="1:1" s="200" customFormat="1" ht="12" hidden="1" customHeight="1">
      <c r="A15552" s="199"/>
    </row>
    <row r="15553" spans="1:1" s="200" customFormat="1" ht="12" hidden="1" customHeight="1">
      <c r="A15553" s="199"/>
    </row>
    <row r="15554" spans="1:1" s="200" customFormat="1" ht="12" hidden="1" customHeight="1">
      <c r="A15554" s="199"/>
    </row>
    <row r="15555" spans="1:1" s="200" customFormat="1" ht="12" hidden="1" customHeight="1">
      <c r="A15555" s="199"/>
    </row>
    <row r="15556" spans="1:1" s="200" customFormat="1" ht="12" hidden="1" customHeight="1">
      <c r="A15556" s="199"/>
    </row>
    <row r="15557" spans="1:1" s="200" customFormat="1" ht="12" hidden="1" customHeight="1">
      <c r="A15557" s="199"/>
    </row>
    <row r="15558" spans="1:1" s="200" customFormat="1" ht="12" hidden="1" customHeight="1">
      <c r="A15558" s="199"/>
    </row>
    <row r="15559" spans="1:1" s="200" customFormat="1" ht="12" hidden="1" customHeight="1">
      <c r="A15559" s="199"/>
    </row>
    <row r="15560" spans="1:1" s="200" customFormat="1" ht="12" hidden="1" customHeight="1">
      <c r="A15560" s="199"/>
    </row>
    <row r="15561" spans="1:1" s="200" customFormat="1" ht="12" hidden="1" customHeight="1">
      <c r="A15561" s="199"/>
    </row>
    <row r="15562" spans="1:1" s="200" customFormat="1" ht="12" hidden="1" customHeight="1">
      <c r="A15562" s="199"/>
    </row>
    <row r="15563" spans="1:1" s="200" customFormat="1" ht="12" hidden="1" customHeight="1">
      <c r="A15563" s="199"/>
    </row>
    <row r="15564" spans="1:1" s="200" customFormat="1" ht="12" hidden="1" customHeight="1">
      <c r="A15564" s="199"/>
    </row>
    <row r="15565" spans="1:1" s="200" customFormat="1" ht="12" hidden="1" customHeight="1">
      <c r="A15565" s="199"/>
    </row>
    <row r="15566" spans="1:1" s="200" customFormat="1" ht="12" hidden="1" customHeight="1">
      <c r="A15566" s="199"/>
    </row>
    <row r="15567" spans="1:1" s="200" customFormat="1" ht="12" hidden="1" customHeight="1">
      <c r="A15567" s="199"/>
    </row>
    <row r="15568" spans="1:1" s="200" customFormat="1" ht="12" hidden="1" customHeight="1">
      <c r="A15568" s="199"/>
    </row>
    <row r="15569" spans="1:1" s="200" customFormat="1" ht="12" hidden="1" customHeight="1">
      <c r="A15569" s="199"/>
    </row>
    <row r="15570" spans="1:1" s="200" customFormat="1" ht="12" hidden="1" customHeight="1">
      <c r="A15570" s="199"/>
    </row>
    <row r="15571" spans="1:1" s="200" customFormat="1" ht="12" hidden="1" customHeight="1">
      <c r="A15571" s="199"/>
    </row>
    <row r="15572" spans="1:1" s="200" customFormat="1" ht="12" hidden="1" customHeight="1">
      <c r="A15572" s="199"/>
    </row>
    <row r="15573" spans="1:1" s="200" customFormat="1" ht="12" hidden="1" customHeight="1">
      <c r="A15573" s="199"/>
    </row>
    <row r="15574" spans="1:1" s="200" customFormat="1" ht="12" hidden="1" customHeight="1">
      <c r="A15574" s="199"/>
    </row>
    <row r="15575" spans="1:1" s="200" customFormat="1" ht="12" hidden="1" customHeight="1">
      <c r="A15575" s="199"/>
    </row>
    <row r="15576" spans="1:1" s="200" customFormat="1" ht="12" hidden="1" customHeight="1">
      <c r="A15576" s="199"/>
    </row>
    <row r="15577" spans="1:1" s="200" customFormat="1" ht="12" hidden="1" customHeight="1">
      <c r="A15577" s="199"/>
    </row>
    <row r="15578" spans="1:1" s="200" customFormat="1" ht="12" hidden="1" customHeight="1">
      <c r="A15578" s="199"/>
    </row>
    <row r="15579" spans="1:1" s="200" customFormat="1" ht="12" hidden="1" customHeight="1">
      <c r="A15579" s="199"/>
    </row>
    <row r="15580" spans="1:1" s="200" customFormat="1" ht="12" hidden="1" customHeight="1">
      <c r="A15580" s="199"/>
    </row>
    <row r="15581" spans="1:1" s="200" customFormat="1" ht="12" hidden="1" customHeight="1">
      <c r="A15581" s="199"/>
    </row>
    <row r="15582" spans="1:1" s="200" customFormat="1" ht="12" hidden="1" customHeight="1">
      <c r="A15582" s="199"/>
    </row>
    <row r="15583" spans="1:1" s="200" customFormat="1" ht="12" hidden="1" customHeight="1">
      <c r="A15583" s="199"/>
    </row>
    <row r="15584" spans="1:1" s="200" customFormat="1" ht="12" hidden="1" customHeight="1">
      <c r="A15584" s="199"/>
    </row>
    <row r="15585" spans="1:1" s="200" customFormat="1" ht="12" hidden="1" customHeight="1">
      <c r="A15585" s="199"/>
    </row>
    <row r="15586" spans="1:1" s="200" customFormat="1" ht="12" hidden="1" customHeight="1">
      <c r="A15586" s="199"/>
    </row>
    <row r="15587" spans="1:1" s="200" customFormat="1" ht="12" hidden="1" customHeight="1">
      <c r="A15587" s="199"/>
    </row>
    <row r="15588" spans="1:1" s="200" customFormat="1" ht="12" hidden="1" customHeight="1">
      <c r="A15588" s="199"/>
    </row>
    <row r="15589" spans="1:1" s="200" customFormat="1" ht="12" hidden="1" customHeight="1">
      <c r="A15589" s="199"/>
    </row>
    <row r="15590" spans="1:1" s="200" customFormat="1" ht="12" hidden="1" customHeight="1">
      <c r="A15590" s="199"/>
    </row>
    <row r="15591" spans="1:1" s="200" customFormat="1" ht="12" hidden="1" customHeight="1">
      <c r="A15591" s="199"/>
    </row>
    <row r="15592" spans="1:1" s="200" customFormat="1" ht="12" hidden="1" customHeight="1">
      <c r="A15592" s="199"/>
    </row>
    <row r="15593" spans="1:1" s="200" customFormat="1" ht="12" hidden="1" customHeight="1">
      <c r="A15593" s="199"/>
    </row>
    <row r="15594" spans="1:1" s="200" customFormat="1" ht="12" hidden="1" customHeight="1">
      <c r="A15594" s="199"/>
    </row>
    <row r="15595" spans="1:1" s="200" customFormat="1" ht="12" hidden="1" customHeight="1">
      <c r="A15595" s="199"/>
    </row>
    <row r="15596" spans="1:1" s="200" customFormat="1" ht="12" hidden="1" customHeight="1">
      <c r="A15596" s="199"/>
    </row>
    <row r="15597" spans="1:1" s="200" customFormat="1" ht="12" hidden="1" customHeight="1">
      <c r="A15597" s="199"/>
    </row>
    <row r="15598" spans="1:1" s="200" customFormat="1" ht="12" hidden="1" customHeight="1">
      <c r="A15598" s="199"/>
    </row>
    <row r="15599" spans="1:1" s="200" customFormat="1" ht="12" hidden="1" customHeight="1">
      <c r="A15599" s="199"/>
    </row>
    <row r="15600" spans="1:1" s="200" customFormat="1" ht="12" hidden="1" customHeight="1">
      <c r="A15600" s="199"/>
    </row>
    <row r="15601" spans="1:1" s="200" customFormat="1" ht="12" hidden="1" customHeight="1">
      <c r="A15601" s="199"/>
    </row>
    <row r="15602" spans="1:1" s="200" customFormat="1" ht="12" hidden="1" customHeight="1">
      <c r="A15602" s="199"/>
    </row>
    <row r="15603" spans="1:1" s="200" customFormat="1" ht="12" hidden="1" customHeight="1">
      <c r="A15603" s="199"/>
    </row>
    <row r="15604" spans="1:1" s="200" customFormat="1" ht="12" hidden="1" customHeight="1">
      <c r="A15604" s="199"/>
    </row>
    <row r="15605" spans="1:1" s="200" customFormat="1" ht="12" hidden="1" customHeight="1">
      <c r="A15605" s="199"/>
    </row>
    <row r="15606" spans="1:1" s="200" customFormat="1" ht="12" hidden="1" customHeight="1">
      <c r="A15606" s="199"/>
    </row>
    <row r="15607" spans="1:1" s="200" customFormat="1" ht="12" hidden="1" customHeight="1">
      <c r="A15607" s="199"/>
    </row>
    <row r="15608" spans="1:1" s="200" customFormat="1" ht="12" hidden="1" customHeight="1">
      <c r="A15608" s="199"/>
    </row>
    <row r="15609" spans="1:1" s="200" customFormat="1" ht="12" hidden="1" customHeight="1">
      <c r="A15609" s="199"/>
    </row>
    <row r="15610" spans="1:1" s="200" customFormat="1" ht="12" hidden="1" customHeight="1">
      <c r="A15610" s="199"/>
    </row>
    <row r="15611" spans="1:1" s="200" customFormat="1" ht="12" hidden="1" customHeight="1">
      <c r="A15611" s="199"/>
    </row>
    <row r="15612" spans="1:1" s="200" customFormat="1" ht="12" hidden="1" customHeight="1">
      <c r="A15612" s="199"/>
    </row>
    <row r="15613" spans="1:1" s="200" customFormat="1" ht="12" hidden="1" customHeight="1">
      <c r="A15613" s="199"/>
    </row>
    <row r="15614" spans="1:1" s="200" customFormat="1" ht="12" hidden="1" customHeight="1">
      <c r="A15614" s="199"/>
    </row>
    <row r="15615" spans="1:1" s="200" customFormat="1" ht="12" hidden="1" customHeight="1">
      <c r="A15615" s="199"/>
    </row>
    <row r="15616" spans="1:1" s="200" customFormat="1" ht="12" hidden="1" customHeight="1">
      <c r="A15616" s="199"/>
    </row>
    <row r="15617" spans="1:1" s="200" customFormat="1" ht="12" hidden="1" customHeight="1">
      <c r="A15617" s="199"/>
    </row>
    <row r="15618" spans="1:1" s="200" customFormat="1" ht="12" hidden="1" customHeight="1">
      <c r="A15618" s="199"/>
    </row>
    <row r="15619" spans="1:1" s="200" customFormat="1" ht="12" hidden="1" customHeight="1">
      <c r="A15619" s="199"/>
    </row>
    <row r="15620" spans="1:1" s="200" customFormat="1" ht="12" hidden="1" customHeight="1">
      <c r="A15620" s="199"/>
    </row>
    <row r="15621" spans="1:1" s="200" customFormat="1" ht="12" hidden="1" customHeight="1">
      <c r="A15621" s="199"/>
    </row>
    <row r="15622" spans="1:1" s="200" customFormat="1" ht="12" hidden="1" customHeight="1">
      <c r="A15622" s="199"/>
    </row>
    <row r="15623" spans="1:1" s="200" customFormat="1" ht="12" hidden="1" customHeight="1">
      <c r="A15623" s="199"/>
    </row>
    <row r="15624" spans="1:1" s="200" customFormat="1" ht="12" hidden="1" customHeight="1">
      <c r="A15624" s="199"/>
    </row>
    <row r="15625" spans="1:1" s="200" customFormat="1" ht="12" hidden="1" customHeight="1">
      <c r="A15625" s="199"/>
    </row>
    <row r="15626" spans="1:1" s="200" customFormat="1" ht="12" hidden="1" customHeight="1">
      <c r="A15626" s="199"/>
    </row>
    <row r="15627" spans="1:1" s="200" customFormat="1" ht="12" hidden="1" customHeight="1">
      <c r="A15627" s="199"/>
    </row>
    <row r="15628" spans="1:1" s="200" customFormat="1" ht="12" hidden="1" customHeight="1">
      <c r="A15628" s="199"/>
    </row>
    <row r="15629" spans="1:1" s="200" customFormat="1" ht="12" hidden="1" customHeight="1">
      <c r="A15629" s="199"/>
    </row>
    <row r="15630" spans="1:1" s="200" customFormat="1" ht="12" hidden="1" customHeight="1">
      <c r="A15630" s="199"/>
    </row>
    <row r="15631" spans="1:1" s="200" customFormat="1" ht="12" hidden="1" customHeight="1">
      <c r="A15631" s="199"/>
    </row>
    <row r="15632" spans="1:1" s="200" customFormat="1" ht="12" hidden="1" customHeight="1">
      <c r="A15632" s="199"/>
    </row>
    <row r="15633" spans="1:1" s="200" customFormat="1" ht="12" hidden="1" customHeight="1">
      <c r="A15633" s="199"/>
    </row>
    <row r="15634" spans="1:1" s="200" customFormat="1" ht="12" hidden="1" customHeight="1">
      <c r="A15634" s="199"/>
    </row>
    <row r="15635" spans="1:1" s="200" customFormat="1" ht="12" hidden="1" customHeight="1">
      <c r="A15635" s="199"/>
    </row>
    <row r="15636" spans="1:1" s="200" customFormat="1" ht="12" hidden="1" customHeight="1">
      <c r="A15636" s="199"/>
    </row>
    <row r="15637" spans="1:1" s="200" customFormat="1" ht="12" hidden="1" customHeight="1">
      <c r="A15637" s="199"/>
    </row>
    <row r="15638" spans="1:1" s="200" customFormat="1" ht="12" hidden="1" customHeight="1">
      <c r="A15638" s="199"/>
    </row>
    <row r="15639" spans="1:1" s="200" customFormat="1" ht="12" hidden="1" customHeight="1">
      <c r="A15639" s="199"/>
    </row>
    <row r="15640" spans="1:1" s="200" customFormat="1" ht="12" hidden="1" customHeight="1">
      <c r="A15640" s="199"/>
    </row>
    <row r="15641" spans="1:1" s="200" customFormat="1" ht="12" hidden="1" customHeight="1">
      <c r="A15641" s="199"/>
    </row>
    <row r="15642" spans="1:1" s="200" customFormat="1" ht="12" hidden="1" customHeight="1">
      <c r="A15642" s="199"/>
    </row>
    <row r="15643" spans="1:1" s="200" customFormat="1" ht="12" hidden="1" customHeight="1">
      <c r="A15643" s="199"/>
    </row>
    <row r="15644" spans="1:1" s="200" customFormat="1" ht="12" hidden="1" customHeight="1">
      <c r="A15644" s="199"/>
    </row>
    <row r="15645" spans="1:1" s="200" customFormat="1" ht="12" hidden="1" customHeight="1">
      <c r="A15645" s="199"/>
    </row>
    <row r="15646" spans="1:1" s="200" customFormat="1" ht="12" hidden="1" customHeight="1">
      <c r="A15646" s="199"/>
    </row>
    <row r="15647" spans="1:1" s="200" customFormat="1" ht="12" hidden="1" customHeight="1">
      <c r="A15647" s="199"/>
    </row>
    <row r="15648" spans="1:1" s="200" customFormat="1" ht="12" hidden="1" customHeight="1">
      <c r="A15648" s="199"/>
    </row>
    <row r="15649" spans="1:1" s="200" customFormat="1" ht="12" hidden="1" customHeight="1">
      <c r="A15649" s="199"/>
    </row>
    <row r="15650" spans="1:1" s="200" customFormat="1" ht="12" hidden="1" customHeight="1">
      <c r="A15650" s="199"/>
    </row>
    <row r="15651" spans="1:1" s="200" customFormat="1" ht="12" hidden="1" customHeight="1">
      <c r="A15651" s="199"/>
    </row>
    <row r="15652" spans="1:1" s="200" customFormat="1" ht="12" hidden="1" customHeight="1">
      <c r="A15652" s="199"/>
    </row>
    <row r="15653" spans="1:1" s="200" customFormat="1" ht="12" hidden="1" customHeight="1">
      <c r="A15653" s="199"/>
    </row>
    <row r="15654" spans="1:1" s="200" customFormat="1" ht="12" hidden="1" customHeight="1">
      <c r="A15654" s="199"/>
    </row>
    <row r="15655" spans="1:1" s="200" customFormat="1" ht="12" hidden="1" customHeight="1">
      <c r="A15655" s="199"/>
    </row>
    <row r="15656" spans="1:1" s="200" customFormat="1" ht="12" hidden="1" customHeight="1">
      <c r="A15656" s="199"/>
    </row>
    <row r="15657" spans="1:1" s="200" customFormat="1" ht="12" hidden="1" customHeight="1">
      <c r="A15657" s="199"/>
    </row>
    <row r="15658" spans="1:1" s="200" customFormat="1" ht="12" hidden="1" customHeight="1">
      <c r="A15658" s="199"/>
    </row>
    <row r="15659" spans="1:1" s="200" customFormat="1" ht="12" hidden="1" customHeight="1">
      <c r="A15659" s="199"/>
    </row>
    <row r="15660" spans="1:1" s="200" customFormat="1" ht="12" hidden="1" customHeight="1">
      <c r="A15660" s="199"/>
    </row>
    <row r="15661" spans="1:1" s="200" customFormat="1" ht="12" hidden="1" customHeight="1">
      <c r="A15661" s="199"/>
    </row>
    <row r="15662" spans="1:1" s="200" customFormat="1" ht="12" hidden="1" customHeight="1">
      <c r="A15662" s="199"/>
    </row>
    <row r="15663" spans="1:1" s="200" customFormat="1" ht="12" hidden="1" customHeight="1">
      <c r="A15663" s="199"/>
    </row>
    <row r="15664" spans="1:1" s="200" customFormat="1" ht="12" hidden="1" customHeight="1">
      <c r="A15664" s="199"/>
    </row>
    <row r="15665" spans="1:1" s="200" customFormat="1" ht="12" hidden="1" customHeight="1">
      <c r="A15665" s="199"/>
    </row>
    <row r="15666" spans="1:1" s="200" customFormat="1" ht="12" hidden="1" customHeight="1">
      <c r="A15666" s="199"/>
    </row>
    <row r="15667" spans="1:1" s="200" customFormat="1" ht="12" hidden="1" customHeight="1">
      <c r="A15667" s="199"/>
    </row>
    <row r="15668" spans="1:1" s="200" customFormat="1" ht="12" hidden="1" customHeight="1">
      <c r="A15668" s="199"/>
    </row>
    <row r="15669" spans="1:1" s="200" customFormat="1" ht="12" hidden="1" customHeight="1">
      <c r="A15669" s="199"/>
    </row>
    <row r="15670" spans="1:1" s="200" customFormat="1" ht="12" hidden="1" customHeight="1">
      <c r="A15670" s="199"/>
    </row>
    <row r="15671" spans="1:1" s="200" customFormat="1" ht="12" hidden="1" customHeight="1">
      <c r="A15671" s="199"/>
    </row>
    <row r="15672" spans="1:1" s="200" customFormat="1" ht="12" hidden="1" customHeight="1">
      <c r="A15672" s="199"/>
    </row>
    <row r="15673" spans="1:1" s="200" customFormat="1" ht="12" hidden="1" customHeight="1">
      <c r="A15673" s="199"/>
    </row>
    <row r="15674" spans="1:1" s="200" customFormat="1" ht="12" hidden="1" customHeight="1">
      <c r="A15674" s="199"/>
    </row>
    <row r="15675" spans="1:1" s="200" customFormat="1" ht="12" hidden="1" customHeight="1">
      <c r="A15675" s="199"/>
    </row>
    <row r="15676" spans="1:1" s="200" customFormat="1" ht="12" hidden="1" customHeight="1">
      <c r="A15676" s="199"/>
    </row>
    <row r="15677" spans="1:1" s="200" customFormat="1" ht="12" hidden="1" customHeight="1">
      <c r="A15677" s="199"/>
    </row>
    <row r="15678" spans="1:1" s="200" customFormat="1" ht="12" hidden="1" customHeight="1">
      <c r="A15678" s="199"/>
    </row>
    <row r="15679" spans="1:1" s="200" customFormat="1" ht="12" hidden="1" customHeight="1">
      <c r="A15679" s="199"/>
    </row>
    <row r="15680" spans="1:1" s="200" customFormat="1" ht="12" hidden="1" customHeight="1">
      <c r="A15680" s="199"/>
    </row>
    <row r="15681" spans="1:1" s="200" customFormat="1" ht="12" hidden="1" customHeight="1">
      <c r="A15681" s="199"/>
    </row>
    <row r="15682" spans="1:1" s="200" customFormat="1" ht="12" hidden="1" customHeight="1">
      <c r="A15682" s="199"/>
    </row>
    <row r="15683" spans="1:1" s="200" customFormat="1" ht="12" hidden="1" customHeight="1">
      <c r="A15683" s="199"/>
    </row>
    <row r="15684" spans="1:1" s="200" customFormat="1" ht="12" hidden="1" customHeight="1">
      <c r="A15684" s="199"/>
    </row>
    <row r="15685" spans="1:1" s="200" customFormat="1" ht="12" hidden="1" customHeight="1">
      <c r="A15685" s="199"/>
    </row>
    <row r="15686" spans="1:1" s="200" customFormat="1" ht="12" hidden="1" customHeight="1">
      <c r="A15686" s="199"/>
    </row>
    <row r="15687" spans="1:1" s="200" customFormat="1" ht="12" hidden="1" customHeight="1">
      <c r="A15687" s="199"/>
    </row>
    <row r="15688" spans="1:1" s="200" customFormat="1" ht="12" hidden="1" customHeight="1">
      <c r="A15688" s="199"/>
    </row>
    <row r="15689" spans="1:1" s="200" customFormat="1" ht="12" hidden="1" customHeight="1">
      <c r="A15689" s="199"/>
    </row>
    <row r="15690" spans="1:1" s="200" customFormat="1" ht="12" hidden="1" customHeight="1">
      <c r="A15690" s="199"/>
    </row>
    <row r="15691" spans="1:1" s="200" customFormat="1" ht="12" hidden="1" customHeight="1">
      <c r="A15691" s="199"/>
    </row>
    <row r="15692" spans="1:1" s="200" customFormat="1" ht="12" hidden="1" customHeight="1">
      <c r="A15692" s="199"/>
    </row>
    <row r="15693" spans="1:1" s="200" customFormat="1" ht="12" hidden="1" customHeight="1">
      <c r="A15693" s="199"/>
    </row>
    <row r="15694" spans="1:1" s="200" customFormat="1" ht="12" hidden="1" customHeight="1">
      <c r="A15694" s="199"/>
    </row>
    <row r="15695" spans="1:1" s="200" customFormat="1" ht="12" hidden="1" customHeight="1">
      <c r="A15695" s="199"/>
    </row>
    <row r="15696" spans="1:1" s="200" customFormat="1" ht="12" hidden="1" customHeight="1">
      <c r="A15696" s="199"/>
    </row>
    <row r="15697" spans="1:1" s="200" customFormat="1" ht="12" hidden="1" customHeight="1">
      <c r="A15697" s="199"/>
    </row>
    <row r="15698" spans="1:1" s="200" customFormat="1" ht="12" hidden="1" customHeight="1">
      <c r="A15698" s="199"/>
    </row>
    <row r="15699" spans="1:1" s="200" customFormat="1" ht="12" hidden="1" customHeight="1">
      <c r="A15699" s="199"/>
    </row>
    <row r="15700" spans="1:1" s="200" customFormat="1" ht="12" hidden="1" customHeight="1">
      <c r="A15700" s="199"/>
    </row>
    <row r="15701" spans="1:1" s="200" customFormat="1" ht="12" hidden="1" customHeight="1">
      <c r="A15701" s="199"/>
    </row>
    <row r="15702" spans="1:1" s="200" customFormat="1" ht="12" hidden="1" customHeight="1">
      <c r="A15702" s="199"/>
    </row>
    <row r="15703" spans="1:1" s="200" customFormat="1" ht="12" hidden="1" customHeight="1">
      <c r="A15703" s="199"/>
    </row>
    <row r="15704" spans="1:1" s="200" customFormat="1" ht="12" hidden="1" customHeight="1">
      <c r="A15704" s="199"/>
    </row>
    <row r="15705" spans="1:1" s="200" customFormat="1" ht="12" hidden="1" customHeight="1">
      <c r="A15705" s="199"/>
    </row>
    <row r="15706" spans="1:1" s="200" customFormat="1" ht="12" hidden="1" customHeight="1">
      <c r="A15706" s="199"/>
    </row>
    <row r="15707" spans="1:1" s="200" customFormat="1" ht="12" hidden="1" customHeight="1">
      <c r="A15707" s="199"/>
    </row>
    <row r="15708" spans="1:1" s="200" customFormat="1" ht="12" hidden="1" customHeight="1">
      <c r="A15708" s="199"/>
    </row>
    <row r="15709" spans="1:1" s="200" customFormat="1" ht="12" hidden="1" customHeight="1">
      <c r="A15709" s="199"/>
    </row>
    <row r="15710" spans="1:1" s="200" customFormat="1" ht="12" hidden="1" customHeight="1">
      <c r="A15710" s="199"/>
    </row>
    <row r="15711" spans="1:1" s="200" customFormat="1" ht="12" hidden="1" customHeight="1">
      <c r="A15711" s="199"/>
    </row>
    <row r="15712" spans="1:1" s="200" customFormat="1" ht="12" hidden="1" customHeight="1">
      <c r="A15712" s="199"/>
    </row>
    <row r="15713" spans="1:1" s="200" customFormat="1" ht="12" hidden="1" customHeight="1">
      <c r="A15713" s="199"/>
    </row>
    <row r="15714" spans="1:1" s="200" customFormat="1" ht="12" hidden="1" customHeight="1">
      <c r="A15714" s="199"/>
    </row>
    <row r="15715" spans="1:1" s="200" customFormat="1" ht="12" hidden="1" customHeight="1">
      <c r="A15715" s="199"/>
    </row>
    <row r="15716" spans="1:1" s="200" customFormat="1" ht="12" hidden="1" customHeight="1">
      <c r="A15716" s="199"/>
    </row>
    <row r="15717" spans="1:1" s="200" customFormat="1" ht="12" hidden="1" customHeight="1">
      <c r="A15717" s="199"/>
    </row>
    <row r="15718" spans="1:1" s="200" customFormat="1" ht="12" hidden="1" customHeight="1">
      <c r="A15718" s="199"/>
    </row>
    <row r="15719" spans="1:1" s="200" customFormat="1" ht="12" hidden="1" customHeight="1">
      <c r="A15719" s="199"/>
    </row>
    <row r="15720" spans="1:1" s="200" customFormat="1" ht="12" hidden="1" customHeight="1">
      <c r="A15720" s="199"/>
    </row>
    <row r="15721" spans="1:1" s="200" customFormat="1" ht="12" hidden="1" customHeight="1">
      <c r="A15721" s="199"/>
    </row>
    <row r="15722" spans="1:1" s="200" customFormat="1" ht="12" hidden="1" customHeight="1">
      <c r="A15722" s="199"/>
    </row>
    <row r="15723" spans="1:1" s="200" customFormat="1" ht="12" hidden="1" customHeight="1">
      <c r="A15723" s="199"/>
    </row>
    <row r="15724" spans="1:1" s="200" customFormat="1" ht="12" hidden="1" customHeight="1">
      <c r="A15724" s="199"/>
    </row>
    <row r="15725" spans="1:1" s="200" customFormat="1" ht="12" hidden="1" customHeight="1">
      <c r="A15725" s="199"/>
    </row>
    <row r="15726" spans="1:1" s="200" customFormat="1" ht="12" hidden="1" customHeight="1">
      <c r="A15726" s="199"/>
    </row>
    <row r="15727" spans="1:1" s="200" customFormat="1" ht="12" hidden="1" customHeight="1">
      <c r="A15727" s="199"/>
    </row>
    <row r="15728" spans="1:1" s="200" customFormat="1" ht="12" hidden="1" customHeight="1">
      <c r="A15728" s="199"/>
    </row>
    <row r="15729" spans="1:1" s="200" customFormat="1" ht="12" hidden="1" customHeight="1">
      <c r="A15729" s="199"/>
    </row>
    <row r="15730" spans="1:1" s="200" customFormat="1" ht="12" hidden="1" customHeight="1">
      <c r="A15730" s="199"/>
    </row>
    <row r="15731" spans="1:1" s="200" customFormat="1" ht="12" hidden="1" customHeight="1">
      <c r="A15731" s="199"/>
    </row>
    <row r="15732" spans="1:1" s="200" customFormat="1" ht="12" hidden="1" customHeight="1">
      <c r="A15732" s="199"/>
    </row>
    <row r="15733" spans="1:1" s="200" customFormat="1" ht="12" hidden="1" customHeight="1">
      <c r="A15733" s="199"/>
    </row>
    <row r="15734" spans="1:1" s="200" customFormat="1" ht="12" hidden="1" customHeight="1">
      <c r="A15734" s="199"/>
    </row>
    <row r="15735" spans="1:1" s="200" customFormat="1" ht="12" hidden="1" customHeight="1">
      <c r="A15735" s="199"/>
    </row>
    <row r="15736" spans="1:1" s="200" customFormat="1" ht="12" hidden="1" customHeight="1">
      <c r="A15736" s="199"/>
    </row>
    <row r="15737" spans="1:1" s="200" customFormat="1" ht="12" hidden="1" customHeight="1">
      <c r="A15737" s="199"/>
    </row>
    <row r="15738" spans="1:1" s="200" customFormat="1" ht="12" hidden="1" customHeight="1">
      <c r="A15738" s="199"/>
    </row>
    <row r="15739" spans="1:1" s="200" customFormat="1" ht="12" hidden="1" customHeight="1">
      <c r="A15739" s="199"/>
    </row>
    <row r="15740" spans="1:1" s="200" customFormat="1" ht="12" hidden="1" customHeight="1">
      <c r="A15740" s="199"/>
    </row>
    <row r="15741" spans="1:1" s="200" customFormat="1" ht="12" hidden="1" customHeight="1">
      <c r="A15741" s="199"/>
    </row>
    <row r="15742" spans="1:1" s="200" customFormat="1" ht="12" hidden="1" customHeight="1">
      <c r="A15742" s="199"/>
    </row>
    <row r="15743" spans="1:1" s="200" customFormat="1" ht="12" hidden="1" customHeight="1">
      <c r="A15743" s="199"/>
    </row>
    <row r="15744" spans="1:1" s="200" customFormat="1" ht="12" hidden="1" customHeight="1">
      <c r="A15744" s="199"/>
    </row>
    <row r="15745" spans="1:1" s="200" customFormat="1" ht="12" hidden="1" customHeight="1">
      <c r="A15745" s="199"/>
    </row>
    <row r="15746" spans="1:1" s="200" customFormat="1" ht="12" hidden="1" customHeight="1">
      <c r="A15746" s="199"/>
    </row>
    <row r="15747" spans="1:1" s="200" customFormat="1" ht="12" hidden="1" customHeight="1">
      <c r="A15747" s="199"/>
    </row>
    <row r="15748" spans="1:1" s="200" customFormat="1" ht="12" hidden="1" customHeight="1">
      <c r="A15748" s="199"/>
    </row>
    <row r="15749" spans="1:1" s="200" customFormat="1" ht="12" hidden="1" customHeight="1">
      <c r="A15749" s="199"/>
    </row>
    <row r="15750" spans="1:1" s="200" customFormat="1" ht="12" hidden="1" customHeight="1">
      <c r="A15750" s="199"/>
    </row>
    <row r="15751" spans="1:1" s="200" customFormat="1" ht="12" hidden="1" customHeight="1">
      <c r="A15751" s="199"/>
    </row>
    <row r="15752" spans="1:1" s="200" customFormat="1" ht="12" hidden="1" customHeight="1">
      <c r="A15752" s="199"/>
    </row>
    <row r="15753" spans="1:1" s="200" customFormat="1" ht="12" hidden="1" customHeight="1">
      <c r="A15753" s="199"/>
    </row>
    <row r="15754" spans="1:1" s="200" customFormat="1" ht="12" hidden="1" customHeight="1">
      <c r="A15754" s="199"/>
    </row>
    <row r="15755" spans="1:1" s="200" customFormat="1" ht="12" hidden="1" customHeight="1">
      <c r="A15755" s="199"/>
    </row>
    <row r="15756" spans="1:1" s="200" customFormat="1" ht="12" hidden="1" customHeight="1">
      <c r="A15756" s="199"/>
    </row>
    <row r="15757" spans="1:1" s="200" customFormat="1" ht="12" hidden="1" customHeight="1">
      <c r="A15757" s="199"/>
    </row>
    <row r="15758" spans="1:1" s="200" customFormat="1" ht="12" hidden="1" customHeight="1">
      <c r="A15758" s="199"/>
    </row>
    <row r="15759" spans="1:1" s="200" customFormat="1" ht="12" hidden="1" customHeight="1">
      <c r="A15759" s="199"/>
    </row>
    <row r="15760" spans="1:1" s="200" customFormat="1" ht="12" hidden="1" customHeight="1">
      <c r="A15760" s="199"/>
    </row>
    <row r="15761" spans="1:1" s="200" customFormat="1" ht="12" hidden="1" customHeight="1">
      <c r="A15761" s="199"/>
    </row>
    <row r="15762" spans="1:1" s="200" customFormat="1" ht="12" hidden="1" customHeight="1">
      <c r="A15762" s="199"/>
    </row>
    <row r="15763" spans="1:1" s="200" customFormat="1" ht="12" hidden="1" customHeight="1">
      <c r="A15763" s="199"/>
    </row>
    <row r="15764" spans="1:1" s="200" customFormat="1" ht="12" hidden="1" customHeight="1">
      <c r="A15764" s="199"/>
    </row>
    <row r="15765" spans="1:1" s="200" customFormat="1" ht="12" hidden="1" customHeight="1">
      <c r="A15765" s="199"/>
    </row>
    <row r="15766" spans="1:1" s="200" customFormat="1" ht="12" hidden="1" customHeight="1">
      <c r="A15766" s="199"/>
    </row>
    <row r="15767" spans="1:1" s="200" customFormat="1" ht="12" hidden="1" customHeight="1">
      <c r="A15767" s="199"/>
    </row>
    <row r="15768" spans="1:1" s="200" customFormat="1" ht="12" hidden="1" customHeight="1">
      <c r="A15768" s="199"/>
    </row>
    <row r="15769" spans="1:1" s="200" customFormat="1" ht="12" hidden="1" customHeight="1">
      <c r="A15769" s="199"/>
    </row>
    <row r="15770" spans="1:1" s="200" customFormat="1" ht="12" hidden="1" customHeight="1">
      <c r="A15770" s="199"/>
    </row>
    <row r="15771" spans="1:1" s="200" customFormat="1" ht="12" hidden="1" customHeight="1">
      <c r="A15771" s="199"/>
    </row>
    <row r="15772" spans="1:1" s="200" customFormat="1" ht="12" hidden="1" customHeight="1">
      <c r="A15772" s="199"/>
    </row>
    <row r="15773" spans="1:1" s="200" customFormat="1" ht="12" hidden="1" customHeight="1">
      <c r="A15773" s="199"/>
    </row>
    <row r="15774" spans="1:1" s="200" customFormat="1" ht="12" hidden="1" customHeight="1">
      <c r="A15774" s="199"/>
    </row>
    <row r="15775" spans="1:1" s="200" customFormat="1" ht="12" hidden="1" customHeight="1">
      <c r="A15775" s="199"/>
    </row>
    <row r="15776" spans="1:1" s="200" customFormat="1" ht="12" hidden="1" customHeight="1">
      <c r="A15776" s="199"/>
    </row>
    <row r="15777" spans="1:1" s="200" customFormat="1" ht="12" hidden="1" customHeight="1">
      <c r="A15777" s="199"/>
    </row>
    <row r="15778" spans="1:1" s="200" customFormat="1" ht="12" hidden="1" customHeight="1">
      <c r="A15778" s="199"/>
    </row>
    <row r="15779" spans="1:1" s="200" customFormat="1" ht="12" hidden="1" customHeight="1">
      <c r="A15779" s="199"/>
    </row>
    <row r="15780" spans="1:1" s="200" customFormat="1" ht="12" hidden="1" customHeight="1">
      <c r="A15780" s="199"/>
    </row>
    <row r="15781" spans="1:1" s="200" customFormat="1" ht="12" hidden="1" customHeight="1">
      <c r="A15781" s="199"/>
    </row>
    <row r="15782" spans="1:1" s="200" customFormat="1" ht="12" hidden="1" customHeight="1">
      <c r="A15782" s="199"/>
    </row>
    <row r="15783" spans="1:1" s="200" customFormat="1" ht="12" hidden="1" customHeight="1">
      <c r="A15783" s="199"/>
    </row>
    <row r="15784" spans="1:1" s="200" customFormat="1" ht="12" hidden="1" customHeight="1">
      <c r="A15784" s="199"/>
    </row>
    <row r="15785" spans="1:1" s="200" customFormat="1" ht="12" hidden="1" customHeight="1">
      <c r="A15785" s="199"/>
    </row>
    <row r="15786" spans="1:1" s="200" customFormat="1" ht="12" hidden="1" customHeight="1">
      <c r="A15786" s="199"/>
    </row>
    <row r="15787" spans="1:1" s="200" customFormat="1" ht="12" hidden="1" customHeight="1">
      <c r="A15787" s="199"/>
    </row>
    <row r="15788" spans="1:1" s="200" customFormat="1" ht="12" hidden="1" customHeight="1">
      <c r="A15788" s="199"/>
    </row>
    <row r="15789" spans="1:1" s="200" customFormat="1" ht="12" hidden="1" customHeight="1">
      <c r="A15789" s="199"/>
    </row>
    <row r="15790" spans="1:1" s="200" customFormat="1" ht="12" hidden="1" customHeight="1">
      <c r="A15790" s="199"/>
    </row>
    <row r="15791" spans="1:1" s="200" customFormat="1" ht="12" hidden="1" customHeight="1">
      <c r="A15791" s="199"/>
    </row>
    <row r="15792" spans="1:1" s="200" customFormat="1" ht="12" hidden="1" customHeight="1">
      <c r="A15792" s="199"/>
    </row>
    <row r="15793" spans="1:1" s="200" customFormat="1" ht="12" hidden="1" customHeight="1">
      <c r="A15793" s="199"/>
    </row>
    <row r="15794" spans="1:1" s="200" customFormat="1" ht="12" hidden="1" customHeight="1">
      <c r="A15794" s="199"/>
    </row>
    <row r="15795" spans="1:1" s="200" customFormat="1" ht="12" hidden="1" customHeight="1">
      <c r="A15795" s="199"/>
    </row>
    <row r="15796" spans="1:1" s="200" customFormat="1" ht="12" hidden="1" customHeight="1">
      <c r="A15796" s="199"/>
    </row>
    <row r="15797" spans="1:1" s="200" customFormat="1" ht="12" hidden="1" customHeight="1">
      <c r="A15797" s="199"/>
    </row>
    <row r="15798" spans="1:1" s="200" customFormat="1" ht="12" hidden="1" customHeight="1">
      <c r="A15798" s="199"/>
    </row>
    <row r="15799" spans="1:1" s="200" customFormat="1" ht="12" hidden="1" customHeight="1">
      <c r="A15799" s="199"/>
    </row>
    <row r="15800" spans="1:1" s="200" customFormat="1" ht="12" hidden="1" customHeight="1">
      <c r="A15800" s="199"/>
    </row>
    <row r="15801" spans="1:1" s="200" customFormat="1" ht="12" hidden="1" customHeight="1">
      <c r="A15801" s="199"/>
    </row>
    <row r="15802" spans="1:1" s="200" customFormat="1" ht="12" hidden="1" customHeight="1">
      <c r="A15802" s="199"/>
    </row>
    <row r="15803" spans="1:1" s="200" customFormat="1" ht="12" hidden="1" customHeight="1">
      <c r="A15803" s="199"/>
    </row>
    <row r="15804" spans="1:1" s="200" customFormat="1" ht="12" hidden="1" customHeight="1">
      <c r="A15804" s="199"/>
    </row>
    <row r="15805" spans="1:1" s="200" customFormat="1" ht="12" hidden="1" customHeight="1">
      <c r="A15805" s="199"/>
    </row>
    <row r="15806" spans="1:1" s="200" customFormat="1" ht="12" hidden="1" customHeight="1">
      <c r="A15806" s="199"/>
    </row>
    <row r="15807" spans="1:1" s="200" customFormat="1" ht="12" hidden="1" customHeight="1">
      <c r="A15807" s="199"/>
    </row>
    <row r="15808" spans="1:1" s="200" customFormat="1" ht="12" hidden="1" customHeight="1">
      <c r="A15808" s="199"/>
    </row>
    <row r="15809" spans="1:1" s="200" customFormat="1" ht="12" hidden="1" customHeight="1">
      <c r="A15809" s="199"/>
    </row>
    <row r="15810" spans="1:1" s="200" customFormat="1" ht="12" hidden="1" customHeight="1">
      <c r="A15810" s="199"/>
    </row>
    <row r="15811" spans="1:1" s="200" customFormat="1" ht="12" hidden="1" customHeight="1">
      <c r="A15811" s="199"/>
    </row>
    <row r="15812" spans="1:1" s="200" customFormat="1" ht="12" hidden="1" customHeight="1">
      <c r="A15812" s="199"/>
    </row>
    <row r="15813" spans="1:1" s="200" customFormat="1" ht="12" hidden="1" customHeight="1">
      <c r="A15813" s="199"/>
    </row>
    <row r="15814" spans="1:1" s="200" customFormat="1" ht="12" hidden="1" customHeight="1">
      <c r="A15814" s="199"/>
    </row>
    <row r="15815" spans="1:1" s="200" customFormat="1" ht="12" hidden="1" customHeight="1">
      <c r="A15815" s="199"/>
    </row>
    <row r="15816" spans="1:1" s="200" customFormat="1" ht="12" hidden="1" customHeight="1">
      <c r="A15816" s="199"/>
    </row>
    <row r="15817" spans="1:1" s="200" customFormat="1" ht="12" hidden="1" customHeight="1">
      <c r="A15817" s="199"/>
    </row>
    <row r="15818" spans="1:1" s="200" customFormat="1" ht="12" hidden="1" customHeight="1">
      <c r="A15818" s="199"/>
    </row>
    <row r="15819" spans="1:1" s="200" customFormat="1" ht="12" hidden="1" customHeight="1">
      <c r="A15819" s="199"/>
    </row>
    <row r="15820" spans="1:1" s="200" customFormat="1" ht="12" hidden="1" customHeight="1">
      <c r="A15820" s="199"/>
    </row>
    <row r="15821" spans="1:1" s="200" customFormat="1" ht="12" hidden="1" customHeight="1">
      <c r="A15821" s="199"/>
    </row>
    <row r="15822" spans="1:1" s="200" customFormat="1" ht="12" hidden="1" customHeight="1">
      <c r="A15822" s="199"/>
    </row>
    <row r="15823" spans="1:1" s="200" customFormat="1" ht="12" hidden="1" customHeight="1">
      <c r="A15823" s="199"/>
    </row>
    <row r="15824" spans="1:1" s="200" customFormat="1" ht="12" hidden="1" customHeight="1">
      <c r="A15824" s="199"/>
    </row>
    <row r="15825" spans="1:1" s="200" customFormat="1" ht="12" hidden="1" customHeight="1">
      <c r="A15825" s="199"/>
    </row>
    <row r="15826" spans="1:1" s="200" customFormat="1" ht="12" hidden="1" customHeight="1">
      <c r="A15826" s="199"/>
    </row>
    <row r="15827" spans="1:1" s="200" customFormat="1" ht="12" hidden="1" customHeight="1">
      <c r="A15827" s="199"/>
    </row>
    <row r="15828" spans="1:1" s="200" customFormat="1" ht="12" hidden="1" customHeight="1">
      <c r="A15828" s="199"/>
    </row>
    <row r="15829" spans="1:1" s="200" customFormat="1" ht="12" hidden="1" customHeight="1">
      <c r="A15829" s="199"/>
    </row>
    <row r="15830" spans="1:1" s="200" customFormat="1" ht="12" hidden="1" customHeight="1">
      <c r="A15830" s="199"/>
    </row>
    <row r="15831" spans="1:1" s="200" customFormat="1" ht="12" hidden="1" customHeight="1">
      <c r="A15831" s="199"/>
    </row>
    <row r="15832" spans="1:1" s="200" customFormat="1" ht="12" hidden="1" customHeight="1">
      <c r="A15832" s="199"/>
    </row>
    <row r="15833" spans="1:1" s="200" customFormat="1" ht="12" hidden="1" customHeight="1">
      <c r="A15833" s="199"/>
    </row>
    <row r="15834" spans="1:1" s="200" customFormat="1" ht="12" hidden="1" customHeight="1">
      <c r="A15834" s="199"/>
    </row>
    <row r="15835" spans="1:1" s="200" customFormat="1" ht="12" hidden="1" customHeight="1">
      <c r="A15835" s="199"/>
    </row>
    <row r="15836" spans="1:1" s="200" customFormat="1" ht="12" hidden="1" customHeight="1">
      <c r="A15836" s="199"/>
    </row>
    <row r="15837" spans="1:1" s="200" customFormat="1" ht="12" hidden="1" customHeight="1">
      <c r="A15837" s="199"/>
    </row>
    <row r="15838" spans="1:1" s="200" customFormat="1" ht="12" hidden="1" customHeight="1">
      <c r="A15838" s="199"/>
    </row>
    <row r="15839" spans="1:1" s="200" customFormat="1" ht="12" hidden="1" customHeight="1">
      <c r="A15839" s="199"/>
    </row>
    <row r="15840" spans="1:1" s="200" customFormat="1" ht="12" hidden="1" customHeight="1">
      <c r="A15840" s="199"/>
    </row>
    <row r="15841" spans="1:1" s="200" customFormat="1" ht="12" hidden="1" customHeight="1">
      <c r="A15841" s="199"/>
    </row>
    <row r="15842" spans="1:1" s="200" customFormat="1" ht="12" hidden="1" customHeight="1">
      <c r="A15842" s="199"/>
    </row>
    <row r="15843" spans="1:1" s="200" customFormat="1" ht="12" hidden="1" customHeight="1">
      <c r="A15843" s="199"/>
    </row>
    <row r="15844" spans="1:1" s="200" customFormat="1" ht="12" hidden="1" customHeight="1">
      <c r="A15844" s="199"/>
    </row>
    <row r="15845" spans="1:1" s="200" customFormat="1" ht="12" hidden="1" customHeight="1">
      <c r="A15845" s="199"/>
    </row>
    <row r="15846" spans="1:1" s="200" customFormat="1" ht="12" hidden="1" customHeight="1">
      <c r="A15846" s="199"/>
    </row>
    <row r="15847" spans="1:1" s="200" customFormat="1" ht="12" hidden="1" customHeight="1">
      <c r="A15847" s="199"/>
    </row>
    <row r="15848" spans="1:1" s="200" customFormat="1" ht="12" hidden="1" customHeight="1">
      <c r="A15848" s="199"/>
    </row>
    <row r="15849" spans="1:1" s="200" customFormat="1" ht="12" hidden="1" customHeight="1">
      <c r="A15849" s="199"/>
    </row>
    <row r="15850" spans="1:1" s="200" customFormat="1" ht="12" hidden="1" customHeight="1">
      <c r="A15850" s="199"/>
    </row>
    <row r="15851" spans="1:1" s="200" customFormat="1" ht="12" hidden="1" customHeight="1">
      <c r="A15851" s="199"/>
    </row>
    <row r="15852" spans="1:1" s="200" customFormat="1" ht="12" hidden="1" customHeight="1">
      <c r="A15852" s="199"/>
    </row>
    <row r="15853" spans="1:1" s="200" customFormat="1" ht="12" hidden="1" customHeight="1">
      <c r="A15853" s="199"/>
    </row>
    <row r="15854" spans="1:1" s="200" customFormat="1" ht="12" hidden="1" customHeight="1">
      <c r="A15854" s="199"/>
    </row>
    <row r="15855" spans="1:1" s="200" customFormat="1" ht="12" hidden="1" customHeight="1">
      <c r="A15855" s="199"/>
    </row>
    <row r="15856" spans="1:1" s="200" customFormat="1" ht="12" hidden="1" customHeight="1">
      <c r="A15856" s="199"/>
    </row>
    <row r="15857" spans="1:1" s="200" customFormat="1" ht="12" hidden="1" customHeight="1">
      <c r="A15857" s="199"/>
    </row>
    <row r="15858" spans="1:1" s="200" customFormat="1" ht="12" hidden="1" customHeight="1">
      <c r="A15858" s="199"/>
    </row>
    <row r="15859" spans="1:1" s="200" customFormat="1" ht="12" hidden="1" customHeight="1">
      <c r="A15859" s="199"/>
    </row>
    <row r="15860" spans="1:1" s="200" customFormat="1" ht="12" hidden="1" customHeight="1">
      <c r="A15860" s="199"/>
    </row>
    <row r="15861" spans="1:1" s="200" customFormat="1" ht="12" hidden="1" customHeight="1">
      <c r="A15861" s="199"/>
    </row>
    <row r="15862" spans="1:1" s="200" customFormat="1" ht="12" hidden="1" customHeight="1">
      <c r="A15862" s="199"/>
    </row>
    <row r="15863" spans="1:1" s="200" customFormat="1" ht="12" hidden="1" customHeight="1">
      <c r="A15863" s="199"/>
    </row>
    <row r="15864" spans="1:1" s="200" customFormat="1" ht="12" hidden="1" customHeight="1">
      <c r="A15864" s="199"/>
    </row>
    <row r="15865" spans="1:1" s="200" customFormat="1" ht="12" hidden="1" customHeight="1">
      <c r="A15865" s="199"/>
    </row>
    <row r="15866" spans="1:1" s="200" customFormat="1" ht="12" hidden="1" customHeight="1">
      <c r="A15866" s="199"/>
    </row>
    <row r="15867" spans="1:1" s="200" customFormat="1" ht="12" hidden="1" customHeight="1">
      <c r="A15867" s="199"/>
    </row>
    <row r="15868" spans="1:1" s="200" customFormat="1" ht="12" hidden="1" customHeight="1">
      <c r="A15868" s="199"/>
    </row>
    <row r="15869" spans="1:1" s="200" customFormat="1" ht="12" hidden="1" customHeight="1">
      <c r="A15869" s="199"/>
    </row>
    <row r="15870" spans="1:1" s="200" customFormat="1" ht="12" hidden="1" customHeight="1">
      <c r="A15870" s="199"/>
    </row>
    <row r="15871" spans="1:1" s="200" customFormat="1" ht="12" hidden="1" customHeight="1">
      <c r="A15871" s="199"/>
    </row>
    <row r="15872" spans="1:1" s="200" customFormat="1" ht="12" hidden="1" customHeight="1">
      <c r="A15872" s="199"/>
    </row>
    <row r="15873" spans="1:1" s="200" customFormat="1" ht="12" hidden="1" customHeight="1">
      <c r="A15873" s="199"/>
    </row>
    <row r="15874" spans="1:1" s="200" customFormat="1" ht="12" hidden="1" customHeight="1">
      <c r="A15874" s="199"/>
    </row>
    <row r="15875" spans="1:1" s="200" customFormat="1" ht="12" hidden="1" customHeight="1">
      <c r="A15875" s="199"/>
    </row>
    <row r="15876" spans="1:1" s="200" customFormat="1" ht="12" hidden="1" customHeight="1">
      <c r="A15876" s="199"/>
    </row>
    <row r="15877" spans="1:1" s="200" customFormat="1" ht="12" hidden="1" customHeight="1">
      <c r="A15877" s="199"/>
    </row>
    <row r="15878" spans="1:1" s="200" customFormat="1" ht="12" hidden="1" customHeight="1">
      <c r="A15878" s="199"/>
    </row>
    <row r="15879" spans="1:1" s="200" customFormat="1" ht="12" hidden="1" customHeight="1">
      <c r="A15879" s="199"/>
    </row>
    <row r="15880" spans="1:1" s="200" customFormat="1" ht="12" hidden="1" customHeight="1">
      <c r="A15880" s="199"/>
    </row>
    <row r="15881" spans="1:1" s="200" customFormat="1" ht="12" hidden="1" customHeight="1">
      <c r="A15881" s="199"/>
    </row>
    <row r="15882" spans="1:1" s="200" customFormat="1" ht="12" hidden="1" customHeight="1">
      <c r="A15882" s="199"/>
    </row>
    <row r="15883" spans="1:1" s="200" customFormat="1" ht="12" hidden="1" customHeight="1">
      <c r="A15883" s="199"/>
    </row>
    <row r="15884" spans="1:1" s="200" customFormat="1" ht="12" hidden="1" customHeight="1">
      <c r="A15884" s="199"/>
    </row>
    <row r="15885" spans="1:1" s="200" customFormat="1" ht="12" hidden="1" customHeight="1">
      <c r="A15885" s="199"/>
    </row>
    <row r="15886" spans="1:1" s="200" customFormat="1" ht="12" hidden="1" customHeight="1">
      <c r="A15886" s="199"/>
    </row>
    <row r="15887" spans="1:1" s="200" customFormat="1" ht="12" hidden="1" customHeight="1">
      <c r="A15887" s="199"/>
    </row>
    <row r="15888" spans="1:1" s="200" customFormat="1" ht="12" hidden="1" customHeight="1">
      <c r="A15888" s="199"/>
    </row>
    <row r="15889" spans="1:1" s="200" customFormat="1" ht="12" hidden="1" customHeight="1">
      <c r="A15889" s="199"/>
    </row>
    <row r="15890" spans="1:1" s="200" customFormat="1" ht="12" hidden="1" customHeight="1">
      <c r="A15890" s="199"/>
    </row>
    <row r="15891" spans="1:1" s="200" customFormat="1" ht="12" hidden="1" customHeight="1">
      <c r="A15891" s="199"/>
    </row>
    <row r="15892" spans="1:1" s="200" customFormat="1" ht="12" hidden="1" customHeight="1">
      <c r="A15892" s="199"/>
    </row>
    <row r="15893" spans="1:1" s="200" customFormat="1" ht="12" hidden="1" customHeight="1">
      <c r="A15893" s="199"/>
    </row>
    <row r="15894" spans="1:1" s="200" customFormat="1" ht="12" hidden="1" customHeight="1">
      <c r="A15894" s="199"/>
    </row>
    <row r="15895" spans="1:1" s="200" customFormat="1" ht="12" hidden="1" customHeight="1">
      <c r="A15895" s="199"/>
    </row>
    <row r="15896" spans="1:1" s="200" customFormat="1" ht="12" hidden="1" customHeight="1">
      <c r="A15896" s="199"/>
    </row>
    <row r="15897" spans="1:1" s="200" customFormat="1" ht="12" hidden="1" customHeight="1">
      <c r="A15897" s="199"/>
    </row>
    <row r="15898" spans="1:1" s="200" customFormat="1" ht="12" hidden="1" customHeight="1">
      <c r="A15898" s="199"/>
    </row>
    <row r="15899" spans="1:1" s="200" customFormat="1" ht="12" hidden="1" customHeight="1">
      <c r="A15899" s="199"/>
    </row>
    <row r="15900" spans="1:1" s="200" customFormat="1" ht="12" hidden="1" customHeight="1">
      <c r="A15900" s="199"/>
    </row>
    <row r="15901" spans="1:1" s="200" customFormat="1" ht="12" hidden="1" customHeight="1">
      <c r="A15901" s="199"/>
    </row>
    <row r="15902" spans="1:1" s="200" customFormat="1" ht="12" hidden="1" customHeight="1">
      <c r="A15902" s="199"/>
    </row>
    <row r="15903" spans="1:1" s="200" customFormat="1" ht="12" hidden="1" customHeight="1">
      <c r="A15903" s="199"/>
    </row>
    <row r="15904" spans="1:1" s="200" customFormat="1" ht="12" hidden="1" customHeight="1">
      <c r="A15904" s="199"/>
    </row>
    <row r="15905" spans="1:1" s="200" customFormat="1" ht="12" hidden="1" customHeight="1">
      <c r="A15905" s="199"/>
    </row>
    <row r="15906" spans="1:1" s="200" customFormat="1" ht="12" hidden="1" customHeight="1">
      <c r="A15906" s="199"/>
    </row>
    <row r="15907" spans="1:1" s="200" customFormat="1" ht="12" hidden="1" customHeight="1">
      <c r="A15907" s="199"/>
    </row>
    <row r="15908" spans="1:1" s="200" customFormat="1" ht="12" hidden="1" customHeight="1">
      <c r="A15908" s="199"/>
    </row>
    <row r="15909" spans="1:1" s="200" customFormat="1" ht="12" hidden="1" customHeight="1">
      <c r="A15909" s="199"/>
    </row>
    <row r="15910" spans="1:1" s="200" customFormat="1" ht="12" hidden="1" customHeight="1">
      <c r="A15910" s="199"/>
    </row>
    <row r="15911" spans="1:1" s="200" customFormat="1" ht="12" hidden="1" customHeight="1">
      <c r="A15911" s="199"/>
    </row>
    <row r="15912" spans="1:1" s="200" customFormat="1" ht="12" hidden="1" customHeight="1">
      <c r="A15912" s="199"/>
    </row>
    <row r="15913" spans="1:1" s="200" customFormat="1" ht="12" hidden="1" customHeight="1">
      <c r="A15913" s="199"/>
    </row>
    <row r="15914" spans="1:1" s="200" customFormat="1" ht="12" hidden="1" customHeight="1">
      <c r="A15914" s="199"/>
    </row>
    <row r="15915" spans="1:1" s="200" customFormat="1" ht="12" hidden="1" customHeight="1">
      <c r="A15915" s="199"/>
    </row>
    <row r="15916" spans="1:1" s="200" customFormat="1" ht="12" hidden="1" customHeight="1">
      <c r="A15916" s="199"/>
    </row>
    <row r="15917" spans="1:1" s="200" customFormat="1" ht="12" hidden="1" customHeight="1">
      <c r="A15917" s="199"/>
    </row>
    <row r="15918" spans="1:1" s="200" customFormat="1" ht="12" hidden="1" customHeight="1">
      <c r="A15918" s="199"/>
    </row>
    <row r="15919" spans="1:1" s="200" customFormat="1" ht="12" hidden="1" customHeight="1">
      <c r="A15919" s="199"/>
    </row>
    <row r="15920" spans="1:1" s="200" customFormat="1" ht="12" hidden="1" customHeight="1">
      <c r="A15920" s="199"/>
    </row>
    <row r="15921" spans="1:1" s="200" customFormat="1" ht="12" hidden="1" customHeight="1">
      <c r="A15921" s="199"/>
    </row>
    <row r="15922" spans="1:1" s="200" customFormat="1" ht="12" hidden="1" customHeight="1">
      <c r="A15922" s="199"/>
    </row>
    <row r="15923" spans="1:1" s="200" customFormat="1" ht="12" hidden="1" customHeight="1">
      <c r="A15923" s="199"/>
    </row>
    <row r="15924" spans="1:1" s="200" customFormat="1" ht="12" hidden="1" customHeight="1">
      <c r="A15924" s="199"/>
    </row>
    <row r="15925" spans="1:1" s="200" customFormat="1" ht="12" hidden="1" customHeight="1">
      <c r="A15925" s="199"/>
    </row>
    <row r="15926" spans="1:1" s="200" customFormat="1" ht="12" hidden="1" customHeight="1">
      <c r="A15926" s="199"/>
    </row>
    <row r="15927" spans="1:1" s="200" customFormat="1" ht="12" hidden="1" customHeight="1">
      <c r="A15927" s="199"/>
    </row>
    <row r="15928" spans="1:1" s="200" customFormat="1" ht="12" hidden="1" customHeight="1">
      <c r="A15928" s="199"/>
    </row>
    <row r="15929" spans="1:1" s="200" customFormat="1" ht="12" hidden="1" customHeight="1">
      <c r="A15929" s="199"/>
    </row>
    <row r="15930" spans="1:1" s="200" customFormat="1" ht="12" hidden="1" customHeight="1">
      <c r="A15930" s="199"/>
    </row>
    <row r="15931" spans="1:1" s="200" customFormat="1" ht="12" hidden="1" customHeight="1">
      <c r="A15931" s="199"/>
    </row>
    <row r="15932" spans="1:1" s="200" customFormat="1" ht="12" hidden="1" customHeight="1">
      <c r="A15932" s="199"/>
    </row>
    <row r="15933" spans="1:1" s="200" customFormat="1" ht="12" hidden="1" customHeight="1">
      <c r="A15933" s="199"/>
    </row>
    <row r="15934" spans="1:1" s="200" customFormat="1" ht="12" hidden="1" customHeight="1">
      <c r="A15934" s="199"/>
    </row>
    <row r="15935" spans="1:1" s="200" customFormat="1" ht="12" hidden="1" customHeight="1">
      <c r="A15935" s="199"/>
    </row>
    <row r="15936" spans="1:1" s="200" customFormat="1" ht="12" hidden="1" customHeight="1">
      <c r="A15936" s="199"/>
    </row>
    <row r="15937" spans="1:1" s="200" customFormat="1" ht="12" hidden="1" customHeight="1">
      <c r="A15937" s="199"/>
    </row>
    <row r="15938" spans="1:1" s="200" customFormat="1" ht="12" hidden="1" customHeight="1">
      <c r="A15938" s="199"/>
    </row>
    <row r="15939" spans="1:1" s="200" customFormat="1" ht="12" hidden="1" customHeight="1">
      <c r="A15939" s="199"/>
    </row>
    <row r="15940" spans="1:1" s="200" customFormat="1" ht="12" hidden="1" customHeight="1">
      <c r="A15940" s="199"/>
    </row>
    <row r="15941" spans="1:1" s="200" customFormat="1" ht="12" hidden="1" customHeight="1">
      <c r="A15941" s="199"/>
    </row>
    <row r="15942" spans="1:1" s="200" customFormat="1" ht="12" hidden="1" customHeight="1">
      <c r="A15942" s="199"/>
    </row>
    <row r="15943" spans="1:1" s="200" customFormat="1" ht="12" hidden="1" customHeight="1">
      <c r="A15943" s="199"/>
    </row>
    <row r="15944" spans="1:1" s="200" customFormat="1" ht="12" hidden="1" customHeight="1">
      <c r="A15944" s="199"/>
    </row>
    <row r="15945" spans="1:1" s="200" customFormat="1" ht="12" hidden="1" customHeight="1">
      <c r="A15945" s="199"/>
    </row>
    <row r="15946" spans="1:1" s="200" customFormat="1" ht="12" hidden="1" customHeight="1">
      <c r="A15946" s="199"/>
    </row>
    <row r="15947" spans="1:1" s="200" customFormat="1" ht="12" hidden="1" customHeight="1">
      <c r="A15947" s="199"/>
    </row>
    <row r="15948" spans="1:1" s="200" customFormat="1" ht="12" hidden="1" customHeight="1">
      <c r="A15948" s="199"/>
    </row>
    <row r="15949" spans="1:1" s="200" customFormat="1" ht="12" hidden="1" customHeight="1">
      <c r="A15949" s="199"/>
    </row>
    <row r="15950" spans="1:1" s="200" customFormat="1" ht="12" hidden="1" customHeight="1">
      <c r="A15950" s="199"/>
    </row>
    <row r="15951" spans="1:1" s="200" customFormat="1" ht="12" hidden="1" customHeight="1">
      <c r="A15951" s="199"/>
    </row>
    <row r="15952" spans="1:1" s="200" customFormat="1" ht="12" hidden="1" customHeight="1">
      <c r="A15952" s="199"/>
    </row>
    <row r="15953" spans="1:1" s="200" customFormat="1" ht="12" hidden="1" customHeight="1">
      <c r="A15953" s="199"/>
    </row>
    <row r="15954" spans="1:1" s="200" customFormat="1" ht="12" hidden="1" customHeight="1">
      <c r="A15954" s="199"/>
    </row>
    <row r="15955" spans="1:1" s="200" customFormat="1" ht="12" hidden="1" customHeight="1">
      <c r="A15955" s="199"/>
    </row>
    <row r="15956" spans="1:1" s="200" customFormat="1" ht="12" hidden="1" customHeight="1">
      <c r="A15956" s="199"/>
    </row>
    <row r="15957" spans="1:1" s="200" customFormat="1" ht="12" hidden="1" customHeight="1">
      <c r="A15957" s="199"/>
    </row>
    <row r="15958" spans="1:1" s="200" customFormat="1" ht="12" hidden="1" customHeight="1">
      <c r="A15958" s="199"/>
    </row>
    <row r="15959" spans="1:1" s="200" customFormat="1" ht="12" hidden="1" customHeight="1">
      <c r="A15959" s="199"/>
    </row>
    <row r="15960" spans="1:1" s="200" customFormat="1" ht="12" hidden="1" customHeight="1">
      <c r="A15960" s="199"/>
    </row>
    <row r="15961" spans="1:1" s="200" customFormat="1" ht="12" hidden="1" customHeight="1">
      <c r="A15961" s="199"/>
    </row>
    <row r="15962" spans="1:1" s="200" customFormat="1" ht="12" hidden="1" customHeight="1">
      <c r="A15962" s="199"/>
    </row>
    <row r="15963" spans="1:1" s="200" customFormat="1" ht="12" hidden="1" customHeight="1">
      <c r="A15963" s="199"/>
    </row>
    <row r="15964" spans="1:1" s="200" customFormat="1" ht="12" hidden="1" customHeight="1">
      <c r="A15964" s="199"/>
    </row>
    <row r="15965" spans="1:1" s="200" customFormat="1" ht="12" hidden="1" customHeight="1">
      <c r="A15965" s="199"/>
    </row>
    <row r="15966" spans="1:1" s="200" customFormat="1" ht="12" hidden="1" customHeight="1">
      <c r="A15966" s="199"/>
    </row>
    <row r="15967" spans="1:1" s="200" customFormat="1" ht="12" hidden="1" customHeight="1">
      <c r="A15967" s="199"/>
    </row>
    <row r="15968" spans="1:1" s="200" customFormat="1" ht="12" hidden="1" customHeight="1">
      <c r="A15968" s="199"/>
    </row>
    <row r="15969" spans="1:1" s="200" customFormat="1" ht="12" hidden="1" customHeight="1">
      <c r="A15969" s="199"/>
    </row>
    <row r="15970" spans="1:1" s="200" customFormat="1" ht="12" hidden="1" customHeight="1">
      <c r="A15970" s="199"/>
    </row>
    <row r="15971" spans="1:1" s="200" customFormat="1" ht="12" hidden="1" customHeight="1">
      <c r="A15971" s="199"/>
    </row>
    <row r="15972" spans="1:1" s="200" customFormat="1" ht="12" hidden="1" customHeight="1">
      <c r="A15972" s="199"/>
    </row>
    <row r="15973" spans="1:1" s="200" customFormat="1" ht="12" hidden="1" customHeight="1">
      <c r="A15973" s="199"/>
    </row>
    <row r="15974" spans="1:1" s="200" customFormat="1" ht="12" hidden="1" customHeight="1">
      <c r="A15974" s="199"/>
    </row>
    <row r="15975" spans="1:1" s="200" customFormat="1" ht="12" hidden="1" customHeight="1">
      <c r="A15975" s="199"/>
    </row>
    <row r="15976" spans="1:1" s="200" customFormat="1" ht="12" hidden="1" customHeight="1">
      <c r="A15976" s="199"/>
    </row>
    <row r="15977" spans="1:1" s="200" customFormat="1" ht="12" hidden="1" customHeight="1">
      <c r="A15977" s="199"/>
    </row>
    <row r="15978" spans="1:1" s="200" customFormat="1" ht="12" hidden="1" customHeight="1">
      <c r="A15978" s="199"/>
    </row>
    <row r="15979" spans="1:1" s="200" customFormat="1" ht="12" hidden="1" customHeight="1">
      <c r="A15979" s="199"/>
    </row>
    <row r="15980" spans="1:1" s="200" customFormat="1" ht="12" hidden="1" customHeight="1">
      <c r="A15980" s="199"/>
    </row>
    <row r="15981" spans="1:1" s="200" customFormat="1" ht="12" hidden="1" customHeight="1">
      <c r="A15981" s="199"/>
    </row>
    <row r="15982" spans="1:1" s="200" customFormat="1" ht="12" hidden="1" customHeight="1">
      <c r="A15982" s="199"/>
    </row>
    <row r="15983" spans="1:1" s="200" customFormat="1" ht="12" hidden="1" customHeight="1">
      <c r="A15983" s="199"/>
    </row>
    <row r="15984" spans="1:1" s="200" customFormat="1" ht="12" hidden="1" customHeight="1">
      <c r="A15984" s="199"/>
    </row>
    <row r="15985" spans="1:1" s="200" customFormat="1" ht="12" hidden="1" customHeight="1">
      <c r="A15985" s="199"/>
    </row>
    <row r="15986" spans="1:1" s="200" customFormat="1" ht="12" hidden="1" customHeight="1">
      <c r="A15986" s="199"/>
    </row>
    <row r="15987" spans="1:1" s="200" customFormat="1" ht="12" hidden="1" customHeight="1">
      <c r="A15987" s="199"/>
    </row>
    <row r="15988" spans="1:1" s="200" customFormat="1" ht="12" hidden="1" customHeight="1">
      <c r="A15988" s="199"/>
    </row>
    <row r="15989" spans="1:1" s="200" customFormat="1" ht="12" hidden="1" customHeight="1">
      <c r="A15989" s="199"/>
    </row>
    <row r="15990" spans="1:1" s="200" customFormat="1" ht="12" hidden="1" customHeight="1">
      <c r="A15990" s="199"/>
    </row>
    <row r="15991" spans="1:1" s="200" customFormat="1" ht="12" hidden="1" customHeight="1">
      <c r="A15991" s="199"/>
    </row>
    <row r="15992" spans="1:1" s="200" customFormat="1" ht="12" hidden="1" customHeight="1">
      <c r="A15992" s="199"/>
    </row>
    <row r="15993" spans="1:1" s="200" customFormat="1" ht="12" hidden="1" customHeight="1">
      <c r="A15993" s="199"/>
    </row>
    <row r="15994" spans="1:1" s="200" customFormat="1" ht="12" hidden="1" customHeight="1">
      <c r="A15994" s="199"/>
    </row>
    <row r="15995" spans="1:1" s="200" customFormat="1" ht="12" hidden="1" customHeight="1">
      <c r="A15995" s="199"/>
    </row>
    <row r="15996" spans="1:1" s="200" customFormat="1" ht="12" hidden="1" customHeight="1">
      <c r="A15996" s="199"/>
    </row>
    <row r="15997" spans="1:1" s="200" customFormat="1" ht="12" hidden="1" customHeight="1">
      <c r="A15997" s="199"/>
    </row>
    <row r="15998" spans="1:1" s="200" customFormat="1" ht="12" hidden="1" customHeight="1">
      <c r="A15998" s="199"/>
    </row>
    <row r="15999" spans="1:1" s="200" customFormat="1" ht="12" hidden="1" customHeight="1">
      <c r="A15999" s="199"/>
    </row>
    <row r="16000" spans="1:1" s="200" customFormat="1" ht="12" hidden="1" customHeight="1">
      <c r="A16000" s="199"/>
    </row>
    <row r="16001" spans="1:1" s="200" customFormat="1" ht="12" hidden="1" customHeight="1">
      <c r="A16001" s="199"/>
    </row>
    <row r="16002" spans="1:1" s="200" customFormat="1" ht="12" hidden="1" customHeight="1">
      <c r="A16002" s="199"/>
    </row>
    <row r="16003" spans="1:1" s="200" customFormat="1" ht="12" hidden="1" customHeight="1">
      <c r="A16003" s="199"/>
    </row>
    <row r="16004" spans="1:1" s="200" customFormat="1" ht="12" hidden="1" customHeight="1">
      <c r="A16004" s="199"/>
    </row>
    <row r="16005" spans="1:1" s="200" customFormat="1" ht="12" hidden="1" customHeight="1">
      <c r="A16005" s="199"/>
    </row>
    <row r="16006" spans="1:1" s="200" customFormat="1" ht="12" hidden="1" customHeight="1">
      <c r="A16006" s="199"/>
    </row>
    <row r="16007" spans="1:1" s="200" customFormat="1" ht="12" hidden="1" customHeight="1">
      <c r="A16007" s="199"/>
    </row>
    <row r="16008" spans="1:1" s="200" customFormat="1" ht="12" hidden="1" customHeight="1">
      <c r="A16008" s="199"/>
    </row>
    <row r="16009" spans="1:1" s="200" customFormat="1" ht="12" hidden="1" customHeight="1">
      <c r="A16009" s="199"/>
    </row>
    <row r="16010" spans="1:1" s="200" customFormat="1" ht="12" hidden="1" customHeight="1">
      <c r="A16010" s="199"/>
    </row>
    <row r="16011" spans="1:1" s="200" customFormat="1" ht="12" hidden="1" customHeight="1">
      <c r="A16011" s="199"/>
    </row>
    <row r="16012" spans="1:1" s="200" customFormat="1" ht="12" hidden="1" customHeight="1">
      <c r="A16012" s="199"/>
    </row>
    <row r="16013" spans="1:1" s="200" customFormat="1" ht="12" hidden="1" customHeight="1">
      <c r="A16013" s="199"/>
    </row>
    <row r="16014" spans="1:1" s="200" customFormat="1" ht="12" hidden="1" customHeight="1">
      <c r="A16014" s="199"/>
    </row>
    <row r="16015" spans="1:1" s="200" customFormat="1" ht="12" hidden="1" customHeight="1">
      <c r="A16015" s="199"/>
    </row>
    <row r="16016" spans="1:1" s="200" customFormat="1" ht="12" hidden="1" customHeight="1">
      <c r="A16016" s="199"/>
    </row>
    <row r="16017" spans="1:1" s="200" customFormat="1" ht="12" hidden="1" customHeight="1">
      <c r="A16017" s="199"/>
    </row>
    <row r="16018" spans="1:1" s="200" customFormat="1" ht="12" hidden="1" customHeight="1">
      <c r="A16018" s="199"/>
    </row>
    <row r="16019" spans="1:1" s="200" customFormat="1" ht="12" hidden="1" customHeight="1">
      <c r="A16019" s="199"/>
    </row>
    <row r="16020" spans="1:1" s="200" customFormat="1" ht="12" hidden="1" customHeight="1">
      <c r="A16020" s="199"/>
    </row>
    <row r="16021" spans="1:1" s="200" customFormat="1" ht="12" hidden="1" customHeight="1">
      <c r="A16021" s="199"/>
    </row>
    <row r="16022" spans="1:1" s="200" customFormat="1" ht="12" hidden="1" customHeight="1">
      <c r="A16022" s="199"/>
    </row>
    <row r="16023" spans="1:1" s="200" customFormat="1" ht="12" hidden="1" customHeight="1">
      <c r="A16023" s="199"/>
    </row>
    <row r="16024" spans="1:1" s="200" customFormat="1" ht="12" hidden="1" customHeight="1">
      <c r="A16024" s="199"/>
    </row>
    <row r="16025" spans="1:1" s="200" customFormat="1" ht="12" hidden="1" customHeight="1">
      <c r="A16025" s="199"/>
    </row>
    <row r="16026" spans="1:1" s="200" customFormat="1" ht="12" hidden="1" customHeight="1">
      <c r="A16026" s="199"/>
    </row>
    <row r="16027" spans="1:1" s="200" customFormat="1" ht="12" hidden="1" customHeight="1">
      <c r="A16027" s="199"/>
    </row>
    <row r="16028" spans="1:1" s="200" customFormat="1" ht="12" hidden="1" customHeight="1">
      <c r="A16028" s="199"/>
    </row>
    <row r="16029" spans="1:1" s="200" customFormat="1" ht="12" hidden="1" customHeight="1">
      <c r="A16029" s="199"/>
    </row>
    <row r="16030" spans="1:1" s="200" customFormat="1" ht="12" hidden="1" customHeight="1">
      <c r="A16030" s="199"/>
    </row>
    <row r="16031" spans="1:1" s="200" customFormat="1" ht="12" hidden="1" customHeight="1">
      <c r="A16031" s="199"/>
    </row>
    <row r="16032" spans="1:1" s="200" customFormat="1" ht="12" hidden="1" customHeight="1">
      <c r="A16032" s="199"/>
    </row>
    <row r="16033" spans="1:1" s="200" customFormat="1" ht="12" hidden="1" customHeight="1">
      <c r="A16033" s="199"/>
    </row>
    <row r="16034" spans="1:1" s="200" customFormat="1" ht="12" hidden="1" customHeight="1">
      <c r="A16034" s="199"/>
    </row>
    <row r="16035" spans="1:1" s="200" customFormat="1" ht="12" hidden="1" customHeight="1">
      <c r="A16035" s="199"/>
    </row>
    <row r="16036" spans="1:1" s="200" customFormat="1" ht="12" hidden="1" customHeight="1">
      <c r="A16036" s="199"/>
    </row>
    <row r="16037" spans="1:1" s="200" customFormat="1" ht="12" hidden="1" customHeight="1">
      <c r="A16037" s="199"/>
    </row>
    <row r="16038" spans="1:1" s="200" customFormat="1" ht="12" hidden="1" customHeight="1">
      <c r="A16038" s="199"/>
    </row>
    <row r="16039" spans="1:1" s="200" customFormat="1" ht="12" hidden="1" customHeight="1">
      <c r="A16039" s="199"/>
    </row>
    <row r="16040" spans="1:1" s="200" customFormat="1" ht="12" hidden="1" customHeight="1">
      <c r="A16040" s="199"/>
    </row>
    <row r="16041" spans="1:1" s="200" customFormat="1" ht="12" hidden="1" customHeight="1">
      <c r="A16041" s="199"/>
    </row>
    <row r="16042" spans="1:1" s="200" customFormat="1" ht="12" hidden="1" customHeight="1">
      <c r="A16042" s="199"/>
    </row>
    <row r="16043" spans="1:1" s="200" customFormat="1" ht="12" hidden="1" customHeight="1">
      <c r="A16043" s="199"/>
    </row>
    <row r="16044" spans="1:1" s="200" customFormat="1" ht="12" hidden="1" customHeight="1">
      <c r="A16044" s="199"/>
    </row>
    <row r="16045" spans="1:1" s="200" customFormat="1" ht="12" hidden="1" customHeight="1">
      <c r="A16045" s="199"/>
    </row>
    <row r="16046" spans="1:1" s="200" customFormat="1" ht="12" hidden="1" customHeight="1">
      <c r="A16046" s="199"/>
    </row>
    <row r="16047" spans="1:1" s="200" customFormat="1" ht="12" hidden="1" customHeight="1">
      <c r="A16047" s="199"/>
    </row>
    <row r="16048" spans="1:1" s="200" customFormat="1" ht="12" hidden="1" customHeight="1">
      <c r="A16048" s="199"/>
    </row>
    <row r="16049" spans="1:1" s="200" customFormat="1" ht="12" hidden="1" customHeight="1">
      <c r="A16049" s="199"/>
    </row>
    <row r="16050" spans="1:1" s="200" customFormat="1" ht="12" hidden="1" customHeight="1">
      <c r="A16050" s="199"/>
    </row>
    <row r="16051" spans="1:1" s="200" customFormat="1" ht="12" hidden="1" customHeight="1">
      <c r="A16051" s="199"/>
    </row>
    <row r="16052" spans="1:1" s="200" customFormat="1" ht="12" hidden="1" customHeight="1">
      <c r="A16052" s="199"/>
    </row>
    <row r="16053" spans="1:1" s="200" customFormat="1" ht="12" hidden="1" customHeight="1">
      <c r="A16053" s="199"/>
    </row>
    <row r="16054" spans="1:1" s="200" customFormat="1" ht="12" hidden="1" customHeight="1">
      <c r="A16054" s="199"/>
    </row>
    <row r="16055" spans="1:1" s="200" customFormat="1" ht="12" hidden="1" customHeight="1">
      <c r="A16055" s="199"/>
    </row>
    <row r="16056" spans="1:1" s="200" customFormat="1" ht="12" hidden="1" customHeight="1">
      <c r="A16056" s="199"/>
    </row>
    <row r="16057" spans="1:1" s="200" customFormat="1" ht="12" hidden="1" customHeight="1">
      <c r="A16057" s="199"/>
    </row>
    <row r="16058" spans="1:1" s="200" customFormat="1" ht="12" hidden="1" customHeight="1">
      <c r="A16058" s="199"/>
    </row>
    <row r="16059" spans="1:1" s="200" customFormat="1" ht="12" hidden="1" customHeight="1">
      <c r="A16059" s="199"/>
    </row>
    <row r="16060" spans="1:1" s="200" customFormat="1" ht="12" hidden="1" customHeight="1">
      <c r="A16060" s="199"/>
    </row>
    <row r="16061" spans="1:1" s="200" customFormat="1" ht="12" hidden="1" customHeight="1">
      <c r="A16061" s="199"/>
    </row>
    <row r="16062" spans="1:1" s="200" customFormat="1" ht="12" hidden="1" customHeight="1">
      <c r="A16062" s="199"/>
    </row>
    <row r="16063" spans="1:1" s="200" customFormat="1" ht="12" hidden="1" customHeight="1">
      <c r="A16063" s="199"/>
    </row>
    <row r="16064" spans="1:1" s="200" customFormat="1" ht="12" hidden="1" customHeight="1">
      <c r="A16064" s="199"/>
    </row>
    <row r="16065" spans="1:1" s="200" customFormat="1" ht="12" hidden="1" customHeight="1">
      <c r="A16065" s="199"/>
    </row>
    <row r="16066" spans="1:1" s="200" customFormat="1" ht="12" hidden="1" customHeight="1">
      <c r="A16066" s="199"/>
    </row>
    <row r="16067" spans="1:1" s="200" customFormat="1" ht="12" hidden="1" customHeight="1">
      <c r="A16067" s="199"/>
    </row>
    <row r="16068" spans="1:1" s="200" customFormat="1" ht="12" hidden="1" customHeight="1">
      <c r="A16068" s="199"/>
    </row>
    <row r="16069" spans="1:1" s="200" customFormat="1" ht="12" hidden="1" customHeight="1">
      <c r="A16069" s="199"/>
    </row>
    <row r="16070" spans="1:1" s="200" customFormat="1" ht="12" hidden="1" customHeight="1">
      <c r="A16070" s="199"/>
    </row>
    <row r="16071" spans="1:1" s="200" customFormat="1" ht="12" hidden="1" customHeight="1">
      <c r="A16071" s="199"/>
    </row>
    <row r="16072" spans="1:1" s="200" customFormat="1" ht="12" hidden="1" customHeight="1">
      <c r="A16072" s="199"/>
    </row>
    <row r="16073" spans="1:1" s="200" customFormat="1" ht="12" hidden="1" customHeight="1">
      <c r="A16073" s="199"/>
    </row>
    <row r="16074" spans="1:1" s="200" customFormat="1" ht="12" hidden="1" customHeight="1">
      <c r="A16074" s="199"/>
    </row>
    <row r="16075" spans="1:1" s="200" customFormat="1" ht="12" hidden="1" customHeight="1">
      <c r="A16075" s="199"/>
    </row>
    <row r="16076" spans="1:1" s="200" customFormat="1" ht="12" hidden="1" customHeight="1">
      <c r="A16076" s="199"/>
    </row>
    <row r="16077" spans="1:1" s="200" customFormat="1" ht="12" hidden="1" customHeight="1">
      <c r="A16077" s="199"/>
    </row>
    <row r="16078" spans="1:1" s="200" customFormat="1" ht="12" hidden="1" customHeight="1">
      <c r="A16078" s="199"/>
    </row>
    <row r="16079" spans="1:1" s="200" customFormat="1" ht="12" hidden="1" customHeight="1">
      <c r="A16079" s="199"/>
    </row>
    <row r="16080" spans="1:1" s="200" customFormat="1" ht="12" hidden="1" customHeight="1">
      <c r="A16080" s="199"/>
    </row>
    <row r="16081" spans="1:1" s="200" customFormat="1" ht="12" hidden="1" customHeight="1">
      <c r="A16081" s="199"/>
    </row>
    <row r="16082" spans="1:1" s="200" customFormat="1" ht="12" hidden="1" customHeight="1">
      <c r="A16082" s="199"/>
    </row>
    <row r="16083" spans="1:1" s="200" customFormat="1" ht="12" hidden="1" customHeight="1">
      <c r="A16083" s="199"/>
    </row>
    <row r="16084" spans="1:1" s="200" customFormat="1" ht="12" hidden="1" customHeight="1">
      <c r="A16084" s="199"/>
    </row>
    <row r="16085" spans="1:1" s="200" customFormat="1" ht="12" hidden="1" customHeight="1">
      <c r="A16085" s="199"/>
    </row>
    <row r="16086" spans="1:1" s="200" customFormat="1" ht="12" hidden="1" customHeight="1">
      <c r="A16086" s="199"/>
    </row>
    <row r="16087" spans="1:1" s="200" customFormat="1" ht="12" hidden="1" customHeight="1">
      <c r="A16087" s="199"/>
    </row>
    <row r="16088" spans="1:1" s="200" customFormat="1" ht="12" hidden="1" customHeight="1">
      <c r="A16088" s="199"/>
    </row>
    <row r="16089" spans="1:1" s="200" customFormat="1" ht="12" hidden="1" customHeight="1">
      <c r="A16089" s="199"/>
    </row>
    <row r="16090" spans="1:1" s="200" customFormat="1" ht="12" hidden="1" customHeight="1">
      <c r="A16090" s="199"/>
    </row>
    <row r="16091" spans="1:1" s="200" customFormat="1" ht="12" hidden="1" customHeight="1">
      <c r="A16091" s="199"/>
    </row>
    <row r="16092" spans="1:1" s="200" customFormat="1" ht="12" hidden="1" customHeight="1">
      <c r="A16092" s="199"/>
    </row>
    <row r="16093" spans="1:1" s="200" customFormat="1" ht="12" hidden="1" customHeight="1">
      <c r="A16093" s="199"/>
    </row>
    <row r="16094" spans="1:1" s="200" customFormat="1" ht="12" hidden="1" customHeight="1">
      <c r="A16094" s="199"/>
    </row>
    <row r="16095" spans="1:1" s="200" customFormat="1" ht="12" hidden="1" customHeight="1">
      <c r="A16095" s="199"/>
    </row>
    <row r="16096" spans="1:1" s="200" customFormat="1" ht="12" hidden="1" customHeight="1">
      <c r="A16096" s="199"/>
    </row>
    <row r="16097" spans="1:1" s="200" customFormat="1" ht="12" hidden="1" customHeight="1">
      <c r="A16097" s="199"/>
    </row>
    <row r="16098" spans="1:1" s="200" customFormat="1" ht="12" hidden="1" customHeight="1">
      <c r="A16098" s="199"/>
    </row>
    <row r="16099" spans="1:1" s="200" customFormat="1" ht="12" hidden="1" customHeight="1">
      <c r="A16099" s="199"/>
    </row>
    <row r="16100" spans="1:1" s="200" customFormat="1" ht="12" hidden="1" customHeight="1">
      <c r="A16100" s="199"/>
    </row>
    <row r="16101" spans="1:1" s="200" customFormat="1" ht="12" hidden="1" customHeight="1">
      <c r="A16101" s="199"/>
    </row>
    <row r="16102" spans="1:1" s="200" customFormat="1" ht="12" hidden="1" customHeight="1">
      <c r="A16102" s="199"/>
    </row>
    <row r="16103" spans="1:1" s="200" customFormat="1" ht="12" hidden="1" customHeight="1">
      <c r="A16103" s="199"/>
    </row>
    <row r="16104" spans="1:1" s="200" customFormat="1" ht="12" hidden="1" customHeight="1">
      <c r="A16104" s="199"/>
    </row>
    <row r="16105" spans="1:1" s="200" customFormat="1" ht="12" hidden="1" customHeight="1">
      <c r="A16105" s="199"/>
    </row>
    <row r="16106" spans="1:1" s="200" customFormat="1" ht="12" hidden="1" customHeight="1">
      <c r="A16106" s="199"/>
    </row>
    <row r="16107" spans="1:1" s="200" customFormat="1" ht="12" hidden="1" customHeight="1">
      <c r="A16107" s="199"/>
    </row>
    <row r="16108" spans="1:1" s="200" customFormat="1" ht="12" hidden="1" customHeight="1">
      <c r="A16108" s="199"/>
    </row>
    <row r="16109" spans="1:1" s="200" customFormat="1" ht="12" hidden="1" customHeight="1">
      <c r="A16109" s="199"/>
    </row>
    <row r="16110" spans="1:1" s="200" customFormat="1" ht="12" hidden="1" customHeight="1">
      <c r="A16110" s="199"/>
    </row>
    <row r="16111" spans="1:1" s="200" customFormat="1" ht="12" hidden="1" customHeight="1">
      <c r="A16111" s="199"/>
    </row>
    <row r="16112" spans="1:1" s="200" customFormat="1" ht="12" hidden="1" customHeight="1">
      <c r="A16112" s="199"/>
    </row>
    <row r="16113" spans="1:1" s="200" customFormat="1" ht="12" hidden="1" customHeight="1">
      <c r="A16113" s="199"/>
    </row>
    <row r="16114" spans="1:1" s="200" customFormat="1" ht="12" hidden="1" customHeight="1">
      <c r="A16114" s="199"/>
    </row>
    <row r="16115" spans="1:1" s="200" customFormat="1" ht="12" hidden="1" customHeight="1">
      <c r="A16115" s="199"/>
    </row>
    <row r="16116" spans="1:1" s="200" customFormat="1" ht="12" hidden="1" customHeight="1">
      <c r="A16116" s="199"/>
    </row>
    <row r="16117" spans="1:1" s="200" customFormat="1" ht="12" hidden="1" customHeight="1">
      <c r="A16117" s="199"/>
    </row>
    <row r="16118" spans="1:1" s="200" customFormat="1" ht="12" hidden="1" customHeight="1">
      <c r="A16118" s="199"/>
    </row>
    <row r="16119" spans="1:1" s="200" customFormat="1" ht="12" hidden="1" customHeight="1">
      <c r="A16119" s="199"/>
    </row>
    <row r="16120" spans="1:1" s="200" customFormat="1" ht="12" hidden="1" customHeight="1">
      <c r="A16120" s="199"/>
    </row>
    <row r="16121" spans="1:1" s="200" customFormat="1" ht="12" hidden="1" customHeight="1">
      <c r="A16121" s="199"/>
    </row>
    <row r="16122" spans="1:1" s="200" customFormat="1" ht="12" hidden="1" customHeight="1">
      <c r="A16122" s="199"/>
    </row>
    <row r="16123" spans="1:1" s="200" customFormat="1" ht="12" hidden="1" customHeight="1">
      <c r="A16123" s="199"/>
    </row>
    <row r="16124" spans="1:1" s="200" customFormat="1" ht="12" hidden="1" customHeight="1">
      <c r="A16124" s="199"/>
    </row>
    <row r="16125" spans="1:1" s="200" customFormat="1" ht="12" hidden="1" customHeight="1">
      <c r="A16125" s="199"/>
    </row>
    <row r="16126" spans="1:1" s="200" customFormat="1" ht="12" hidden="1" customHeight="1">
      <c r="A16126" s="199"/>
    </row>
    <row r="16127" spans="1:1" s="200" customFormat="1" ht="12" hidden="1" customHeight="1">
      <c r="A16127" s="199"/>
    </row>
    <row r="16128" spans="1:1" s="200" customFormat="1" ht="12" hidden="1" customHeight="1">
      <c r="A16128" s="199"/>
    </row>
    <row r="16129" spans="1:1" s="200" customFormat="1" ht="12" hidden="1" customHeight="1">
      <c r="A16129" s="199"/>
    </row>
    <row r="16130" spans="1:1" s="200" customFormat="1" ht="12" hidden="1" customHeight="1">
      <c r="A16130" s="199"/>
    </row>
    <row r="16131" spans="1:1" s="200" customFormat="1" ht="12" hidden="1" customHeight="1">
      <c r="A16131" s="199"/>
    </row>
    <row r="16132" spans="1:1" s="200" customFormat="1" ht="12" hidden="1" customHeight="1">
      <c r="A16132" s="199"/>
    </row>
    <row r="16133" spans="1:1" s="200" customFormat="1" ht="12" hidden="1" customHeight="1">
      <c r="A16133" s="199"/>
    </row>
    <row r="16134" spans="1:1" s="200" customFormat="1" ht="12" hidden="1" customHeight="1">
      <c r="A16134" s="199"/>
    </row>
    <row r="16135" spans="1:1" s="200" customFormat="1" ht="12" hidden="1" customHeight="1">
      <c r="A16135" s="199"/>
    </row>
    <row r="16136" spans="1:1" s="200" customFormat="1" ht="12" hidden="1" customHeight="1">
      <c r="A16136" s="199"/>
    </row>
    <row r="16137" spans="1:1" s="200" customFormat="1" ht="12" hidden="1" customHeight="1">
      <c r="A16137" s="199"/>
    </row>
    <row r="16138" spans="1:1" s="200" customFormat="1" ht="12" hidden="1" customHeight="1">
      <c r="A16138" s="199"/>
    </row>
    <row r="16139" spans="1:1" s="200" customFormat="1" ht="12" hidden="1" customHeight="1">
      <c r="A16139" s="199"/>
    </row>
    <row r="16140" spans="1:1" s="200" customFormat="1" ht="12" hidden="1" customHeight="1">
      <c r="A16140" s="199"/>
    </row>
    <row r="16141" spans="1:1" s="200" customFormat="1" ht="12" hidden="1" customHeight="1">
      <c r="A16141" s="199"/>
    </row>
    <row r="16142" spans="1:1" s="200" customFormat="1" ht="12" hidden="1" customHeight="1">
      <c r="A16142" s="199"/>
    </row>
    <row r="16143" spans="1:1" s="200" customFormat="1" ht="12" hidden="1" customHeight="1">
      <c r="A16143" s="199"/>
    </row>
    <row r="16144" spans="1:1" s="200" customFormat="1" ht="12" hidden="1" customHeight="1">
      <c r="A16144" s="199"/>
    </row>
    <row r="16145" spans="1:1" s="200" customFormat="1" ht="12" hidden="1" customHeight="1">
      <c r="A16145" s="199"/>
    </row>
    <row r="16146" spans="1:1" s="200" customFormat="1" ht="12" hidden="1" customHeight="1">
      <c r="A16146" s="199"/>
    </row>
    <row r="16147" spans="1:1" s="200" customFormat="1" ht="12" hidden="1" customHeight="1">
      <c r="A16147" s="199"/>
    </row>
    <row r="16148" spans="1:1" s="200" customFormat="1" ht="12" hidden="1" customHeight="1">
      <c r="A16148" s="199"/>
    </row>
    <row r="16149" spans="1:1" s="200" customFormat="1" ht="12" hidden="1" customHeight="1">
      <c r="A16149" s="199"/>
    </row>
    <row r="16150" spans="1:1" s="200" customFormat="1" ht="12" hidden="1" customHeight="1">
      <c r="A16150" s="199"/>
    </row>
    <row r="16151" spans="1:1" s="200" customFormat="1" ht="12" hidden="1" customHeight="1">
      <c r="A16151" s="199"/>
    </row>
    <row r="16152" spans="1:1" s="200" customFormat="1" ht="12" hidden="1" customHeight="1">
      <c r="A16152" s="199"/>
    </row>
    <row r="16153" spans="1:1" s="200" customFormat="1" ht="12" hidden="1" customHeight="1">
      <c r="A16153" s="199"/>
    </row>
    <row r="16154" spans="1:1" s="200" customFormat="1" ht="12" hidden="1" customHeight="1">
      <c r="A16154" s="199"/>
    </row>
    <row r="16155" spans="1:1" s="200" customFormat="1" ht="12" hidden="1" customHeight="1">
      <c r="A16155" s="199"/>
    </row>
    <row r="16156" spans="1:1" s="200" customFormat="1" ht="12" hidden="1" customHeight="1">
      <c r="A16156" s="199"/>
    </row>
    <row r="16157" spans="1:1" s="200" customFormat="1" ht="12" hidden="1" customHeight="1">
      <c r="A16157" s="199"/>
    </row>
    <row r="16158" spans="1:1" s="200" customFormat="1" ht="12" hidden="1" customHeight="1">
      <c r="A16158" s="199"/>
    </row>
    <row r="16159" spans="1:1" s="200" customFormat="1" ht="12" hidden="1" customHeight="1">
      <c r="A16159" s="199"/>
    </row>
    <row r="16160" spans="1:1" s="200" customFormat="1" ht="12" hidden="1" customHeight="1">
      <c r="A16160" s="199"/>
    </row>
    <row r="16161" spans="1:1" s="200" customFormat="1" ht="12" hidden="1" customHeight="1">
      <c r="A16161" s="199"/>
    </row>
    <row r="16162" spans="1:1" s="200" customFormat="1" ht="12" hidden="1" customHeight="1">
      <c r="A16162" s="199"/>
    </row>
    <row r="16163" spans="1:1" s="200" customFormat="1" ht="12" hidden="1" customHeight="1">
      <c r="A16163" s="199"/>
    </row>
    <row r="16164" spans="1:1" s="200" customFormat="1" ht="12" hidden="1" customHeight="1">
      <c r="A16164" s="199"/>
    </row>
    <row r="16165" spans="1:1" s="200" customFormat="1" ht="12" hidden="1" customHeight="1">
      <c r="A16165" s="199"/>
    </row>
    <row r="16166" spans="1:1" s="200" customFormat="1" ht="12" hidden="1" customHeight="1">
      <c r="A16166" s="199"/>
    </row>
    <row r="16167" spans="1:1" s="200" customFormat="1" ht="12" hidden="1" customHeight="1">
      <c r="A16167" s="199"/>
    </row>
    <row r="16168" spans="1:1" s="200" customFormat="1" ht="12" hidden="1" customHeight="1">
      <c r="A16168" s="199"/>
    </row>
    <row r="16169" spans="1:1" s="200" customFormat="1" ht="12" hidden="1" customHeight="1">
      <c r="A16169" s="199"/>
    </row>
    <row r="16170" spans="1:1" s="200" customFormat="1" ht="12" hidden="1" customHeight="1">
      <c r="A16170" s="199"/>
    </row>
    <row r="16171" spans="1:1" s="200" customFormat="1" ht="12" hidden="1" customHeight="1">
      <c r="A16171" s="199"/>
    </row>
    <row r="16172" spans="1:1" s="200" customFormat="1" ht="12" hidden="1" customHeight="1">
      <c r="A16172" s="199"/>
    </row>
    <row r="16173" spans="1:1" s="200" customFormat="1" ht="12" hidden="1" customHeight="1">
      <c r="A16173" s="199"/>
    </row>
    <row r="16174" spans="1:1" s="200" customFormat="1" ht="12" hidden="1" customHeight="1">
      <c r="A16174" s="199"/>
    </row>
    <row r="16175" spans="1:1" s="200" customFormat="1" ht="12" hidden="1" customHeight="1">
      <c r="A16175" s="199"/>
    </row>
    <row r="16176" spans="1:1" s="200" customFormat="1" ht="12" hidden="1" customHeight="1">
      <c r="A16176" s="199"/>
    </row>
    <row r="16177" spans="1:1" s="200" customFormat="1" ht="12" hidden="1" customHeight="1">
      <c r="A16177" s="199"/>
    </row>
    <row r="16178" spans="1:1" s="200" customFormat="1" ht="12" hidden="1" customHeight="1">
      <c r="A16178" s="199"/>
    </row>
    <row r="16179" spans="1:1" s="200" customFormat="1" ht="12" hidden="1" customHeight="1">
      <c r="A16179" s="199"/>
    </row>
    <row r="16180" spans="1:1" s="200" customFormat="1" ht="12" hidden="1" customHeight="1">
      <c r="A16180" s="199"/>
    </row>
    <row r="16181" spans="1:1" s="200" customFormat="1" ht="12" hidden="1" customHeight="1">
      <c r="A16181" s="199"/>
    </row>
    <row r="16182" spans="1:1" s="200" customFormat="1" ht="12" hidden="1" customHeight="1">
      <c r="A16182" s="199"/>
    </row>
    <row r="16183" spans="1:1" s="200" customFormat="1" ht="12" hidden="1" customHeight="1">
      <c r="A16183" s="199"/>
    </row>
    <row r="16184" spans="1:1" s="200" customFormat="1" ht="12" hidden="1" customHeight="1">
      <c r="A16184" s="199"/>
    </row>
    <row r="16185" spans="1:1" s="200" customFormat="1" ht="12" hidden="1" customHeight="1">
      <c r="A16185" s="199"/>
    </row>
    <row r="16186" spans="1:1" s="200" customFormat="1" ht="12" hidden="1" customHeight="1">
      <c r="A16186" s="199"/>
    </row>
    <row r="16187" spans="1:1" s="200" customFormat="1" ht="12" hidden="1" customHeight="1">
      <c r="A16187" s="199"/>
    </row>
    <row r="16188" spans="1:1" s="200" customFormat="1" ht="12" hidden="1" customHeight="1">
      <c r="A16188" s="199"/>
    </row>
    <row r="16189" spans="1:1" s="200" customFormat="1" ht="12" hidden="1" customHeight="1">
      <c r="A16189" s="199"/>
    </row>
    <row r="16190" spans="1:1" s="200" customFormat="1" ht="12" hidden="1" customHeight="1">
      <c r="A16190" s="199"/>
    </row>
    <row r="16191" spans="1:1" s="200" customFormat="1" ht="12" hidden="1" customHeight="1">
      <c r="A16191" s="199"/>
    </row>
    <row r="16192" spans="1:1" s="200" customFormat="1" ht="12" hidden="1" customHeight="1">
      <c r="A16192" s="199"/>
    </row>
    <row r="16193" spans="1:1" s="200" customFormat="1" ht="12" hidden="1" customHeight="1">
      <c r="A16193" s="199"/>
    </row>
    <row r="16194" spans="1:1" s="200" customFormat="1" ht="12" hidden="1" customHeight="1">
      <c r="A16194" s="199"/>
    </row>
    <row r="16195" spans="1:1" s="200" customFormat="1" ht="12" hidden="1" customHeight="1">
      <c r="A16195" s="199"/>
    </row>
    <row r="16196" spans="1:1" s="200" customFormat="1" ht="12" hidden="1" customHeight="1">
      <c r="A16196" s="199"/>
    </row>
    <row r="16197" spans="1:1" s="200" customFormat="1" ht="12" hidden="1" customHeight="1">
      <c r="A16197" s="199"/>
    </row>
    <row r="16198" spans="1:1" s="200" customFormat="1" ht="12" hidden="1" customHeight="1">
      <c r="A16198" s="199"/>
    </row>
    <row r="16199" spans="1:1" s="200" customFormat="1" ht="12" hidden="1" customHeight="1">
      <c r="A16199" s="199"/>
    </row>
    <row r="16200" spans="1:1" s="200" customFormat="1" ht="12" hidden="1" customHeight="1">
      <c r="A16200" s="199"/>
    </row>
    <row r="16201" spans="1:1" s="200" customFormat="1" ht="12" hidden="1" customHeight="1">
      <c r="A16201" s="199"/>
    </row>
    <row r="16202" spans="1:1" s="200" customFormat="1" ht="12" hidden="1" customHeight="1">
      <c r="A16202" s="199"/>
    </row>
    <row r="16203" spans="1:1" s="200" customFormat="1" ht="12" hidden="1" customHeight="1">
      <c r="A16203" s="199"/>
    </row>
    <row r="16204" spans="1:1" s="200" customFormat="1" ht="12" hidden="1" customHeight="1">
      <c r="A16204" s="199"/>
    </row>
    <row r="16205" spans="1:1" s="200" customFormat="1" ht="12" hidden="1" customHeight="1">
      <c r="A16205" s="199"/>
    </row>
    <row r="16206" spans="1:1" s="200" customFormat="1" ht="12" hidden="1" customHeight="1">
      <c r="A16206" s="199"/>
    </row>
    <row r="16207" spans="1:1" s="200" customFormat="1" ht="12" hidden="1" customHeight="1">
      <c r="A16207" s="199"/>
    </row>
    <row r="16208" spans="1:1" s="200" customFormat="1" ht="12" hidden="1" customHeight="1">
      <c r="A16208" s="199"/>
    </row>
    <row r="16209" spans="1:1" s="200" customFormat="1" ht="12" hidden="1" customHeight="1">
      <c r="A16209" s="199"/>
    </row>
    <row r="16210" spans="1:1" s="200" customFormat="1" ht="12" hidden="1" customHeight="1">
      <c r="A16210" s="199"/>
    </row>
    <row r="16211" spans="1:1" s="200" customFormat="1" ht="12" hidden="1" customHeight="1">
      <c r="A16211" s="199"/>
    </row>
    <row r="16212" spans="1:1" s="200" customFormat="1" ht="12" hidden="1" customHeight="1">
      <c r="A16212" s="199"/>
    </row>
    <row r="16213" spans="1:1" s="200" customFormat="1" ht="12" hidden="1" customHeight="1">
      <c r="A16213" s="199"/>
    </row>
    <row r="16214" spans="1:1" s="200" customFormat="1" ht="12" hidden="1" customHeight="1">
      <c r="A16214" s="199"/>
    </row>
    <row r="16215" spans="1:1" s="200" customFormat="1" ht="12" hidden="1" customHeight="1">
      <c r="A16215" s="199"/>
    </row>
    <row r="16216" spans="1:1" s="200" customFormat="1" ht="12" hidden="1" customHeight="1">
      <c r="A16216" s="199"/>
    </row>
    <row r="16217" spans="1:1" s="200" customFormat="1" ht="12" hidden="1" customHeight="1">
      <c r="A16217" s="199"/>
    </row>
    <row r="16218" spans="1:1" s="200" customFormat="1" ht="12" hidden="1" customHeight="1">
      <c r="A16218" s="199"/>
    </row>
    <row r="16219" spans="1:1" s="200" customFormat="1" ht="12" hidden="1" customHeight="1">
      <c r="A16219" s="199"/>
    </row>
    <row r="16220" spans="1:1" s="200" customFormat="1" ht="12" hidden="1" customHeight="1">
      <c r="A16220" s="199"/>
    </row>
    <row r="16221" spans="1:1" s="200" customFormat="1" ht="12" hidden="1" customHeight="1">
      <c r="A16221" s="199"/>
    </row>
    <row r="16222" spans="1:1" s="200" customFormat="1" ht="12" hidden="1" customHeight="1">
      <c r="A16222" s="199"/>
    </row>
    <row r="16223" spans="1:1" s="200" customFormat="1" ht="12" hidden="1" customHeight="1">
      <c r="A16223" s="199"/>
    </row>
    <row r="16224" spans="1:1" s="200" customFormat="1" ht="12" hidden="1" customHeight="1">
      <c r="A16224" s="199"/>
    </row>
    <row r="16225" spans="1:1" s="200" customFormat="1" ht="12" hidden="1" customHeight="1">
      <c r="A16225" s="199"/>
    </row>
    <row r="16226" spans="1:1" s="200" customFormat="1" ht="12" hidden="1" customHeight="1">
      <c r="A16226" s="199"/>
    </row>
    <row r="16227" spans="1:1" s="200" customFormat="1" ht="12" hidden="1" customHeight="1">
      <c r="A16227" s="199"/>
    </row>
    <row r="16228" spans="1:1" s="200" customFormat="1" ht="12" hidden="1" customHeight="1">
      <c r="A16228" s="199"/>
    </row>
    <row r="16229" spans="1:1" s="200" customFormat="1" ht="12" hidden="1" customHeight="1">
      <c r="A16229" s="199"/>
    </row>
    <row r="16230" spans="1:1" s="200" customFormat="1" ht="12" hidden="1" customHeight="1">
      <c r="A16230" s="199"/>
    </row>
    <row r="16231" spans="1:1" s="200" customFormat="1" ht="12" hidden="1" customHeight="1">
      <c r="A16231" s="199"/>
    </row>
    <row r="16232" spans="1:1" s="200" customFormat="1" ht="12" hidden="1" customHeight="1">
      <c r="A16232" s="199"/>
    </row>
    <row r="16233" spans="1:1" s="200" customFormat="1" ht="12" hidden="1" customHeight="1">
      <c r="A16233" s="199"/>
    </row>
    <row r="16234" spans="1:1" s="200" customFormat="1" ht="12" hidden="1" customHeight="1">
      <c r="A16234" s="199"/>
    </row>
    <row r="16235" spans="1:1" s="200" customFormat="1" ht="12" hidden="1" customHeight="1">
      <c r="A16235" s="199"/>
    </row>
    <row r="16236" spans="1:1" s="200" customFormat="1" ht="12" hidden="1" customHeight="1">
      <c r="A16236" s="199"/>
    </row>
    <row r="16237" spans="1:1" s="200" customFormat="1" ht="12" hidden="1" customHeight="1">
      <c r="A16237" s="199"/>
    </row>
    <row r="16238" spans="1:1" s="200" customFormat="1" ht="12" hidden="1" customHeight="1">
      <c r="A16238" s="199"/>
    </row>
    <row r="16239" spans="1:1" s="200" customFormat="1" ht="12" hidden="1" customHeight="1">
      <c r="A16239" s="199"/>
    </row>
    <row r="16240" spans="1:1" s="200" customFormat="1" ht="12" hidden="1" customHeight="1">
      <c r="A16240" s="199"/>
    </row>
    <row r="16241" spans="1:1" s="200" customFormat="1" ht="12" hidden="1" customHeight="1">
      <c r="A16241" s="199"/>
    </row>
    <row r="16242" spans="1:1" s="200" customFormat="1" ht="12" hidden="1" customHeight="1">
      <c r="A16242" s="199"/>
    </row>
    <row r="16243" spans="1:1" s="200" customFormat="1" ht="12" hidden="1" customHeight="1">
      <c r="A16243" s="199"/>
    </row>
    <row r="16244" spans="1:1" s="200" customFormat="1" ht="12" hidden="1" customHeight="1">
      <c r="A16244" s="199"/>
    </row>
    <row r="16245" spans="1:1" s="200" customFormat="1" ht="12" hidden="1" customHeight="1">
      <c r="A16245" s="199"/>
    </row>
    <row r="16246" spans="1:1" s="200" customFormat="1" ht="12" hidden="1" customHeight="1">
      <c r="A16246" s="199"/>
    </row>
    <row r="16247" spans="1:1" s="200" customFormat="1" ht="12" hidden="1" customHeight="1">
      <c r="A16247" s="199"/>
    </row>
    <row r="16248" spans="1:1" s="200" customFormat="1" ht="12" hidden="1" customHeight="1">
      <c r="A16248" s="199"/>
    </row>
    <row r="16249" spans="1:1" s="200" customFormat="1" ht="12" hidden="1" customHeight="1">
      <c r="A16249" s="199"/>
    </row>
    <row r="16250" spans="1:1" s="200" customFormat="1" ht="12" hidden="1" customHeight="1">
      <c r="A16250" s="199"/>
    </row>
    <row r="16251" spans="1:1" s="200" customFormat="1" ht="12" hidden="1" customHeight="1">
      <c r="A16251" s="199"/>
    </row>
    <row r="16252" spans="1:1" s="200" customFormat="1" ht="12" hidden="1" customHeight="1">
      <c r="A16252" s="199"/>
    </row>
    <row r="16253" spans="1:1" s="200" customFormat="1" ht="12" hidden="1" customHeight="1">
      <c r="A16253" s="199"/>
    </row>
    <row r="16254" spans="1:1" s="200" customFormat="1" ht="12" hidden="1" customHeight="1">
      <c r="A16254" s="199"/>
    </row>
    <row r="16255" spans="1:1" s="200" customFormat="1" ht="12" hidden="1" customHeight="1">
      <c r="A16255" s="199"/>
    </row>
    <row r="16256" spans="1:1" s="200" customFormat="1" ht="12" hidden="1" customHeight="1">
      <c r="A16256" s="199"/>
    </row>
    <row r="16257" spans="1:1" s="200" customFormat="1" ht="12" hidden="1" customHeight="1">
      <c r="A16257" s="199"/>
    </row>
    <row r="16258" spans="1:1" s="200" customFormat="1" ht="12" hidden="1" customHeight="1">
      <c r="A16258" s="199"/>
    </row>
    <row r="16259" spans="1:1" s="200" customFormat="1" ht="12" hidden="1" customHeight="1">
      <c r="A16259" s="199"/>
    </row>
    <row r="16260" spans="1:1" s="200" customFormat="1" ht="12" hidden="1" customHeight="1">
      <c r="A16260" s="199"/>
    </row>
    <row r="16261" spans="1:1" s="200" customFormat="1" ht="12" hidden="1" customHeight="1">
      <c r="A16261" s="199"/>
    </row>
    <row r="16262" spans="1:1" s="200" customFormat="1" ht="12" hidden="1" customHeight="1">
      <c r="A16262" s="199"/>
    </row>
    <row r="16263" spans="1:1" s="200" customFormat="1" ht="12" hidden="1" customHeight="1">
      <c r="A16263" s="199"/>
    </row>
    <row r="16264" spans="1:1" s="200" customFormat="1" ht="12" hidden="1" customHeight="1">
      <c r="A16264" s="199"/>
    </row>
    <row r="16265" spans="1:1" s="200" customFormat="1" ht="12" hidden="1" customHeight="1">
      <c r="A16265" s="199"/>
    </row>
    <row r="16266" spans="1:1" s="200" customFormat="1" ht="12" hidden="1" customHeight="1">
      <c r="A16266" s="199"/>
    </row>
    <row r="16267" spans="1:1" s="200" customFormat="1" ht="12" hidden="1" customHeight="1">
      <c r="A16267" s="199"/>
    </row>
    <row r="16268" spans="1:1" s="200" customFormat="1" ht="12" hidden="1" customHeight="1">
      <c r="A16268" s="199"/>
    </row>
    <row r="16269" spans="1:1" s="200" customFormat="1" ht="12" hidden="1" customHeight="1">
      <c r="A16269" s="199"/>
    </row>
    <row r="16270" spans="1:1" s="200" customFormat="1" ht="12" hidden="1" customHeight="1">
      <c r="A16270" s="199"/>
    </row>
    <row r="16271" spans="1:1" s="200" customFormat="1" ht="12" hidden="1" customHeight="1">
      <c r="A16271" s="199"/>
    </row>
    <row r="16272" spans="1:1" s="200" customFormat="1" ht="12" hidden="1" customHeight="1">
      <c r="A16272" s="199"/>
    </row>
    <row r="16273" spans="1:1" s="200" customFormat="1" ht="12" hidden="1" customHeight="1">
      <c r="A16273" s="199"/>
    </row>
    <row r="16274" spans="1:1" s="200" customFormat="1" ht="12" hidden="1" customHeight="1">
      <c r="A16274" s="199"/>
    </row>
    <row r="16275" spans="1:1" s="200" customFormat="1" ht="12" hidden="1" customHeight="1">
      <c r="A16275" s="199"/>
    </row>
    <row r="16276" spans="1:1" s="200" customFormat="1" ht="12" hidden="1" customHeight="1">
      <c r="A16276" s="199"/>
    </row>
    <row r="16277" spans="1:1" s="200" customFormat="1" ht="12" hidden="1" customHeight="1">
      <c r="A16277" s="199"/>
    </row>
    <row r="16278" spans="1:1" s="200" customFormat="1" ht="12" hidden="1" customHeight="1">
      <c r="A16278" s="199"/>
    </row>
    <row r="16279" spans="1:1" s="200" customFormat="1" ht="12" hidden="1" customHeight="1">
      <c r="A16279" s="199"/>
    </row>
    <row r="16280" spans="1:1" s="200" customFormat="1" ht="12" hidden="1" customHeight="1">
      <c r="A16280" s="199"/>
    </row>
    <row r="16281" spans="1:1" s="200" customFormat="1" ht="12" hidden="1" customHeight="1">
      <c r="A16281" s="199"/>
    </row>
    <row r="16282" spans="1:1" s="200" customFormat="1" ht="12" hidden="1" customHeight="1">
      <c r="A16282" s="199"/>
    </row>
    <row r="16283" spans="1:1" s="200" customFormat="1" ht="12" hidden="1" customHeight="1">
      <c r="A16283" s="199"/>
    </row>
    <row r="16284" spans="1:1" s="200" customFormat="1" ht="12" hidden="1" customHeight="1">
      <c r="A16284" s="199"/>
    </row>
    <row r="16285" spans="1:1" s="200" customFormat="1" ht="12" hidden="1" customHeight="1">
      <c r="A16285" s="199"/>
    </row>
    <row r="16286" spans="1:1" s="200" customFormat="1" ht="12" hidden="1" customHeight="1">
      <c r="A16286" s="199"/>
    </row>
    <row r="16287" spans="1:1" s="200" customFormat="1" ht="12" hidden="1" customHeight="1">
      <c r="A16287" s="199"/>
    </row>
    <row r="16288" spans="1:1" s="200" customFormat="1" ht="12" hidden="1" customHeight="1">
      <c r="A16288" s="199"/>
    </row>
    <row r="16289" spans="1:1" s="200" customFormat="1" ht="12" hidden="1" customHeight="1">
      <c r="A16289" s="199"/>
    </row>
    <row r="16290" spans="1:1" s="200" customFormat="1" ht="12" hidden="1" customHeight="1">
      <c r="A16290" s="199"/>
    </row>
    <row r="16291" spans="1:1" s="200" customFormat="1" ht="12" hidden="1" customHeight="1">
      <c r="A16291" s="199"/>
    </row>
    <row r="16292" spans="1:1" s="200" customFormat="1" ht="12" hidden="1" customHeight="1">
      <c r="A16292" s="199"/>
    </row>
    <row r="16293" spans="1:1" s="200" customFormat="1" ht="12" hidden="1" customHeight="1">
      <c r="A16293" s="199"/>
    </row>
    <row r="16294" spans="1:1" s="200" customFormat="1" ht="12" hidden="1" customHeight="1">
      <c r="A16294" s="199"/>
    </row>
    <row r="16295" spans="1:1" s="200" customFormat="1" ht="12" hidden="1" customHeight="1">
      <c r="A16295" s="199"/>
    </row>
    <row r="16296" spans="1:1" s="200" customFormat="1" ht="12" hidden="1" customHeight="1">
      <c r="A16296" s="199"/>
    </row>
    <row r="16297" spans="1:1" s="200" customFormat="1" ht="12" hidden="1" customHeight="1">
      <c r="A16297" s="199"/>
    </row>
    <row r="16298" spans="1:1" s="200" customFormat="1" ht="12" hidden="1" customHeight="1">
      <c r="A16298" s="199"/>
    </row>
    <row r="16299" spans="1:1" s="200" customFormat="1" ht="12" hidden="1" customHeight="1">
      <c r="A16299" s="199"/>
    </row>
    <row r="16300" spans="1:1" s="200" customFormat="1" ht="12" hidden="1" customHeight="1">
      <c r="A16300" s="199"/>
    </row>
    <row r="16301" spans="1:1" s="200" customFormat="1" ht="12" hidden="1" customHeight="1">
      <c r="A16301" s="199"/>
    </row>
    <row r="16302" spans="1:1" s="200" customFormat="1" ht="12" hidden="1" customHeight="1">
      <c r="A16302" s="199"/>
    </row>
    <row r="16303" spans="1:1" s="200" customFormat="1" ht="12" hidden="1" customHeight="1">
      <c r="A16303" s="199"/>
    </row>
    <row r="16304" spans="1:1" s="200" customFormat="1" ht="12" hidden="1" customHeight="1">
      <c r="A16304" s="199"/>
    </row>
    <row r="16305" spans="1:1" s="200" customFormat="1" ht="12" hidden="1" customHeight="1">
      <c r="A16305" s="199"/>
    </row>
    <row r="16306" spans="1:1" s="200" customFormat="1" ht="12" hidden="1" customHeight="1">
      <c r="A16306" s="199"/>
    </row>
    <row r="16307" spans="1:1" s="200" customFormat="1" ht="12" hidden="1" customHeight="1">
      <c r="A16307" s="199"/>
    </row>
    <row r="16308" spans="1:1" s="200" customFormat="1" ht="12" hidden="1" customHeight="1">
      <c r="A16308" s="199"/>
    </row>
    <row r="16309" spans="1:1" s="200" customFormat="1" ht="12" hidden="1" customHeight="1">
      <c r="A16309" s="199"/>
    </row>
    <row r="16310" spans="1:1" s="200" customFormat="1" ht="12" hidden="1" customHeight="1">
      <c r="A16310" s="199"/>
    </row>
    <row r="16311" spans="1:1" s="200" customFormat="1" ht="12" hidden="1" customHeight="1">
      <c r="A16311" s="199"/>
    </row>
    <row r="16312" spans="1:1" s="200" customFormat="1" ht="12" hidden="1" customHeight="1">
      <c r="A16312" s="199"/>
    </row>
    <row r="16313" spans="1:1" s="200" customFormat="1" ht="12" hidden="1" customHeight="1">
      <c r="A16313" s="199"/>
    </row>
    <row r="16314" spans="1:1" s="200" customFormat="1" ht="12" hidden="1" customHeight="1">
      <c r="A16314" s="199"/>
    </row>
    <row r="16315" spans="1:1" s="200" customFormat="1" ht="12" hidden="1" customHeight="1">
      <c r="A16315" s="199"/>
    </row>
    <row r="16316" spans="1:1" s="200" customFormat="1" ht="12" hidden="1" customHeight="1">
      <c r="A16316" s="199"/>
    </row>
    <row r="16317" spans="1:1" s="200" customFormat="1" ht="12" hidden="1" customHeight="1">
      <c r="A16317" s="199"/>
    </row>
    <row r="16318" spans="1:1" s="200" customFormat="1" ht="12" hidden="1" customHeight="1">
      <c r="A16318" s="199"/>
    </row>
    <row r="16319" spans="1:1" s="200" customFormat="1" ht="12" hidden="1" customHeight="1">
      <c r="A16319" s="199"/>
    </row>
    <row r="16320" spans="1:1" s="200" customFormat="1" ht="12" hidden="1" customHeight="1">
      <c r="A16320" s="199"/>
    </row>
    <row r="16321" spans="1:1" s="200" customFormat="1" ht="12" hidden="1" customHeight="1">
      <c r="A16321" s="199"/>
    </row>
    <row r="16322" spans="1:1" s="200" customFormat="1" ht="12" hidden="1" customHeight="1">
      <c r="A16322" s="199"/>
    </row>
    <row r="16323" spans="1:1" s="200" customFormat="1" ht="12" hidden="1" customHeight="1">
      <c r="A16323" s="199"/>
    </row>
    <row r="16324" spans="1:1" s="200" customFormat="1" ht="12" hidden="1" customHeight="1">
      <c r="A16324" s="199"/>
    </row>
    <row r="16325" spans="1:1" s="200" customFormat="1" ht="12" hidden="1" customHeight="1">
      <c r="A16325" s="199"/>
    </row>
    <row r="16326" spans="1:1" s="200" customFormat="1" ht="12" hidden="1" customHeight="1">
      <c r="A16326" s="199"/>
    </row>
    <row r="16327" spans="1:1" s="200" customFormat="1" ht="12" hidden="1" customHeight="1">
      <c r="A16327" s="199"/>
    </row>
    <row r="16328" spans="1:1" s="200" customFormat="1" ht="12" hidden="1" customHeight="1">
      <c r="A16328" s="199"/>
    </row>
    <row r="16329" spans="1:1" s="200" customFormat="1" ht="12" hidden="1" customHeight="1">
      <c r="A16329" s="199"/>
    </row>
    <row r="16330" spans="1:1" s="200" customFormat="1" ht="12" hidden="1" customHeight="1">
      <c r="A16330" s="199"/>
    </row>
    <row r="16331" spans="1:1" s="200" customFormat="1" ht="12" hidden="1" customHeight="1">
      <c r="A16331" s="199"/>
    </row>
    <row r="16332" spans="1:1" s="200" customFormat="1" ht="12" hidden="1" customHeight="1">
      <c r="A16332" s="199"/>
    </row>
    <row r="16333" spans="1:1" s="200" customFormat="1" ht="12" hidden="1" customHeight="1">
      <c r="A16333" s="199"/>
    </row>
    <row r="16334" spans="1:1" s="200" customFormat="1" ht="12" hidden="1" customHeight="1">
      <c r="A16334" s="199"/>
    </row>
    <row r="16335" spans="1:1" s="200" customFormat="1" ht="12" hidden="1" customHeight="1">
      <c r="A16335" s="199"/>
    </row>
    <row r="16336" spans="1:1" s="200" customFormat="1" ht="12" hidden="1" customHeight="1">
      <c r="A16336" s="199"/>
    </row>
    <row r="16337" spans="1:1" s="200" customFormat="1" ht="12" hidden="1" customHeight="1">
      <c r="A16337" s="199"/>
    </row>
    <row r="16338" spans="1:1" s="200" customFormat="1" ht="12" hidden="1" customHeight="1">
      <c r="A16338" s="199"/>
    </row>
    <row r="16339" spans="1:1" s="200" customFormat="1" ht="12" hidden="1" customHeight="1">
      <c r="A16339" s="199"/>
    </row>
    <row r="16340" spans="1:1" s="200" customFormat="1" ht="12" hidden="1" customHeight="1">
      <c r="A16340" s="199"/>
    </row>
    <row r="16341" spans="1:1" s="200" customFormat="1" ht="12" hidden="1" customHeight="1">
      <c r="A16341" s="199"/>
    </row>
    <row r="16342" spans="1:1" s="200" customFormat="1" ht="12" hidden="1" customHeight="1">
      <c r="A16342" s="199"/>
    </row>
    <row r="16343" spans="1:1" s="200" customFormat="1" ht="12" hidden="1" customHeight="1">
      <c r="A16343" s="199"/>
    </row>
    <row r="16344" spans="1:1" s="200" customFormat="1" ht="12" hidden="1" customHeight="1">
      <c r="A16344" s="199"/>
    </row>
    <row r="16345" spans="1:1" s="200" customFormat="1" ht="12" hidden="1" customHeight="1">
      <c r="A16345" s="199"/>
    </row>
    <row r="16346" spans="1:1" s="200" customFormat="1" ht="12" hidden="1" customHeight="1">
      <c r="A16346" s="199"/>
    </row>
    <row r="16347" spans="1:1" s="200" customFormat="1" ht="12" hidden="1" customHeight="1">
      <c r="A16347" s="199"/>
    </row>
    <row r="16348" spans="1:1" s="200" customFormat="1" ht="12" hidden="1" customHeight="1">
      <c r="A16348" s="199"/>
    </row>
    <row r="16349" spans="1:1" s="200" customFormat="1" ht="12" hidden="1" customHeight="1">
      <c r="A16349" s="199"/>
    </row>
    <row r="16350" spans="1:1" s="200" customFormat="1" ht="12" hidden="1" customHeight="1">
      <c r="A16350" s="199"/>
    </row>
    <row r="16351" spans="1:1" s="200" customFormat="1" ht="12" hidden="1" customHeight="1">
      <c r="A16351" s="199"/>
    </row>
    <row r="16352" spans="1:1" s="200" customFormat="1" ht="12" hidden="1" customHeight="1">
      <c r="A16352" s="199"/>
    </row>
    <row r="16353" spans="1:1" s="200" customFormat="1" ht="12" hidden="1" customHeight="1">
      <c r="A16353" s="199"/>
    </row>
    <row r="16354" spans="1:1" s="200" customFormat="1" ht="12" hidden="1" customHeight="1">
      <c r="A16354" s="199"/>
    </row>
    <row r="16355" spans="1:1" s="200" customFormat="1" ht="12" hidden="1" customHeight="1">
      <c r="A16355" s="199"/>
    </row>
    <row r="16356" spans="1:1" s="200" customFormat="1" ht="12" hidden="1" customHeight="1">
      <c r="A16356" s="199"/>
    </row>
    <row r="16357" spans="1:1" s="200" customFormat="1" ht="12" hidden="1" customHeight="1">
      <c r="A16357" s="199"/>
    </row>
    <row r="16358" spans="1:1" s="200" customFormat="1" ht="12" hidden="1" customHeight="1">
      <c r="A16358" s="199"/>
    </row>
    <row r="16359" spans="1:1" s="200" customFormat="1" ht="12" hidden="1" customHeight="1">
      <c r="A16359" s="199"/>
    </row>
    <row r="16360" spans="1:1" s="200" customFormat="1" ht="12" hidden="1" customHeight="1">
      <c r="A16360" s="199"/>
    </row>
    <row r="16361" spans="1:1" s="200" customFormat="1" ht="12" hidden="1" customHeight="1">
      <c r="A16361" s="199"/>
    </row>
    <row r="16362" spans="1:1" s="200" customFormat="1" ht="12" hidden="1" customHeight="1">
      <c r="A16362" s="199"/>
    </row>
    <row r="16363" spans="1:1" s="200" customFormat="1" ht="12" hidden="1" customHeight="1">
      <c r="A16363" s="199"/>
    </row>
    <row r="16364" spans="1:1" s="200" customFormat="1" ht="12" hidden="1" customHeight="1">
      <c r="A16364" s="199"/>
    </row>
    <row r="16365" spans="1:1" s="200" customFormat="1" ht="12" hidden="1" customHeight="1">
      <c r="A16365" s="199"/>
    </row>
    <row r="16366" spans="1:1" s="200" customFormat="1" ht="12" hidden="1" customHeight="1">
      <c r="A16366" s="199"/>
    </row>
    <row r="16367" spans="1:1" s="200" customFormat="1" ht="12" hidden="1" customHeight="1">
      <c r="A16367" s="199"/>
    </row>
    <row r="16368" spans="1:1" s="200" customFormat="1" ht="12" hidden="1" customHeight="1">
      <c r="A16368" s="199"/>
    </row>
    <row r="16369" spans="1:1" s="200" customFormat="1" ht="12" hidden="1" customHeight="1">
      <c r="A16369" s="199"/>
    </row>
    <row r="16370" spans="1:1" s="200" customFormat="1" ht="12" hidden="1" customHeight="1">
      <c r="A16370" s="199"/>
    </row>
    <row r="16371" spans="1:1" s="200" customFormat="1" ht="12" hidden="1" customHeight="1">
      <c r="A16371" s="199"/>
    </row>
    <row r="16372" spans="1:1" s="200" customFormat="1" ht="12" hidden="1" customHeight="1">
      <c r="A16372" s="199"/>
    </row>
    <row r="16373" spans="1:1" s="200" customFormat="1" ht="12" hidden="1" customHeight="1">
      <c r="A16373" s="199"/>
    </row>
    <row r="16374" spans="1:1" s="200" customFormat="1" ht="12" hidden="1" customHeight="1">
      <c r="A16374" s="199"/>
    </row>
    <row r="16375" spans="1:1" s="200" customFormat="1" ht="12" hidden="1" customHeight="1">
      <c r="A16375" s="199"/>
    </row>
    <row r="16376" spans="1:1" s="200" customFormat="1" ht="12" hidden="1" customHeight="1">
      <c r="A16376" s="199"/>
    </row>
    <row r="16377" spans="1:1" s="200" customFormat="1" ht="12" hidden="1" customHeight="1">
      <c r="A16377" s="199"/>
    </row>
    <row r="16378" spans="1:1" s="200" customFormat="1" ht="12" hidden="1" customHeight="1">
      <c r="A16378" s="199"/>
    </row>
    <row r="16379" spans="1:1" s="200" customFormat="1" ht="12" hidden="1" customHeight="1">
      <c r="A16379" s="199"/>
    </row>
    <row r="16380" spans="1:1" s="200" customFormat="1" ht="12" hidden="1" customHeight="1">
      <c r="A16380" s="199"/>
    </row>
    <row r="16381" spans="1:1" s="200" customFormat="1" ht="12" hidden="1" customHeight="1">
      <c r="A16381" s="199"/>
    </row>
    <row r="16382" spans="1:1" s="200" customFormat="1" ht="12" hidden="1" customHeight="1">
      <c r="A16382" s="199"/>
    </row>
    <row r="16383" spans="1:1" s="200" customFormat="1" ht="12" hidden="1" customHeight="1">
      <c r="A16383" s="199"/>
    </row>
    <row r="16384" spans="1:1" s="200" customFormat="1" ht="12" hidden="1" customHeight="1">
      <c r="A16384" s="199"/>
    </row>
    <row r="16385" spans="1:1" s="200" customFormat="1" ht="12" hidden="1" customHeight="1">
      <c r="A16385" s="199"/>
    </row>
    <row r="16386" spans="1:1" s="200" customFormat="1" ht="12" hidden="1" customHeight="1">
      <c r="A16386" s="199"/>
    </row>
    <row r="16387" spans="1:1" s="200" customFormat="1" ht="12" hidden="1" customHeight="1">
      <c r="A16387" s="199"/>
    </row>
    <row r="16388" spans="1:1" s="200" customFormat="1" ht="12" hidden="1" customHeight="1">
      <c r="A16388" s="199"/>
    </row>
    <row r="16389" spans="1:1" s="200" customFormat="1" ht="12" hidden="1" customHeight="1">
      <c r="A16389" s="199"/>
    </row>
    <row r="16390" spans="1:1" s="200" customFormat="1" ht="12" hidden="1" customHeight="1">
      <c r="A16390" s="199"/>
    </row>
    <row r="16391" spans="1:1" s="200" customFormat="1" ht="12" hidden="1" customHeight="1">
      <c r="A16391" s="199"/>
    </row>
    <row r="16392" spans="1:1" s="200" customFormat="1" ht="12" hidden="1" customHeight="1">
      <c r="A16392" s="199"/>
    </row>
    <row r="16393" spans="1:1" s="200" customFormat="1" ht="12" hidden="1" customHeight="1">
      <c r="A16393" s="199"/>
    </row>
    <row r="16394" spans="1:1" s="200" customFormat="1" ht="12" hidden="1" customHeight="1">
      <c r="A16394" s="199"/>
    </row>
    <row r="16395" spans="1:1" s="200" customFormat="1" ht="12" hidden="1" customHeight="1">
      <c r="A16395" s="199"/>
    </row>
    <row r="16396" spans="1:1" s="200" customFormat="1" ht="12" hidden="1" customHeight="1">
      <c r="A16396" s="199"/>
    </row>
    <row r="16397" spans="1:1" s="200" customFormat="1" ht="12" hidden="1" customHeight="1">
      <c r="A16397" s="199"/>
    </row>
    <row r="16398" spans="1:1" s="200" customFormat="1" ht="12" hidden="1" customHeight="1">
      <c r="A16398" s="199"/>
    </row>
    <row r="16399" spans="1:1" s="200" customFormat="1" ht="12" hidden="1" customHeight="1">
      <c r="A16399" s="199"/>
    </row>
    <row r="16400" spans="1:1" s="200" customFormat="1" ht="12" hidden="1" customHeight="1">
      <c r="A16400" s="199"/>
    </row>
    <row r="16401" spans="1:1" s="200" customFormat="1" ht="12" hidden="1" customHeight="1">
      <c r="A16401" s="199"/>
    </row>
    <row r="16402" spans="1:1" s="200" customFormat="1" ht="12" hidden="1" customHeight="1">
      <c r="A16402" s="199"/>
    </row>
    <row r="16403" spans="1:1" s="200" customFormat="1" ht="12" hidden="1" customHeight="1">
      <c r="A16403" s="199"/>
    </row>
    <row r="16404" spans="1:1" s="200" customFormat="1" ht="12" hidden="1" customHeight="1">
      <c r="A16404" s="199"/>
    </row>
    <row r="16405" spans="1:1" s="200" customFormat="1" ht="12" hidden="1" customHeight="1">
      <c r="A16405" s="199"/>
    </row>
    <row r="16406" spans="1:1" s="200" customFormat="1" ht="12" hidden="1" customHeight="1">
      <c r="A16406" s="199"/>
    </row>
    <row r="16407" spans="1:1" s="200" customFormat="1" ht="12" hidden="1" customHeight="1">
      <c r="A16407" s="199"/>
    </row>
    <row r="16408" spans="1:1" s="200" customFormat="1" ht="12" hidden="1" customHeight="1">
      <c r="A16408" s="199"/>
    </row>
    <row r="16409" spans="1:1" s="200" customFormat="1" ht="12" hidden="1" customHeight="1">
      <c r="A16409" s="199"/>
    </row>
    <row r="16410" spans="1:1" s="200" customFormat="1" ht="12" hidden="1" customHeight="1">
      <c r="A16410" s="199"/>
    </row>
    <row r="16411" spans="1:1" s="200" customFormat="1" ht="12" hidden="1" customHeight="1">
      <c r="A16411" s="199"/>
    </row>
    <row r="16412" spans="1:1" s="200" customFormat="1" ht="12" hidden="1" customHeight="1">
      <c r="A16412" s="199"/>
    </row>
    <row r="16413" spans="1:1" s="200" customFormat="1" ht="12" hidden="1" customHeight="1">
      <c r="A16413" s="199"/>
    </row>
    <row r="16414" spans="1:1" s="200" customFormat="1" ht="12" hidden="1" customHeight="1">
      <c r="A16414" s="199"/>
    </row>
    <row r="16415" spans="1:1" s="200" customFormat="1" ht="12" hidden="1" customHeight="1">
      <c r="A16415" s="199"/>
    </row>
    <row r="16416" spans="1:1" s="200" customFormat="1" ht="12" hidden="1" customHeight="1">
      <c r="A16416" s="199"/>
    </row>
    <row r="16417" spans="1:1" s="200" customFormat="1" ht="12" hidden="1" customHeight="1">
      <c r="A16417" s="199"/>
    </row>
    <row r="16418" spans="1:1" s="200" customFormat="1" ht="12" hidden="1" customHeight="1">
      <c r="A16418" s="199"/>
    </row>
    <row r="16419" spans="1:1" s="200" customFormat="1" ht="12" hidden="1" customHeight="1">
      <c r="A16419" s="199"/>
    </row>
    <row r="16420" spans="1:1" s="200" customFormat="1" ht="12" hidden="1" customHeight="1">
      <c r="A16420" s="199"/>
    </row>
    <row r="16421" spans="1:1" s="200" customFormat="1" ht="12" hidden="1" customHeight="1">
      <c r="A16421" s="199"/>
    </row>
    <row r="16422" spans="1:1" s="200" customFormat="1" ht="12" hidden="1" customHeight="1">
      <c r="A16422" s="199"/>
    </row>
    <row r="16423" spans="1:1" s="200" customFormat="1" ht="12" hidden="1" customHeight="1">
      <c r="A16423" s="199"/>
    </row>
    <row r="16424" spans="1:1" s="200" customFormat="1" ht="12" hidden="1" customHeight="1">
      <c r="A16424" s="199"/>
    </row>
    <row r="16425" spans="1:1" s="200" customFormat="1" ht="12" hidden="1" customHeight="1">
      <c r="A16425" s="199"/>
    </row>
    <row r="16426" spans="1:1" s="200" customFormat="1" ht="12" hidden="1" customHeight="1">
      <c r="A16426" s="199"/>
    </row>
    <row r="16427" spans="1:1" s="200" customFormat="1" ht="12" hidden="1" customHeight="1">
      <c r="A16427" s="199"/>
    </row>
    <row r="16428" spans="1:1" s="200" customFormat="1" ht="12" hidden="1" customHeight="1">
      <c r="A16428" s="199"/>
    </row>
    <row r="16429" spans="1:1" s="200" customFormat="1" ht="12" hidden="1" customHeight="1">
      <c r="A16429" s="199"/>
    </row>
    <row r="16430" spans="1:1" s="200" customFormat="1" ht="12" hidden="1" customHeight="1">
      <c r="A16430" s="199"/>
    </row>
    <row r="16431" spans="1:1" s="200" customFormat="1" ht="12" hidden="1" customHeight="1">
      <c r="A16431" s="199"/>
    </row>
    <row r="16432" spans="1:1" s="200" customFormat="1" ht="12" hidden="1" customHeight="1">
      <c r="A16432" s="199"/>
    </row>
    <row r="16433" spans="1:1" s="200" customFormat="1" ht="12" hidden="1" customHeight="1">
      <c r="A16433" s="199"/>
    </row>
    <row r="16434" spans="1:1" s="200" customFormat="1" ht="12" hidden="1" customHeight="1">
      <c r="A16434" s="199"/>
    </row>
    <row r="16435" spans="1:1" s="200" customFormat="1" ht="12" hidden="1" customHeight="1">
      <c r="A16435" s="199"/>
    </row>
    <row r="16436" spans="1:1" s="200" customFormat="1" ht="12" hidden="1" customHeight="1">
      <c r="A16436" s="199"/>
    </row>
    <row r="16437" spans="1:1" s="200" customFormat="1" ht="12" hidden="1" customHeight="1">
      <c r="A16437" s="199"/>
    </row>
    <row r="16438" spans="1:1" s="200" customFormat="1" ht="12" hidden="1" customHeight="1">
      <c r="A16438" s="199"/>
    </row>
    <row r="16439" spans="1:1" s="200" customFormat="1" ht="12" hidden="1" customHeight="1">
      <c r="A16439" s="199"/>
    </row>
    <row r="16440" spans="1:1" s="200" customFormat="1" ht="12" hidden="1" customHeight="1">
      <c r="A16440" s="199"/>
    </row>
    <row r="16441" spans="1:1" s="200" customFormat="1" ht="12" hidden="1" customHeight="1">
      <c r="A16441" s="199"/>
    </row>
    <row r="16442" spans="1:1" s="200" customFormat="1" ht="12" hidden="1" customHeight="1">
      <c r="A16442" s="199"/>
    </row>
    <row r="16443" spans="1:1" s="200" customFormat="1" ht="12" hidden="1" customHeight="1">
      <c r="A16443" s="199"/>
    </row>
    <row r="16444" spans="1:1" s="200" customFormat="1" ht="12" hidden="1" customHeight="1">
      <c r="A16444" s="199"/>
    </row>
    <row r="16445" spans="1:1" s="200" customFormat="1" ht="12" hidden="1" customHeight="1">
      <c r="A16445" s="199"/>
    </row>
    <row r="16446" spans="1:1" s="200" customFormat="1" ht="12" hidden="1" customHeight="1">
      <c r="A16446" s="199"/>
    </row>
    <row r="16447" spans="1:1" s="200" customFormat="1" ht="12" hidden="1" customHeight="1">
      <c r="A16447" s="199"/>
    </row>
    <row r="16448" spans="1:1" s="200" customFormat="1" ht="12" hidden="1" customHeight="1">
      <c r="A16448" s="199"/>
    </row>
    <row r="16449" spans="1:1" s="200" customFormat="1" ht="12" hidden="1" customHeight="1">
      <c r="A16449" s="199"/>
    </row>
    <row r="16450" spans="1:1" s="200" customFormat="1" ht="12" hidden="1" customHeight="1">
      <c r="A16450" s="199"/>
    </row>
    <row r="16451" spans="1:1" s="200" customFormat="1" ht="12" hidden="1" customHeight="1">
      <c r="A16451" s="199"/>
    </row>
    <row r="16452" spans="1:1" s="200" customFormat="1" ht="12" hidden="1" customHeight="1">
      <c r="A16452" s="199"/>
    </row>
    <row r="16453" spans="1:1" s="200" customFormat="1" ht="12" hidden="1" customHeight="1">
      <c r="A16453" s="199"/>
    </row>
    <row r="16454" spans="1:1" s="200" customFormat="1" ht="12" hidden="1" customHeight="1">
      <c r="A16454" s="199"/>
    </row>
    <row r="16455" spans="1:1" s="200" customFormat="1" ht="12" hidden="1" customHeight="1">
      <c r="A16455" s="199"/>
    </row>
    <row r="16456" spans="1:1" s="200" customFormat="1" ht="12" hidden="1" customHeight="1">
      <c r="A16456" s="199"/>
    </row>
    <row r="16457" spans="1:1" s="200" customFormat="1" ht="12" hidden="1" customHeight="1">
      <c r="A16457" s="199"/>
    </row>
    <row r="16458" spans="1:1" s="200" customFormat="1" ht="12" hidden="1" customHeight="1">
      <c r="A16458" s="199"/>
    </row>
    <row r="16459" spans="1:1" s="200" customFormat="1" ht="12" hidden="1" customHeight="1">
      <c r="A16459" s="199"/>
    </row>
    <row r="16460" spans="1:1" s="200" customFormat="1" ht="12" hidden="1" customHeight="1">
      <c r="A16460" s="199"/>
    </row>
    <row r="16461" spans="1:1" s="200" customFormat="1" ht="12" hidden="1" customHeight="1">
      <c r="A16461" s="199"/>
    </row>
    <row r="16462" spans="1:1" s="200" customFormat="1" ht="12" hidden="1" customHeight="1">
      <c r="A16462" s="199"/>
    </row>
    <row r="16463" spans="1:1" s="200" customFormat="1" ht="12" hidden="1" customHeight="1">
      <c r="A16463" s="199"/>
    </row>
    <row r="16464" spans="1:1" s="200" customFormat="1" ht="12" hidden="1" customHeight="1">
      <c r="A16464" s="199"/>
    </row>
    <row r="16465" spans="1:1" s="200" customFormat="1" ht="12" hidden="1" customHeight="1">
      <c r="A16465" s="199"/>
    </row>
    <row r="16466" spans="1:1" s="200" customFormat="1" ht="12" hidden="1" customHeight="1">
      <c r="A16466" s="199"/>
    </row>
    <row r="16467" spans="1:1" s="200" customFormat="1" ht="12" hidden="1" customHeight="1">
      <c r="A16467" s="199"/>
    </row>
    <row r="16468" spans="1:1" s="200" customFormat="1" ht="12" hidden="1" customHeight="1">
      <c r="A16468" s="199"/>
    </row>
    <row r="16469" spans="1:1" s="200" customFormat="1" ht="12" hidden="1" customHeight="1">
      <c r="A16469" s="199"/>
    </row>
    <row r="16470" spans="1:1" s="200" customFormat="1" ht="12" hidden="1" customHeight="1">
      <c r="A16470" s="199"/>
    </row>
    <row r="16471" spans="1:1" s="200" customFormat="1" ht="12" hidden="1" customHeight="1">
      <c r="A16471" s="199"/>
    </row>
    <row r="16472" spans="1:1" s="200" customFormat="1" ht="12" hidden="1" customHeight="1">
      <c r="A16472" s="199"/>
    </row>
    <row r="16473" spans="1:1" s="200" customFormat="1" ht="12" hidden="1" customHeight="1">
      <c r="A16473" s="199"/>
    </row>
    <row r="16474" spans="1:1" s="200" customFormat="1" ht="12" hidden="1" customHeight="1">
      <c r="A16474" s="199"/>
    </row>
    <row r="16475" spans="1:1" s="200" customFormat="1" ht="12" hidden="1" customHeight="1">
      <c r="A16475" s="199"/>
    </row>
    <row r="16476" spans="1:1" s="200" customFormat="1" ht="12" hidden="1" customHeight="1">
      <c r="A16476" s="199"/>
    </row>
    <row r="16477" spans="1:1" s="200" customFormat="1" ht="12" hidden="1" customHeight="1">
      <c r="A16477" s="199"/>
    </row>
    <row r="16478" spans="1:1" s="200" customFormat="1" ht="12" hidden="1" customHeight="1">
      <c r="A16478" s="199"/>
    </row>
    <row r="16479" spans="1:1" s="200" customFormat="1" ht="12" hidden="1" customHeight="1">
      <c r="A16479" s="199"/>
    </row>
    <row r="16480" spans="1:1" s="200" customFormat="1" ht="12" hidden="1" customHeight="1">
      <c r="A16480" s="199"/>
    </row>
    <row r="16481" spans="1:1" s="200" customFormat="1" ht="12" hidden="1" customHeight="1">
      <c r="A16481" s="199"/>
    </row>
    <row r="16482" spans="1:1" s="200" customFormat="1" ht="12" hidden="1" customHeight="1">
      <c r="A16482" s="199"/>
    </row>
    <row r="16483" spans="1:1" s="200" customFormat="1" ht="12" hidden="1" customHeight="1">
      <c r="A16483" s="199"/>
    </row>
    <row r="16484" spans="1:1" s="200" customFormat="1" ht="12" hidden="1" customHeight="1">
      <c r="A16484" s="199"/>
    </row>
    <row r="16485" spans="1:1" s="200" customFormat="1" ht="12" hidden="1" customHeight="1">
      <c r="A16485" s="199"/>
    </row>
    <row r="16486" spans="1:1" s="200" customFormat="1" ht="12" hidden="1" customHeight="1">
      <c r="A16486" s="199"/>
    </row>
    <row r="16487" spans="1:1" s="200" customFormat="1" ht="12" hidden="1" customHeight="1">
      <c r="A16487" s="199"/>
    </row>
    <row r="16488" spans="1:1" s="200" customFormat="1" ht="12" hidden="1" customHeight="1">
      <c r="A16488" s="199"/>
    </row>
    <row r="16489" spans="1:1" s="200" customFormat="1" ht="12" hidden="1" customHeight="1">
      <c r="A16489" s="199"/>
    </row>
    <row r="16490" spans="1:1" s="200" customFormat="1" ht="12" hidden="1" customHeight="1">
      <c r="A16490" s="199"/>
    </row>
    <row r="16491" spans="1:1" s="200" customFormat="1" ht="12" hidden="1" customHeight="1">
      <c r="A16491" s="199"/>
    </row>
    <row r="16492" spans="1:1" s="200" customFormat="1" ht="12" hidden="1" customHeight="1">
      <c r="A16492" s="199"/>
    </row>
    <row r="16493" spans="1:1" s="200" customFormat="1" ht="12" hidden="1" customHeight="1">
      <c r="A16493" s="199"/>
    </row>
    <row r="16494" spans="1:1" s="200" customFormat="1" ht="12" hidden="1" customHeight="1">
      <c r="A16494" s="199"/>
    </row>
    <row r="16495" spans="1:1" s="200" customFormat="1" ht="12" hidden="1" customHeight="1">
      <c r="A16495" s="199"/>
    </row>
    <row r="16496" spans="1:1" s="200" customFormat="1" ht="12" hidden="1" customHeight="1">
      <c r="A16496" s="199"/>
    </row>
    <row r="16497" spans="1:1" s="200" customFormat="1" ht="12" hidden="1" customHeight="1">
      <c r="A16497" s="199"/>
    </row>
    <row r="16498" spans="1:1" s="200" customFormat="1" ht="12" hidden="1" customHeight="1">
      <c r="A16498" s="199"/>
    </row>
    <row r="16499" spans="1:1" s="200" customFormat="1" ht="12" hidden="1" customHeight="1">
      <c r="A16499" s="199"/>
    </row>
    <row r="16500" spans="1:1" s="200" customFormat="1" ht="12" hidden="1" customHeight="1">
      <c r="A16500" s="199"/>
    </row>
    <row r="16501" spans="1:1" s="200" customFormat="1" ht="12" hidden="1" customHeight="1">
      <c r="A16501" s="199"/>
    </row>
    <row r="16502" spans="1:1" s="200" customFormat="1" ht="12" hidden="1" customHeight="1">
      <c r="A16502" s="199"/>
    </row>
    <row r="16503" spans="1:1" s="200" customFormat="1" ht="12" hidden="1" customHeight="1">
      <c r="A16503" s="199"/>
    </row>
    <row r="16504" spans="1:1" s="200" customFormat="1" ht="12" hidden="1" customHeight="1">
      <c r="A16504" s="199"/>
    </row>
    <row r="16505" spans="1:1" s="200" customFormat="1" ht="12" hidden="1" customHeight="1">
      <c r="A16505" s="199"/>
    </row>
    <row r="16506" spans="1:1" s="200" customFormat="1" ht="12" hidden="1" customHeight="1">
      <c r="A16506" s="199"/>
    </row>
    <row r="16507" spans="1:1" s="200" customFormat="1" ht="12" hidden="1" customHeight="1">
      <c r="A16507" s="199"/>
    </row>
    <row r="16508" spans="1:1" s="200" customFormat="1" ht="12" hidden="1" customHeight="1">
      <c r="A16508" s="199"/>
    </row>
    <row r="16509" spans="1:1" s="200" customFormat="1" ht="12" hidden="1" customHeight="1">
      <c r="A16509" s="199"/>
    </row>
    <row r="16510" spans="1:1" s="200" customFormat="1" ht="12" hidden="1" customHeight="1">
      <c r="A16510" s="199"/>
    </row>
    <row r="16511" spans="1:1" s="200" customFormat="1" ht="12" hidden="1" customHeight="1">
      <c r="A16511" s="199"/>
    </row>
    <row r="16512" spans="1:1" s="200" customFormat="1" ht="12" hidden="1" customHeight="1">
      <c r="A16512" s="199"/>
    </row>
    <row r="16513" spans="1:1" s="200" customFormat="1" ht="12" hidden="1" customHeight="1">
      <c r="A16513" s="199"/>
    </row>
    <row r="16514" spans="1:1" s="200" customFormat="1" ht="12" hidden="1" customHeight="1">
      <c r="A16514" s="199"/>
    </row>
    <row r="16515" spans="1:1" s="200" customFormat="1" ht="12" hidden="1" customHeight="1">
      <c r="A16515" s="199"/>
    </row>
    <row r="16516" spans="1:1" s="200" customFormat="1" ht="12" hidden="1" customHeight="1">
      <c r="A16516" s="199"/>
    </row>
    <row r="16517" spans="1:1" s="200" customFormat="1" ht="12" hidden="1" customHeight="1">
      <c r="A16517" s="199"/>
    </row>
    <row r="16518" spans="1:1" s="200" customFormat="1" ht="12" hidden="1" customHeight="1">
      <c r="A16518" s="199"/>
    </row>
    <row r="16519" spans="1:1" s="200" customFormat="1" ht="12" hidden="1" customHeight="1">
      <c r="A16519" s="199"/>
    </row>
    <row r="16520" spans="1:1" s="200" customFormat="1" ht="12" hidden="1" customHeight="1">
      <c r="A16520" s="199"/>
    </row>
    <row r="16521" spans="1:1" s="200" customFormat="1" ht="12" hidden="1" customHeight="1">
      <c r="A16521" s="199"/>
    </row>
    <row r="16522" spans="1:1" s="200" customFormat="1" ht="12" hidden="1" customHeight="1">
      <c r="A16522" s="199"/>
    </row>
    <row r="16523" spans="1:1" s="200" customFormat="1" ht="12" hidden="1" customHeight="1">
      <c r="A16523" s="199"/>
    </row>
    <row r="16524" spans="1:1" s="200" customFormat="1" ht="12" hidden="1" customHeight="1">
      <c r="A16524" s="199"/>
    </row>
    <row r="16525" spans="1:1" s="200" customFormat="1" ht="12" hidden="1" customHeight="1">
      <c r="A16525" s="199"/>
    </row>
    <row r="16526" spans="1:1" s="200" customFormat="1" ht="12" hidden="1" customHeight="1">
      <c r="A16526" s="199"/>
    </row>
    <row r="16527" spans="1:1" s="200" customFormat="1" ht="12" hidden="1" customHeight="1">
      <c r="A16527" s="199"/>
    </row>
    <row r="16528" spans="1:1" s="200" customFormat="1" ht="12" hidden="1" customHeight="1">
      <c r="A16528" s="199"/>
    </row>
    <row r="16529" spans="1:1" s="200" customFormat="1" ht="12" hidden="1" customHeight="1">
      <c r="A16529" s="199"/>
    </row>
    <row r="16530" spans="1:1" s="200" customFormat="1" ht="12" hidden="1" customHeight="1">
      <c r="A16530" s="199"/>
    </row>
    <row r="16531" spans="1:1" s="200" customFormat="1" ht="12" hidden="1" customHeight="1">
      <c r="A16531" s="199"/>
    </row>
    <row r="16532" spans="1:1" s="200" customFormat="1" ht="12" hidden="1" customHeight="1">
      <c r="A16532" s="199"/>
    </row>
    <row r="16533" spans="1:1" s="200" customFormat="1" ht="12" hidden="1" customHeight="1">
      <c r="A16533" s="199"/>
    </row>
    <row r="16534" spans="1:1" s="200" customFormat="1" ht="12" hidden="1" customHeight="1">
      <c r="A16534" s="199"/>
    </row>
    <row r="16535" spans="1:1" s="200" customFormat="1" ht="12" hidden="1" customHeight="1">
      <c r="A16535" s="199"/>
    </row>
    <row r="16536" spans="1:1" s="200" customFormat="1" ht="12" hidden="1" customHeight="1">
      <c r="A16536" s="199"/>
    </row>
    <row r="16537" spans="1:1" s="200" customFormat="1" ht="12" hidden="1" customHeight="1">
      <c r="A16537" s="199"/>
    </row>
    <row r="16538" spans="1:1" s="200" customFormat="1" ht="12" hidden="1" customHeight="1">
      <c r="A16538" s="199"/>
    </row>
    <row r="16539" spans="1:1" s="200" customFormat="1" ht="12" hidden="1" customHeight="1">
      <c r="A16539" s="199"/>
    </row>
    <row r="16540" spans="1:1" s="200" customFormat="1" ht="12" hidden="1" customHeight="1">
      <c r="A16540" s="199"/>
    </row>
    <row r="16541" spans="1:1" s="200" customFormat="1" ht="12" hidden="1" customHeight="1">
      <c r="A16541" s="199"/>
    </row>
    <row r="16542" spans="1:1" s="200" customFormat="1" ht="12" hidden="1" customHeight="1">
      <c r="A16542" s="199"/>
    </row>
    <row r="16543" spans="1:1" s="200" customFormat="1" ht="12" hidden="1" customHeight="1">
      <c r="A16543" s="199"/>
    </row>
    <row r="16544" spans="1:1" s="200" customFormat="1" ht="12" hidden="1" customHeight="1">
      <c r="A16544" s="199"/>
    </row>
    <row r="16545" spans="1:1" s="200" customFormat="1" ht="12" hidden="1" customHeight="1">
      <c r="A16545" s="199"/>
    </row>
    <row r="16546" spans="1:1" s="200" customFormat="1" ht="12" hidden="1" customHeight="1">
      <c r="A16546" s="199"/>
    </row>
    <row r="16547" spans="1:1" s="200" customFormat="1" ht="12" hidden="1" customHeight="1">
      <c r="A16547" s="199"/>
    </row>
    <row r="16548" spans="1:1" s="200" customFormat="1" ht="12" hidden="1" customHeight="1">
      <c r="A16548" s="199"/>
    </row>
    <row r="16549" spans="1:1" s="200" customFormat="1" ht="12" hidden="1" customHeight="1">
      <c r="A16549" s="199"/>
    </row>
    <row r="16550" spans="1:1" s="200" customFormat="1" ht="12" hidden="1" customHeight="1">
      <c r="A16550" s="199"/>
    </row>
    <row r="16551" spans="1:1" s="200" customFormat="1" ht="12" hidden="1" customHeight="1">
      <c r="A16551" s="199"/>
    </row>
    <row r="16552" spans="1:1" s="200" customFormat="1" ht="12" hidden="1" customHeight="1">
      <c r="A16552" s="199"/>
    </row>
    <row r="16553" spans="1:1" s="200" customFormat="1" ht="12" hidden="1" customHeight="1">
      <c r="A16553" s="199"/>
    </row>
    <row r="16554" spans="1:1" s="200" customFormat="1" ht="12" hidden="1" customHeight="1">
      <c r="A16554" s="199"/>
    </row>
    <row r="16555" spans="1:1" s="200" customFormat="1" ht="12" hidden="1" customHeight="1">
      <c r="A16555" s="199"/>
    </row>
    <row r="16556" spans="1:1" s="200" customFormat="1" ht="12" hidden="1" customHeight="1">
      <c r="A16556" s="199"/>
    </row>
    <row r="16557" spans="1:1" s="200" customFormat="1" ht="12" hidden="1" customHeight="1">
      <c r="A16557" s="199"/>
    </row>
    <row r="16558" spans="1:1" s="200" customFormat="1" ht="12" hidden="1" customHeight="1">
      <c r="A16558" s="199"/>
    </row>
    <row r="16559" spans="1:1" s="200" customFormat="1" ht="12" hidden="1" customHeight="1">
      <c r="A16559" s="199"/>
    </row>
    <row r="16560" spans="1:1" s="200" customFormat="1" ht="12" hidden="1" customHeight="1">
      <c r="A16560" s="199"/>
    </row>
    <row r="16561" spans="1:1" s="200" customFormat="1" ht="12" hidden="1" customHeight="1">
      <c r="A16561" s="199"/>
    </row>
    <row r="16562" spans="1:1" s="200" customFormat="1" ht="12" hidden="1" customHeight="1">
      <c r="A16562" s="199"/>
    </row>
    <row r="16563" spans="1:1" s="200" customFormat="1" ht="12" hidden="1" customHeight="1">
      <c r="A16563" s="199"/>
    </row>
    <row r="16564" spans="1:1" s="200" customFormat="1" ht="12" hidden="1" customHeight="1">
      <c r="A16564" s="199"/>
    </row>
    <row r="16565" spans="1:1" s="200" customFormat="1" ht="12" hidden="1" customHeight="1">
      <c r="A16565" s="199"/>
    </row>
    <row r="16566" spans="1:1" s="200" customFormat="1" ht="12" hidden="1" customHeight="1">
      <c r="A16566" s="199"/>
    </row>
    <row r="16567" spans="1:1" s="200" customFormat="1" ht="12" hidden="1" customHeight="1">
      <c r="A16567" s="199"/>
    </row>
    <row r="16568" spans="1:1" s="200" customFormat="1" ht="12" hidden="1" customHeight="1">
      <c r="A16568" s="199"/>
    </row>
    <row r="16569" spans="1:1" s="200" customFormat="1" ht="12" hidden="1" customHeight="1">
      <c r="A16569" s="199"/>
    </row>
    <row r="16570" spans="1:1" s="200" customFormat="1" ht="12" hidden="1" customHeight="1">
      <c r="A16570" s="199"/>
    </row>
    <row r="16571" spans="1:1" s="200" customFormat="1" ht="12" hidden="1" customHeight="1">
      <c r="A16571" s="199"/>
    </row>
    <row r="16572" spans="1:1" s="200" customFormat="1" ht="12" hidden="1" customHeight="1">
      <c r="A16572" s="199"/>
    </row>
    <row r="16573" spans="1:1" s="200" customFormat="1" ht="12" hidden="1" customHeight="1">
      <c r="A16573" s="199"/>
    </row>
    <row r="16574" spans="1:1" s="200" customFormat="1" ht="12" hidden="1" customHeight="1">
      <c r="A16574" s="199"/>
    </row>
    <row r="16575" spans="1:1" s="200" customFormat="1" ht="12" hidden="1" customHeight="1">
      <c r="A16575" s="199"/>
    </row>
    <row r="16576" spans="1:1" s="200" customFormat="1" ht="12" hidden="1" customHeight="1">
      <c r="A16576" s="199"/>
    </row>
    <row r="16577" spans="1:1" s="200" customFormat="1" ht="12" hidden="1" customHeight="1">
      <c r="A16577" s="199"/>
    </row>
    <row r="16578" spans="1:1" s="200" customFormat="1" ht="12" hidden="1" customHeight="1">
      <c r="A16578" s="199"/>
    </row>
    <row r="16579" spans="1:1" s="200" customFormat="1" ht="12" hidden="1" customHeight="1">
      <c r="A16579" s="199"/>
    </row>
    <row r="16580" spans="1:1" s="200" customFormat="1" ht="12" hidden="1" customHeight="1">
      <c r="A16580" s="199"/>
    </row>
    <row r="16581" spans="1:1" s="200" customFormat="1" ht="12" hidden="1" customHeight="1">
      <c r="A16581" s="199"/>
    </row>
    <row r="16582" spans="1:1" s="200" customFormat="1" ht="12" hidden="1" customHeight="1">
      <c r="A16582" s="199"/>
    </row>
    <row r="16583" spans="1:1" s="200" customFormat="1" ht="12" hidden="1" customHeight="1">
      <c r="A16583" s="199"/>
    </row>
    <row r="16584" spans="1:1" s="200" customFormat="1" ht="12" hidden="1" customHeight="1">
      <c r="A16584" s="199"/>
    </row>
    <row r="16585" spans="1:1" s="200" customFormat="1" ht="12" hidden="1" customHeight="1">
      <c r="A16585" s="199"/>
    </row>
    <row r="16586" spans="1:1" s="200" customFormat="1" ht="12" hidden="1" customHeight="1">
      <c r="A16586" s="199"/>
    </row>
    <row r="16587" spans="1:1" s="200" customFormat="1" ht="12" hidden="1" customHeight="1">
      <c r="A16587" s="199"/>
    </row>
    <row r="16588" spans="1:1" s="200" customFormat="1" ht="12" hidden="1" customHeight="1">
      <c r="A16588" s="199"/>
    </row>
    <row r="16589" spans="1:1" s="200" customFormat="1" ht="12" hidden="1" customHeight="1">
      <c r="A16589" s="199"/>
    </row>
    <row r="16590" spans="1:1" s="200" customFormat="1" ht="12" hidden="1" customHeight="1">
      <c r="A16590" s="199"/>
    </row>
    <row r="16591" spans="1:1" s="200" customFormat="1" ht="12" hidden="1" customHeight="1">
      <c r="A16591" s="199"/>
    </row>
    <row r="16592" spans="1:1" s="200" customFormat="1" ht="12" hidden="1" customHeight="1">
      <c r="A16592" s="199"/>
    </row>
    <row r="16593" spans="1:1" s="200" customFormat="1" ht="12" hidden="1" customHeight="1">
      <c r="A16593" s="199"/>
    </row>
    <row r="16594" spans="1:1" s="200" customFormat="1" ht="12" hidden="1" customHeight="1">
      <c r="A16594" s="199"/>
    </row>
    <row r="16595" spans="1:1" s="200" customFormat="1" ht="12" hidden="1" customHeight="1">
      <c r="A16595" s="199"/>
    </row>
    <row r="16596" spans="1:1" s="200" customFormat="1" ht="12" hidden="1" customHeight="1">
      <c r="A16596" s="199"/>
    </row>
    <row r="16597" spans="1:1" s="200" customFormat="1" ht="12" hidden="1" customHeight="1">
      <c r="A16597" s="199"/>
    </row>
    <row r="16598" spans="1:1" s="200" customFormat="1" ht="12" hidden="1" customHeight="1">
      <c r="A16598" s="199"/>
    </row>
    <row r="16599" spans="1:1" s="200" customFormat="1" ht="12" hidden="1" customHeight="1">
      <c r="A16599" s="199"/>
    </row>
    <row r="16600" spans="1:1" s="200" customFormat="1" ht="12" hidden="1" customHeight="1">
      <c r="A16600" s="199"/>
    </row>
    <row r="16601" spans="1:1" s="200" customFormat="1" ht="12" hidden="1" customHeight="1">
      <c r="A16601" s="199"/>
    </row>
    <row r="16602" spans="1:1" s="200" customFormat="1" ht="12" hidden="1" customHeight="1">
      <c r="A16602" s="199"/>
    </row>
    <row r="16603" spans="1:1" s="200" customFormat="1" ht="12" hidden="1" customHeight="1">
      <c r="A16603" s="199"/>
    </row>
    <row r="16604" spans="1:1" s="200" customFormat="1" ht="12" hidden="1" customHeight="1">
      <c r="A16604" s="199"/>
    </row>
    <row r="16605" spans="1:1" s="200" customFormat="1" ht="12" hidden="1" customHeight="1">
      <c r="A16605" s="199"/>
    </row>
    <row r="16606" spans="1:1" s="200" customFormat="1" ht="12" hidden="1" customHeight="1">
      <c r="A16606" s="199"/>
    </row>
    <row r="16607" spans="1:1" s="200" customFormat="1" ht="12" hidden="1" customHeight="1">
      <c r="A16607" s="199"/>
    </row>
    <row r="16608" spans="1:1" s="200" customFormat="1" ht="12" hidden="1" customHeight="1">
      <c r="A16608" s="199"/>
    </row>
    <row r="16609" spans="1:1" s="200" customFormat="1" ht="12" hidden="1" customHeight="1">
      <c r="A16609" s="199"/>
    </row>
    <row r="16610" spans="1:1" s="200" customFormat="1" ht="12" hidden="1" customHeight="1">
      <c r="A16610" s="199"/>
    </row>
    <row r="16611" spans="1:1" s="200" customFormat="1" ht="12" hidden="1" customHeight="1">
      <c r="A16611" s="199"/>
    </row>
    <row r="16612" spans="1:1" s="200" customFormat="1" ht="12" hidden="1" customHeight="1">
      <c r="A16612" s="199"/>
    </row>
    <row r="16613" spans="1:1" s="200" customFormat="1" ht="12" hidden="1" customHeight="1">
      <c r="A16613" s="199"/>
    </row>
    <row r="16614" spans="1:1" s="200" customFormat="1" ht="12" hidden="1" customHeight="1">
      <c r="A16614" s="199"/>
    </row>
    <row r="16615" spans="1:1" s="200" customFormat="1" ht="12" hidden="1" customHeight="1">
      <c r="A16615" s="199"/>
    </row>
    <row r="16616" spans="1:1" s="200" customFormat="1" ht="12" hidden="1" customHeight="1">
      <c r="A16616" s="199"/>
    </row>
    <row r="16617" spans="1:1" s="200" customFormat="1" ht="12" hidden="1" customHeight="1">
      <c r="A16617" s="199"/>
    </row>
    <row r="16618" spans="1:1" s="200" customFormat="1" ht="12" hidden="1" customHeight="1">
      <c r="A16618" s="199"/>
    </row>
    <row r="16619" spans="1:1" s="200" customFormat="1" ht="12" hidden="1" customHeight="1">
      <c r="A16619" s="199"/>
    </row>
    <row r="16620" spans="1:1" s="200" customFormat="1" ht="12" hidden="1" customHeight="1">
      <c r="A16620" s="199"/>
    </row>
    <row r="16621" spans="1:1" s="200" customFormat="1" ht="12" hidden="1" customHeight="1">
      <c r="A16621" s="199"/>
    </row>
    <row r="16622" spans="1:1" s="200" customFormat="1" ht="12" hidden="1" customHeight="1">
      <c r="A16622" s="199"/>
    </row>
    <row r="16623" spans="1:1" s="200" customFormat="1" ht="12" hidden="1" customHeight="1">
      <c r="A16623" s="199"/>
    </row>
    <row r="16624" spans="1:1" s="200" customFormat="1" ht="12" hidden="1" customHeight="1">
      <c r="A16624" s="199"/>
    </row>
    <row r="16625" spans="1:1" s="200" customFormat="1" ht="12" hidden="1" customHeight="1">
      <c r="A16625" s="199"/>
    </row>
    <row r="16626" spans="1:1" s="200" customFormat="1" ht="12" hidden="1" customHeight="1">
      <c r="A16626" s="199"/>
    </row>
    <row r="16627" spans="1:1" s="200" customFormat="1" ht="12" hidden="1" customHeight="1">
      <c r="A16627" s="199"/>
    </row>
    <row r="16628" spans="1:1" s="200" customFormat="1" ht="12" hidden="1" customHeight="1">
      <c r="A16628" s="199"/>
    </row>
    <row r="16629" spans="1:1" s="200" customFormat="1" ht="12" hidden="1" customHeight="1">
      <c r="A16629" s="199"/>
    </row>
    <row r="16630" spans="1:1" s="200" customFormat="1" ht="12" hidden="1" customHeight="1">
      <c r="A16630" s="199"/>
    </row>
    <row r="16631" spans="1:1" s="200" customFormat="1" ht="12" hidden="1" customHeight="1">
      <c r="A16631" s="199"/>
    </row>
    <row r="16632" spans="1:1" s="200" customFormat="1" ht="12" hidden="1" customHeight="1">
      <c r="A16632" s="199"/>
    </row>
    <row r="16633" spans="1:1" s="200" customFormat="1" ht="12" hidden="1" customHeight="1">
      <c r="A16633" s="199"/>
    </row>
    <row r="16634" spans="1:1" s="200" customFormat="1" ht="12" hidden="1" customHeight="1">
      <c r="A16634" s="199"/>
    </row>
    <row r="16635" spans="1:1" s="200" customFormat="1" ht="12" hidden="1" customHeight="1">
      <c r="A16635" s="199"/>
    </row>
    <row r="16636" spans="1:1" s="200" customFormat="1" ht="12" hidden="1" customHeight="1">
      <c r="A16636" s="199"/>
    </row>
    <row r="16637" spans="1:1" s="200" customFormat="1" ht="12" hidden="1" customHeight="1">
      <c r="A16637" s="199"/>
    </row>
    <row r="16638" spans="1:1" s="200" customFormat="1" ht="12" hidden="1" customHeight="1">
      <c r="A16638" s="199"/>
    </row>
    <row r="16639" spans="1:1" s="200" customFormat="1" ht="12" hidden="1" customHeight="1">
      <c r="A16639" s="199"/>
    </row>
    <row r="16640" spans="1:1" s="200" customFormat="1" ht="12" hidden="1" customHeight="1">
      <c r="A16640" s="199"/>
    </row>
    <row r="16641" spans="1:1" s="200" customFormat="1" ht="12" hidden="1" customHeight="1">
      <c r="A16641" s="199"/>
    </row>
    <row r="16642" spans="1:1" s="200" customFormat="1" ht="12" hidden="1" customHeight="1">
      <c r="A16642" s="199"/>
    </row>
    <row r="16643" spans="1:1" s="200" customFormat="1" ht="12" hidden="1" customHeight="1">
      <c r="A16643" s="199"/>
    </row>
    <row r="16644" spans="1:1" s="200" customFormat="1" ht="12" hidden="1" customHeight="1">
      <c r="A16644" s="199"/>
    </row>
    <row r="16645" spans="1:1" s="200" customFormat="1" ht="12" hidden="1" customHeight="1">
      <c r="A16645" s="199"/>
    </row>
    <row r="16646" spans="1:1" s="200" customFormat="1" ht="12" hidden="1" customHeight="1">
      <c r="A16646" s="199"/>
    </row>
    <row r="16647" spans="1:1" s="200" customFormat="1" ht="12" hidden="1" customHeight="1">
      <c r="A16647" s="199"/>
    </row>
    <row r="16648" spans="1:1" s="200" customFormat="1" ht="12" hidden="1" customHeight="1">
      <c r="A16648" s="199"/>
    </row>
    <row r="16649" spans="1:1" s="200" customFormat="1" ht="12" hidden="1" customHeight="1">
      <c r="A16649" s="199"/>
    </row>
    <row r="16650" spans="1:1" s="200" customFormat="1" ht="12" hidden="1" customHeight="1">
      <c r="A16650" s="199"/>
    </row>
    <row r="16651" spans="1:1" s="200" customFormat="1" ht="12" hidden="1" customHeight="1">
      <c r="A16651" s="199"/>
    </row>
    <row r="16652" spans="1:1" s="200" customFormat="1" ht="12" hidden="1" customHeight="1">
      <c r="A16652" s="199"/>
    </row>
    <row r="16653" spans="1:1" s="200" customFormat="1" ht="12" hidden="1" customHeight="1">
      <c r="A16653" s="199"/>
    </row>
    <row r="16654" spans="1:1" s="200" customFormat="1" ht="12" hidden="1" customHeight="1">
      <c r="A16654" s="199"/>
    </row>
    <row r="16655" spans="1:1" s="200" customFormat="1" ht="12" hidden="1" customHeight="1">
      <c r="A16655" s="199"/>
    </row>
    <row r="16656" spans="1:1" s="200" customFormat="1" ht="12" hidden="1" customHeight="1">
      <c r="A16656" s="199"/>
    </row>
    <row r="16657" spans="1:1" s="200" customFormat="1" ht="12" hidden="1" customHeight="1">
      <c r="A16657" s="199"/>
    </row>
    <row r="16658" spans="1:1" s="200" customFormat="1" ht="12" hidden="1" customHeight="1">
      <c r="A16658" s="199"/>
    </row>
    <row r="16659" spans="1:1" s="200" customFormat="1" ht="12" hidden="1" customHeight="1">
      <c r="A16659" s="199"/>
    </row>
    <row r="16660" spans="1:1" s="200" customFormat="1" ht="12" hidden="1" customHeight="1">
      <c r="A16660" s="199"/>
    </row>
    <row r="16661" spans="1:1" s="200" customFormat="1" ht="12" hidden="1" customHeight="1">
      <c r="A16661" s="199"/>
    </row>
    <row r="16662" spans="1:1" s="200" customFormat="1" ht="12" hidden="1" customHeight="1">
      <c r="A16662" s="199"/>
    </row>
    <row r="16663" spans="1:1" s="200" customFormat="1" ht="12" hidden="1" customHeight="1">
      <c r="A16663" s="199"/>
    </row>
    <row r="16664" spans="1:1" s="200" customFormat="1" ht="12" hidden="1" customHeight="1">
      <c r="A16664" s="199"/>
    </row>
    <row r="16665" spans="1:1" s="200" customFormat="1" ht="12" hidden="1" customHeight="1">
      <c r="A16665" s="199"/>
    </row>
    <row r="16666" spans="1:1" s="200" customFormat="1" ht="12" hidden="1" customHeight="1">
      <c r="A16666" s="199"/>
    </row>
    <row r="16667" spans="1:1" s="200" customFormat="1" ht="12" hidden="1" customHeight="1">
      <c r="A16667" s="199"/>
    </row>
    <row r="16668" spans="1:1" s="200" customFormat="1" ht="12" hidden="1" customHeight="1">
      <c r="A16668" s="199"/>
    </row>
    <row r="16669" spans="1:1" s="200" customFormat="1" ht="12" hidden="1" customHeight="1">
      <c r="A16669" s="199"/>
    </row>
    <row r="16670" spans="1:1" s="200" customFormat="1" ht="12" hidden="1" customHeight="1">
      <c r="A16670" s="199"/>
    </row>
    <row r="16671" spans="1:1" s="200" customFormat="1" ht="12" hidden="1" customHeight="1">
      <c r="A16671" s="199"/>
    </row>
    <row r="16672" spans="1:1" s="200" customFormat="1" ht="12" hidden="1" customHeight="1">
      <c r="A16672" s="199"/>
    </row>
    <row r="16673" spans="1:1" s="200" customFormat="1" ht="12" hidden="1" customHeight="1">
      <c r="A16673" s="199"/>
    </row>
    <row r="16674" spans="1:1" s="200" customFormat="1" ht="12" hidden="1" customHeight="1">
      <c r="A16674" s="199"/>
    </row>
    <row r="16675" spans="1:1" s="200" customFormat="1" ht="12" hidden="1" customHeight="1">
      <c r="A16675" s="199"/>
    </row>
    <row r="16676" spans="1:1" s="200" customFormat="1" ht="12" hidden="1" customHeight="1">
      <c r="A16676" s="199"/>
    </row>
    <row r="16677" spans="1:1" s="200" customFormat="1" ht="12" hidden="1" customHeight="1">
      <c r="A16677" s="199"/>
    </row>
    <row r="16678" spans="1:1" s="200" customFormat="1" ht="12" hidden="1" customHeight="1">
      <c r="A16678" s="199"/>
    </row>
    <row r="16679" spans="1:1" s="200" customFormat="1" ht="12" hidden="1" customHeight="1">
      <c r="A16679" s="199"/>
    </row>
    <row r="16680" spans="1:1" s="200" customFormat="1" ht="12" hidden="1" customHeight="1">
      <c r="A16680" s="199"/>
    </row>
    <row r="16681" spans="1:1" s="200" customFormat="1" ht="12" hidden="1" customHeight="1">
      <c r="A16681" s="199"/>
    </row>
    <row r="16682" spans="1:1" s="200" customFormat="1" ht="12" hidden="1" customHeight="1">
      <c r="A16682" s="199"/>
    </row>
    <row r="16683" spans="1:1" s="200" customFormat="1" ht="12" hidden="1" customHeight="1">
      <c r="A16683" s="199"/>
    </row>
    <row r="16684" spans="1:1" s="200" customFormat="1" ht="12" hidden="1" customHeight="1">
      <c r="A16684" s="199"/>
    </row>
    <row r="16685" spans="1:1" s="200" customFormat="1" ht="12" hidden="1" customHeight="1">
      <c r="A16685" s="199"/>
    </row>
    <row r="16686" spans="1:1" s="200" customFormat="1" ht="12" hidden="1" customHeight="1">
      <c r="A16686" s="199"/>
    </row>
    <row r="16687" spans="1:1" s="200" customFormat="1" ht="12" hidden="1" customHeight="1">
      <c r="A16687" s="199"/>
    </row>
    <row r="16688" spans="1:1" s="200" customFormat="1" ht="12" hidden="1" customHeight="1">
      <c r="A16688" s="199"/>
    </row>
    <row r="16689" spans="1:1" s="200" customFormat="1" ht="12" hidden="1" customHeight="1">
      <c r="A16689" s="199"/>
    </row>
    <row r="16690" spans="1:1" s="200" customFormat="1" ht="12" hidden="1" customHeight="1">
      <c r="A16690" s="199"/>
    </row>
    <row r="16691" spans="1:1" s="200" customFormat="1" ht="12" hidden="1" customHeight="1">
      <c r="A16691" s="199"/>
    </row>
    <row r="16692" spans="1:1" s="200" customFormat="1" ht="12" hidden="1" customHeight="1">
      <c r="A16692" s="199"/>
    </row>
    <row r="16693" spans="1:1" s="200" customFormat="1" ht="12" hidden="1" customHeight="1">
      <c r="A16693" s="199"/>
    </row>
    <row r="16694" spans="1:1" s="200" customFormat="1" ht="12" hidden="1" customHeight="1">
      <c r="A16694" s="199"/>
    </row>
    <row r="16695" spans="1:1" s="200" customFormat="1" ht="12" hidden="1" customHeight="1">
      <c r="A16695" s="199"/>
    </row>
    <row r="16696" spans="1:1" s="200" customFormat="1" ht="12" hidden="1" customHeight="1">
      <c r="A16696" s="199"/>
    </row>
    <row r="16697" spans="1:1" s="200" customFormat="1" ht="12" hidden="1" customHeight="1">
      <c r="A16697" s="199"/>
    </row>
    <row r="16698" spans="1:1" s="200" customFormat="1" ht="12" hidden="1" customHeight="1">
      <c r="A16698" s="199"/>
    </row>
    <row r="16699" spans="1:1" s="200" customFormat="1" ht="12" hidden="1" customHeight="1">
      <c r="A16699" s="199"/>
    </row>
    <row r="16700" spans="1:1" s="200" customFormat="1" ht="12" hidden="1" customHeight="1">
      <c r="A16700" s="199"/>
    </row>
    <row r="16701" spans="1:1" s="200" customFormat="1" ht="12" hidden="1" customHeight="1">
      <c r="A16701" s="199"/>
    </row>
    <row r="16702" spans="1:1" s="200" customFormat="1" ht="12" hidden="1" customHeight="1">
      <c r="A16702" s="199"/>
    </row>
    <row r="16703" spans="1:1" s="200" customFormat="1" ht="12" hidden="1" customHeight="1">
      <c r="A16703" s="199"/>
    </row>
    <row r="16704" spans="1:1" s="200" customFormat="1" ht="12" hidden="1" customHeight="1">
      <c r="A16704" s="199"/>
    </row>
    <row r="16705" spans="1:1" s="200" customFormat="1" ht="12" hidden="1" customHeight="1">
      <c r="A16705" s="199"/>
    </row>
    <row r="16706" spans="1:1" s="200" customFormat="1" ht="12" hidden="1" customHeight="1">
      <c r="A16706" s="199"/>
    </row>
    <row r="16707" spans="1:1" s="200" customFormat="1" ht="12" hidden="1" customHeight="1">
      <c r="A16707" s="199"/>
    </row>
    <row r="16708" spans="1:1" s="200" customFormat="1" ht="12" hidden="1" customHeight="1">
      <c r="A16708" s="199"/>
    </row>
    <row r="16709" spans="1:1" s="200" customFormat="1" ht="12" hidden="1" customHeight="1">
      <c r="A16709" s="199"/>
    </row>
    <row r="16710" spans="1:1" s="200" customFormat="1" ht="12" hidden="1" customHeight="1">
      <c r="A16710" s="199"/>
    </row>
    <row r="16711" spans="1:1" s="200" customFormat="1" ht="12" hidden="1" customHeight="1">
      <c r="A16711" s="199"/>
    </row>
    <row r="16712" spans="1:1" s="200" customFormat="1" ht="12" hidden="1" customHeight="1">
      <c r="A16712" s="199"/>
    </row>
    <row r="16713" spans="1:1" s="200" customFormat="1" ht="12" hidden="1" customHeight="1">
      <c r="A16713" s="199"/>
    </row>
    <row r="16714" spans="1:1" s="200" customFormat="1" ht="12" hidden="1" customHeight="1">
      <c r="A16714" s="199"/>
    </row>
    <row r="16715" spans="1:1" s="200" customFormat="1" ht="12" hidden="1" customHeight="1">
      <c r="A16715" s="199"/>
    </row>
    <row r="16716" spans="1:1" s="200" customFormat="1" ht="12" hidden="1" customHeight="1">
      <c r="A16716" s="199"/>
    </row>
    <row r="16717" spans="1:1" s="200" customFormat="1" ht="12" hidden="1" customHeight="1">
      <c r="A16717" s="199"/>
    </row>
    <row r="16718" spans="1:1" s="200" customFormat="1" ht="12" hidden="1" customHeight="1">
      <c r="A16718" s="199"/>
    </row>
    <row r="16719" spans="1:1" s="200" customFormat="1" ht="12" hidden="1" customHeight="1">
      <c r="A16719" s="199"/>
    </row>
    <row r="16720" spans="1:1" s="200" customFormat="1" ht="12" hidden="1" customHeight="1">
      <c r="A16720" s="199"/>
    </row>
    <row r="16721" spans="1:1" s="200" customFormat="1" ht="12" hidden="1" customHeight="1">
      <c r="A16721" s="199"/>
    </row>
    <row r="16722" spans="1:1" s="200" customFormat="1" ht="12" hidden="1" customHeight="1">
      <c r="A16722" s="199"/>
    </row>
    <row r="16723" spans="1:1" s="200" customFormat="1" ht="12" hidden="1" customHeight="1">
      <c r="A16723" s="199"/>
    </row>
    <row r="16724" spans="1:1" s="200" customFormat="1" ht="12" hidden="1" customHeight="1">
      <c r="A16724" s="199"/>
    </row>
    <row r="16725" spans="1:1" s="200" customFormat="1" ht="12" hidden="1" customHeight="1">
      <c r="A16725" s="199"/>
    </row>
    <row r="16726" spans="1:1" s="200" customFormat="1" ht="12" hidden="1" customHeight="1">
      <c r="A16726" s="199"/>
    </row>
    <row r="16727" spans="1:1" s="200" customFormat="1" ht="12" hidden="1" customHeight="1">
      <c r="A16727" s="199"/>
    </row>
    <row r="16728" spans="1:1" s="200" customFormat="1" ht="12" hidden="1" customHeight="1">
      <c r="A16728" s="199"/>
    </row>
    <row r="16729" spans="1:1" s="200" customFormat="1" ht="12" hidden="1" customHeight="1">
      <c r="A16729" s="199"/>
    </row>
    <row r="16730" spans="1:1" s="200" customFormat="1" ht="12" hidden="1" customHeight="1">
      <c r="A16730" s="199"/>
    </row>
    <row r="16731" spans="1:1" s="200" customFormat="1" ht="12" hidden="1" customHeight="1">
      <c r="A16731" s="199"/>
    </row>
    <row r="16732" spans="1:1" s="200" customFormat="1" ht="12" hidden="1" customHeight="1">
      <c r="A16732" s="199"/>
    </row>
    <row r="16733" spans="1:1" s="200" customFormat="1" ht="12" hidden="1" customHeight="1">
      <c r="A16733" s="199"/>
    </row>
    <row r="16734" spans="1:1" s="200" customFormat="1" ht="12" hidden="1" customHeight="1">
      <c r="A16734" s="199"/>
    </row>
    <row r="16735" spans="1:1" s="200" customFormat="1" ht="12" hidden="1" customHeight="1">
      <c r="A16735" s="199"/>
    </row>
    <row r="16736" spans="1:1" s="200" customFormat="1" ht="12" hidden="1" customHeight="1">
      <c r="A16736" s="199"/>
    </row>
    <row r="16737" spans="1:1" s="200" customFormat="1" ht="12" hidden="1" customHeight="1">
      <c r="A16737" s="199"/>
    </row>
    <row r="16738" spans="1:1" s="200" customFormat="1" ht="12" hidden="1" customHeight="1">
      <c r="A16738" s="199"/>
    </row>
    <row r="16739" spans="1:1" s="200" customFormat="1" ht="12" hidden="1" customHeight="1">
      <c r="A16739" s="199"/>
    </row>
    <row r="16740" spans="1:1" s="200" customFormat="1" ht="12" hidden="1" customHeight="1">
      <c r="A16740" s="199"/>
    </row>
    <row r="16741" spans="1:1" s="200" customFormat="1" ht="12" hidden="1" customHeight="1">
      <c r="A16741" s="199"/>
    </row>
    <row r="16742" spans="1:1" s="200" customFormat="1" ht="12" hidden="1" customHeight="1">
      <c r="A16742" s="199"/>
    </row>
    <row r="16743" spans="1:1" s="200" customFormat="1" ht="12" hidden="1" customHeight="1">
      <c r="A16743" s="199"/>
    </row>
    <row r="16744" spans="1:1" s="200" customFormat="1" ht="12" hidden="1" customHeight="1">
      <c r="A16744" s="199"/>
    </row>
    <row r="16745" spans="1:1" s="200" customFormat="1" ht="12" hidden="1" customHeight="1">
      <c r="A16745" s="199"/>
    </row>
    <row r="16746" spans="1:1" s="200" customFormat="1" ht="12" hidden="1" customHeight="1">
      <c r="A16746" s="199"/>
    </row>
    <row r="16747" spans="1:1" s="200" customFormat="1" ht="12" hidden="1" customHeight="1">
      <c r="A16747" s="199"/>
    </row>
    <row r="16748" spans="1:1" s="200" customFormat="1" ht="12" hidden="1" customHeight="1">
      <c r="A16748" s="199"/>
    </row>
    <row r="16749" spans="1:1" s="200" customFormat="1" ht="12" hidden="1" customHeight="1">
      <c r="A16749" s="199"/>
    </row>
    <row r="16750" spans="1:1" s="200" customFormat="1" ht="12" hidden="1" customHeight="1">
      <c r="A16750" s="199"/>
    </row>
    <row r="16751" spans="1:1" s="200" customFormat="1" ht="12" hidden="1" customHeight="1">
      <c r="A16751" s="199"/>
    </row>
    <row r="16752" spans="1:1" s="200" customFormat="1" ht="12" hidden="1" customHeight="1">
      <c r="A16752" s="199"/>
    </row>
    <row r="16753" spans="1:1" s="200" customFormat="1" ht="12" hidden="1" customHeight="1">
      <c r="A16753" s="199"/>
    </row>
    <row r="16754" spans="1:1" s="200" customFormat="1" ht="12" hidden="1" customHeight="1">
      <c r="A16754" s="199"/>
    </row>
    <row r="16755" spans="1:1" s="200" customFormat="1" ht="12" hidden="1" customHeight="1">
      <c r="A16755" s="199"/>
    </row>
    <row r="16756" spans="1:1" s="200" customFormat="1" ht="12" hidden="1" customHeight="1">
      <c r="A16756" s="199"/>
    </row>
    <row r="16757" spans="1:1" s="200" customFormat="1" ht="12" hidden="1" customHeight="1">
      <c r="A16757" s="199"/>
    </row>
    <row r="16758" spans="1:1" s="200" customFormat="1" ht="12" hidden="1" customHeight="1">
      <c r="A16758" s="199"/>
    </row>
    <row r="16759" spans="1:1" s="200" customFormat="1" ht="12" hidden="1" customHeight="1">
      <c r="A16759" s="199"/>
    </row>
    <row r="16760" spans="1:1" s="200" customFormat="1" ht="12" hidden="1" customHeight="1">
      <c r="A16760" s="199"/>
    </row>
    <row r="16761" spans="1:1" s="200" customFormat="1" ht="12" hidden="1" customHeight="1">
      <c r="A16761" s="199"/>
    </row>
    <row r="16762" spans="1:1" s="200" customFormat="1" ht="12" hidden="1" customHeight="1">
      <c r="A16762" s="199"/>
    </row>
    <row r="16763" spans="1:1" s="200" customFormat="1" ht="12" hidden="1" customHeight="1">
      <c r="A16763" s="199"/>
    </row>
    <row r="16764" spans="1:1" s="200" customFormat="1" ht="12" hidden="1" customHeight="1">
      <c r="A16764" s="199"/>
    </row>
    <row r="16765" spans="1:1" s="200" customFormat="1" ht="12" hidden="1" customHeight="1">
      <c r="A16765" s="199"/>
    </row>
    <row r="16766" spans="1:1" s="200" customFormat="1" ht="12" hidden="1" customHeight="1">
      <c r="A16766" s="199"/>
    </row>
    <row r="16767" spans="1:1" s="200" customFormat="1" ht="12" hidden="1" customHeight="1">
      <c r="A16767" s="199"/>
    </row>
    <row r="16768" spans="1:1" s="200" customFormat="1" ht="12" hidden="1" customHeight="1">
      <c r="A16768" s="199"/>
    </row>
    <row r="16769" spans="1:1" s="200" customFormat="1" ht="12" hidden="1" customHeight="1">
      <c r="A16769" s="199"/>
    </row>
    <row r="16770" spans="1:1" s="200" customFormat="1" ht="12" hidden="1" customHeight="1">
      <c r="A16770" s="199"/>
    </row>
    <row r="16771" spans="1:1" s="200" customFormat="1" ht="12" hidden="1" customHeight="1">
      <c r="A16771" s="199"/>
    </row>
    <row r="16772" spans="1:1" s="200" customFormat="1" ht="12" hidden="1" customHeight="1">
      <c r="A16772" s="199"/>
    </row>
    <row r="16773" spans="1:1" s="200" customFormat="1" ht="12" hidden="1" customHeight="1">
      <c r="A16773" s="199"/>
    </row>
    <row r="16774" spans="1:1" s="200" customFormat="1" ht="12" hidden="1" customHeight="1">
      <c r="A16774" s="199"/>
    </row>
    <row r="16775" spans="1:1" s="200" customFormat="1" ht="12" hidden="1" customHeight="1">
      <c r="A16775" s="199"/>
    </row>
    <row r="16776" spans="1:1" s="200" customFormat="1" ht="12" hidden="1" customHeight="1">
      <c r="A16776" s="199"/>
    </row>
    <row r="16777" spans="1:1" s="200" customFormat="1" ht="12" hidden="1" customHeight="1">
      <c r="A16777" s="199"/>
    </row>
    <row r="16778" spans="1:1" s="200" customFormat="1" ht="12" hidden="1" customHeight="1">
      <c r="A16778" s="199"/>
    </row>
    <row r="16779" spans="1:1" s="200" customFormat="1" ht="12" hidden="1" customHeight="1">
      <c r="A16779" s="199"/>
    </row>
    <row r="16780" spans="1:1" s="200" customFormat="1" ht="12" hidden="1" customHeight="1">
      <c r="A16780" s="199"/>
    </row>
    <row r="16781" spans="1:1" s="200" customFormat="1" ht="12" hidden="1" customHeight="1">
      <c r="A16781" s="199"/>
    </row>
    <row r="16782" spans="1:1" s="200" customFormat="1" ht="12" hidden="1" customHeight="1">
      <c r="A16782" s="199"/>
    </row>
    <row r="16783" spans="1:1" s="200" customFormat="1" ht="12" hidden="1" customHeight="1">
      <c r="A16783" s="199"/>
    </row>
    <row r="16784" spans="1:1" s="200" customFormat="1" ht="12" hidden="1" customHeight="1">
      <c r="A16784" s="199"/>
    </row>
    <row r="16785" spans="1:1" s="200" customFormat="1" ht="12" hidden="1" customHeight="1">
      <c r="A16785" s="199"/>
    </row>
    <row r="16786" spans="1:1" s="200" customFormat="1" ht="12" hidden="1" customHeight="1">
      <c r="A16786" s="199"/>
    </row>
    <row r="16787" spans="1:1" s="200" customFormat="1" ht="12" hidden="1" customHeight="1">
      <c r="A16787" s="199"/>
    </row>
    <row r="16788" spans="1:1" s="200" customFormat="1" ht="12" hidden="1" customHeight="1">
      <c r="A16788" s="199"/>
    </row>
    <row r="16789" spans="1:1" s="200" customFormat="1" ht="12" hidden="1" customHeight="1">
      <c r="A16789" s="199"/>
    </row>
    <row r="16790" spans="1:1" s="200" customFormat="1" ht="12" hidden="1" customHeight="1">
      <c r="A16790" s="199"/>
    </row>
    <row r="16791" spans="1:1" s="200" customFormat="1" ht="12" hidden="1" customHeight="1">
      <c r="A16791" s="199"/>
    </row>
    <row r="16792" spans="1:1" s="200" customFormat="1" ht="12" hidden="1" customHeight="1">
      <c r="A16792" s="199"/>
    </row>
    <row r="16793" spans="1:1" s="200" customFormat="1" ht="12" hidden="1" customHeight="1">
      <c r="A16793" s="199"/>
    </row>
    <row r="16794" spans="1:1" s="200" customFormat="1" ht="12" hidden="1" customHeight="1">
      <c r="A16794" s="199"/>
    </row>
    <row r="16795" spans="1:1" s="200" customFormat="1" ht="12" hidden="1" customHeight="1">
      <c r="A16795" s="199"/>
    </row>
    <row r="16796" spans="1:1" s="200" customFormat="1" ht="12" hidden="1" customHeight="1">
      <c r="A16796" s="199"/>
    </row>
    <row r="16797" spans="1:1" s="200" customFormat="1" ht="12" hidden="1" customHeight="1">
      <c r="A16797" s="199"/>
    </row>
    <row r="16798" spans="1:1" s="200" customFormat="1" ht="12" hidden="1" customHeight="1">
      <c r="A16798" s="199"/>
    </row>
    <row r="16799" spans="1:1" s="200" customFormat="1" ht="12" hidden="1" customHeight="1">
      <c r="A16799" s="199"/>
    </row>
    <row r="16800" spans="1:1" s="200" customFormat="1" ht="12" hidden="1" customHeight="1">
      <c r="A16800" s="199"/>
    </row>
    <row r="16801" spans="1:1" s="200" customFormat="1" ht="12" hidden="1" customHeight="1">
      <c r="A16801" s="199"/>
    </row>
    <row r="16802" spans="1:1" s="200" customFormat="1" ht="12" hidden="1" customHeight="1">
      <c r="A16802" s="199"/>
    </row>
    <row r="16803" spans="1:1" s="200" customFormat="1" ht="12" hidden="1" customHeight="1">
      <c r="A16803" s="199"/>
    </row>
    <row r="16804" spans="1:1" s="200" customFormat="1" ht="12" hidden="1" customHeight="1">
      <c r="A16804" s="199"/>
    </row>
    <row r="16805" spans="1:1" s="200" customFormat="1" ht="12" hidden="1" customHeight="1">
      <c r="A16805" s="199"/>
    </row>
    <row r="16806" spans="1:1" s="200" customFormat="1" ht="12" hidden="1" customHeight="1">
      <c r="A16806" s="199"/>
    </row>
    <row r="16807" spans="1:1" s="200" customFormat="1" ht="12" hidden="1" customHeight="1">
      <c r="A16807" s="199"/>
    </row>
    <row r="16808" spans="1:1" s="200" customFormat="1" ht="12" hidden="1" customHeight="1">
      <c r="A16808" s="199"/>
    </row>
    <row r="16809" spans="1:1" s="200" customFormat="1" ht="12" hidden="1" customHeight="1">
      <c r="A16809" s="199"/>
    </row>
    <row r="16810" spans="1:1" s="200" customFormat="1" ht="12" hidden="1" customHeight="1">
      <c r="A16810" s="199"/>
    </row>
    <row r="16811" spans="1:1" s="200" customFormat="1" ht="12" hidden="1" customHeight="1">
      <c r="A16811" s="199"/>
    </row>
    <row r="16812" spans="1:1" s="200" customFormat="1" ht="12" hidden="1" customHeight="1">
      <c r="A16812" s="199"/>
    </row>
    <row r="16813" spans="1:1" s="200" customFormat="1" ht="12" hidden="1" customHeight="1">
      <c r="A16813" s="199"/>
    </row>
    <row r="16814" spans="1:1" s="200" customFormat="1" ht="12" hidden="1" customHeight="1">
      <c r="A16814" s="199"/>
    </row>
    <row r="16815" spans="1:1" s="200" customFormat="1" ht="12" hidden="1" customHeight="1">
      <c r="A16815" s="199"/>
    </row>
    <row r="16816" spans="1:1" s="200" customFormat="1" ht="12" hidden="1" customHeight="1">
      <c r="A16816" s="199"/>
    </row>
    <row r="16817" spans="1:1" s="200" customFormat="1" ht="12" hidden="1" customHeight="1">
      <c r="A16817" s="199"/>
    </row>
    <row r="16818" spans="1:1" s="200" customFormat="1" ht="12" hidden="1" customHeight="1">
      <c r="A16818" s="199"/>
    </row>
    <row r="16819" spans="1:1" s="200" customFormat="1" ht="12" hidden="1" customHeight="1">
      <c r="A16819" s="199"/>
    </row>
    <row r="16820" spans="1:1" s="200" customFormat="1" ht="12" hidden="1" customHeight="1">
      <c r="A16820" s="199"/>
    </row>
    <row r="16821" spans="1:1" s="200" customFormat="1" ht="12" hidden="1" customHeight="1">
      <c r="A16821" s="199"/>
    </row>
    <row r="16822" spans="1:1" s="200" customFormat="1" ht="12" hidden="1" customHeight="1">
      <c r="A16822" s="199"/>
    </row>
    <row r="16823" spans="1:1" s="200" customFormat="1" ht="12" hidden="1" customHeight="1">
      <c r="A16823" s="199"/>
    </row>
    <row r="16824" spans="1:1" s="200" customFormat="1" ht="12" hidden="1" customHeight="1">
      <c r="A16824" s="199"/>
    </row>
    <row r="16825" spans="1:1" s="200" customFormat="1" ht="12" hidden="1" customHeight="1">
      <c r="A16825" s="199"/>
    </row>
    <row r="16826" spans="1:1" s="200" customFormat="1" ht="12" hidden="1" customHeight="1">
      <c r="A16826" s="199"/>
    </row>
    <row r="16827" spans="1:1" s="200" customFormat="1" ht="12" hidden="1" customHeight="1">
      <c r="A16827" s="199"/>
    </row>
    <row r="16828" spans="1:1" s="200" customFormat="1" ht="12" hidden="1" customHeight="1">
      <c r="A16828" s="199"/>
    </row>
    <row r="16829" spans="1:1" s="200" customFormat="1" ht="12" hidden="1" customHeight="1">
      <c r="A16829" s="199"/>
    </row>
    <row r="16830" spans="1:1" s="200" customFormat="1" ht="12" hidden="1" customHeight="1">
      <c r="A16830" s="199"/>
    </row>
    <row r="16831" spans="1:1" s="200" customFormat="1" ht="12" hidden="1" customHeight="1">
      <c r="A16831" s="199"/>
    </row>
    <row r="16832" spans="1:1" s="200" customFormat="1" ht="12" hidden="1" customHeight="1">
      <c r="A16832" s="199"/>
    </row>
    <row r="16833" spans="1:1" s="200" customFormat="1" ht="12" hidden="1" customHeight="1">
      <c r="A16833" s="199"/>
    </row>
    <row r="16834" spans="1:1" s="200" customFormat="1" ht="12" hidden="1" customHeight="1">
      <c r="A16834" s="199"/>
    </row>
    <row r="16835" spans="1:1" s="200" customFormat="1" ht="12" hidden="1" customHeight="1">
      <c r="A16835" s="199"/>
    </row>
    <row r="16836" spans="1:1" s="200" customFormat="1" ht="12" hidden="1" customHeight="1">
      <c r="A16836" s="199"/>
    </row>
    <row r="16837" spans="1:1" s="200" customFormat="1" ht="12" hidden="1" customHeight="1">
      <c r="A16837" s="199"/>
    </row>
    <row r="16838" spans="1:1" s="200" customFormat="1" ht="12" hidden="1" customHeight="1">
      <c r="A16838" s="199"/>
    </row>
    <row r="16839" spans="1:1" s="200" customFormat="1" ht="12" hidden="1" customHeight="1">
      <c r="A16839" s="199"/>
    </row>
    <row r="16840" spans="1:1" s="200" customFormat="1" ht="12" hidden="1" customHeight="1">
      <c r="A16840" s="199"/>
    </row>
    <row r="16841" spans="1:1" s="200" customFormat="1" ht="12" hidden="1" customHeight="1">
      <c r="A16841" s="199"/>
    </row>
    <row r="16842" spans="1:1" s="200" customFormat="1" ht="12" hidden="1" customHeight="1">
      <c r="A16842" s="199"/>
    </row>
    <row r="16843" spans="1:1" s="200" customFormat="1" ht="12" hidden="1" customHeight="1">
      <c r="A16843" s="199"/>
    </row>
    <row r="16844" spans="1:1" s="200" customFormat="1" ht="12" hidden="1" customHeight="1">
      <c r="A16844" s="199"/>
    </row>
    <row r="16845" spans="1:1" s="200" customFormat="1" ht="12" hidden="1" customHeight="1">
      <c r="A16845" s="199"/>
    </row>
    <row r="16846" spans="1:1" s="200" customFormat="1" ht="12" hidden="1" customHeight="1">
      <c r="A16846" s="199"/>
    </row>
    <row r="16847" spans="1:1" s="200" customFormat="1" ht="12" hidden="1" customHeight="1">
      <c r="A16847" s="199"/>
    </row>
    <row r="16848" spans="1:1" s="200" customFormat="1" ht="12" hidden="1" customHeight="1">
      <c r="A16848" s="199"/>
    </row>
    <row r="16849" spans="1:1" s="200" customFormat="1" ht="12" hidden="1" customHeight="1">
      <c r="A16849" s="199"/>
    </row>
    <row r="16850" spans="1:1" s="200" customFormat="1" ht="12" hidden="1" customHeight="1">
      <c r="A16850" s="199"/>
    </row>
    <row r="16851" spans="1:1" s="200" customFormat="1" ht="12" hidden="1" customHeight="1">
      <c r="A16851" s="199"/>
    </row>
    <row r="16852" spans="1:1" s="200" customFormat="1" ht="12" hidden="1" customHeight="1">
      <c r="A16852" s="199"/>
    </row>
    <row r="16853" spans="1:1" s="200" customFormat="1" ht="12" hidden="1" customHeight="1">
      <c r="A16853" s="199"/>
    </row>
    <row r="16854" spans="1:1" s="200" customFormat="1" ht="12" hidden="1" customHeight="1">
      <c r="A16854" s="199"/>
    </row>
    <row r="16855" spans="1:1" s="200" customFormat="1" ht="12" hidden="1" customHeight="1">
      <c r="A16855" s="199"/>
    </row>
    <row r="16856" spans="1:1" s="200" customFormat="1" ht="12" hidden="1" customHeight="1">
      <c r="A16856" s="199"/>
    </row>
    <row r="16857" spans="1:1" s="200" customFormat="1" ht="12" hidden="1" customHeight="1">
      <c r="A16857" s="199"/>
    </row>
    <row r="16858" spans="1:1" s="200" customFormat="1" ht="12" hidden="1" customHeight="1">
      <c r="A16858" s="199"/>
    </row>
    <row r="16859" spans="1:1" s="200" customFormat="1" ht="12" hidden="1" customHeight="1">
      <c r="A16859" s="199"/>
    </row>
    <row r="16860" spans="1:1" s="200" customFormat="1" ht="12" hidden="1" customHeight="1">
      <c r="A16860" s="199"/>
    </row>
    <row r="16861" spans="1:1" s="200" customFormat="1" ht="12" hidden="1" customHeight="1">
      <c r="A16861" s="199"/>
    </row>
    <row r="16862" spans="1:1" s="200" customFormat="1" ht="12" hidden="1" customHeight="1">
      <c r="A16862" s="199"/>
    </row>
    <row r="16863" spans="1:1" s="200" customFormat="1" ht="12" hidden="1" customHeight="1">
      <c r="A16863" s="199"/>
    </row>
    <row r="16864" spans="1:1" s="200" customFormat="1" ht="12" hidden="1" customHeight="1">
      <c r="A16864" s="199"/>
    </row>
    <row r="16865" spans="1:1" s="200" customFormat="1" ht="12" hidden="1" customHeight="1">
      <c r="A16865" s="199"/>
    </row>
    <row r="16866" spans="1:1" s="200" customFormat="1" ht="12" hidden="1" customHeight="1">
      <c r="A16866" s="199"/>
    </row>
    <row r="16867" spans="1:1" s="200" customFormat="1" ht="12" hidden="1" customHeight="1">
      <c r="A16867" s="199"/>
    </row>
    <row r="16868" spans="1:1" s="200" customFormat="1" ht="12" hidden="1" customHeight="1">
      <c r="A16868" s="199"/>
    </row>
    <row r="16869" spans="1:1" s="200" customFormat="1" ht="12" hidden="1" customHeight="1">
      <c r="A16869" s="199"/>
    </row>
    <row r="16870" spans="1:1" s="200" customFormat="1" ht="12" hidden="1" customHeight="1">
      <c r="A16870" s="199"/>
    </row>
    <row r="16871" spans="1:1" s="200" customFormat="1" ht="12" hidden="1" customHeight="1">
      <c r="A16871" s="199"/>
    </row>
    <row r="16872" spans="1:1" s="200" customFormat="1" ht="12" hidden="1" customHeight="1">
      <c r="A16872" s="199"/>
    </row>
    <row r="16873" spans="1:1" s="200" customFormat="1" ht="12" hidden="1" customHeight="1">
      <c r="A16873" s="199"/>
    </row>
    <row r="16874" spans="1:1" s="200" customFormat="1" ht="12" hidden="1" customHeight="1">
      <c r="A16874" s="199"/>
    </row>
    <row r="16875" spans="1:1" s="200" customFormat="1" ht="12" hidden="1" customHeight="1">
      <c r="A16875" s="199"/>
    </row>
    <row r="16876" spans="1:1" s="200" customFormat="1" ht="12" hidden="1" customHeight="1">
      <c r="A16876" s="199"/>
    </row>
    <row r="16877" spans="1:1" s="200" customFormat="1" ht="12" hidden="1" customHeight="1">
      <c r="A16877" s="199"/>
    </row>
    <row r="16878" spans="1:1" s="200" customFormat="1" ht="12" hidden="1" customHeight="1">
      <c r="A16878" s="199"/>
    </row>
    <row r="16879" spans="1:1" s="200" customFormat="1" ht="12" hidden="1" customHeight="1">
      <c r="A16879" s="199"/>
    </row>
    <row r="16880" spans="1:1" s="200" customFormat="1" ht="12" hidden="1" customHeight="1">
      <c r="A16880" s="199"/>
    </row>
    <row r="16881" spans="1:1" s="200" customFormat="1" ht="12" hidden="1" customHeight="1">
      <c r="A16881" s="199"/>
    </row>
    <row r="16882" spans="1:1" s="200" customFormat="1" ht="12" hidden="1" customHeight="1">
      <c r="A16882" s="199"/>
    </row>
    <row r="16883" spans="1:1" s="200" customFormat="1" ht="12" hidden="1" customHeight="1">
      <c r="A16883" s="199"/>
    </row>
    <row r="16884" spans="1:1" s="200" customFormat="1" ht="12" hidden="1" customHeight="1">
      <c r="A16884" s="199"/>
    </row>
    <row r="16885" spans="1:1" s="200" customFormat="1" ht="12" hidden="1" customHeight="1">
      <c r="A16885" s="199"/>
    </row>
    <row r="16886" spans="1:1" s="200" customFormat="1" ht="12" hidden="1" customHeight="1">
      <c r="A16886" s="199"/>
    </row>
    <row r="16887" spans="1:1" s="200" customFormat="1" ht="12" hidden="1" customHeight="1">
      <c r="A16887" s="199"/>
    </row>
    <row r="16888" spans="1:1" s="200" customFormat="1" ht="12" hidden="1" customHeight="1">
      <c r="A16888" s="199"/>
    </row>
    <row r="16889" spans="1:1" s="200" customFormat="1" ht="12" hidden="1" customHeight="1">
      <c r="A16889" s="199"/>
    </row>
    <row r="16890" spans="1:1" s="200" customFormat="1" ht="12" hidden="1" customHeight="1">
      <c r="A16890" s="199"/>
    </row>
    <row r="16891" spans="1:1" s="200" customFormat="1" ht="12" hidden="1" customHeight="1">
      <c r="A16891" s="199"/>
    </row>
    <row r="16892" spans="1:1" s="200" customFormat="1" ht="12" hidden="1" customHeight="1">
      <c r="A16892" s="199"/>
    </row>
    <row r="16893" spans="1:1" s="200" customFormat="1" ht="12" hidden="1" customHeight="1">
      <c r="A16893" s="199"/>
    </row>
    <row r="16894" spans="1:1" s="200" customFormat="1" ht="12" hidden="1" customHeight="1">
      <c r="A16894" s="199"/>
    </row>
    <row r="16895" spans="1:1" s="200" customFormat="1" ht="12" hidden="1" customHeight="1">
      <c r="A16895" s="199"/>
    </row>
    <row r="16896" spans="1:1" s="200" customFormat="1" ht="12" hidden="1" customHeight="1">
      <c r="A16896" s="199"/>
    </row>
    <row r="16897" spans="1:1" s="200" customFormat="1" ht="12" hidden="1" customHeight="1">
      <c r="A16897" s="199"/>
    </row>
    <row r="16898" spans="1:1" s="200" customFormat="1" ht="12" hidden="1" customHeight="1">
      <c r="A16898" s="199"/>
    </row>
    <row r="16899" spans="1:1" s="200" customFormat="1" ht="12" hidden="1" customHeight="1">
      <c r="A16899" s="199"/>
    </row>
    <row r="16900" spans="1:1" s="200" customFormat="1" ht="12" hidden="1" customHeight="1">
      <c r="A16900" s="199"/>
    </row>
    <row r="16901" spans="1:1" s="200" customFormat="1" ht="12" hidden="1" customHeight="1">
      <c r="A16901" s="199"/>
    </row>
    <row r="16902" spans="1:1" s="200" customFormat="1" ht="12" hidden="1" customHeight="1">
      <c r="A16902" s="199"/>
    </row>
    <row r="16903" spans="1:1" s="200" customFormat="1" ht="12" hidden="1" customHeight="1">
      <c r="A16903" s="199"/>
    </row>
    <row r="16904" spans="1:1" s="200" customFormat="1" ht="12" hidden="1" customHeight="1">
      <c r="A16904" s="199"/>
    </row>
    <row r="16905" spans="1:1" s="200" customFormat="1" ht="12" hidden="1" customHeight="1">
      <c r="A16905" s="199"/>
    </row>
    <row r="16906" spans="1:1" s="200" customFormat="1" ht="12" hidden="1" customHeight="1">
      <c r="A16906" s="199"/>
    </row>
    <row r="16907" spans="1:1" s="200" customFormat="1" ht="12" hidden="1" customHeight="1">
      <c r="A16907" s="199"/>
    </row>
    <row r="16908" spans="1:1" s="200" customFormat="1" ht="12" hidden="1" customHeight="1">
      <c r="A16908" s="199"/>
    </row>
    <row r="16909" spans="1:1" s="200" customFormat="1" ht="12" hidden="1" customHeight="1">
      <c r="A16909" s="199"/>
    </row>
    <row r="16910" spans="1:1" s="200" customFormat="1" ht="12" hidden="1" customHeight="1">
      <c r="A16910" s="199"/>
    </row>
    <row r="16911" spans="1:1" s="200" customFormat="1" ht="12" hidden="1" customHeight="1">
      <c r="A16911" s="199"/>
    </row>
    <row r="16912" spans="1:1" s="200" customFormat="1" ht="12" hidden="1" customHeight="1">
      <c r="A16912" s="199"/>
    </row>
    <row r="16913" spans="1:1" s="200" customFormat="1" ht="12" hidden="1" customHeight="1">
      <c r="A16913" s="199"/>
    </row>
    <row r="16914" spans="1:1" s="200" customFormat="1" ht="12" hidden="1" customHeight="1">
      <c r="A16914" s="199"/>
    </row>
    <row r="16915" spans="1:1" s="200" customFormat="1" ht="12" hidden="1" customHeight="1">
      <c r="A16915" s="199"/>
    </row>
    <row r="16916" spans="1:1" s="200" customFormat="1" ht="12" hidden="1" customHeight="1">
      <c r="A16916" s="199"/>
    </row>
    <row r="16917" spans="1:1" s="200" customFormat="1" ht="12" hidden="1" customHeight="1">
      <c r="A16917" s="199"/>
    </row>
    <row r="16918" spans="1:1" s="200" customFormat="1" ht="12" hidden="1" customHeight="1">
      <c r="A16918" s="199"/>
    </row>
    <row r="16919" spans="1:1" s="200" customFormat="1" ht="12" hidden="1" customHeight="1">
      <c r="A16919" s="199"/>
    </row>
    <row r="16920" spans="1:1" s="200" customFormat="1" ht="12" hidden="1" customHeight="1">
      <c r="A16920" s="199"/>
    </row>
    <row r="16921" spans="1:1" s="200" customFormat="1" ht="12" hidden="1" customHeight="1">
      <c r="A16921" s="199"/>
    </row>
    <row r="16922" spans="1:1" s="200" customFormat="1" ht="12" hidden="1" customHeight="1">
      <c r="A16922" s="199"/>
    </row>
    <row r="16923" spans="1:1" s="200" customFormat="1" ht="12" hidden="1" customHeight="1">
      <c r="A16923" s="199"/>
    </row>
    <row r="16924" spans="1:1" s="200" customFormat="1" ht="12" hidden="1" customHeight="1">
      <c r="A16924" s="199"/>
    </row>
    <row r="16925" spans="1:1" s="200" customFormat="1" ht="12" hidden="1" customHeight="1">
      <c r="A16925" s="199"/>
    </row>
    <row r="16926" spans="1:1" s="200" customFormat="1" ht="12" hidden="1" customHeight="1">
      <c r="A16926" s="199"/>
    </row>
    <row r="16927" spans="1:1" s="200" customFormat="1" ht="12" hidden="1" customHeight="1">
      <c r="A16927" s="199"/>
    </row>
    <row r="16928" spans="1:1" s="200" customFormat="1" ht="12" hidden="1" customHeight="1">
      <c r="A16928" s="199"/>
    </row>
    <row r="16929" spans="1:1" s="200" customFormat="1" ht="12" hidden="1" customHeight="1">
      <c r="A16929" s="199"/>
    </row>
    <row r="16930" spans="1:1" s="200" customFormat="1" ht="12" hidden="1" customHeight="1">
      <c r="A16930" s="199"/>
    </row>
    <row r="16931" spans="1:1" s="200" customFormat="1" ht="12" hidden="1" customHeight="1">
      <c r="A16931" s="199"/>
    </row>
    <row r="16932" spans="1:1" s="200" customFormat="1" ht="12" hidden="1" customHeight="1">
      <c r="A16932" s="199"/>
    </row>
    <row r="16933" spans="1:1" s="200" customFormat="1" ht="12" hidden="1" customHeight="1">
      <c r="A16933" s="199"/>
    </row>
    <row r="16934" spans="1:1" s="200" customFormat="1" ht="12" hidden="1" customHeight="1">
      <c r="A16934" s="199"/>
    </row>
    <row r="16935" spans="1:1" s="200" customFormat="1" ht="12" hidden="1" customHeight="1">
      <c r="A16935" s="199"/>
    </row>
    <row r="16936" spans="1:1" s="200" customFormat="1" ht="12" hidden="1" customHeight="1">
      <c r="A16936" s="199"/>
    </row>
    <row r="16937" spans="1:1" s="200" customFormat="1" ht="12" hidden="1" customHeight="1">
      <c r="A16937" s="199"/>
    </row>
    <row r="16938" spans="1:1" s="200" customFormat="1" ht="12" hidden="1" customHeight="1">
      <c r="A16938" s="199"/>
    </row>
    <row r="16939" spans="1:1" s="200" customFormat="1" ht="12" hidden="1" customHeight="1">
      <c r="A16939" s="199"/>
    </row>
    <row r="16940" spans="1:1" s="200" customFormat="1" ht="12" hidden="1" customHeight="1">
      <c r="A16940" s="199"/>
    </row>
    <row r="16941" spans="1:1" s="200" customFormat="1" ht="12" hidden="1" customHeight="1">
      <c r="A16941" s="199"/>
    </row>
    <row r="16942" spans="1:1" s="200" customFormat="1" ht="12" hidden="1" customHeight="1">
      <c r="A16942" s="199"/>
    </row>
    <row r="16943" spans="1:1" s="200" customFormat="1" ht="12" hidden="1" customHeight="1">
      <c r="A16943" s="199"/>
    </row>
    <row r="16944" spans="1:1" s="200" customFormat="1" ht="12" hidden="1" customHeight="1">
      <c r="A16944" s="199"/>
    </row>
    <row r="16945" spans="1:1" s="200" customFormat="1" ht="12" hidden="1" customHeight="1">
      <c r="A16945" s="199"/>
    </row>
    <row r="16946" spans="1:1" s="200" customFormat="1" ht="12" hidden="1" customHeight="1">
      <c r="A16946" s="199"/>
    </row>
    <row r="16947" spans="1:1" s="200" customFormat="1" ht="12" hidden="1" customHeight="1">
      <c r="A16947" s="199"/>
    </row>
    <row r="16948" spans="1:1" s="200" customFormat="1" ht="12" hidden="1" customHeight="1">
      <c r="A16948" s="199"/>
    </row>
    <row r="16949" spans="1:1" s="200" customFormat="1" ht="12" hidden="1" customHeight="1">
      <c r="A16949" s="199"/>
    </row>
    <row r="16950" spans="1:1" s="200" customFormat="1" ht="12" hidden="1" customHeight="1">
      <c r="A16950" s="199"/>
    </row>
    <row r="16951" spans="1:1" s="200" customFormat="1" ht="12" hidden="1" customHeight="1">
      <c r="A16951" s="199"/>
    </row>
    <row r="16952" spans="1:1" s="200" customFormat="1" ht="12" hidden="1" customHeight="1">
      <c r="A16952" s="199"/>
    </row>
    <row r="16953" spans="1:1" s="200" customFormat="1" ht="12" hidden="1" customHeight="1">
      <c r="A16953" s="199"/>
    </row>
    <row r="16954" spans="1:1" s="200" customFormat="1" ht="12" hidden="1" customHeight="1">
      <c r="A16954" s="199"/>
    </row>
    <row r="16955" spans="1:1" s="200" customFormat="1" ht="12" hidden="1" customHeight="1">
      <c r="A16955" s="199"/>
    </row>
    <row r="16956" spans="1:1" s="200" customFormat="1" ht="12" hidden="1" customHeight="1">
      <c r="A16956" s="199"/>
    </row>
    <row r="16957" spans="1:1" s="200" customFormat="1" ht="12" hidden="1" customHeight="1">
      <c r="A16957" s="199"/>
    </row>
    <row r="16958" spans="1:1" s="200" customFormat="1" ht="12" hidden="1" customHeight="1">
      <c r="A16958" s="199"/>
    </row>
    <row r="16959" spans="1:1" s="200" customFormat="1" ht="12" hidden="1" customHeight="1">
      <c r="A16959" s="199"/>
    </row>
    <row r="16960" spans="1:1" s="200" customFormat="1" ht="12" hidden="1" customHeight="1">
      <c r="A16960" s="199"/>
    </row>
    <row r="16961" spans="1:1" s="200" customFormat="1" ht="12" hidden="1" customHeight="1">
      <c r="A16961" s="199"/>
    </row>
    <row r="16962" spans="1:1" s="200" customFormat="1" ht="12" hidden="1" customHeight="1">
      <c r="A16962" s="199"/>
    </row>
    <row r="16963" spans="1:1" s="200" customFormat="1" ht="12" hidden="1" customHeight="1">
      <c r="A16963" s="199"/>
    </row>
    <row r="16964" spans="1:1" s="200" customFormat="1" ht="12" hidden="1" customHeight="1">
      <c r="A16964" s="199"/>
    </row>
    <row r="16965" spans="1:1" s="200" customFormat="1" ht="12" hidden="1" customHeight="1">
      <c r="A16965" s="199"/>
    </row>
    <row r="16966" spans="1:1" s="200" customFormat="1" ht="12" hidden="1" customHeight="1">
      <c r="A16966" s="199"/>
    </row>
    <row r="16967" spans="1:1" s="200" customFormat="1" ht="12" hidden="1" customHeight="1">
      <c r="A16967" s="199"/>
    </row>
    <row r="16968" spans="1:1" s="200" customFormat="1" ht="12" hidden="1" customHeight="1">
      <c r="A16968" s="199"/>
    </row>
    <row r="16969" spans="1:1" s="200" customFormat="1" ht="12" hidden="1" customHeight="1">
      <c r="A16969" s="199"/>
    </row>
    <row r="16970" spans="1:1" s="200" customFormat="1" ht="12" hidden="1" customHeight="1">
      <c r="A16970" s="199"/>
    </row>
    <row r="16971" spans="1:1" s="200" customFormat="1" ht="12" hidden="1" customHeight="1">
      <c r="A16971" s="199"/>
    </row>
    <row r="16972" spans="1:1" s="200" customFormat="1" ht="12" hidden="1" customHeight="1">
      <c r="A16972" s="199"/>
    </row>
    <row r="16973" spans="1:1" s="200" customFormat="1" ht="12" hidden="1" customHeight="1">
      <c r="A16973" s="199"/>
    </row>
    <row r="16974" spans="1:1" s="200" customFormat="1" ht="12" hidden="1" customHeight="1">
      <c r="A16974" s="199"/>
    </row>
    <row r="16975" spans="1:1" s="200" customFormat="1" ht="12" hidden="1" customHeight="1">
      <c r="A16975" s="199"/>
    </row>
    <row r="16976" spans="1:1" s="200" customFormat="1" ht="12" hidden="1" customHeight="1">
      <c r="A16976" s="199"/>
    </row>
    <row r="16977" spans="1:1" s="200" customFormat="1" ht="12" hidden="1" customHeight="1">
      <c r="A16977" s="199"/>
    </row>
    <row r="16978" spans="1:1" s="200" customFormat="1" ht="12" hidden="1" customHeight="1">
      <c r="A16978" s="199"/>
    </row>
    <row r="16979" spans="1:1" s="200" customFormat="1" ht="12" hidden="1" customHeight="1">
      <c r="A16979" s="199"/>
    </row>
    <row r="16980" spans="1:1" s="200" customFormat="1" ht="12" hidden="1" customHeight="1">
      <c r="A16980" s="199"/>
    </row>
    <row r="16981" spans="1:1" s="200" customFormat="1" ht="12" hidden="1" customHeight="1">
      <c r="A16981" s="199"/>
    </row>
    <row r="16982" spans="1:1" s="200" customFormat="1" ht="12" hidden="1" customHeight="1">
      <c r="A16982" s="199"/>
    </row>
    <row r="16983" spans="1:1" s="200" customFormat="1" ht="12" hidden="1" customHeight="1">
      <c r="A16983" s="199"/>
    </row>
    <row r="16984" spans="1:1" s="200" customFormat="1" ht="12" hidden="1" customHeight="1">
      <c r="A16984" s="199"/>
    </row>
    <row r="16985" spans="1:1" s="200" customFormat="1" ht="12" hidden="1" customHeight="1">
      <c r="A16985" s="199"/>
    </row>
    <row r="16986" spans="1:1" s="200" customFormat="1" ht="12" hidden="1" customHeight="1">
      <c r="A16986" s="199"/>
    </row>
    <row r="16987" spans="1:1" s="200" customFormat="1" ht="12" hidden="1" customHeight="1">
      <c r="A16987" s="199"/>
    </row>
    <row r="16988" spans="1:1" s="200" customFormat="1" ht="12" hidden="1" customHeight="1">
      <c r="A16988" s="199"/>
    </row>
    <row r="16989" spans="1:1" s="200" customFormat="1" ht="12" hidden="1" customHeight="1">
      <c r="A16989" s="199"/>
    </row>
    <row r="16990" spans="1:1" s="200" customFormat="1" ht="12" hidden="1" customHeight="1">
      <c r="A16990" s="199"/>
    </row>
    <row r="16991" spans="1:1" s="200" customFormat="1" ht="12" hidden="1" customHeight="1">
      <c r="A16991" s="199"/>
    </row>
    <row r="16992" spans="1:1" s="200" customFormat="1" ht="12" hidden="1" customHeight="1">
      <c r="A16992" s="199"/>
    </row>
    <row r="16993" spans="1:1" s="200" customFormat="1" ht="12" hidden="1" customHeight="1">
      <c r="A16993" s="199"/>
    </row>
    <row r="16994" spans="1:1" s="200" customFormat="1" ht="12" hidden="1" customHeight="1">
      <c r="A16994" s="199"/>
    </row>
    <row r="16995" spans="1:1" s="200" customFormat="1" ht="12" hidden="1" customHeight="1">
      <c r="A16995" s="199"/>
    </row>
    <row r="16996" spans="1:1" s="200" customFormat="1" ht="12" hidden="1" customHeight="1">
      <c r="A16996" s="199"/>
    </row>
    <row r="16997" spans="1:1" s="200" customFormat="1" ht="12" hidden="1" customHeight="1">
      <c r="A16997" s="199"/>
    </row>
    <row r="16998" spans="1:1" s="200" customFormat="1" ht="12" hidden="1" customHeight="1">
      <c r="A16998" s="199"/>
    </row>
    <row r="16999" spans="1:1" s="200" customFormat="1" ht="12" hidden="1" customHeight="1">
      <c r="A16999" s="199"/>
    </row>
    <row r="17000" spans="1:1" s="200" customFormat="1" ht="12" hidden="1" customHeight="1">
      <c r="A17000" s="199"/>
    </row>
    <row r="17001" spans="1:1" s="200" customFormat="1" ht="12" hidden="1" customHeight="1">
      <c r="A17001" s="199"/>
    </row>
    <row r="17002" spans="1:1" s="200" customFormat="1" ht="12" hidden="1" customHeight="1">
      <c r="A17002" s="199"/>
    </row>
    <row r="17003" spans="1:1" s="200" customFormat="1" ht="12" hidden="1" customHeight="1">
      <c r="A17003" s="199"/>
    </row>
    <row r="17004" spans="1:1" s="200" customFormat="1" ht="12" hidden="1" customHeight="1">
      <c r="A17004" s="199"/>
    </row>
    <row r="17005" spans="1:1" s="200" customFormat="1" ht="12" hidden="1" customHeight="1">
      <c r="A17005" s="199"/>
    </row>
    <row r="17006" spans="1:1" s="200" customFormat="1" ht="12" hidden="1" customHeight="1">
      <c r="A17006" s="199"/>
    </row>
    <row r="17007" spans="1:1" s="200" customFormat="1" ht="12" hidden="1" customHeight="1">
      <c r="A17007" s="199"/>
    </row>
    <row r="17008" spans="1:1" s="200" customFormat="1" ht="12" hidden="1" customHeight="1">
      <c r="A17008" s="199"/>
    </row>
    <row r="17009" spans="1:1" s="200" customFormat="1" ht="12" hidden="1" customHeight="1">
      <c r="A17009" s="199"/>
    </row>
    <row r="17010" spans="1:1" s="200" customFormat="1" ht="12" hidden="1" customHeight="1">
      <c r="A17010" s="199"/>
    </row>
    <row r="17011" spans="1:1" s="200" customFormat="1" ht="12" hidden="1" customHeight="1">
      <c r="A17011" s="199"/>
    </row>
    <row r="17012" spans="1:1" s="200" customFormat="1" ht="12" hidden="1" customHeight="1">
      <c r="A17012" s="199"/>
    </row>
    <row r="17013" spans="1:1" s="200" customFormat="1" ht="12" hidden="1" customHeight="1">
      <c r="A17013" s="199"/>
    </row>
    <row r="17014" spans="1:1" s="200" customFormat="1" ht="12" hidden="1" customHeight="1">
      <c r="A17014" s="199"/>
    </row>
    <row r="17015" spans="1:1" s="200" customFormat="1" ht="12" hidden="1" customHeight="1">
      <c r="A17015" s="199"/>
    </row>
    <row r="17016" spans="1:1" s="200" customFormat="1" ht="12" hidden="1" customHeight="1">
      <c r="A17016" s="199"/>
    </row>
    <row r="17017" spans="1:1" s="200" customFormat="1" ht="12" hidden="1" customHeight="1">
      <c r="A17017" s="199"/>
    </row>
    <row r="17018" spans="1:1" s="200" customFormat="1" ht="12" hidden="1" customHeight="1">
      <c r="A17018" s="199"/>
    </row>
    <row r="17019" spans="1:1" s="200" customFormat="1" ht="12" hidden="1" customHeight="1">
      <c r="A17019" s="199"/>
    </row>
    <row r="17020" spans="1:1" s="200" customFormat="1" ht="12" hidden="1" customHeight="1">
      <c r="A17020" s="199"/>
    </row>
    <row r="17021" spans="1:1" s="200" customFormat="1" ht="12" hidden="1" customHeight="1">
      <c r="A17021" s="199"/>
    </row>
    <row r="17022" spans="1:1" s="200" customFormat="1" ht="12" hidden="1" customHeight="1">
      <c r="A17022" s="199"/>
    </row>
    <row r="17023" spans="1:1" s="200" customFormat="1" ht="12" hidden="1" customHeight="1">
      <c r="A17023" s="199"/>
    </row>
    <row r="17024" spans="1:1" s="200" customFormat="1" ht="12" hidden="1" customHeight="1">
      <c r="A17024" s="199"/>
    </row>
    <row r="17025" spans="1:1" s="200" customFormat="1" ht="12" hidden="1" customHeight="1">
      <c r="A17025" s="199"/>
    </row>
    <row r="17026" spans="1:1" s="200" customFormat="1" ht="12" hidden="1" customHeight="1">
      <c r="A17026" s="199"/>
    </row>
    <row r="17027" spans="1:1" s="200" customFormat="1" ht="12" hidden="1" customHeight="1">
      <c r="A17027" s="199"/>
    </row>
    <row r="17028" spans="1:1" s="200" customFormat="1" ht="12" hidden="1" customHeight="1">
      <c r="A17028" s="199"/>
    </row>
    <row r="17029" spans="1:1" s="200" customFormat="1" ht="12" hidden="1" customHeight="1">
      <c r="A17029" s="199"/>
    </row>
    <row r="17030" spans="1:1" s="200" customFormat="1" ht="12" hidden="1" customHeight="1">
      <c r="A17030" s="199"/>
    </row>
    <row r="17031" spans="1:1" s="200" customFormat="1" ht="12" hidden="1" customHeight="1">
      <c r="A17031" s="199"/>
    </row>
    <row r="17032" spans="1:1" s="200" customFormat="1" ht="12" hidden="1" customHeight="1">
      <c r="A17032" s="199"/>
    </row>
    <row r="17033" spans="1:1" s="200" customFormat="1" ht="12" hidden="1" customHeight="1">
      <c r="A17033" s="199"/>
    </row>
    <row r="17034" spans="1:1" s="200" customFormat="1" ht="12" hidden="1" customHeight="1">
      <c r="A17034" s="199"/>
    </row>
    <row r="17035" spans="1:1" s="200" customFormat="1" ht="12" hidden="1" customHeight="1">
      <c r="A17035" s="199"/>
    </row>
    <row r="17036" spans="1:1" s="200" customFormat="1" ht="12" hidden="1" customHeight="1">
      <c r="A17036" s="199"/>
    </row>
    <row r="17037" spans="1:1" s="200" customFormat="1" ht="12" hidden="1" customHeight="1">
      <c r="A17037" s="199"/>
    </row>
    <row r="17038" spans="1:1" s="200" customFormat="1" ht="12" hidden="1" customHeight="1">
      <c r="A17038" s="199"/>
    </row>
    <row r="17039" spans="1:1" s="200" customFormat="1" ht="12" hidden="1" customHeight="1">
      <c r="A17039" s="199"/>
    </row>
    <row r="17040" spans="1:1" s="200" customFormat="1" ht="12" hidden="1" customHeight="1">
      <c r="A17040" s="199"/>
    </row>
    <row r="17041" spans="1:1" s="200" customFormat="1" ht="12" hidden="1" customHeight="1">
      <c r="A17041" s="199"/>
    </row>
    <row r="17042" spans="1:1" s="200" customFormat="1" ht="12" hidden="1" customHeight="1">
      <c r="A17042" s="199"/>
    </row>
    <row r="17043" spans="1:1" s="200" customFormat="1" ht="12" hidden="1" customHeight="1">
      <c r="A17043" s="199"/>
    </row>
    <row r="17044" spans="1:1" s="200" customFormat="1" ht="12" hidden="1" customHeight="1">
      <c r="A17044" s="199"/>
    </row>
    <row r="17045" spans="1:1" s="200" customFormat="1" ht="12" hidden="1" customHeight="1">
      <c r="A17045" s="199"/>
    </row>
    <row r="17046" spans="1:1" s="200" customFormat="1" ht="12" hidden="1" customHeight="1">
      <c r="A17046" s="199"/>
    </row>
    <row r="17047" spans="1:1" s="200" customFormat="1" ht="12" hidden="1" customHeight="1">
      <c r="A17047" s="199"/>
    </row>
    <row r="17048" spans="1:1" s="200" customFormat="1" ht="12" hidden="1" customHeight="1">
      <c r="A17048" s="199"/>
    </row>
    <row r="17049" spans="1:1" s="200" customFormat="1" ht="12" hidden="1" customHeight="1">
      <c r="A17049" s="199"/>
    </row>
    <row r="17050" spans="1:1" s="200" customFormat="1" ht="12" hidden="1" customHeight="1">
      <c r="A17050" s="199"/>
    </row>
    <row r="17051" spans="1:1" s="200" customFormat="1" ht="12" hidden="1" customHeight="1">
      <c r="A17051" s="199"/>
    </row>
    <row r="17052" spans="1:1" s="200" customFormat="1" ht="12" hidden="1" customHeight="1">
      <c r="A17052" s="199"/>
    </row>
    <row r="17053" spans="1:1" s="200" customFormat="1" ht="12" hidden="1" customHeight="1">
      <c r="A17053" s="199"/>
    </row>
    <row r="17054" spans="1:1" s="200" customFormat="1" ht="12" hidden="1" customHeight="1">
      <c r="A17054" s="199"/>
    </row>
    <row r="17055" spans="1:1" s="200" customFormat="1" ht="12" hidden="1" customHeight="1">
      <c r="A17055" s="199"/>
    </row>
    <row r="17056" spans="1:1" s="200" customFormat="1" ht="12" hidden="1" customHeight="1">
      <c r="A17056" s="199"/>
    </row>
    <row r="17057" spans="1:1" s="200" customFormat="1" ht="12" hidden="1" customHeight="1">
      <c r="A17057" s="199"/>
    </row>
    <row r="17058" spans="1:1" s="200" customFormat="1" ht="12" hidden="1" customHeight="1">
      <c r="A17058" s="199"/>
    </row>
    <row r="17059" spans="1:1" s="200" customFormat="1" ht="12" hidden="1" customHeight="1">
      <c r="A17059" s="199"/>
    </row>
    <row r="17060" spans="1:1" s="200" customFormat="1" ht="12" hidden="1" customHeight="1">
      <c r="A17060" s="199"/>
    </row>
    <row r="17061" spans="1:1" s="200" customFormat="1" ht="12" hidden="1" customHeight="1">
      <c r="A17061" s="199"/>
    </row>
    <row r="17062" spans="1:1" s="200" customFormat="1" ht="12" hidden="1" customHeight="1">
      <c r="A17062" s="199"/>
    </row>
    <row r="17063" spans="1:1" s="200" customFormat="1" ht="12" hidden="1" customHeight="1">
      <c r="A17063" s="199"/>
    </row>
    <row r="17064" spans="1:1" s="200" customFormat="1" ht="12" hidden="1" customHeight="1">
      <c r="A17064" s="199"/>
    </row>
    <row r="17065" spans="1:1" s="200" customFormat="1" ht="12" hidden="1" customHeight="1">
      <c r="A17065" s="199"/>
    </row>
    <row r="17066" spans="1:1" s="200" customFormat="1" ht="12" hidden="1" customHeight="1">
      <c r="A17066" s="199"/>
    </row>
    <row r="17067" spans="1:1" s="200" customFormat="1" ht="12" hidden="1" customHeight="1">
      <c r="A17067" s="199"/>
    </row>
    <row r="17068" spans="1:1" s="200" customFormat="1" ht="12" hidden="1" customHeight="1">
      <c r="A17068" s="199"/>
    </row>
    <row r="17069" spans="1:1" s="200" customFormat="1" ht="12" hidden="1" customHeight="1">
      <c r="A17069" s="199"/>
    </row>
    <row r="17070" spans="1:1" s="200" customFormat="1" ht="12" hidden="1" customHeight="1">
      <c r="A17070" s="199"/>
    </row>
    <row r="17071" spans="1:1" s="200" customFormat="1" ht="12" hidden="1" customHeight="1">
      <c r="A17071" s="199"/>
    </row>
    <row r="17072" spans="1:1" s="200" customFormat="1" ht="12" hidden="1" customHeight="1">
      <c r="A17072" s="199"/>
    </row>
    <row r="17073" spans="1:1" s="200" customFormat="1" ht="12" hidden="1" customHeight="1">
      <c r="A17073" s="199"/>
    </row>
    <row r="17074" spans="1:1" s="200" customFormat="1" ht="12" hidden="1" customHeight="1">
      <c r="A17074" s="199"/>
    </row>
    <row r="17075" spans="1:1" s="200" customFormat="1" ht="12" hidden="1" customHeight="1">
      <c r="A17075" s="199"/>
    </row>
    <row r="17076" spans="1:1" s="200" customFormat="1" ht="12" hidden="1" customHeight="1">
      <c r="A17076" s="199"/>
    </row>
    <row r="17077" spans="1:1" s="200" customFormat="1" ht="12" hidden="1" customHeight="1">
      <c r="A17077" s="199"/>
    </row>
    <row r="17078" spans="1:1" s="200" customFormat="1" ht="12" hidden="1" customHeight="1">
      <c r="A17078" s="199"/>
    </row>
    <row r="17079" spans="1:1" s="200" customFormat="1" ht="12" hidden="1" customHeight="1">
      <c r="A17079" s="199"/>
    </row>
    <row r="17080" spans="1:1" s="200" customFormat="1" ht="12" hidden="1" customHeight="1">
      <c r="A17080" s="199"/>
    </row>
    <row r="17081" spans="1:1" s="200" customFormat="1" ht="12" hidden="1" customHeight="1">
      <c r="A17081" s="199"/>
    </row>
    <row r="17082" spans="1:1" s="200" customFormat="1" ht="12" hidden="1" customHeight="1">
      <c r="A17082" s="199"/>
    </row>
    <row r="17083" spans="1:1" s="200" customFormat="1" ht="12" hidden="1" customHeight="1">
      <c r="A17083" s="199"/>
    </row>
    <row r="17084" spans="1:1" s="200" customFormat="1" ht="12" hidden="1" customHeight="1">
      <c r="A17084" s="199"/>
    </row>
    <row r="17085" spans="1:1" s="200" customFormat="1" ht="12" hidden="1" customHeight="1">
      <c r="A17085" s="199"/>
    </row>
    <row r="17086" spans="1:1" s="200" customFormat="1" ht="12" hidden="1" customHeight="1">
      <c r="A17086" s="199"/>
    </row>
    <row r="17087" spans="1:1" s="200" customFormat="1" ht="12" hidden="1" customHeight="1">
      <c r="A17087" s="199"/>
    </row>
    <row r="17088" spans="1:1" s="200" customFormat="1" ht="12" hidden="1" customHeight="1">
      <c r="A17088" s="199"/>
    </row>
    <row r="17089" spans="1:1" s="200" customFormat="1" ht="12" hidden="1" customHeight="1">
      <c r="A17089" s="199"/>
    </row>
    <row r="17090" spans="1:1" s="200" customFormat="1" ht="12" hidden="1" customHeight="1">
      <c r="A17090" s="199"/>
    </row>
    <row r="17091" spans="1:1" s="200" customFormat="1" ht="12" hidden="1" customHeight="1">
      <c r="A17091" s="199"/>
    </row>
    <row r="17092" spans="1:1" s="200" customFormat="1" ht="12" hidden="1" customHeight="1">
      <c r="A17092" s="199"/>
    </row>
    <row r="17093" spans="1:1" s="200" customFormat="1" ht="12" hidden="1" customHeight="1">
      <c r="A17093" s="199"/>
    </row>
    <row r="17094" spans="1:1" s="200" customFormat="1" ht="12" hidden="1" customHeight="1">
      <c r="A17094" s="199"/>
    </row>
    <row r="17095" spans="1:1" s="200" customFormat="1" ht="12" hidden="1" customHeight="1">
      <c r="A17095" s="199"/>
    </row>
    <row r="17096" spans="1:1" s="200" customFormat="1" ht="12" hidden="1" customHeight="1">
      <c r="A17096" s="199"/>
    </row>
    <row r="17097" spans="1:1" s="200" customFormat="1" ht="12" hidden="1" customHeight="1">
      <c r="A17097" s="199"/>
    </row>
    <row r="17098" spans="1:1" s="200" customFormat="1" ht="12" hidden="1" customHeight="1">
      <c r="A17098" s="199"/>
    </row>
    <row r="17099" spans="1:1" s="200" customFormat="1" ht="12" hidden="1" customHeight="1">
      <c r="A17099" s="199"/>
    </row>
    <row r="17100" spans="1:1" s="200" customFormat="1" ht="12" hidden="1" customHeight="1">
      <c r="A17100" s="199"/>
    </row>
    <row r="17101" spans="1:1" s="200" customFormat="1" ht="12" hidden="1" customHeight="1">
      <c r="A17101" s="199"/>
    </row>
    <row r="17102" spans="1:1" s="200" customFormat="1" ht="12" hidden="1" customHeight="1">
      <c r="A17102" s="199"/>
    </row>
    <row r="17103" spans="1:1" s="200" customFormat="1" ht="12" hidden="1" customHeight="1">
      <c r="A17103" s="199"/>
    </row>
    <row r="17104" spans="1:1" s="200" customFormat="1" ht="12" hidden="1" customHeight="1">
      <c r="A17104" s="199"/>
    </row>
    <row r="17105" spans="1:1" s="200" customFormat="1" ht="12" hidden="1" customHeight="1">
      <c r="A17105" s="199"/>
    </row>
    <row r="17106" spans="1:1" s="200" customFormat="1" ht="12" hidden="1" customHeight="1">
      <c r="A17106" s="199"/>
    </row>
    <row r="17107" spans="1:1" s="200" customFormat="1" ht="12" hidden="1" customHeight="1">
      <c r="A17107" s="199"/>
    </row>
    <row r="17108" spans="1:1" s="200" customFormat="1" ht="12" hidden="1" customHeight="1">
      <c r="A17108" s="199"/>
    </row>
    <row r="17109" spans="1:1" s="200" customFormat="1" ht="12" hidden="1" customHeight="1">
      <c r="A17109" s="199"/>
    </row>
    <row r="17110" spans="1:1" s="200" customFormat="1" ht="12" hidden="1" customHeight="1">
      <c r="A17110" s="199"/>
    </row>
    <row r="17111" spans="1:1" s="200" customFormat="1" ht="12" hidden="1" customHeight="1">
      <c r="A17111" s="199"/>
    </row>
    <row r="17112" spans="1:1" s="200" customFormat="1" ht="12" hidden="1" customHeight="1">
      <c r="A17112" s="199"/>
    </row>
    <row r="17113" spans="1:1" s="200" customFormat="1" ht="12" hidden="1" customHeight="1">
      <c r="A17113" s="199"/>
    </row>
    <row r="17114" spans="1:1" s="200" customFormat="1" ht="12" hidden="1" customHeight="1">
      <c r="A17114" s="199"/>
    </row>
    <row r="17115" spans="1:1" s="200" customFormat="1" ht="12" hidden="1" customHeight="1">
      <c r="A17115" s="199"/>
    </row>
    <row r="17116" spans="1:1" s="200" customFormat="1" ht="12" hidden="1" customHeight="1">
      <c r="A17116" s="199"/>
    </row>
    <row r="17117" spans="1:1" s="200" customFormat="1" ht="12" hidden="1" customHeight="1">
      <c r="A17117" s="199"/>
    </row>
    <row r="17118" spans="1:1" s="200" customFormat="1" ht="12" hidden="1" customHeight="1">
      <c r="A17118" s="199"/>
    </row>
    <row r="17119" spans="1:1" s="200" customFormat="1" ht="12" hidden="1" customHeight="1">
      <c r="A17119" s="199"/>
    </row>
    <row r="17120" spans="1:1" s="200" customFormat="1" ht="12" hidden="1" customHeight="1">
      <c r="A17120" s="199"/>
    </row>
    <row r="17121" spans="1:1" s="200" customFormat="1" ht="12" hidden="1" customHeight="1">
      <c r="A17121" s="199"/>
    </row>
    <row r="17122" spans="1:1" s="200" customFormat="1" ht="12" hidden="1" customHeight="1">
      <c r="A17122" s="199"/>
    </row>
    <row r="17123" spans="1:1" s="200" customFormat="1" ht="12" hidden="1" customHeight="1">
      <c r="A17123" s="199"/>
    </row>
    <row r="17124" spans="1:1" s="200" customFormat="1" ht="12" hidden="1" customHeight="1">
      <c r="A17124" s="199"/>
    </row>
    <row r="17125" spans="1:1" s="200" customFormat="1" ht="12" hidden="1" customHeight="1">
      <c r="A17125" s="199"/>
    </row>
    <row r="17126" spans="1:1" s="200" customFormat="1" ht="12" hidden="1" customHeight="1">
      <c r="A17126" s="199"/>
    </row>
    <row r="17127" spans="1:1" s="200" customFormat="1" ht="12" hidden="1" customHeight="1">
      <c r="A17127" s="199"/>
    </row>
    <row r="17128" spans="1:1" s="200" customFormat="1" ht="12" hidden="1" customHeight="1">
      <c r="A17128" s="199"/>
    </row>
    <row r="17129" spans="1:1" s="200" customFormat="1" ht="12" hidden="1" customHeight="1">
      <c r="A17129" s="199"/>
    </row>
    <row r="17130" spans="1:1" s="200" customFormat="1" ht="12" hidden="1" customHeight="1">
      <c r="A17130" s="199"/>
    </row>
    <row r="17131" spans="1:1" s="200" customFormat="1" ht="12" hidden="1" customHeight="1">
      <c r="A17131" s="199"/>
    </row>
    <row r="17132" spans="1:1" s="200" customFormat="1" ht="12" hidden="1" customHeight="1">
      <c r="A17132" s="199"/>
    </row>
    <row r="17133" spans="1:1" s="200" customFormat="1" ht="12" hidden="1" customHeight="1">
      <c r="A17133" s="199"/>
    </row>
    <row r="17134" spans="1:1" s="200" customFormat="1" ht="12" hidden="1" customHeight="1">
      <c r="A17134" s="199"/>
    </row>
    <row r="17135" spans="1:1" s="200" customFormat="1" ht="12" hidden="1" customHeight="1">
      <c r="A17135" s="199"/>
    </row>
    <row r="17136" spans="1:1" s="200" customFormat="1" ht="12" hidden="1" customHeight="1">
      <c r="A17136" s="199"/>
    </row>
    <row r="17137" spans="1:1" s="200" customFormat="1" ht="12" hidden="1" customHeight="1">
      <c r="A17137" s="199"/>
    </row>
    <row r="17138" spans="1:1" s="200" customFormat="1" ht="12" hidden="1" customHeight="1">
      <c r="A17138" s="199"/>
    </row>
    <row r="17139" spans="1:1" s="200" customFormat="1" ht="12" hidden="1" customHeight="1">
      <c r="A17139" s="199"/>
    </row>
    <row r="17140" spans="1:1" s="200" customFormat="1" ht="12" hidden="1" customHeight="1">
      <c r="A17140" s="199"/>
    </row>
    <row r="17141" spans="1:1" s="200" customFormat="1" ht="12" hidden="1" customHeight="1">
      <c r="A17141" s="199"/>
    </row>
    <row r="17142" spans="1:1" s="200" customFormat="1" ht="12" hidden="1" customHeight="1">
      <c r="A17142" s="199"/>
    </row>
    <row r="17143" spans="1:1" s="200" customFormat="1" ht="12" hidden="1" customHeight="1">
      <c r="A17143" s="199"/>
    </row>
    <row r="17144" spans="1:1" s="200" customFormat="1" ht="12" hidden="1" customHeight="1">
      <c r="A17144" s="199"/>
    </row>
    <row r="17145" spans="1:1" s="200" customFormat="1" ht="12" hidden="1" customHeight="1">
      <c r="A17145" s="199"/>
    </row>
    <row r="17146" spans="1:1" s="200" customFormat="1" ht="12" hidden="1" customHeight="1">
      <c r="A17146" s="199"/>
    </row>
    <row r="17147" spans="1:1" s="200" customFormat="1" ht="12" hidden="1" customHeight="1">
      <c r="A17147" s="199"/>
    </row>
    <row r="17148" spans="1:1" s="200" customFormat="1" ht="12" hidden="1" customHeight="1">
      <c r="A17148" s="199"/>
    </row>
    <row r="17149" spans="1:1" s="200" customFormat="1" ht="12" hidden="1" customHeight="1">
      <c r="A17149" s="199"/>
    </row>
    <row r="17150" spans="1:1" s="200" customFormat="1" ht="12" hidden="1" customHeight="1">
      <c r="A17150" s="199"/>
    </row>
    <row r="17151" spans="1:1" s="200" customFormat="1" ht="12" hidden="1" customHeight="1">
      <c r="A17151" s="199"/>
    </row>
    <row r="17152" spans="1:1" s="200" customFormat="1" ht="12" hidden="1" customHeight="1">
      <c r="A17152" s="199"/>
    </row>
    <row r="17153" spans="1:1" s="200" customFormat="1" ht="12" hidden="1" customHeight="1">
      <c r="A17153" s="199"/>
    </row>
    <row r="17154" spans="1:1" s="200" customFormat="1" ht="12" hidden="1" customHeight="1">
      <c r="A17154" s="199"/>
    </row>
    <row r="17155" spans="1:1" s="200" customFormat="1" ht="12" hidden="1" customHeight="1">
      <c r="A17155" s="199"/>
    </row>
    <row r="17156" spans="1:1" s="200" customFormat="1" ht="12" hidden="1" customHeight="1">
      <c r="A17156" s="199"/>
    </row>
    <row r="17157" spans="1:1" s="200" customFormat="1" ht="12" hidden="1" customHeight="1">
      <c r="A17157" s="199"/>
    </row>
    <row r="17158" spans="1:1" s="200" customFormat="1" ht="12" hidden="1" customHeight="1">
      <c r="A17158" s="199"/>
    </row>
    <row r="17159" spans="1:1" s="200" customFormat="1" ht="12" hidden="1" customHeight="1">
      <c r="A17159" s="199"/>
    </row>
    <row r="17160" spans="1:1" s="200" customFormat="1" ht="12" hidden="1" customHeight="1">
      <c r="A17160" s="199"/>
    </row>
    <row r="17161" spans="1:1" s="200" customFormat="1" ht="12" hidden="1" customHeight="1">
      <c r="A17161" s="199"/>
    </row>
    <row r="17162" spans="1:1" s="200" customFormat="1" ht="12" hidden="1" customHeight="1">
      <c r="A17162" s="199"/>
    </row>
    <row r="17163" spans="1:1" s="200" customFormat="1" ht="12" hidden="1" customHeight="1">
      <c r="A17163" s="199"/>
    </row>
    <row r="17164" spans="1:1" s="200" customFormat="1" ht="12" hidden="1" customHeight="1">
      <c r="A17164" s="199"/>
    </row>
    <row r="17165" spans="1:1" s="200" customFormat="1" ht="12" hidden="1" customHeight="1">
      <c r="A17165" s="199"/>
    </row>
    <row r="17166" spans="1:1" s="200" customFormat="1" ht="12" hidden="1" customHeight="1">
      <c r="A17166" s="199"/>
    </row>
    <row r="17167" spans="1:1" s="200" customFormat="1" ht="12" hidden="1" customHeight="1">
      <c r="A17167" s="199"/>
    </row>
    <row r="17168" spans="1:1" s="200" customFormat="1" ht="12" hidden="1" customHeight="1">
      <c r="A17168" s="199"/>
    </row>
    <row r="17169" spans="1:1" s="200" customFormat="1" ht="12" hidden="1" customHeight="1">
      <c r="A17169" s="199"/>
    </row>
    <row r="17170" spans="1:1" s="200" customFormat="1" ht="12" hidden="1" customHeight="1">
      <c r="A17170" s="199"/>
    </row>
    <row r="17171" spans="1:1" s="200" customFormat="1" ht="12" hidden="1" customHeight="1">
      <c r="A17171" s="199"/>
    </row>
    <row r="17172" spans="1:1" s="200" customFormat="1" ht="12" hidden="1" customHeight="1">
      <c r="A17172" s="199"/>
    </row>
    <row r="17173" spans="1:1" s="200" customFormat="1" ht="12" hidden="1" customHeight="1">
      <c r="A17173" s="199"/>
    </row>
    <row r="17174" spans="1:1" s="200" customFormat="1" ht="12" hidden="1" customHeight="1">
      <c r="A17174" s="199"/>
    </row>
    <row r="17175" spans="1:1" s="200" customFormat="1" ht="12" hidden="1" customHeight="1">
      <c r="A17175" s="199"/>
    </row>
    <row r="17176" spans="1:1" s="200" customFormat="1" ht="12" hidden="1" customHeight="1">
      <c r="A17176" s="199"/>
    </row>
    <row r="17177" spans="1:1" s="200" customFormat="1" ht="12" hidden="1" customHeight="1">
      <c r="A17177" s="199"/>
    </row>
    <row r="17178" spans="1:1" s="200" customFormat="1" ht="12" hidden="1" customHeight="1">
      <c r="A17178" s="199"/>
    </row>
    <row r="17179" spans="1:1" s="200" customFormat="1" ht="12" hidden="1" customHeight="1">
      <c r="A17179" s="199"/>
    </row>
    <row r="17180" spans="1:1" s="200" customFormat="1" ht="12" hidden="1" customHeight="1">
      <c r="A17180" s="199"/>
    </row>
    <row r="17181" spans="1:1" s="200" customFormat="1" ht="12" hidden="1" customHeight="1">
      <c r="A17181" s="199"/>
    </row>
    <row r="17182" spans="1:1" s="200" customFormat="1" ht="12" hidden="1" customHeight="1">
      <c r="A17182" s="199"/>
    </row>
    <row r="17183" spans="1:1" s="200" customFormat="1" ht="12" hidden="1" customHeight="1">
      <c r="A17183" s="199"/>
    </row>
    <row r="17184" spans="1:1" s="200" customFormat="1" ht="12" hidden="1" customHeight="1">
      <c r="A17184" s="199"/>
    </row>
    <row r="17185" spans="1:1" s="200" customFormat="1" ht="12" hidden="1" customHeight="1">
      <c r="A17185" s="199"/>
    </row>
    <row r="17186" spans="1:1" s="200" customFormat="1" ht="12" hidden="1" customHeight="1">
      <c r="A17186" s="199"/>
    </row>
    <row r="17187" spans="1:1" s="200" customFormat="1" ht="12" hidden="1" customHeight="1">
      <c r="A17187" s="199"/>
    </row>
    <row r="17188" spans="1:1" s="200" customFormat="1" ht="12" hidden="1" customHeight="1">
      <c r="A17188" s="199"/>
    </row>
    <row r="17189" spans="1:1" s="200" customFormat="1" ht="12" hidden="1" customHeight="1">
      <c r="A17189" s="199"/>
    </row>
    <row r="17190" spans="1:1" s="200" customFormat="1" ht="12" hidden="1" customHeight="1">
      <c r="A17190" s="199"/>
    </row>
    <row r="17191" spans="1:1" s="200" customFormat="1" ht="12" hidden="1" customHeight="1">
      <c r="A17191" s="199"/>
    </row>
    <row r="17192" spans="1:1" s="200" customFormat="1" ht="12" hidden="1" customHeight="1">
      <c r="A17192" s="199"/>
    </row>
    <row r="17193" spans="1:1" s="200" customFormat="1" ht="12" hidden="1" customHeight="1">
      <c r="A17193" s="199"/>
    </row>
    <row r="17194" spans="1:1" s="200" customFormat="1" ht="12" hidden="1" customHeight="1">
      <c r="A17194" s="199"/>
    </row>
    <row r="17195" spans="1:1" s="200" customFormat="1" ht="12" hidden="1" customHeight="1">
      <c r="A17195" s="199"/>
    </row>
    <row r="17196" spans="1:1" s="200" customFormat="1" ht="12" hidden="1" customHeight="1">
      <c r="A17196" s="199"/>
    </row>
    <row r="17197" spans="1:1" s="200" customFormat="1" ht="12" hidden="1" customHeight="1">
      <c r="A17197" s="199"/>
    </row>
    <row r="17198" spans="1:1" s="200" customFormat="1" ht="12" hidden="1" customHeight="1">
      <c r="A17198" s="199"/>
    </row>
    <row r="17199" spans="1:1" s="200" customFormat="1" ht="12" hidden="1" customHeight="1">
      <c r="A17199" s="199"/>
    </row>
    <row r="17200" spans="1:1" s="200" customFormat="1" ht="12" hidden="1" customHeight="1">
      <c r="A17200" s="199"/>
    </row>
    <row r="17201" spans="1:1" s="200" customFormat="1" ht="12" hidden="1" customHeight="1">
      <c r="A17201" s="199"/>
    </row>
    <row r="17202" spans="1:1" s="200" customFormat="1" ht="12" hidden="1" customHeight="1">
      <c r="A17202" s="199"/>
    </row>
    <row r="17203" spans="1:1" s="200" customFormat="1" ht="12" hidden="1" customHeight="1">
      <c r="A17203" s="199"/>
    </row>
    <row r="17204" spans="1:1" s="200" customFormat="1" ht="12" hidden="1" customHeight="1">
      <c r="A17204" s="199"/>
    </row>
    <row r="17205" spans="1:1" s="200" customFormat="1" ht="12" hidden="1" customHeight="1">
      <c r="A17205" s="199"/>
    </row>
    <row r="17206" spans="1:1" s="200" customFormat="1" ht="12" hidden="1" customHeight="1">
      <c r="A17206" s="199"/>
    </row>
    <row r="17207" spans="1:1" s="200" customFormat="1" ht="12" hidden="1" customHeight="1">
      <c r="A17207" s="199"/>
    </row>
    <row r="17208" spans="1:1" s="200" customFormat="1" ht="12" hidden="1" customHeight="1">
      <c r="A17208" s="199"/>
    </row>
    <row r="17209" spans="1:1" s="200" customFormat="1" ht="12" hidden="1" customHeight="1">
      <c r="A17209" s="199"/>
    </row>
    <row r="17210" spans="1:1" s="200" customFormat="1" ht="12" hidden="1" customHeight="1">
      <c r="A17210" s="199"/>
    </row>
    <row r="17211" spans="1:1" s="200" customFormat="1" ht="12" hidden="1" customHeight="1">
      <c r="A17211" s="199"/>
    </row>
    <row r="17212" spans="1:1" s="200" customFormat="1" ht="12" hidden="1" customHeight="1">
      <c r="A17212" s="199"/>
    </row>
    <row r="17213" spans="1:1" s="200" customFormat="1" ht="12" hidden="1" customHeight="1">
      <c r="A17213" s="199"/>
    </row>
    <row r="17214" spans="1:1" s="200" customFormat="1" ht="12" hidden="1" customHeight="1">
      <c r="A17214" s="199"/>
    </row>
    <row r="17215" spans="1:1" s="200" customFormat="1" ht="12" hidden="1" customHeight="1">
      <c r="A17215" s="199"/>
    </row>
    <row r="17216" spans="1:1" s="200" customFormat="1" ht="12" hidden="1" customHeight="1">
      <c r="A17216" s="199"/>
    </row>
    <row r="17217" spans="1:1" s="200" customFormat="1" ht="12" hidden="1" customHeight="1">
      <c r="A17217" s="199"/>
    </row>
    <row r="17218" spans="1:1" s="200" customFormat="1" ht="12" hidden="1" customHeight="1">
      <c r="A17218" s="199"/>
    </row>
    <row r="17219" spans="1:1" s="200" customFormat="1" ht="12" hidden="1" customHeight="1">
      <c r="A17219" s="199"/>
    </row>
    <row r="17220" spans="1:1" s="200" customFormat="1" ht="12" hidden="1" customHeight="1">
      <c r="A17220" s="199"/>
    </row>
    <row r="17221" spans="1:1" s="200" customFormat="1" ht="12" hidden="1" customHeight="1">
      <c r="A17221" s="199"/>
    </row>
    <row r="17222" spans="1:1" s="200" customFormat="1" ht="12" hidden="1" customHeight="1">
      <c r="A17222" s="199"/>
    </row>
    <row r="17223" spans="1:1" s="200" customFormat="1" ht="12" hidden="1" customHeight="1">
      <c r="A17223" s="199"/>
    </row>
    <row r="17224" spans="1:1" s="200" customFormat="1" ht="12" hidden="1" customHeight="1">
      <c r="A17224" s="199"/>
    </row>
    <row r="17225" spans="1:1" s="200" customFormat="1" ht="12" hidden="1" customHeight="1">
      <c r="A17225" s="199"/>
    </row>
    <row r="17226" spans="1:1" s="200" customFormat="1" ht="12" hidden="1" customHeight="1">
      <c r="A17226" s="199"/>
    </row>
    <row r="17227" spans="1:1" s="200" customFormat="1" ht="12" hidden="1" customHeight="1">
      <c r="A17227" s="199"/>
    </row>
    <row r="17228" spans="1:1" s="200" customFormat="1" ht="12" hidden="1" customHeight="1">
      <c r="A17228" s="199"/>
    </row>
    <row r="17229" spans="1:1" s="200" customFormat="1" ht="12" hidden="1" customHeight="1">
      <c r="A17229" s="199"/>
    </row>
    <row r="17230" spans="1:1" s="200" customFormat="1" ht="12" hidden="1" customHeight="1">
      <c r="A17230" s="199"/>
    </row>
    <row r="17231" spans="1:1" s="200" customFormat="1" ht="12" hidden="1" customHeight="1">
      <c r="A17231" s="199"/>
    </row>
    <row r="17232" spans="1:1" s="200" customFormat="1" ht="12" hidden="1" customHeight="1">
      <c r="A17232" s="199"/>
    </row>
    <row r="17233" spans="1:1" s="200" customFormat="1" ht="12" hidden="1" customHeight="1">
      <c r="A17233" s="199"/>
    </row>
    <row r="17234" spans="1:1" s="200" customFormat="1" ht="12" hidden="1" customHeight="1">
      <c r="A17234" s="199"/>
    </row>
    <row r="17235" spans="1:1" s="200" customFormat="1" ht="12" hidden="1" customHeight="1">
      <c r="A17235" s="199"/>
    </row>
    <row r="17236" spans="1:1" s="200" customFormat="1" ht="12" hidden="1" customHeight="1">
      <c r="A17236" s="199"/>
    </row>
    <row r="17237" spans="1:1" s="200" customFormat="1" ht="12" hidden="1" customHeight="1">
      <c r="A17237" s="199"/>
    </row>
    <row r="17238" spans="1:1" s="200" customFormat="1" ht="12" hidden="1" customHeight="1">
      <c r="A17238" s="199"/>
    </row>
    <row r="17239" spans="1:1" s="200" customFormat="1" ht="12" hidden="1" customHeight="1">
      <c r="A17239" s="199"/>
    </row>
    <row r="17240" spans="1:1" s="200" customFormat="1" ht="12" hidden="1" customHeight="1">
      <c r="A17240" s="199"/>
    </row>
    <row r="17241" spans="1:1" s="200" customFormat="1" ht="12" hidden="1" customHeight="1">
      <c r="A17241" s="199"/>
    </row>
    <row r="17242" spans="1:1" s="200" customFormat="1" ht="12" hidden="1" customHeight="1">
      <c r="A17242" s="199"/>
    </row>
    <row r="17243" spans="1:1" s="200" customFormat="1" ht="12" hidden="1" customHeight="1">
      <c r="A17243" s="199"/>
    </row>
    <row r="17244" spans="1:1" s="200" customFormat="1" ht="12" hidden="1" customHeight="1">
      <c r="A17244" s="199"/>
    </row>
    <row r="17245" spans="1:1" s="200" customFormat="1" ht="12" hidden="1" customHeight="1">
      <c r="A17245" s="199"/>
    </row>
    <row r="17246" spans="1:1" s="200" customFormat="1" ht="12" hidden="1" customHeight="1">
      <c r="A17246" s="199"/>
    </row>
    <row r="17247" spans="1:1" s="200" customFormat="1" ht="12" hidden="1" customHeight="1">
      <c r="A17247" s="199"/>
    </row>
    <row r="17248" spans="1:1" s="200" customFormat="1" ht="12" hidden="1" customHeight="1">
      <c r="A17248" s="199"/>
    </row>
    <row r="17249" spans="1:1" s="200" customFormat="1" ht="12" hidden="1" customHeight="1">
      <c r="A17249" s="199"/>
    </row>
    <row r="17250" spans="1:1" s="200" customFormat="1" ht="12" hidden="1" customHeight="1">
      <c r="A17250" s="199"/>
    </row>
    <row r="17251" spans="1:1" s="200" customFormat="1" ht="12" hidden="1" customHeight="1">
      <c r="A17251" s="199"/>
    </row>
    <row r="17252" spans="1:1" s="200" customFormat="1" ht="12" hidden="1" customHeight="1">
      <c r="A17252" s="199"/>
    </row>
    <row r="17253" spans="1:1" s="200" customFormat="1" ht="12" hidden="1" customHeight="1">
      <c r="A17253" s="199"/>
    </row>
    <row r="17254" spans="1:1" s="200" customFormat="1" ht="12" hidden="1" customHeight="1">
      <c r="A17254" s="199"/>
    </row>
    <row r="17255" spans="1:1" s="200" customFormat="1" ht="12" hidden="1" customHeight="1">
      <c r="A17255" s="199"/>
    </row>
    <row r="17256" spans="1:1" s="200" customFormat="1" ht="12" hidden="1" customHeight="1">
      <c r="A17256" s="199"/>
    </row>
    <row r="17257" spans="1:1" s="200" customFormat="1" ht="12" hidden="1" customHeight="1">
      <c r="A17257" s="199"/>
    </row>
    <row r="17258" spans="1:1" s="200" customFormat="1" ht="12" hidden="1" customHeight="1">
      <c r="A17258" s="199"/>
    </row>
    <row r="17259" spans="1:1" s="200" customFormat="1" ht="12" hidden="1" customHeight="1">
      <c r="A17259" s="199"/>
    </row>
    <row r="17260" spans="1:1" s="200" customFormat="1" ht="12" hidden="1" customHeight="1">
      <c r="A17260" s="199"/>
    </row>
    <row r="17261" spans="1:1" s="200" customFormat="1" ht="12" hidden="1" customHeight="1">
      <c r="A17261" s="199"/>
    </row>
    <row r="17262" spans="1:1" s="200" customFormat="1" ht="12" hidden="1" customHeight="1">
      <c r="A17262" s="199"/>
    </row>
    <row r="17263" spans="1:1" s="200" customFormat="1" ht="12" hidden="1" customHeight="1">
      <c r="A17263" s="199"/>
    </row>
    <row r="17264" spans="1:1" s="200" customFormat="1" ht="12" hidden="1" customHeight="1">
      <c r="A17264" s="199"/>
    </row>
    <row r="17265" spans="1:1" s="200" customFormat="1" ht="12" hidden="1" customHeight="1">
      <c r="A17265" s="199"/>
    </row>
    <row r="17266" spans="1:1" s="200" customFormat="1" ht="12" hidden="1" customHeight="1">
      <c r="A17266" s="199"/>
    </row>
    <row r="17267" spans="1:1" s="200" customFormat="1" ht="12" hidden="1" customHeight="1">
      <c r="A17267" s="199"/>
    </row>
    <row r="17268" spans="1:1" s="200" customFormat="1" ht="12" hidden="1" customHeight="1">
      <c r="A17268" s="199"/>
    </row>
    <row r="17269" spans="1:1" s="200" customFormat="1" ht="12" hidden="1" customHeight="1">
      <c r="A17269" s="199"/>
    </row>
    <row r="17270" spans="1:1" s="200" customFormat="1" ht="12" hidden="1" customHeight="1">
      <c r="A17270" s="199"/>
    </row>
    <row r="17271" spans="1:1" s="200" customFormat="1" ht="12" hidden="1" customHeight="1">
      <c r="A17271" s="199"/>
    </row>
    <row r="17272" spans="1:1" s="200" customFormat="1" ht="12" hidden="1" customHeight="1">
      <c r="A17272" s="199"/>
    </row>
    <row r="17273" spans="1:1" s="200" customFormat="1" ht="12" hidden="1" customHeight="1">
      <c r="A17273" s="199"/>
    </row>
    <row r="17274" spans="1:1" s="200" customFormat="1" ht="12" hidden="1" customHeight="1">
      <c r="A17274" s="199"/>
    </row>
    <row r="17275" spans="1:1" s="200" customFormat="1" ht="12" hidden="1" customHeight="1">
      <c r="A17275" s="199"/>
    </row>
    <row r="17276" spans="1:1" s="200" customFormat="1" ht="12" hidden="1" customHeight="1">
      <c r="A17276" s="199"/>
    </row>
    <row r="17277" spans="1:1" s="200" customFormat="1" ht="12" hidden="1" customHeight="1">
      <c r="A17277" s="199"/>
    </row>
    <row r="17278" spans="1:1" s="200" customFormat="1" ht="12" hidden="1" customHeight="1">
      <c r="A17278" s="199"/>
    </row>
    <row r="17279" spans="1:1" s="200" customFormat="1" ht="12" hidden="1" customHeight="1">
      <c r="A17279" s="199"/>
    </row>
    <row r="17280" spans="1:1" s="200" customFormat="1" ht="12" hidden="1" customHeight="1">
      <c r="A17280" s="199"/>
    </row>
    <row r="17281" spans="1:1" s="200" customFormat="1" ht="12" hidden="1" customHeight="1">
      <c r="A17281" s="199"/>
    </row>
    <row r="17282" spans="1:1" s="200" customFormat="1" ht="12" hidden="1" customHeight="1">
      <c r="A17282" s="199"/>
    </row>
    <row r="17283" spans="1:1" s="200" customFormat="1" ht="12" hidden="1" customHeight="1">
      <c r="A17283" s="199"/>
    </row>
    <row r="17284" spans="1:1" s="200" customFormat="1" ht="12" hidden="1" customHeight="1">
      <c r="A17284" s="199"/>
    </row>
    <row r="17285" spans="1:1" s="200" customFormat="1" ht="12" hidden="1" customHeight="1">
      <c r="A17285" s="199"/>
    </row>
    <row r="17286" spans="1:1" s="200" customFormat="1" ht="12" hidden="1" customHeight="1">
      <c r="A17286" s="199"/>
    </row>
    <row r="17287" spans="1:1" s="200" customFormat="1" ht="12" hidden="1" customHeight="1">
      <c r="A17287" s="199"/>
    </row>
    <row r="17288" spans="1:1" s="200" customFormat="1" ht="12" hidden="1" customHeight="1">
      <c r="A17288" s="199"/>
    </row>
    <row r="17289" spans="1:1" s="200" customFormat="1" ht="12" hidden="1" customHeight="1">
      <c r="A17289" s="199"/>
    </row>
    <row r="17290" spans="1:1" s="200" customFormat="1" ht="12" hidden="1" customHeight="1">
      <c r="A17290" s="199"/>
    </row>
    <row r="17291" spans="1:1" s="200" customFormat="1" ht="12" hidden="1" customHeight="1">
      <c r="A17291" s="199"/>
    </row>
    <row r="17292" spans="1:1" s="200" customFormat="1" ht="12" hidden="1" customHeight="1">
      <c r="A17292" s="199"/>
    </row>
    <row r="17293" spans="1:1" s="200" customFormat="1" ht="12" hidden="1" customHeight="1">
      <c r="A17293" s="199"/>
    </row>
    <row r="17294" spans="1:1" s="200" customFormat="1" ht="12" hidden="1" customHeight="1">
      <c r="A17294" s="199"/>
    </row>
    <row r="17295" spans="1:1" s="200" customFormat="1" ht="12" hidden="1" customHeight="1">
      <c r="A17295" s="199"/>
    </row>
    <row r="17296" spans="1:1" s="200" customFormat="1" ht="12" hidden="1" customHeight="1">
      <c r="A17296" s="199"/>
    </row>
    <row r="17297" spans="1:1" s="200" customFormat="1" ht="12" hidden="1" customHeight="1">
      <c r="A17297" s="199"/>
    </row>
    <row r="17298" spans="1:1" s="200" customFormat="1" ht="12" hidden="1" customHeight="1">
      <c r="A17298" s="199"/>
    </row>
    <row r="17299" spans="1:1" s="200" customFormat="1" ht="12" hidden="1" customHeight="1">
      <c r="A17299" s="199"/>
    </row>
    <row r="17300" spans="1:1" s="200" customFormat="1" ht="12" hidden="1" customHeight="1">
      <c r="A17300" s="199"/>
    </row>
    <row r="17301" spans="1:1" s="200" customFormat="1" ht="12" hidden="1" customHeight="1">
      <c r="A17301" s="199"/>
    </row>
    <row r="17302" spans="1:1" s="200" customFormat="1" ht="12" hidden="1" customHeight="1">
      <c r="A17302" s="199"/>
    </row>
    <row r="17303" spans="1:1" s="200" customFormat="1" ht="12" hidden="1" customHeight="1">
      <c r="A17303" s="199"/>
    </row>
    <row r="17304" spans="1:1" s="200" customFormat="1" ht="12" hidden="1" customHeight="1">
      <c r="A17304" s="199"/>
    </row>
    <row r="17305" spans="1:1" s="200" customFormat="1" ht="12" hidden="1" customHeight="1">
      <c r="A17305" s="199"/>
    </row>
    <row r="17306" spans="1:1" s="200" customFormat="1" ht="12" hidden="1" customHeight="1">
      <c r="A17306" s="199"/>
    </row>
    <row r="17307" spans="1:1" s="200" customFormat="1" ht="12" hidden="1" customHeight="1">
      <c r="A17307" s="199"/>
    </row>
    <row r="17308" spans="1:1" s="200" customFormat="1" ht="12" hidden="1" customHeight="1">
      <c r="A17308" s="199"/>
    </row>
    <row r="17309" spans="1:1" s="200" customFormat="1" ht="12" hidden="1" customHeight="1">
      <c r="A17309" s="199"/>
    </row>
    <row r="17310" spans="1:1" s="200" customFormat="1" ht="12" hidden="1" customHeight="1">
      <c r="A17310" s="199"/>
    </row>
    <row r="17311" spans="1:1" s="200" customFormat="1" ht="12" hidden="1" customHeight="1">
      <c r="A17311" s="199"/>
    </row>
    <row r="17312" spans="1:1" s="200" customFormat="1" ht="12" hidden="1" customHeight="1">
      <c r="A17312" s="199"/>
    </row>
    <row r="17313" spans="1:1" s="200" customFormat="1" ht="12" hidden="1" customHeight="1">
      <c r="A17313" s="199"/>
    </row>
    <row r="17314" spans="1:1" s="200" customFormat="1" ht="12" hidden="1" customHeight="1">
      <c r="A17314" s="199"/>
    </row>
    <row r="17315" spans="1:1" s="200" customFormat="1" ht="12" hidden="1" customHeight="1">
      <c r="A17315" s="199"/>
    </row>
    <row r="17316" spans="1:1" s="200" customFormat="1" ht="12" hidden="1" customHeight="1">
      <c r="A17316" s="199"/>
    </row>
    <row r="17317" spans="1:1" s="200" customFormat="1" ht="12" hidden="1" customHeight="1">
      <c r="A17317" s="199"/>
    </row>
    <row r="17318" spans="1:1" s="200" customFormat="1" ht="12" hidden="1" customHeight="1">
      <c r="A17318" s="199"/>
    </row>
    <row r="17319" spans="1:1" s="200" customFormat="1" ht="12" hidden="1" customHeight="1">
      <c r="A17319" s="199"/>
    </row>
    <row r="17320" spans="1:1" s="200" customFormat="1" ht="12" hidden="1" customHeight="1">
      <c r="A17320" s="199"/>
    </row>
    <row r="17321" spans="1:1" s="200" customFormat="1" ht="12" hidden="1" customHeight="1">
      <c r="A17321" s="199"/>
    </row>
    <row r="17322" spans="1:1" s="200" customFormat="1" ht="12" hidden="1" customHeight="1">
      <c r="A17322" s="199"/>
    </row>
    <row r="17323" spans="1:1" s="200" customFormat="1" ht="12" hidden="1" customHeight="1">
      <c r="A17323" s="199"/>
    </row>
    <row r="17324" spans="1:1" s="200" customFormat="1" ht="12" hidden="1" customHeight="1">
      <c r="A17324" s="199"/>
    </row>
    <row r="17325" spans="1:1" s="200" customFormat="1" ht="12" hidden="1" customHeight="1">
      <c r="A17325" s="199"/>
    </row>
    <row r="17326" spans="1:1" s="200" customFormat="1" ht="12" hidden="1" customHeight="1">
      <c r="A17326" s="199"/>
    </row>
    <row r="17327" spans="1:1" s="200" customFormat="1" ht="12" hidden="1" customHeight="1">
      <c r="A17327" s="199"/>
    </row>
    <row r="17328" spans="1:1" s="200" customFormat="1" ht="12" hidden="1" customHeight="1">
      <c r="A17328" s="199"/>
    </row>
    <row r="17329" spans="1:1" s="200" customFormat="1" ht="12" hidden="1" customHeight="1">
      <c r="A17329" s="199"/>
    </row>
    <row r="17330" spans="1:1" s="200" customFormat="1" ht="12" hidden="1" customHeight="1">
      <c r="A17330" s="199"/>
    </row>
    <row r="17331" spans="1:1" s="200" customFormat="1" ht="12" hidden="1" customHeight="1">
      <c r="A17331" s="199"/>
    </row>
    <row r="17332" spans="1:1" s="200" customFormat="1" ht="12" hidden="1" customHeight="1">
      <c r="A17332" s="199"/>
    </row>
    <row r="17333" spans="1:1" s="200" customFormat="1" ht="12" hidden="1" customHeight="1">
      <c r="A17333" s="199"/>
    </row>
    <row r="17334" spans="1:1" s="200" customFormat="1" ht="12" hidden="1" customHeight="1">
      <c r="A17334" s="199"/>
    </row>
    <row r="17335" spans="1:1" s="200" customFormat="1" ht="12" hidden="1" customHeight="1">
      <c r="A17335" s="199"/>
    </row>
    <row r="17336" spans="1:1" s="200" customFormat="1" ht="12" hidden="1" customHeight="1">
      <c r="A17336" s="199"/>
    </row>
    <row r="17337" spans="1:1" s="200" customFormat="1" ht="12" hidden="1" customHeight="1">
      <c r="A17337" s="199"/>
    </row>
    <row r="17338" spans="1:1" s="200" customFormat="1" ht="12" hidden="1" customHeight="1">
      <c r="A17338" s="199"/>
    </row>
    <row r="17339" spans="1:1" s="200" customFormat="1" ht="12" hidden="1" customHeight="1">
      <c r="A17339" s="199"/>
    </row>
    <row r="17340" spans="1:1" s="200" customFormat="1" ht="12" hidden="1" customHeight="1">
      <c r="A17340" s="199"/>
    </row>
    <row r="17341" spans="1:1" s="200" customFormat="1" ht="12" hidden="1" customHeight="1">
      <c r="A17341" s="199"/>
    </row>
    <row r="17342" spans="1:1" s="200" customFormat="1" ht="12" hidden="1" customHeight="1">
      <c r="A17342" s="199"/>
    </row>
    <row r="17343" spans="1:1" s="200" customFormat="1" ht="12" hidden="1" customHeight="1">
      <c r="A17343" s="199"/>
    </row>
    <row r="17344" spans="1:1" s="200" customFormat="1" ht="12" hidden="1" customHeight="1">
      <c r="A17344" s="199"/>
    </row>
    <row r="17345" spans="1:1" s="200" customFormat="1" ht="12" hidden="1" customHeight="1">
      <c r="A17345" s="199"/>
    </row>
    <row r="17346" spans="1:1" s="200" customFormat="1" ht="12" hidden="1" customHeight="1">
      <c r="A17346" s="199"/>
    </row>
    <row r="17347" spans="1:1" s="200" customFormat="1" ht="12" hidden="1" customHeight="1">
      <c r="A17347" s="199"/>
    </row>
    <row r="17348" spans="1:1" s="200" customFormat="1" ht="12" hidden="1" customHeight="1">
      <c r="A17348" s="199"/>
    </row>
    <row r="17349" spans="1:1" s="200" customFormat="1" ht="12" hidden="1" customHeight="1">
      <c r="A17349" s="199"/>
    </row>
    <row r="17350" spans="1:1" s="200" customFormat="1" ht="12" hidden="1" customHeight="1">
      <c r="A17350" s="199"/>
    </row>
    <row r="17351" spans="1:1" s="200" customFormat="1" ht="12" hidden="1" customHeight="1">
      <c r="A17351" s="199"/>
    </row>
    <row r="17352" spans="1:1" s="200" customFormat="1" ht="12" hidden="1" customHeight="1">
      <c r="A17352" s="199"/>
    </row>
    <row r="17353" spans="1:1" s="200" customFormat="1" ht="12" hidden="1" customHeight="1">
      <c r="A17353" s="199"/>
    </row>
    <row r="17354" spans="1:1" s="200" customFormat="1" ht="12" hidden="1" customHeight="1">
      <c r="A17354" s="199"/>
    </row>
    <row r="17355" spans="1:1" s="200" customFormat="1" ht="12" hidden="1" customHeight="1">
      <c r="A17355" s="199"/>
    </row>
    <row r="17356" spans="1:1" s="200" customFormat="1" ht="12" hidden="1" customHeight="1">
      <c r="A17356" s="199"/>
    </row>
    <row r="17357" spans="1:1" s="200" customFormat="1" ht="12" hidden="1" customHeight="1">
      <c r="A17357" s="199"/>
    </row>
    <row r="17358" spans="1:1" s="200" customFormat="1" ht="12" hidden="1" customHeight="1">
      <c r="A17358" s="199"/>
    </row>
    <row r="17359" spans="1:1" s="200" customFormat="1" ht="12" hidden="1" customHeight="1">
      <c r="A17359" s="199"/>
    </row>
    <row r="17360" spans="1:1" s="200" customFormat="1" ht="12" hidden="1" customHeight="1">
      <c r="A17360" s="199"/>
    </row>
    <row r="17361" spans="1:1" s="200" customFormat="1" ht="12" hidden="1" customHeight="1">
      <c r="A17361" s="199"/>
    </row>
    <row r="17362" spans="1:1" s="200" customFormat="1" ht="12" hidden="1" customHeight="1">
      <c r="A17362" s="199"/>
    </row>
    <row r="17363" spans="1:1" s="200" customFormat="1" ht="12" hidden="1" customHeight="1">
      <c r="A17363" s="199"/>
    </row>
    <row r="17364" spans="1:1" s="200" customFormat="1" ht="12" hidden="1" customHeight="1">
      <c r="A17364" s="199"/>
    </row>
    <row r="17365" spans="1:1" s="200" customFormat="1" ht="12" hidden="1" customHeight="1">
      <c r="A17365" s="199"/>
    </row>
    <row r="17366" spans="1:1" s="200" customFormat="1" ht="12" hidden="1" customHeight="1">
      <c r="A17366" s="199"/>
    </row>
    <row r="17367" spans="1:1" s="200" customFormat="1" ht="12" hidden="1" customHeight="1">
      <c r="A17367" s="199"/>
    </row>
    <row r="17368" spans="1:1" s="200" customFormat="1" ht="12" hidden="1" customHeight="1">
      <c r="A17368" s="199"/>
    </row>
    <row r="17369" spans="1:1" s="200" customFormat="1" ht="12" hidden="1" customHeight="1">
      <c r="A17369" s="199"/>
    </row>
    <row r="17370" spans="1:1" s="200" customFormat="1" ht="12" hidden="1" customHeight="1">
      <c r="A17370" s="199"/>
    </row>
    <row r="17371" spans="1:1" s="200" customFormat="1" ht="12" hidden="1" customHeight="1">
      <c r="A17371" s="199"/>
    </row>
    <row r="17372" spans="1:1" s="200" customFormat="1" ht="12" hidden="1" customHeight="1">
      <c r="A17372" s="199"/>
    </row>
    <row r="17373" spans="1:1" s="200" customFormat="1" ht="12" hidden="1" customHeight="1">
      <c r="A17373" s="199"/>
    </row>
    <row r="17374" spans="1:1" s="200" customFormat="1" ht="12" hidden="1" customHeight="1">
      <c r="A17374" s="199"/>
    </row>
    <row r="17375" spans="1:1" s="200" customFormat="1" ht="12" hidden="1" customHeight="1">
      <c r="A17375" s="199"/>
    </row>
    <row r="17376" spans="1:1" s="200" customFormat="1" ht="12" hidden="1" customHeight="1">
      <c r="A17376" s="199"/>
    </row>
    <row r="17377" spans="1:1" s="200" customFormat="1" ht="12" hidden="1" customHeight="1">
      <c r="A17377" s="199"/>
    </row>
    <row r="17378" spans="1:1" s="200" customFormat="1" ht="12" hidden="1" customHeight="1">
      <c r="A17378" s="199"/>
    </row>
    <row r="17379" spans="1:1" s="200" customFormat="1" ht="12" hidden="1" customHeight="1">
      <c r="A17379" s="199"/>
    </row>
    <row r="17380" spans="1:1" s="200" customFormat="1" ht="12" hidden="1" customHeight="1">
      <c r="A17380" s="199"/>
    </row>
    <row r="17381" spans="1:1" s="200" customFormat="1" ht="12" hidden="1" customHeight="1">
      <c r="A17381" s="199"/>
    </row>
    <row r="17382" spans="1:1" s="200" customFormat="1" ht="12" hidden="1" customHeight="1">
      <c r="A17382" s="199"/>
    </row>
    <row r="17383" spans="1:1" s="200" customFormat="1" ht="12" hidden="1" customHeight="1">
      <c r="A17383" s="199"/>
    </row>
    <row r="17384" spans="1:1" s="200" customFormat="1" ht="12" hidden="1" customHeight="1">
      <c r="A17384" s="199"/>
    </row>
    <row r="17385" spans="1:1" s="200" customFormat="1" ht="12" hidden="1" customHeight="1">
      <c r="A17385" s="199"/>
    </row>
    <row r="17386" spans="1:1" s="200" customFormat="1" ht="12" hidden="1" customHeight="1">
      <c r="A17386" s="199"/>
    </row>
    <row r="17387" spans="1:1" s="200" customFormat="1" ht="12" hidden="1" customHeight="1">
      <c r="A17387" s="199"/>
    </row>
    <row r="17388" spans="1:1" s="200" customFormat="1" ht="12" hidden="1" customHeight="1">
      <c r="A17388" s="199"/>
    </row>
    <row r="17389" spans="1:1" s="200" customFormat="1" ht="12" hidden="1" customHeight="1">
      <c r="A17389" s="199"/>
    </row>
    <row r="17390" spans="1:1" s="200" customFormat="1" ht="12" hidden="1" customHeight="1">
      <c r="A17390" s="199"/>
    </row>
    <row r="17391" spans="1:1" s="200" customFormat="1" ht="12" hidden="1" customHeight="1">
      <c r="A17391" s="199"/>
    </row>
    <row r="17392" spans="1:1" s="200" customFormat="1" ht="12" hidden="1" customHeight="1">
      <c r="A17392" s="199"/>
    </row>
    <row r="17393" spans="1:1" s="200" customFormat="1" ht="12" hidden="1" customHeight="1">
      <c r="A17393" s="199"/>
    </row>
    <row r="17394" spans="1:1" s="200" customFormat="1" ht="12" hidden="1" customHeight="1">
      <c r="A17394" s="199"/>
    </row>
    <row r="17395" spans="1:1" s="200" customFormat="1" ht="12" hidden="1" customHeight="1">
      <c r="A17395" s="199"/>
    </row>
    <row r="17396" spans="1:1" s="200" customFormat="1" ht="12" hidden="1" customHeight="1">
      <c r="A17396" s="199"/>
    </row>
    <row r="17397" spans="1:1" s="200" customFormat="1" ht="12" hidden="1" customHeight="1">
      <c r="A17397" s="199"/>
    </row>
    <row r="17398" spans="1:1" s="200" customFormat="1" ht="12" hidden="1" customHeight="1">
      <c r="A17398" s="199"/>
    </row>
    <row r="17399" spans="1:1" s="200" customFormat="1" ht="12" hidden="1" customHeight="1">
      <c r="A17399" s="199"/>
    </row>
    <row r="17400" spans="1:1" s="200" customFormat="1" ht="12" hidden="1" customHeight="1">
      <c r="A17400" s="199"/>
    </row>
    <row r="17401" spans="1:1" s="200" customFormat="1" ht="12" hidden="1" customHeight="1">
      <c r="A17401" s="199"/>
    </row>
    <row r="17402" spans="1:1" s="200" customFormat="1" ht="12" hidden="1" customHeight="1">
      <c r="A17402" s="199"/>
    </row>
    <row r="17403" spans="1:1" s="200" customFormat="1" ht="12" hidden="1" customHeight="1">
      <c r="A17403" s="199"/>
    </row>
    <row r="17404" spans="1:1" s="200" customFormat="1" ht="12" hidden="1" customHeight="1">
      <c r="A17404" s="199"/>
    </row>
    <row r="17405" spans="1:1" s="200" customFormat="1" ht="12" hidden="1" customHeight="1">
      <c r="A17405" s="199"/>
    </row>
    <row r="17406" spans="1:1" s="200" customFormat="1" ht="12" hidden="1" customHeight="1">
      <c r="A17406" s="199"/>
    </row>
    <row r="17407" spans="1:1" s="200" customFormat="1" ht="12" hidden="1" customHeight="1">
      <c r="A17407" s="199"/>
    </row>
    <row r="17408" spans="1:1" s="200" customFormat="1" ht="12" hidden="1" customHeight="1">
      <c r="A17408" s="199"/>
    </row>
    <row r="17409" spans="1:1" s="200" customFormat="1" ht="12" hidden="1" customHeight="1">
      <c r="A17409" s="199"/>
    </row>
    <row r="17410" spans="1:1" s="200" customFormat="1" ht="12" hidden="1" customHeight="1">
      <c r="A17410" s="199"/>
    </row>
    <row r="17411" spans="1:1" s="200" customFormat="1" ht="12" hidden="1" customHeight="1">
      <c r="A17411" s="199"/>
    </row>
    <row r="17412" spans="1:1" s="200" customFormat="1" ht="12" hidden="1" customHeight="1">
      <c r="A17412" s="199"/>
    </row>
    <row r="17413" spans="1:1" s="200" customFormat="1" ht="12" hidden="1" customHeight="1">
      <c r="A17413" s="199"/>
    </row>
    <row r="17414" spans="1:1" s="200" customFormat="1" ht="12" hidden="1" customHeight="1">
      <c r="A17414" s="199"/>
    </row>
    <row r="17415" spans="1:1" s="200" customFormat="1" ht="12" hidden="1" customHeight="1">
      <c r="A17415" s="199"/>
    </row>
    <row r="17416" spans="1:1" s="200" customFormat="1" ht="12" hidden="1" customHeight="1">
      <c r="A17416" s="199"/>
    </row>
    <row r="17417" spans="1:1" s="200" customFormat="1" ht="12" hidden="1" customHeight="1">
      <c r="A17417" s="199"/>
    </row>
    <row r="17418" spans="1:1" s="200" customFormat="1" ht="12" hidden="1" customHeight="1">
      <c r="A17418" s="199"/>
    </row>
    <row r="17419" spans="1:1" s="200" customFormat="1" ht="12" hidden="1" customHeight="1">
      <c r="A17419" s="199"/>
    </row>
    <row r="17420" spans="1:1" s="200" customFormat="1" ht="12" hidden="1" customHeight="1">
      <c r="A17420" s="199"/>
    </row>
    <row r="17421" spans="1:1" s="200" customFormat="1" ht="12" hidden="1" customHeight="1">
      <c r="A17421" s="199"/>
    </row>
    <row r="17422" spans="1:1" s="200" customFormat="1" ht="12" hidden="1" customHeight="1">
      <c r="A17422" s="199"/>
    </row>
    <row r="17423" spans="1:1" s="200" customFormat="1" ht="12" hidden="1" customHeight="1">
      <c r="A17423" s="199"/>
    </row>
    <row r="17424" spans="1:1" s="200" customFormat="1" ht="12" hidden="1" customHeight="1">
      <c r="A17424" s="199"/>
    </row>
    <row r="17425" spans="1:1" s="200" customFormat="1" ht="12" hidden="1" customHeight="1">
      <c r="A17425" s="199"/>
    </row>
    <row r="17426" spans="1:1" s="200" customFormat="1" ht="12" hidden="1" customHeight="1">
      <c r="A17426" s="199"/>
    </row>
    <row r="17427" spans="1:1" s="200" customFormat="1" ht="12" hidden="1" customHeight="1">
      <c r="A17427" s="199"/>
    </row>
    <row r="17428" spans="1:1" s="200" customFormat="1" ht="12" hidden="1" customHeight="1">
      <c r="A17428" s="199"/>
    </row>
    <row r="17429" spans="1:1" s="200" customFormat="1" ht="12" hidden="1" customHeight="1">
      <c r="A17429" s="199"/>
    </row>
    <row r="17430" spans="1:1" s="200" customFormat="1" ht="12" hidden="1" customHeight="1">
      <c r="A17430" s="199"/>
    </row>
    <row r="17431" spans="1:1" s="200" customFormat="1" ht="12" hidden="1" customHeight="1">
      <c r="A17431" s="199"/>
    </row>
    <row r="17432" spans="1:1" s="200" customFormat="1" ht="12" hidden="1" customHeight="1">
      <c r="A17432" s="199"/>
    </row>
    <row r="17433" spans="1:1" s="200" customFormat="1" ht="12" hidden="1" customHeight="1">
      <c r="A17433" s="199"/>
    </row>
    <row r="17434" spans="1:1" s="200" customFormat="1" ht="12" hidden="1" customHeight="1">
      <c r="A17434" s="199"/>
    </row>
    <row r="17435" spans="1:1" s="200" customFormat="1" ht="12" hidden="1" customHeight="1">
      <c r="A17435" s="199"/>
    </row>
    <row r="17436" spans="1:1" s="200" customFormat="1" ht="12" hidden="1" customHeight="1">
      <c r="A17436" s="199"/>
    </row>
    <row r="17437" spans="1:1" s="200" customFormat="1" ht="12" hidden="1" customHeight="1">
      <c r="A17437" s="199"/>
    </row>
    <row r="17438" spans="1:1" s="200" customFormat="1" ht="12" hidden="1" customHeight="1">
      <c r="A17438" s="199"/>
    </row>
    <row r="17439" spans="1:1" s="200" customFormat="1" ht="12" hidden="1" customHeight="1">
      <c r="A17439" s="199"/>
    </row>
    <row r="17440" spans="1:1" s="200" customFormat="1" ht="12" hidden="1" customHeight="1">
      <c r="A17440" s="199"/>
    </row>
    <row r="17441" spans="1:1" s="200" customFormat="1" ht="12" hidden="1" customHeight="1">
      <c r="A17441" s="199"/>
    </row>
    <row r="17442" spans="1:1" s="200" customFormat="1" ht="12" hidden="1" customHeight="1">
      <c r="A17442" s="199"/>
    </row>
    <row r="17443" spans="1:1" s="200" customFormat="1" ht="12" hidden="1" customHeight="1">
      <c r="A17443" s="199"/>
    </row>
    <row r="17444" spans="1:1" s="200" customFormat="1" ht="12" hidden="1" customHeight="1">
      <c r="A17444" s="199"/>
    </row>
    <row r="17445" spans="1:1" s="200" customFormat="1" ht="12" hidden="1" customHeight="1">
      <c r="A17445" s="199"/>
    </row>
    <row r="17446" spans="1:1" s="200" customFormat="1" ht="12" hidden="1" customHeight="1">
      <c r="A17446" s="199"/>
    </row>
    <row r="17447" spans="1:1" s="200" customFormat="1" ht="12" hidden="1" customHeight="1">
      <c r="A17447" s="199"/>
    </row>
    <row r="17448" spans="1:1" s="200" customFormat="1" ht="12" hidden="1" customHeight="1">
      <c r="A17448" s="199"/>
    </row>
    <row r="17449" spans="1:1" s="200" customFormat="1" ht="12" hidden="1" customHeight="1">
      <c r="A17449" s="199"/>
    </row>
    <row r="17450" spans="1:1" s="200" customFormat="1" ht="12" hidden="1" customHeight="1">
      <c r="A17450" s="199"/>
    </row>
    <row r="17451" spans="1:1" s="200" customFormat="1" ht="12" hidden="1" customHeight="1">
      <c r="A17451" s="199"/>
    </row>
    <row r="17452" spans="1:1" s="200" customFormat="1" ht="12" hidden="1" customHeight="1">
      <c r="A17452" s="199"/>
    </row>
    <row r="17453" spans="1:1" s="200" customFormat="1" ht="12" hidden="1" customHeight="1">
      <c r="A17453" s="199"/>
    </row>
    <row r="17454" spans="1:1" s="200" customFormat="1" ht="12" hidden="1" customHeight="1">
      <c r="A17454" s="199"/>
    </row>
    <row r="17455" spans="1:1" s="200" customFormat="1" ht="12" hidden="1" customHeight="1">
      <c r="A17455" s="199"/>
    </row>
    <row r="17456" spans="1:1" s="200" customFormat="1" ht="12" hidden="1" customHeight="1">
      <c r="A17456" s="199"/>
    </row>
    <row r="17457" spans="1:1" s="200" customFormat="1" ht="12" hidden="1" customHeight="1">
      <c r="A17457" s="199"/>
    </row>
    <row r="17458" spans="1:1" s="200" customFormat="1" ht="12" hidden="1" customHeight="1">
      <c r="A17458" s="199"/>
    </row>
    <row r="17459" spans="1:1" s="200" customFormat="1" ht="12" hidden="1" customHeight="1">
      <c r="A17459" s="199"/>
    </row>
    <row r="17460" spans="1:1" s="200" customFormat="1" ht="12" hidden="1" customHeight="1">
      <c r="A17460" s="199"/>
    </row>
    <row r="17461" spans="1:1" s="200" customFormat="1" ht="12" hidden="1" customHeight="1">
      <c r="A17461" s="199"/>
    </row>
    <row r="17462" spans="1:1" s="200" customFormat="1" ht="12" hidden="1" customHeight="1">
      <c r="A17462" s="199"/>
    </row>
    <row r="17463" spans="1:1" s="200" customFormat="1" ht="12" hidden="1" customHeight="1">
      <c r="A17463" s="199"/>
    </row>
    <row r="17464" spans="1:1" s="200" customFormat="1" ht="12" hidden="1" customHeight="1">
      <c r="A17464" s="199"/>
    </row>
    <row r="17465" spans="1:1" s="200" customFormat="1" ht="12" hidden="1" customHeight="1">
      <c r="A17465" s="199"/>
    </row>
    <row r="17466" spans="1:1" s="200" customFormat="1" ht="12" hidden="1" customHeight="1">
      <c r="A17466" s="199"/>
    </row>
    <row r="17467" spans="1:1" s="200" customFormat="1" ht="12" hidden="1" customHeight="1">
      <c r="A17467" s="199"/>
    </row>
    <row r="17468" spans="1:1" s="200" customFormat="1" ht="12" hidden="1" customHeight="1">
      <c r="A17468" s="199"/>
    </row>
    <row r="17469" spans="1:1" s="200" customFormat="1" ht="12" hidden="1" customHeight="1">
      <c r="A17469" s="199"/>
    </row>
    <row r="17470" spans="1:1" s="200" customFormat="1" ht="12" hidden="1" customHeight="1">
      <c r="A17470" s="199"/>
    </row>
    <row r="17471" spans="1:1" s="200" customFormat="1" ht="12" hidden="1" customHeight="1">
      <c r="A17471" s="199"/>
    </row>
    <row r="17472" spans="1:1" s="200" customFormat="1" ht="12" hidden="1" customHeight="1">
      <c r="A17472" s="199"/>
    </row>
    <row r="17473" spans="1:1" s="200" customFormat="1" ht="12" hidden="1" customHeight="1">
      <c r="A17473" s="199"/>
    </row>
    <row r="17474" spans="1:1" s="200" customFormat="1" ht="12" hidden="1" customHeight="1">
      <c r="A17474" s="199"/>
    </row>
    <row r="17475" spans="1:1" s="200" customFormat="1" ht="12" hidden="1" customHeight="1">
      <c r="A17475" s="199"/>
    </row>
    <row r="17476" spans="1:1" s="200" customFormat="1" ht="12" hidden="1" customHeight="1">
      <c r="A17476" s="199"/>
    </row>
    <row r="17477" spans="1:1" s="200" customFormat="1" ht="12" hidden="1" customHeight="1">
      <c r="A17477" s="199"/>
    </row>
    <row r="17478" spans="1:1" s="200" customFormat="1" ht="12" hidden="1" customHeight="1">
      <c r="A17478" s="199"/>
    </row>
    <row r="17479" spans="1:1" s="200" customFormat="1" ht="12" hidden="1" customHeight="1">
      <c r="A17479" s="199"/>
    </row>
    <row r="17480" spans="1:1" s="200" customFormat="1" ht="12" hidden="1" customHeight="1">
      <c r="A17480" s="199"/>
    </row>
    <row r="17481" spans="1:1" s="200" customFormat="1" ht="12" hidden="1" customHeight="1">
      <c r="A17481" s="199"/>
    </row>
    <row r="17482" spans="1:1" s="200" customFormat="1" ht="12" hidden="1" customHeight="1">
      <c r="A17482" s="199"/>
    </row>
    <row r="17483" spans="1:1" s="200" customFormat="1" ht="12" hidden="1" customHeight="1">
      <c r="A17483" s="199"/>
    </row>
    <row r="17484" spans="1:1" s="200" customFormat="1" ht="12" hidden="1" customHeight="1">
      <c r="A17484" s="199"/>
    </row>
    <row r="17485" spans="1:1" s="200" customFormat="1" ht="12" hidden="1" customHeight="1">
      <c r="A17485" s="199"/>
    </row>
    <row r="17486" spans="1:1" s="200" customFormat="1" ht="12" hidden="1" customHeight="1">
      <c r="A17486" s="199"/>
    </row>
    <row r="17487" spans="1:1" s="200" customFormat="1" ht="12" hidden="1" customHeight="1">
      <c r="A17487" s="199"/>
    </row>
    <row r="17488" spans="1:1" s="200" customFormat="1" ht="12" hidden="1" customHeight="1">
      <c r="A17488" s="199"/>
    </row>
    <row r="17489" spans="1:1" s="200" customFormat="1" ht="12" hidden="1" customHeight="1">
      <c r="A17489" s="199"/>
    </row>
    <row r="17490" spans="1:1" s="200" customFormat="1" ht="12" hidden="1" customHeight="1">
      <c r="A17490" s="199"/>
    </row>
    <row r="17491" spans="1:1" s="200" customFormat="1" ht="12" hidden="1" customHeight="1">
      <c r="A17491" s="199"/>
    </row>
    <row r="17492" spans="1:1" s="200" customFormat="1" ht="12" hidden="1" customHeight="1">
      <c r="A17492" s="199"/>
    </row>
    <row r="17493" spans="1:1" s="200" customFormat="1" ht="12" hidden="1" customHeight="1">
      <c r="A17493" s="199"/>
    </row>
    <row r="17494" spans="1:1" s="200" customFormat="1" ht="12" hidden="1" customHeight="1">
      <c r="A17494" s="199"/>
    </row>
    <row r="17495" spans="1:1" s="200" customFormat="1" ht="12" hidden="1" customHeight="1">
      <c r="A17495" s="199"/>
    </row>
    <row r="17496" spans="1:1" s="200" customFormat="1" ht="12" hidden="1" customHeight="1">
      <c r="A17496" s="199"/>
    </row>
    <row r="17497" spans="1:1" s="200" customFormat="1" ht="12" hidden="1" customHeight="1">
      <c r="A17497" s="199"/>
    </row>
    <row r="17498" spans="1:1" s="200" customFormat="1" ht="12" hidden="1" customHeight="1">
      <c r="A17498" s="199"/>
    </row>
    <row r="17499" spans="1:1" s="200" customFormat="1" ht="12" hidden="1" customHeight="1">
      <c r="A17499" s="199"/>
    </row>
    <row r="17500" spans="1:1" s="200" customFormat="1" ht="12" hidden="1" customHeight="1">
      <c r="A17500" s="199"/>
    </row>
    <row r="17501" spans="1:1" s="200" customFormat="1" ht="12" hidden="1" customHeight="1">
      <c r="A17501" s="199"/>
    </row>
    <row r="17502" spans="1:1" s="200" customFormat="1" ht="12" hidden="1" customHeight="1">
      <c r="A17502" s="199"/>
    </row>
    <row r="17503" spans="1:1" s="200" customFormat="1" ht="12" hidden="1" customHeight="1">
      <c r="A17503" s="199"/>
    </row>
    <row r="17504" spans="1:1" s="200" customFormat="1" ht="12" hidden="1" customHeight="1">
      <c r="A17504" s="199"/>
    </row>
    <row r="17505" spans="1:1" s="200" customFormat="1" ht="12" hidden="1" customHeight="1">
      <c r="A17505" s="199"/>
    </row>
    <row r="17506" spans="1:1" s="200" customFormat="1" ht="12" hidden="1" customHeight="1">
      <c r="A17506" s="199"/>
    </row>
    <row r="17507" spans="1:1" s="200" customFormat="1" ht="12" hidden="1" customHeight="1">
      <c r="A17507" s="199"/>
    </row>
    <row r="17508" spans="1:1" s="200" customFormat="1" ht="12" hidden="1" customHeight="1">
      <c r="A17508" s="199"/>
    </row>
    <row r="17509" spans="1:1" s="200" customFormat="1" ht="12" hidden="1" customHeight="1">
      <c r="A17509" s="199"/>
    </row>
    <row r="17510" spans="1:1" s="200" customFormat="1" ht="12" hidden="1" customHeight="1">
      <c r="A17510" s="199"/>
    </row>
    <row r="17511" spans="1:1" s="200" customFormat="1" ht="12" hidden="1" customHeight="1">
      <c r="A17511" s="199"/>
    </row>
    <row r="17512" spans="1:1" s="200" customFormat="1" ht="12" hidden="1" customHeight="1">
      <c r="A17512" s="199"/>
    </row>
    <row r="17513" spans="1:1" s="200" customFormat="1" ht="12" hidden="1" customHeight="1">
      <c r="A17513" s="199"/>
    </row>
    <row r="17514" spans="1:1" s="200" customFormat="1" ht="12" hidden="1" customHeight="1">
      <c r="A17514" s="199"/>
    </row>
    <row r="17515" spans="1:1" s="200" customFormat="1" ht="12" hidden="1" customHeight="1">
      <c r="A17515" s="199"/>
    </row>
    <row r="17516" spans="1:1" s="200" customFormat="1" ht="12" hidden="1" customHeight="1">
      <c r="A17516" s="199"/>
    </row>
    <row r="17517" spans="1:1" s="200" customFormat="1" ht="12" hidden="1" customHeight="1">
      <c r="A17517" s="199"/>
    </row>
    <row r="17518" spans="1:1" s="200" customFormat="1" ht="12" hidden="1" customHeight="1">
      <c r="A17518" s="199"/>
    </row>
    <row r="17519" spans="1:1" s="200" customFormat="1" ht="12" hidden="1" customHeight="1">
      <c r="A17519" s="199"/>
    </row>
    <row r="17520" spans="1:1" s="200" customFormat="1" ht="12" hidden="1" customHeight="1">
      <c r="A17520" s="199"/>
    </row>
    <row r="17521" spans="1:1" s="200" customFormat="1" ht="12" hidden="1" customHeight="1">
      <c r="A17521" s="199"/>
    </row>
    <row r="17522" spans="1:1" s="200" customFormat="1" ht="12" hidden="1" customHeight="1">
      <c r="A17522" s="199"/>
    </row>
    <row r="17523" spans="1:1" s="200" customFormat="1" ht="12" hidden="1" customHeight="1">
      <c r="A17523" s="199"/>
    </row>
    <row r="17524" spans="1:1" s="200" customFormat="1" ht="12" hidden="1" customHeight="1">
      <c r="A17524" s="199"/>
    </row>
    <row r="17525" spans="1:1" s="200" customFormat="1" ht="12" hidden="1" customHeight="1">
      <c r="A17525" s="199"/>
    </row>
    <row r="17526" spans="1:1" s="200" customFormat="1" ht="12" hidden="1" customHeight="1">
      <c r="A17526" s="199"/>
    </row>
    <row r="17527" spans="1:1" s="200" customFormat="1" ht="12" hidden="1" customHeight="1">
      <c r="A17527" s="199"/>
    </row>
    <row r="17528" spans="1:1" s="200" customFormat="1" ht="12" hidden="1" customHeight="1">
      <c r="A17528" s="199"/>
    </row>
    <row r="17529" spans="1:1" s="200" customFormat="1" ht="12" hidden="1" customHeight="1">
      <c r="A17529" s="199"/>
    </row>
    <row r="17530" spans="1:1" s="200" customFormat="1" ht="12" hidden="1" customHeight="1">
      <c r="A17530" s="199"/>
    </row>
    <row r="17531" spans="1:1" s="200" customFormat="1" ht="12" hidden="1" customHeight="1">
      <c r="A17531" s="199"/>
    </row>
    <row r="17532" spans="1:1" s="200" customFormat="1" ht="12" hidden="1" customHeight="1">
      <c r="A17532" s="199"/>
    </row>
    <row r="17533" spans="1:1" s="200" customFormat="1" ht="12" hidden="1" customHeight="1">
      <c r="A17533" s="199"/>
    </row>
    <row r="17534" spans="1:1" s="200" customFormat="1" ht="12" hidden="1" customHeight="1">
      <c r="A17534" s="199"/>
    </row>
    <row r="17535" spans="1:1" s="200" customFormat="1" ht="12" hidden="1" customHeight="1">
      <c r="A17535" s="199"/>
    </row>
    <row r="17536" spans="1:1" s="200" customFormat="1" ht="12" hidden="1" customHeight="1">
      <c r="A17536" s="199"/>
    </row>
    <row r="17537" spans="1:1" s="200" customFormat="1" ht="12" hidden="1" customHeight="1">
      <c r="A17537" s="199"/>
    </row>
    <row r="17538" spans="1:1" s="200" customFormat="1" ht="12" hidden="1" customHeight="1">
      <c r="A17538" s="199"/>
    </row>
    <row r="17539" spans="1:1" s="200" customFormat="1" ht="12" hidden="1" customHeight="1">
      <c r="A17539" s="199"/>
    </row>
    <row r="17540" spans="1:1" s="200" customFormat="1" ht="12" hidden="1" customHeight="1">
      <c r="A17540" s="199"/>
    </row>
    <row r="17541" spans="1:1" s="200" customFormat="1" ht="12" hidden="1" customHeight="1">
      <c r="A17541" s="199"/>
    </row>
    <row r="17542" spans="1:1" s="200" customFormat="1" ht="12" hidden="1" customHeight="1">
      <c r="A17542" s="199"/>
    </row>
    <row r="17543" spans="1:1" s="200" customFormat="1" ht="12" hidden="1" customHeight="1">
      <c r="A17543" s="199"/>
    </row>
    <row r="17544" spans="1:1" s="200" customFormat="1" ht="12" hidden="1" customHeight="1">
      <c r="A17544" s="199"/>
    </row>
    <row r="17545" spans="1:1" s="200" customFormat="1" ht="12" hidden="1" customHeight="1">
      <c r="A17545" s="199"/>
    </row>
    <row r="17546" spans="1:1" s="200" customFormat="1" ht="12" hidden="1" customHeight="1">
      <c r="A17546" s="199"/>
    </row>
    <row r="17547" spans="1:1" s="200" customFormat="1" ht="12" hidden="1" customHeight="1">
      <c r="A17547" s="199"/>
    </row>
    <row r="17548" spans="1:1" s="200" customFormat="1" ht="12" hidden="1" customHeight="1">
      <c r="A17548" s="199"/>
    </row>
    <row r="17549" spans="1:1" s="200" customFormat="1" ht="12" hidden="1" customHeight="1">
      <c r="A17549" s="199"/>
    </row>
    <row r="17550" spans="1:1" s="200" customFormat="1" ht="12" hidden="1" customHeight="1">
      <c r="A17550" s="199"/>
    </row>
    <row r="17551" spans="1:1" s="200" customFormat="1" ht="12" hidden="1" customHeight="1">
      <c r="A17551" s="199"/>
    </row>
    <row r="17552" spans="1:1" s="200" customFormat="1" ht="12" hidden="1" customHeight="1">
      <c r="A17552" s="199"/>
    </row>
    <row r="17553" spans="1:1" s="200" customFormat="1" ht="12" hidden="1" customHeight="1">
      <c r="A17553" s="199"/>
    </row>
    <row r="17554" spans="1:1" s="200" customFormat="1" ht="12" hidden="1" customHeight="1">
      <c r="A17554" s="199"/>
    </row>
    <row r="17555" spans="1:1" s="200" customFormat="1" ht="12" hidden="1" customHeight="1">
      <c r="A17555" s="199"/>
    </row>
    <row r="17556" spans="1:1" s="200" customFormat="1" ht="12" hidden="1" customHeight="1">
      <c r="A17556" s="199"/>
    </row>
    <row r="17557" spans="1:1" s="200" customFormat="1" ht="12" hidden="1" customHeight="1">
      <c r="A17557" s="199"/>
    </row>
    <row r="17558" spans="1:1" s="200" customFormat="1" ht="12" hidden="1" customHeight="1">
      <c r="A17558" s="199"/>
    </row>
    <row r="17559" spans="1:1" s="200" customFormat="1" ht="12" hidden="1" customHeight="1">
      <c r="A17559" s="199"/>
    </row>
    <row r="17560" spans="1:1" s="200" customFormat="1" ht="12" hidden="1" customHeight="1">
      <c r="A17560" s="199"/>
    </row>
    <row r="17561" spans="1:1" s="200" customFormat="1" ht="12" hidden="1" customHeight="1">
      <c r="A17561" s="199"/>
    </row>
    <row r="17562" spans="1:1" s="200" customFormat="1" ht="12" hidden="1" customHeight="1">
      <c r="A17562" s="199"/>
    </row>
    <row r="17563" spans="1:1" s="200" customFormat="1" ht="12" hidden="1" customHeight="1">
      <c r="A17563" s="199"/>
    </row>
    <row r="17564" spans="1:1" s="200" customFormat="1" ht="12" hidden="1" customHeight="1">
      <c r="A17564" s="199"/>
    </row>
    <row r="17565" spans="1:1" s="200" customFormat="1" ht="12" hidden="1" customHeight="1">
      <c r="A17565" s="199"/>
    </row>
    <row r="17566" spans="1:1" s="200" customFormat="1" ht="12" hidden="1" customHeight="1">
      <c r="A17566" s="199"/>
    </row>
    <row r="17567" spans="1:1" s="200" customFormat="1" ht="12" hidden="1" customHeight="1">
      <c r="A17567" s="199"/>
    </row>
    <row r="17568" spans="1:1" s="200" customFormat="1" ht="12" hidden="1" customHeight="1">
      <c r="A17568" s="199"/>
    </row>
    <row r="17569" spans="1:1" s="200" customFormat="1" ht="12" hidden="1" customHeight="1">
      <c r="A17569" s="199"/>
    </row>
    <row r="17570" spans="1:1" s="200" customFormat="1" ht="12" hidden="1" customHeight="1">
      <c r="A17570" s="199"/>
    </row>
    <row r="17571" spans="1:1" s="200" customFormat="1" ht="12" hidden="1" customHeight="1">
      <c r="A17571" s="199"/>
    </row>
    <row r="17572" spans="1:1" s="200" customFormat="1" ht="12" hidden="1" customHeight="1">
      <c r="A17572" s="199"/>
    </row>
    <row r="17573" spans="1:1" s="200" customFormat="1" ht="12" hidden="1" customHeight="1">
      <c r="A17573" s="199"/>
    </row>
    <row r="17574" spans="1:1" s="200" customFormat="1" ht="12" hidden="1" customHeight="1">
      <c r="A17574" s="199"/>
    </row>
    <row r="17575" spans="1:1" s="200" customFormat="1" ht="12" hidden="1" customHeight="1">
      <c r="A17575" s="199"/>
    </row>
    <row r="17576" spans="1:1" s="200" customFormat="1" ht="12" hidden="1" customHeight="1">
      <c r="A17576" s="199"/>
    </row>
    <row r="17577" spans="1:1" s="200" customFormat="1" ht="12" hidden="1" customHeight="1">
      <c r="A17577" s="199"/>
    </row>
    <row r="17578" spans="1:1" s="200" customFormat="1" ht="12" hidden="1" customHeight="1">
      <c r="A17578" s="199"/>
    </row>
    <row r="17579" spans="1:1" s="200" customFormat="1" ht="12" hidden="1" customHeight="1">
      <c r="A17579" s="199"/>
    </row>
    <row r="17580" spans="1:1" s="200" customFormat="1" ht="12" hidden="1" customHeight="1">
      <c r="A17580" s="199"/>
    </row>
    <row r="17581" spans="1:1" s="200" customFormat="1" ht="12" hidden="1" customHeight="1">
      <c r="A17581" s="199"/>
    </row>
    <row r="17582" spans="1:1" s="200" customFormat="1" ht="12" hidden="1" customHeight="1">
      <c r="A17582" s="199"/>
    </row>
    <row r="17583" spans="1:1" s="200" customFormat="1" ht="12" hidden="1" customHeight="1">
      <c r="A17583" s="199"/>
    </row>
    <row r="17584" spans="1:1" s="200" customFormat="1" ht="12" hidden="1" customHeight="1">
      <c r="A17584" s="199"/>
    </row>
    <row r="17585" spans="1:1" s="200" customFormat="1" ht="12" hidden="1" customHeight="1">
      <c r="A17585" s="199"/>
    </row>
    <row r="17586" spans="1:1" s="200" customFormat="1" ht="12" hidden="1" customHeight="1">
      <c r="A17586" s="199"/>
    </row>
    <row r="17587" spans="1:1" s="200" customFormat="1" ht="12" hidden="1" customHeight="1">
      <c r="A17587" s="199"/>
    </row>
    <row r="17588" spans="1:1" s="200" customFormat="1" ht="12" hidden="1" customHeight="1">
      <c r="A17588" s="199"/>
    </row>
    <row r="17589" spans="1:1" s="200" customFormat="1" ht="12" hidden="1" customHeight="1">
      <c r="A17589" s="199"/>
    </row>
    <row r="17590" spans="1:1" s="200" customFormat="1" ht="12" hidden="1" customHeight="1">
      <c r="A17590" s="199"/>
    </row>
    <row r="17591" spans="1:1" s="200" customFormat="1" ht="12" hidden="1" customHeight="1">
      <c r="A17591" s="199"/>
    </row>
    <row r="17592" spans="1:1" s="200" customFormat="1" ht="12" hidden="1" customHeight="1">
      <c r="A17592" s="199"/>
    </row>
    <row r="17593" spans="1:1" s="200" customFormat="1" ht="12" hidden="1" customHeight="1">
      <c r="A17593" s="199"/>
    </row>
    <row r="17594" spans="1:1" s="200" customFormat="1" ht="12" hidden="1" customHeight="1">
      <c r="A17594" s="199"/>
    </row>
    <row r="17595" spans="1:1" s="200" customFormat="1" ht="12" hidden="1" customHeight="1">
      <c r="A17595" s="199"/>
    </row>
    <row r="17596" spans="1:1" s="200" customFormat="1" ht="12" hidden="1" customHeight="1">
      <c r="A17596" s="199"/>
    </row>
    <row r="17597" spans="1:1" s="200" customFormat="1" ht="12" hidden="1" customHeight="1">
      <c r="A17597" s="199"/>
    </row>
    <row r="17598" spans="1:1" s="200" customFormat="1" ht="12" hidden="1" customHeight="1">
      <c r="A17598" s="199"/>
    </row>
    <row r="17599" spans="1:1" s="200" customFormat="1" ht="12" hidden="1" customHeight="1">
      <c r="A17599" s="199"/>
    </row>
    <row r="17600" spans="1:1" s="200" customFormat="1" ht="12" hidden="1" customHeight="1">
      <c r="A17600" s="199"/>
    </row>
    <row r="17601" spans="1:1" s="200" customFormat="1" ht="12" hidden="1" customHeight="1">
      <c r="A17601" s="199"/>
    </row>
    <row r="17602" spans="1:1" s="200" customFormat="1" ht="12" hidden="1" customHeight="1">
      <c r="A17602" s="199"/>
    </row>
    <row r="17603" spans="1:1" s="200" customFormat="1" ht="12" hidden="1" customHeight="1">
      <c r="A17603" s="199"/>
    </row>
    <row r="17604" spans="1:1" s="200" customFormat="1" ht="12" hidden="1" customHeight="1">
      <c r="A17604" s="199"/>
    </row>
    <row r="17605" spans="1:1" s="200" customFormat="1" ht="12" hidden="1" customHeight="1">
      <c r="A17605" s="199"/>
    </row>
    <row r="17606" spans="1:1" s="200" customFormat="1" ht="12" hidden="1" customHeight="1">
      <c r="A17606" s="199"/>
    </row>
    <row r="17607" spans="1:1" s="200" customFormat="1" ht="12" hidden="1" customHeight="1">
      <c r="A17607" s="199"/>
    </row>
    <row r="17608" spans="1:1" s="200" customFormat="1" ht="12" hidden="1" customHeight="1">
      <c r="A17608" s="199"/>
    </row>
    <row r="17609" spans="1:1" s="200" customFormat="1" ht="12" hidden="1" customHeight="1">
      <c r="A17609" s="199"/>
    </row>
    <row r="17610" spans="1:1" s="200" customFormat="1" ht="12" hidden="1" customHeight="1">
      <c r="A17610" s="199"/>
    </row>
    <row r="17611" spans="1:1" s="200" customFormat="1" ht="12" hidden="1" customHeight="1">
      <c r="A17611" s="199"/>
    </row>
    <row r="17612" spans="1:1" s="200" customFormat="1" ht="12" hidden="1" customHeight="1">
      <c r="A17612" s="199"/>
    </row>
    <row r="17613" spans="1:1" s="200" customFormat="1" ht="12" hidden="1" customHeight="1">
      <c r="A17613" s="199"/>
    </row>
    <row r="17614" spans="1:1" s="200" customFormat="1" ht="12" hidden="1" customHeight="1">
      <c r="A17614" s="199"/>
    </row>
    <row r="17615" spans="1:1" s="200" customFormat="1" ht="12" hidden="1" customHeight="1">
      <c r="A17615" s="199"/>
    </row>
    <row r="17616" spans="1:1" s="200" customFormat="1" ht="12" hidden="1" customHeight="1">
      <c r="A17616" s="199"/>
    </row>
    <row r="17617" spans="1:1" s="200" customFormat="1" ht="12" hidden="1" customHeight="1">
      <c r="A17617" s="199"/>
    </row>
    <row r="17618" spans="1:1" s="200" customFormat="1" ht="12" hidden="1" customHeight="1">
      <c r="A17618" s="199"/>
    </row>
    <row r="17619" spans="1:1" s="200" customFormat="1" ht="12" hidden="1" customHeight="1">
      <c r="A17619" s="199"/>
    </row>
    <row r="17620" spans="1:1" s="200" customFormat="1" ht="12" hidden="1" customHeight="1">
      <c r="A17620" s="199"/>
    </row>
    <row r="17621" spans="1:1" s="200" customFormat="1" ht="12" hidden="1" customHeight="1">
      <c r="A17621" s="199"/>
    </row>
    <row r="17622" spans="1:1" s="200" customFormat="1" ht="12" hidden="1" customHeight="1">
      <c r="A17622" s="199"/>
    </row>
    <row r="17623" spans="1:1" s="200" customFormat="1" ht="12" hidden="1" customHeight="1">
      <c r="A17623" s="199"/>
    </row>
    <row r="17624" spans="1:1" s="200" customFormat="1" ht="12" hidden="1" customHeight="1">
      <c r="A17624" s="199"/>
    </row>
    <row r="17625" spans="1:1" s="200" customFormat="1" ht="12" hidden="1" customHeight="1">
      <c r="A17625" s="199"/>
    </row>
    <row r="17626" spans="1:1" s="200" customFormat="1" ht="12" hidden="1" customHeight="1">
      <c r="A17626" s="199"/>
    </row>
    <row r="17627" spans="1:1" s="200" customFormat="1" ht="12" hidden="1" customHeight="1">
      <c r="A17627" s="199"/>
    </row>
    <row r="17628" spans="1:1" s="200" customFormat="1" ht="12" hidden="1" customHeight="1">
      <c r="A17628" s="199"/>
    </row>
    <row r="17629" spans="1:1" s="200" customFormat="1" ht="12" hidden="1" customHeight="1">
      <c r="A17629" s="199"/>
    </row>
    <row r="17630" spans="1:1" s="200" customFormat="1" ht="12" hidden="1" customHeight="1">
      <c r="A17630" s="199"/>
    </row>
    <row r="17631" spans="1:1" s="200" customFormat="1" ht="12" hidden="1" customHeight="1">
      <c r="A17631" s="199"/>
    </row>
    <row r="17632" spans="1:1" s="200" customFormat="1" ht="12" hidden="1" customHeight="1">
      <c r="A17632" s="199"/>
    </row>
    <row r="17633" spans="1:1" s="200" customFormat="1" ht="12" hidden="1" customHeight="1">
      <c r="A17633" s="199"/>
    </row>
    <row r="17634" spans="1:1" s="200" customFormat="1" ht="12" hidden="1" customHeight="1">
      <c r="A17634" s="199"/>
    </row>
    <row r="17635" spans="1:1" s="200" customFormat="1" ht="12" hidden="1" customHeight="1">
      <c r="A17635" s="199"/>
    </row>
    <row r="17636" spans="1:1" s="200" customFormat="1" ht="12" hidden="1" customHeight="1">
      <c r="A17636" s="199"/>
    </row>
    <row r="17637" spans="1:1" s="200" customFormat="1" ht="12" hidden="1" customHeight="1">
      <c r="A17637" s="199"/>
    </row>
    <row r="17638" spans="1:1" s="200" customFormat="1" ht="12" hidden="1" customHeight="1">
      <c r="A17638" s="199"/>
    </row>
    <row r="17639" spans="1:1" s="200" customFormat="1" ht="12" hidden="1" customHeight="1">
      <c r="A17639" s="199"/>
    </row>
    <row r="17640" spans="1:1" s="200" customFormat="1" ht="12" hidden="1" customHeight="1">
      <c r="A17640" s="199"/>
    </row>
    <row r="17641" spans="1:1" s="200" customFormat="1" ht="12" hidden="1" customHeight="1">
      <c r="A17641" s="199"/>
    </row>
    <row r="17642" spans="1:1" s="200" customFormat="1" ht="12" hidden="1" customHeight="1">
      <c r="A17642" s="199"/>
    </row>
    <row r="17643" spans="1:1" s="200" customFormat="1" ht="12" hidden="1" customHeight="1">
      <c r="A17643" s="199"/>
    </row>
    <row r="17644" spans="1:1" s="200" customFormat="1" ht="12" hidden="1" customHeight="1">
      <c r="A17644" s="199"/>
    </row>
    <row r="17645" spans="1:1" s="200" customFormat="1" ht="12" hidden="1" customHeight="1">
      <c r="A17645" s="199"/>
    </row>
    <row r="17646" spans="1:1" s="200" customFormat="1" ht="12" hidden="1" customHeight="1">
      <c r="A17646" s="199"/>
    </row>
    <row r="17647" spans="1:1" s="200" customFormat="1" ht="12" hidden="1" customHeight="1">
      <c r="A17647" s="199"/>
    </row>
    <row r="17648" spans="1:1" s="200" customFormat="1" ht="12" hidden="1" customHeight="1">
      <c r="A17648" s="199"/>
    </row>
    <row r="17649" spans="1:1" s="200" customFormat="1" ht="12" hidden="1" customHeight="1">
      <c r="A17649" s="199"/>
    </row>
    <row r="17650" spans="1:1" s="200" customFormat="1" ht="12" hidden="1" customHeight="1">
      <c r="A17650" s="199"/>
    </row>
    <row r="17651" spans="1:1" s="200" customFormat="1" ht="12" hidden="1" customHeight="1">
      <c r="A17651" s="199"/>
    </row>
    <row r="17652" spans="1:1" s="200" customFormat="1" ht="12" hidden="1" customHeight="1">
      <c r="A17652" s="199"/>
    </row>
    <row r="17653" spans="1:1" s="200" customFormat="1" ht="12" hidden="1" customHeight="1">
      <c r="A17653" s="199"/>
    </row>
    <row r="17654" spans="1:1" s="200" customFormat="1" ht="12" hidden="1" customHeight="1">
      <c r="A17654" s="199"/>
    </row>
    <row r="17655" spans="1:1" s="200" customFormat="1" ht="12" hidden="1" customHeight="1">
      <c r="A17655" s="199"/>
    </row>
    <row r="17656" spans="1:1" s="200" customFormat="1" ht="12" hidden="1" customHeight="1">
      <c r="A17656" s="199"/>
    </row>
    <row r="17657" spans="1:1" s="200" customFormat="1" ht="12" hidden="1" customHeight="1">
      <c r="A17657" s="199"/>
    </row>
    <row r="17658" spans="1:1" s="200" customFormat="1" ht="12" hidden="1" customHeight="1">
      <c r="A17658" s="199"/>
    </row>
    <row r="17659" spans="1:1" s="200" customFormat="1" ht="12" hidden="1" customHeight="1">
      <c r="A17659" s="199"/>
    </row>
    <row r="17660" spans="1:1" s="200" customFormat="1" ht="12" hidden="1" customHeight="1">
      <c r="A17660" s="199"/>
    </row>
    <row r="17661" spans="1:1" s="200" customFormat="1" ht="12" hidden="1" customHeight="1">
      <c r="A17661" s="199"/>
    </row>
    <row r="17662" spans="1:1" s="200" customFormat="1" ht="12" hidden="1" customHeight="1">
      <c r="A17662" s="199"/>
    </row>
    <row r="17663" spans="1:1" s="200" customFormat="1" ht="12" hidden="1" customHeight="1">
      <c r="A17663" s="199"/>
    </row>
    <row r="17664" spans="1:1" s="200" customFormat="1" ht="12" hidden="1" customHeight="1">
      <c r="A17664" s="199"/>
    </row>
    <row r="17665" spans="1:1" s="200" customFormat="1" ht="12" hidden="1" customHeight="1">
      <c r="A17665" s="199"/>
    </row>
    <row r="17666" spans="1:1" s="200" customFormat="1" ht="12" hidden="1" customHeight="1">
      <c r="A17666" s="199"/>
    </row>
    <row r="17667" spans="1:1" s="200" customFormat="1" ht="12" hidden="1" customHeight="1">
      <c r="A17667" s="199"/>
    </row>
    <row r="17668" spans="1:1" s="200" customFormat="1" ht="12" hidden="1" customHeight="1">
      <c r="A17668" s="199"/>
    </row>
    <row r="17669" spans="1:1" s="200" customFormat="1" ht="12" hidden="1" customHeight="1">
      <c r="A17669" s="199"/>
    </row>
    <row r="17670" spans="1:1" s="200" customFormat="1" ht="12" hidden="1" customHeight="1">
      <c r="A17670" s="199"/>
    </row>
    <row r="17671" spans="1:1" s="200" customFormat="1" ht="12" hidden="1" customHeight="1">
      <c r="A17671" s="199"/>
    </row>
    <row r="17672" spans="1:1" s="200" customFormat="1" ht="12" hidden="1" customHeight="1">
      <c r="A17672" s="199"/>
    </row>
    <row r="17673" spans="1:1" s="200" customFormat="1" ht="12" hidden="1" customHeight="1">
      <c r="A17673" s="199"/>
    </row>
    <row r="17674" spans="1:1" s="200" customFormat="1" ht="12" hidden="1" customHeight="1">
      <c r="A17674" s="199"/>
    </row>
    <row r="17675" spans="1:1" s="200" customFormat="1" ht="12" hidden="1" customHeight="1">
      <c r="A17675" s="199"/>
    </row>
    <row r="17676" spans="1:1" s="200" customFormat="1" ht="12" hidden="1" customHeight="1">
      <c r="A17676" s="199"/>
    </row>
    <row r="17677" spans="1:1" s="200" customFormat="1" ht="12" hidden="1" customHeight="1">
      <c r="A17677" s="199"/>
    </row>
    <row r="17678" spans="1:1" s="200" customFormat="1" ht="12" hidden="1" customHeight="1">
      <c r="A17678" s="199"/>
    </row>
    <row r="17679" spans="1:1" s="200" customFormat="1" ht="12" hidden="1" customHeight="1">
      <c r="A17679" s="199"/>
    </row>
    <row r="17680" spans="1:1" s="200" customFormat="1" ht="12" hidden="1" customHeight="1">
      <c r="A17680" s="199"/>
    </row>
    <row r="17681" spans="1:1" s="200" customFormat="1" ht="12" hidden="1" customHeight="1">
      <c r="A17681" s="199"/>
    </row>
    <row r="17682" spans="1:1" s="200" customFormat="1" ht="12" hidden="1" customHeight="1">
      <c r="A17682" s="199"/>
    </row>
    <row r="17683" spans="1:1" s="200" customFormat="1" ht="12" hidden="1" customHeight="1">
      <c r="A17683" s="199"/>
    </row>
    <row r="17684" spans="1:1" s="200" customFormat="1" ht="12" hidden="1" customHeight="1">
      <c r="A17684" s="199"/>
    </row>
    <row r="17685" spans="1:1" s="200" customFormat="1" ht="12" hidden="1" customHeight="1">
      <c r="A17685" s="199"/>
    </row>
    <row r="17686" spans="1:1" s="200" customFormat="1" ht="12" hidden="1" customHeight="1">
      <c r="A17686" s="199"/>
    </row>
    <row r="17687" spans="1:1" s="200" customFormat="1" ht="12" hidden="1" customHeight="1">
      <c r="A17687" s="199"/>
    </row>
    <row r="17688" spans="1:1" s="200" customFormat="1" ht="12" hidden="1" customHeight="1">
      <c r="A17688" s="199"/>
    </row>
    <row r="17689" spans="1:1" s="200" customFormat="1" ht="12" hidden="1" customHeight="1">
      <c r="A17689" s="199"/>
    </row>
    <row r="17690" spans="1:1" s="200" customFormat="1" ht="12" hidden="1" customHeight="1">
      <c r="A17690" s="199"/>
    </row>
    <row r="17691" spans="1:1" s="200" customFormat="1" ht="12" hidden="1" customHeight="1">
      <c r="A17691" s="199"/>
    </row>
    <row r="17692" spans="1:1" s="200" customFormat="1" ht="12" hidden="1" customHeight="1">
      <c r="A17692" s="199"/>
    </row>
    <row r="17693" spans="1:1" s="200" customFormat="1" ht="12" hidden="1" customHeight="1">
      <c r="A17693" s="199"/>
    </row>
    <row r="17694" spans="1:1" s="200" customFormat="1" ht="12" hidden="1" customHeight="1">
      <c r="A17694" s="199"/>
    </row>
    <row r="17695" spans="1:1" s="200" customFormat="1" ht="12" hidden="1" customHeight="1">
      <c r="A17695" s="199"/>
    </row>
    <row r="17696" spans="1:1" s="200" customFormat="1" ht="12" hidden="1" customHeight="1">
      <c r="A17696" s="199"/>
    </row>
    <row r="17697" spans="1:1" s="200" customFormat="1" ht="12" hidden="1" customHeight="1">
      <c r="A17697" s="199"/>
    </row>
    <row r="17698" spans="1:1" s="200" customFormat="1" ht="12" hidden="1" customHeight="1">
      <c r="A17698" s="199"/>
    </row>
    <row r="17699" spans="1:1" s="200" customFormat="1" ht="12" hidden="1" customHeight="1">
      <c r="A17699" s="199"/>
    </row>
    <row r="17700" spans="1:1" s="200" customFormat="1" ht="12" hidden="1" customHeight="1">
      <c r="A17700" s="199"/>
    </row>
    <row r="17701" spans="1:1" s="200" customFormat="1" ht="12" hidden="1" customHeight="1">
      <c r="A17701" s="199"/>
    </row>
    <row r="17702" spans="1:1" s="200" customFormat="1" ht="12" hidden="1" customHeight="1">
      <c r="A17702" s="199"/>
    </row>
    <row r="17703" spans="1:1" s="200" customFormat="1" ht="12" hidden="1" customHeight="1">
      <c r="A17703" s="199"/>
    </row>
    <row r="17704" spans="1:1" s="200" customFormat="1" ht="12" hidden="1" customHeight="1">
      <c r="A17704" s="199"/>
    </row>
    <row r="17705" spans="1:1" s="200" customFormat="1" ht="12" hidden="1" customHeight="1">
      <c r="A17705" s="199"/>
    </row>
    <row r="17706" spans="1:1" s="200" customFormat="1" ht="12" hidden="1" customHeight="1">
      <c r="A17706" s="199"/>
    </row>
    <row r="17707" spans="1:1" s="200" customFormat="1" ht="12" hidden="1" customHeight="1">
      <c r="A17707" s="199"/>
    </row>
    <row r="17708" spans="1:1" s="200" customFormat="1" ht="12" hidden="1" customHeight="1">
      <c r="A17708" s="199"/>
    </row>
    <row r="17709" spans="1:1" s="200" customFormat="1" ht="12" hidden="1" customHeight="1">
      <c r="A17709" s="199"/>
    </row>
    <row r="17710" spans="1:1" s="200" customFormat="1" ht="12" hidden="1" customHeight="1">
      <c r="A17710" s="199"/>
    </row>
    <row r="17711" spans="1:1" s="200" customFormat="1" ht="12" hidden="1" customHeight="1">
      <c r="A17711" s="199"/>
    </row>
    <row r="17712" spans="1:1" s="200" customFormat="1" ht="12" hidden="1" customHeight="1">
      <c r="A17712" s="199"/>
    </row>
    <row r="17713" spans="1:1" s="200" customFormat="1" ht="12" hidden="1" customHeight="1">
      <c r="A17713" s="199"/>
    </row>
    <row r="17714" spans="1:1" s="200" customFormat="1" ht="12" hidden="1" customHeight="1">
      <c r="A17714" s="199"/>
    </row>
    <row r="17715" spans="1:1" s="200" customFormat="1" ht="12" hidden="1" customHeight="1">
      <c r="A17715" s="199"/>
    </row>
    <row r="17716" spans="1:1" s="200" customFormat="1" ht="12" hidden="1" customHeight="1">
      <c r="A17716" s="199"/>
    </row>
    <row r="17717" spans="1:1" s="200" customFormat="1" ht="12" hidden="1" customHeight="1">
      <c r="A17717" s="199"/>
    </row>
    <row r="17718" spans="1:1" s="200" customFormat="1" ht="12" hidden="1" customHeight="1">
      <c r="A17718" s="199"/>
    </row>
    <row r="17719" spans="1:1" s="200" customFormat="1" ht="12" hidden="1" customHeight="1">
      <c r="A17719" s="199"/>
    </row>
    <row r="17720" spans="1:1" s="200" customFormat="1" ht="12" hidden="1" customHeight="1">
      <c r="A17720" s="199"/>
    </row>
    <row r="17721" spans="1:1" s="200" customFormat="1" ht="12" hidden="1" customHeight="1">
      <c r="A17721" s="199"/>
    </row>
    <row r="17722" spans="1:1" s="200" customFormat="1" ht="12" hidden="1" customHeight="1">
      <c r="A17722" s="199"/>
    </row>
    <row r="17723" spans="1:1" s="200" customFormat="1" ht="12" hidden="1" customHeight="1">
      <c r="A17723" s="199"/>
    </row>
    <row r="17724" spans="1:1" s="200" customFormat="1" ht="12" hidden="1" customHeight="1">
      <c r="A17724" s="199"/>
    </row>
    <row r="17725" spans="1:1" s="200" customFormat="1" ht="12" hidden="1" customHeight="1">
      <c r="A17725" s="199"/>
    </row>
    <row r="17726" spans="1:1" s="200" customFormat="1" ht="12" hidden="1" customHeight="1">
      <c r="A17726" s="199"/>
    </row>
    <row r="17727" spans="1:1" s="200" customFormat="1" ht="12" hidden="1" customHeight="1">
      <c r="A17727" s="199"/>
    </row>
    <row r="17728" spans="1:1" s="200" customFormat="1" ht="12" hidden="1" customHeight="1">
      <c r="A17728" s="199"/>
    </row>
    <row r="17729" spans="1:1" s="200" customFormat="1" ht="12" hidden="1" customHeight="1">
      <c r="A17729" s="199"/>
    </row>
    <row r="17730" spans="1:1" s="200" customFormat="1" ht="12" hidden="1" customHeight="1">
      <c r="A17730" s="199"/>
    </row>
    <row r="17731" spans="1:1" s="200" customFormat="1" ht="12" hidden="1" customHeight="1">
      <c r="A17731" s="199"/>
    </row>
    <row r="17732" spans="1:1" s="200" customFormat="1" ht="12" hidden="1" customHeight="1">
      <c r="A17732" s="199"/>
    </row>
    <row r="17733" spans="1:1" s="200" customFormat="1" ht="12" hidden="1" customHeight="1">
      <c r="A17733" s="199"/>
    </row>
    <row r="17734" spans="1:1" s="200" customFormat="1" ht="12" hidden="1" customHeight="1">
      <c r="A17734" s="199"/>
    </row>
    <row r="17735" spans="1:1" s="200" customFormat="1" ht="12" hidden="1" customHeight="1">
      <c r="A17735" s="199"/>
    </row>
    <row r="17736" spans="1:1" s="200" customFormat="1" ht="12" hidden="1" customHeight="1">
      <c r="A17736" s="199"/>
    </row>
    <row r="17737" spans="1:1" s="200" customFormat="1" ht="12" hidden="1" customHeight="1">
      <c r="A17737" s="199"/>
    </row>
    <row r="17738" spans="1:1" s="200" customFormat="1" ht="12" hidden="1" customHeight="1">
      <c r="A17738" s="199"/>
    </row>
    <row r="17739" spans="1:1" s="200" customFormat="1" ht="12" hidden="1" customHeight="1">
      <c r="A17739" s="199"/>
    </row>
    <row r="17740" spans="1:1" s="200" customFormat="1" ht="12" hidden="1" customHeight="1">
      <c r="A17740" s="199"/>
    </row>
    <row r="17741" spans="1:1" s="200" customFormat="1" ht="12" hidden="1" customHeight="1">
      <c r="A17741" s="199"/>
    </row>
    <row r="17742" spans="1:1" s="200" customFormat="1" ht="12" hidden="1" customHeight="1">
      <c r="A17742" s="199"/>
    </row>
    <row r="17743" spans="1:1" s="200" customFormat="1" ht="12" hidden="1" customHeight="1">
      <c r="A17743" s="199"/>
    </row>
    <row r="17744" spans="1:1" s="200" customFormat="1" ht="12" hidden="1" customHeight="1">
      <c r="A17744" s="199"/>
    </row>
    <row r="17745" spans="1:1" s="200" customFormat="1" ht="12" hidden="1" customHeight="1">
      <c r="A17745" s="199"/>
    </row>
    <row r="17746" spans="1:1" s="200" customFormat="1" ht="12" hidden="1" customHeight="1">
      <c r="A17746" s="199"/>
    </row>
    <row r="17747" spans="1:1" s="200" customFormat="1" ht="12" hidden="1" customHeight="1">
      <c r="A17747" s="199"/>
    </row>
    <row r="17748" spans="1:1" s="200" customFormat="1" ht="12" hidden="1" customHeight="1">
      <c r="A17748" s="199"/>
    </row>
    <row r="17749" spans="1:1" s="200" customFormat="1" ht="12" hidden="1" customHeight="1">
      <c r="A17749" s="199"/>
    </row>
    <row r="17750" spans="1:1" s="200" customFormat="1" ht="12" hidden="1" customHeight="1">
      <c r="A17750" s="199"/>
    </row>
    <row r="17751" spans="1:1" s="200" customFormat="1" ht="12" hidden="1" customHeight="1">
      <c r="A17751" s="199"/>
    </row>
    <row r="17752" spans="1:1" s="200" customFormat="1" ht="12" hidden="1" customHeight="1">
      <c r="A17752" s="199"/>
    </row>
    <row r="17753" spans="1:1" s="200" customFormat="1" ht="12" hidden="1" customHeight="1">
      <c r="A17753" s="199"/>
    </row>
    <row r="17754" spans="1:1" s="200" customFormat="1" ht="12" hidden="1" customHeight="1">
      <c r="A17754" s="199"/>
    </row>
    <row r="17755" spans="1:1" s="200" customFormat="1" ht="12" hidden="1" customHeight="1">
      <c r="A17755" s="199"/>
    </row>
    <row r="17756" spans="1:1" s="200" customFormat="1" ht="12" hidden="1" customHeight="1">
      <c r="A17756" s="199"/>
    </row>
    <row r="17757" spans="1:1" s="200" customFormat="1" ht="12" hidden="1" customHeight="1">
      <c r="A17757" s="199"/>
    </row>
    <row r="17758" spans="1:1" s="200" customFormat="1" ht="12" hidden="1" customHeight="1">
      <c r="A17758" s="199"/>
    </row>
    <row r="17759" spans="1:1" s="200" customFormat="1" ht="12" hidden="1" customHeight="1">
      <c r="A17759" s="199"/>
    </row>
    <row r="17760" spans="1:1" s="200" customFormat="1" ht="12" hidden="1" customHeight="1">
      <c r="A17760" s="199"/>
    </row>
    <row r="17761" spans="1:1" s="200" customFormat="1" ht="12" hidden="1" customHeight="1">
      <c r="A17761" s="199"/>
    </row>
    <row r="17762" spans="1:1" s="200" customFormat="1" ht="12" hidden="1" customHeight="1">
      <c r="A17762" s="199"/>
    </row>
    <row r="17763" spans="1:1" s="200" customFormat="1" ht="12" hidden="1" customHeight="1">
      <c r="A17763" s="199"/>
    </row>
    <row r="17764" spans="1:1" s="200" customFormat="1" ht="12" hidden="1" customHeight="1">
      <c r="A17764" s="199"/>
    </row>
    <row r="17765" spans="1:1" s="200" customFormat="1" ht="12" hidden="1" customHeight="1">
      <c r="A17765" s="199"/>
    </row>
    <row r="17766" spans="1:1" s="200" customFormat="1" ht="12" hidden="1" customHeight="1">
      <c r="A17766" s="199"/>
    </row>
    <row r="17767" spans="1:1" s="200" customFormat="1" ht="12" hidden="1" customHeight="1">
      <c r="A17767" s="199"/>
    </row>
    <row r="17768" spans="1:1" s="200" customFormat="1" ht="12" hidden="1" customHeight="1">
      <c r="A17768" s="199"/>
    </row>
    <row r="17769" spans="1:1" s="200" customFormat="1" ht="12" hidden="1" customHeight="1">
      <c r="A17769" s="199"/>
    </row>
    <row r="17770" spans="1:1" s="200" customFormat="1" ht="12" hidden="1" customHeight="1">
      <c r="A17770" s="199"/>
    </row>
    <row r="17771" spans="1:1" s="200" customFormat="1" ht="12" hidden="1" customHeight="1">
      <c r="A17771" s="199"/>
    </row>
    <row r="17772" spans="1:1" s="200" customFormat="1" ht="12" hidden="1" customHeight="1">
      <c r="A17772" s="199"/>
    </row>
    <row r="17773" spans="1:1" s="200" customFormat="1" ht="12" hidden="1" customHeight="1">
      <c r="A17773" s="199"/>
    </row>
    <row r="17774" spans="1:1" s="200" customFormat="1" ht="12" hidden="1" customHeight="1">
      <c r="A17774" s="199"/>
    </row>
    <row r="17775" spans="1:1" s="200" customFormat="1" ht="12" hidden="1" customHeight="1">
      <c r="A17775" s="199"/>
    </row>
    <row r="17776" spans="1:1" s="200" customFormat="1" ht="12" hidden="1" customHeight="1">
      <c r="A17776" s="199"/>
    </row>
    <row r="17777" spans="1:1" s="200" customFormat="1" ht="12" hidden="1" customHeight="1">
      <c r="A17777" s="199"/>
    </row>
    <row r="17778" spans="1:1" s="200" customFormat="1" ht="12" hidden="1" customHeight="1">
      <c r="A17778" s="199"/>
    </row>
    <row r="17779" spans="1:1" s="200" customFormat="1" ht="12" hidden="1" customHeight="1">
      <c r="A17779" s="199"/>
    </row>
    <row r="17780" spans="1:1" s="200" customFormat="1" ht="12" hidden="1" customHeight="1">
      <c r="A17780" s="199"/>
    </row>
    <row r="17781" spans="1:1" s="200" customFormat="1" ht="12" hidden="1" customHeight="1">
      <c r="A17781" s="199"/>
    </row>
    <row r="17782" spans="1:1" s="200" customFormat="1" ht="12" hidden="1" customHeight="1">
      <c r="A17782" s="199"/>
    </row>
    <row r="17783" spans="1:1" s="200" customFormat="1" ht="12" hidden="1" customHeight="1">
      <c r="A17783" s="199"/>
    </row>
    <row r="17784" spans="1:1" s="200" customFormat="1" ht="12" hidden="1" customHeight="1">
      <c r="A17784" s="199"/>
    </row>
    <row r="17785" spans="1:1" s="200" customFormat="1" ht="12" hidden="1" customHeight="1">
      <c r="A17785" s="199"/>
    </row>
    <row r="17786" spans="1:1" s="200" customFormat="1" ht="12" hidden="1" customHeight="1">
      <c r="A17786" s="199"/>
    </row>
    <row r="17787" spans="1:1" s="200" customFormat="1" ht="12" hidden="1" customHeight="1">
      <c r="A17787" s="199"/>
    </row>
    <row r="17788" spans="1:1" s="200" customFormat="1" ht="12" hidden="1" customHeight="1">
      <c r="A17788" s="199"/>
    </row>
    <row r="17789" spans="1:1" s="200" customFormat="1" ht="12" hidden="1" customHeight="1">
      <c r="A17789" s="199"/>
    </row>
    <row r="17790" spans="1:1" s="200" customFormat="1" ht="12" hidden="1" customHeight="1">
      <c r="A17790" s="199"/>
    </row>
    <row r="17791" spans="1:1" s="200" customFormat="1" ht="12" hidden="1" customHeight="1">
      <c r="A17791" s="199"/>
    </row>
    <row r="17792" spans="1:1" s="200" customFormat="1" ht="12" hidden="1" customHeight="1">
      <c r="A17792" s="199"/>
    </row>
    <row r="17793" spans="1:1" s="200" customFormat="1" ht="12" hidden="1" customHeight="1">
      <c r="A17793" s="199"/>
    </row>
    <row r="17794" spans="1:1" s="200" customFormat="1" ht="12" hidden="1" customHeight="1">
      <c r="A17794" s="199"/>
    </row>
    <row r="17795" spans="1:1" s="200" customFormat="1" ht="12" hidden="1" customHeight="1">
      <c r="A17795" s="199"/>
    </row>
    <row r="17796" spans="1:1" s="200" customFormat="1" ht="12" hidden="1" customHeight="1">
      <c r="A17796" s="199"/>
    </row>
    <row r="17797" spans="1:1" s="200" customFormat="1" ht="12" hidden="1" customHeight="1">
      <c r="A17797" s="199"/>
    </row>
    <row r="17798" spans="1:1" s="200" customFormat="1" ht="12" hidden="1" customHeight="1">
      <c r="A17798" s="199"/>
    </row>
    <row r="17799" spans="1:1" s="200" customFormat="1" ht="12" hidden="1" customHeight="1">
      <c r="A17799" s="199"/>
    </row>
    <row r="17800" spans="1:1" s="200" customFormat="1" ht="12" hidden="1" customHeight="1">
      <c r="A17800" s="199"/>
    </row>
    <row r="17801" spans="1:1" s="200" customFormat="1" ht="12" hidden="1" customHeight="1">
      <c r="A17801" s="199"/>
    </row>
    <row r="17802" spans="1:1" s="200" customFormat="1" ht="12" hidden="1" customHeight="1">
      <c r="A17802" s="199"/>
    </row>
    <row r="17803" spans="1:1" s="200" customFormat="1" ht="12" hidden="1" customHeight="1">
      <c r="A17803" s="199"/>
    </row>
    <row r="17804" spans="1:1" s="200" customFormat="1" ht="12" hidden="1" customHeight="1">
      <c r="A17804" s="199"/>
    </row>
    <row r="17805" spans="1:1" s="200" customFormat="1" ht="12" hidden="1" customHeight="1">
      <c r="A17805" s="199"/>
    </row>
    <row r="17806" spans="1:1" s="200" customFormat="1" ht="12" hidden="1" customHeight="1">
      <c r="A17806" s="199"/>
    </row>
    <row r="17807" spans="1:1" s="200" customFormat="1" ht="12" hidden="1" customHeight="1">
      <c r="A17807" s="199"/>
    </row>
    <row r="17808" spans="1:1" s="200" customFormat="1" ht="12" hidden="1" customHeight="1">
      <c r="A17808" s="199"/>
    </row>
    <row r="17809" spans="1:1" s="200" customFormat="1" ht="12" hidden="1" customHeight="1">
      <c r="A17809" s="199"/>
    </row>
    <row r="17810" spans="1:1" s="200" customFormat="1" ht="12" hidden="1" customHeight="1">
      <c r="A17810" s="199"/>
    </row>
    <row r="17811" spans="1:1" s="200" customFormat="1" ht="12" hidden="1" customHeight="1">
      <c r="A17811" s="199"/>
    </row>
    <row r="17812" spans="1:1" s="200" customFormat="1" ht="12" hidden="1" customHeight="1">
      <c r="A17812" s="199"/>
    </row>
    <row r="17813" spans="1:1" s="200" customFormat="1" ht="12" hidden="1" customHeight="1">
      <c r="A17813" s="199"/>
    </row>
    <row r="17814" spans="1:1" s="200" customFormat="1" ht="12" hidden="1" customHeight="1">
      <c r="A17814" s="199"/>
    </row>
    <row r="17815" spans="1:1" s="200" customFormat="1" ht="12" hidden="1" customHeight="1">
      <c r="A17815" s="199"/>
    </row>
    <row r="17816" spans="1:1" s="200" customFormat="1" ht="12" hidden="1" customHeight="1">
      <c r="A17816" s="199"/>
    </row>
    <row r="17817" spans="1:1" s="200" customFormat="1" ht="12" hidden="1" customHeight="1">
      <c r="A17817" s="199"/>
    </row>
    <row r="17818" spans="1:1" s="200" customFormat="1" ht="12" hidden="1" customHeight="1">
      <c r="A17818" s="199"/>
    </row>
    <row r="17819" spans="1:1" s="200" customFormat="1" ht="12" hidden="1" customHeight="1">
      <c r="A17819" s="199"/>
    </row>
    <row r="17820" spans="1:1" s="200" customFormat="1" ht="12" hidden="1" customHeight="1">
      <c r="A17820" s="199"/>
    </row>
    <row r="17821" spans="1:1" s="200" customFormat="1" ht="12" hidden="1" customHeight="1">
      <c r="A17821" s="199"/>
    </row>
    <row r="17822" spans="1:1" s="200" customFormat="1" ht="12" hidden="1" customHeight="1">
      <c r="A17822" s="199"/>
    </row>
    <row r="17823" spans="1:1" s="200" customFormat="1" ht="12" hidden="1" customHeight="1">
      <c r="A17823" s="199"/>
    </row>
    <row r="17824" spans="1:1" s="200" customFormat="1" ht="12" hidden="1" customHeight="1">
      <c r="A17824" s="199"/>
    </row>
    <row r="17825" spans="1:1" s="200" customFormat="1" ht="12" hidden="1" customHeight="1">
      <c r="A17825" s="199"/>
    </row>
    <row r="17826" spans="1:1" s="200" customFormat="1" ht="12" hidden="1" customHeight="1">
      <c r="A17826" s="199"/>
    </row>
    <row r="17827" spans="1:1" s="200" customFormat="1" ht="12" hidden="1" customHeight="1">
      <c r="A17827" s="199"/>
    </row>
    <row r="17828" spans="1:1" s="200" customFormat="1" ht="12" hidden="1" customHeight="1">
      <c r="A17828" s="199"/>
    </row>
    <row r="17829" spans="1:1" s="200" customFormat="1" ht="12" hidden="1" customHeight="1">
      <c r="A17829" s="199"/>
    </row>
    <row r="17830" spans="1:1" s="200" customFormat="1" ht="12" hidden="1" customHeight="1">
      <c r="A17830" s="199"/>
    </row>
    <row r="17831" spans="1:1" s="200" customFormat="1" ht="12" hidden="1" customHeight="1">
      <c r="A17831" s="199"/>
    </row>
    <row r="17832" spans="1:1" s="200" customFormat="1" ht="12" hidden="1" customHeight="1">
      <c r="A17832" s="199"/>
    </row>
    <row r="17833" spans="1:1" s="200" customFormat="1" ht="12" hidden="1" customHeight="1">
      <c r="A17833" s="199"/>
    </row>
    <row r="17834" spans="1:1" s="200" customFormat="1" ht="12" hidden="1" customHeight="1">
      <c r="A17834" s="199"/>
    </row>
    <row r="17835" spans="1:1" s="200" customFormat="1" ht="12" hidden="1" customHeight="1">
      <c r="A17835" s="199"/>
    </row>
    <row r="17836" spans="1:1" s="200" customFormat="1" ht="12" hidden="1" customHeight="1">
      <c r="A17836" s="199"/>
    </row>
    <row r="17837" spans="1:1" s="200" customFormat="1" ht="12" hidden="1" customHeight="1">
      <c r="A17837" s="199"/>
    </row>
    <row r="17838" spans="1:1" s="200" customFormat="1" ht="12" hidden="1" customHeight="1">
      <c r="A17838" s="199"/>
    </row>
    <row r="17839" spans="1:1" s="200" customFormat="1" ht="12" hidden="1" customHeight="1">
      <c r="A17839" s="199"/>
    </row>
    <row r="17840" spans="1:1" s="200" customFormat="1" ht="12" hidden="1" customHeight="1">
      <c r="A17840" s="199"/>
    </row>
    <row r="17841" spans="1:1" s="200" customFormat="1" ht="12" hidden="1" customHeight="1">
      <c r="A17841" s="199"/>
    </row>
    <row r="17842" spans="1:1" s="200" customFormat="1" ht="12" hidden="1" customHeight="1">
      <c r="A17842" s="199"/>
    </row>
    <row r="17843" spans="1:1" s="200" customFormat="1" ht="12" hidden="1" customHeight="1">
      <c r="A17843" s="199"/>
    </row>
    <row r="17844" spans="1:1" s="200" customFormat="1" ht="12" hidden="1" customHeight="1">
      <c r="A17844" s="199"/>
    </row>
    <row r="17845" spans="1:1" s="200" customFormat="1" ht="12" hidden="1" customHeight="1">
      <c r="A17845" s="199"/>
    </row>
    <row r="17846" spans="1:1" s="200" customFormat="1" ht="12" hidden="1" customHeight="1">
      <c r="A17846" s="199"/>
    </row>
    <row r="17847" spans="1:1" s="200" customFormat="1" ht="12" hidden="1" customHeight="1">
      <c r="A17847" s="199"/>
    </row>
    <row r="17848" spans="1:1" s="200" customFormat="1" ht="12" hidden="1" customHeight="1">
      <c r="A17848" s="199"/>
    </row>
    <row r="17849" spans="1:1" s="200" customFormat="1" ht="12" hidden="1" customHeight="1">
      <c r="A17849" s="199"/>
    </row>
    <row r="17850" spans="1:1" s="200" customFormat="1" ht="12" hidden="1" customHeight="1">
      <c r="A17850" s="199"/>
    </row>
    <row r="17851" spans="1:1" s="200" customFormat="1" ht="12" hidden="1" customHeight="1">
      <c r="A17851" s="199"/>
    </row>
    <row r="17852" spans="1:1" s="200" customFormat="1" ht="12" hidden="1" customHeight="1">
      <c r="A17852" s="199"/>
    </row>
    <row r="17853" spans="1:1" s="200" customFormat="1" ht="12" hidden="1" customHeight="1">
      <c r="A17853" s="199"/>
    </row>
    <row r="17854" spans="1:1" s="200" customFormat="1" ht="12" hidden="1" customHeight="1">
      <c r="A17854" s="199"/>
    </row>
    <row r="17855" spans="1:1" s="200" customFormat="1" ht="12" hidden="1" customHeight="1">
      <c r="A17855" s="199"/>
    </row>
    <row r="17856" spans="1:1" s="200" customFormat="1" ht="12" hidden="1" customHeight="1">
      <c r="A17856" s="199"/>
    </row>
    <row r="17857" spans="1:1" s="200" customFormat="1" ht="12" hidden="1" customHeight="1">
      <c r="A17857" s="199"/>
    </row>
    <row r="17858" spans="1:1" s="200" customFormat="1" ht="12" hidden="1" customHeight="1">
      <c r="A17858" s="199"/>
    </row>
    <row r="17859" spans="1:1" s="200" customFormat="1" ht="12" hidden="1" customHeight="1">
      <c r="A17859" s="199"/>
    </row>
    <row r="17860" spans="1:1" s="200" customFormat="1" ht="12" hidden="1" customHeight="1">
      <c r="A17860" s="199"/>
    </row>
    <row r="17861" spans="1:1" s="200" customFormat="1" ht="12" hidden="1" customHeight="1">
      <c r="A17861" s="199"/>
    </row>
    <row r="17862" spans="1:1" s="200" customFormat="1" ht="12" hidden="1" customHeight="1">
      <c r="A17862" s="199"/>
    </row>
    <row r="17863" spans="1:1" s="200" customFormat="1" ht="12" hidden="1" customHeight="1">
      <c r="A17863" s="199"/>
    </row>
    <row r="17864" spans="1:1" s="200" customFormat="1" ht="12" hidden="1" customHeight="1">
      <c r="A17864" s="199"/>
    </row>
    <row r="17865" spans="1:1" s="200" customFormat="1" ht="12" hidden="1" customHeight="1">
      <c r="A17865" s="199"/>
    </row>
    <row r="17866" spans="1:1" s="200" customFormat="1" ht="12" hidden="1" customHeight="1">
      <c r="A17866" s="199"/>
    </row>
    <row r="17867" spans="1:1" s="200" customFormat="1" ht="12" hidden="1" customHeight="1">
      <c r="A17867" s="199"/>
    </row>
    <row r="17868" spans="1:1" s="200" customFormat="1" ht="12" hidden="1" customHeight="1">
      <c r="A17868" s="199"/>
    </row>
    <row r="17869" spans="1:1" s="200" customFormat="1" ht="12" hidden="1" customHeight="1">
      <c r="A17869" s="199"/>
    </row>
    <row r="17870" spans="1:1" s="200" customFormat="1" ht="12" hidden="1" customHeight="1">
      <c r="A17870" s="199"/>
    </row>
    <row r="17871" spans="1:1" s="200" customFormat="1" ht="12" hidden="1" customHeight="1">
      <c r="A17871" s="199"/>
    </row>
    <row r="17872" spans="1:1" s="200" customFormat="1" ht="12" hidden="1" customHeight="1">
      <c r="A17872" s="199"/>
    </row>
    <row r="17873" spans="1:1" s="200" customFormat="1" ht="12" hidden="1" customHeight="1">
      <c r="A17873" s="199"/>
    </row>
    <row r="17874" spans="1:1" s="200" customFormat="1" ht="12" hidden="1" customHeight="1">
      <c r="A17874" s="199"/>
    </row>
    <row r="17875" spans="1:1" s="200" customFormat="1" ht="12" hidden="1" customHeight="1">
      <c r="A17875" s="199"/>
    </row>
    <row r="17876" spans="1:1" s="200" customFormat="1" ht="12" hidden="1" customHeight="1">
      <c r="A17876" s="199"/>
    </row>
    <row r="17877" spans="1:1" s="200" customFormat="1" ht="12" hidden="1" customHeight="1">
      <c r="A17877" s="199"/>
    </row>
    <row r="17878" spans="1:1" s="200" customFormat="1" ht="12" hidden="1" customHeight="1">
      <c r="A17878" s="199"/>
    </row>
    <row r="17879" spans="1:1" s="200" customFormat="1" ht="12" hidden="1" customHeight="1">
      <c r="A17879" s="199"/>
    </row>
    <row r="17880" spans="1:1" s="200" customFormat="1" ht="12" hidden="1" customHeight="1">
      <c r="A17880" s="199"/>
    </row>
    <row r="17881" spans="1:1" s="200" customFormat="1" ht="12" hidden="1" customHeight="1">
      <c r="A17881" s="199"/>
    </row>
    <row r="17882" spans="1:1" s="200" customFormat="1" ht="12" hidden="1" customHeight="1">
      <c r="A17882" s="199"/>
    </row>
    <row r="17883" spans="1:1" s="200" customFormat="1" ht="12" hidden="1" customHeight="1">
      <c r="A17883" s="199"/>
    </row>
    <row r="17884" spans="1:1" s="200" customFormat="1" ht="12" hidden="1" customHeight="1">
      <c r="A17884" s="199"/>
    </row>
    <row r="17885" spans="1:1" s="200" customFormat="1" ht="12" hidden="1" customHeight="1">
      <c r="A17885" s="199"/>
    </row>
    <row r="17886" spans="1:1" s="200" customFormat="1" ht="12" hidden="1" customHeight="1">
      <c r="A17886" s="199"/>
    </row>
    <row r="17887" spans="1:1" s="200" customFormat="1" ht="12" hidden="1" customHeight="1">
      <c r="A17887" s="199"/>
    </row>
    <row r="17888" spans="1:1" s="200" customFormat="1" ht="12" hidden="1" customHeight="1">
      <c r="A17888" s="199"/>
    </row>
    <row r="17889" spans="1:1" s="200" customFormat="1" ht="12" hidden="1" customHeight="1">
      <c r="A17889" s="199"/>
    </row>
    <row r="17890" spans="1:1" s="200" customFormat="1" ht="12" hidden="1" customHeight="1">
      <c r="A17890" s="199"/>
    </row>
    <row r="17891" spans="1:1" s="200" customFormat="1" ht="12" hidden="1" customHeight="1">
      <c r="A17891" s="199"/>
    </row>
    <row r="17892" spans="1:1" s="200" customFormat="1" ht="12" hidden="1" customHeight="1">
      <c r="A17892" s="199"/>
    </row>
    <row r="17893" spans="1:1" s="200" customFormat="1" ht="12" hidden="1" customHeight="1">
      <c r="A17893" s="199"/>
    </row>
    <row r="17894" spans="1:1" s="200" customFormat="1" ht="12" hidden="1" customHeight="1">
      <c r="A17894" s="199"/>
    </row>
    <row r="17895" spans="1:1" s="200" customFormat="1" ht="12" hidden="1" customHeight="1">
      <c r="A17895" s="199"/>
    </row>
    <row r="17896" spans="1:1" s="200" customFormat="1" ht="12" hidden="1" customHeight="1">
      <c r="A17896" s="199"/>
    </row>
    <row r="17897" spans="1:1" s="200" customFormat="1" ht="12" hidden="1" customHeight="1">
      <c r="A17897" s="199"/>
    </row>
    <row r="17898" spans="1:1" s="200" customFormat="1" ht="12" hidden="1" customHeight="1">
      <c r="A17898" s="199"/>
    </row>
    <row r="17899" spans="1:1" s="200" customFormat="1" ht="12" hidden="1" customHeight="1">
      <c r="A17899" s="199"/>
    </row>
    <row r="17900" spans="1:1" s="200" customFormat="1" ht="12" hidden="1" customHeight="1">
      <c r="A17900" s="199"/>
    </row>
    <row r="17901" spans="1:1" s="200" customFormat="1" ht="12" hidden="1" customHeight="1">
      <c r="A17901" s="199"/>
    </row>
    <row r="17902" spans="1:1" s="200" customFormat="1" ht="12" hidden="1" customHeight="1">
      <c r="A17902" s="199"/>
    </row>
    <row r="17903" spans="1:1" s="200" customFormat="1" ht="12" hidden="1" customHeight="1">
      <c r="A17903" s="199"/>
    </row>
    <row r="17904" spans="1:1" s="200" customFormat="1" ht="12" hidden="1" customHeight="1">
      <c r="A17904" s="199"/>
    </row>
    <row r="17905" spans="1:1" s="200" customFormat="1" ht="12" hidden="1" customHeight="1">
      <c r="A17905" s="199"/>
    </row>
    <row r="17906" spans="1:1" s="200" customFormat="1" ht="12" hidden="1" customHeight="1">
      <c r="A17906" s="199"/>
    </row>
    <row r="17907" spans="1:1" s="200" customFormat="1" ht="12" hidden="1" customHeight="1">
      <c r="A17907" s="199"/>
    </row>
    <row r="17908" spans="1:1" s="200" customFormat="1" ht="12" hidden="1" customHeight="1">
      <c r="A17908" s="199"/>
    </row>
    <row r="17909" spans="1:1" s="200" customFormat="1" ht="12" hidden="1" customHeight="1">
      <c r="A17909" s="199"/>
    </row>
    <row r="17910" spans="1:1" s="200" customFormat="1" ht="12" hidden="1" customHeight="1">
      <c r="A17910" s="199"/>
    </row>
    <row r="17911" spans="1:1" s="200" customFormat="1" ht="12" hidden="1" customHeight="1">
      <c r="A17911" s="199"/>
    </row>
    <row r="17912" spans="1:1" s="200" customFormat="1" ht="12" hidden="1" customHeight="1">
      <c r="A17912" s="199"/>
    </row>
    <row r="17913" spans="1:1" s="200" customFormat="1" ht="12" hidden="1" customHeight="1">
      <c r="A17913" s="199"/>
    </row>
    <row r="17914" spans="1:1" s="200" customFormat="1" ht="12" hidden="1" customHeight="1">
      <c r="A17914" s="199"/>
    </row>
    <row r="17915" spans="1:1" s="200" customFormat="1" ht="12" hidden="1" customHeight="1">
      <c r="A17915" s="199"/>
    </row>
    <row r="17916" spans="1:1" s="200" customFormat="1" ht="12" hidden="1" customHeight="1">
      <c r="A17916" s="199"/>
    </row>
    <row r="17917" spans="1:1" s="200" customFormat="1" ht="12" hidden="1" customHeight="1">
      <c r="A17917" s="199"/>
    </row>
    <row r="17918" spans="1:1" s="200" customFormat="1" ht="12" hidden="1" customHeight="1">
      <c r="A17918" s="199"/>
    </row>
    <row r="17919" spans="1:1" s="200" customFormat="1" ht="12" hidden="1" customHeight="1">
      <c r="A17919" s="199"/>
    </row>
    <row r="17920" spans="1:1" s="200" customFormat="1" ht="12" hidden="1" customHeight="1">
      <c r="A17920" s="199"/>
    </row>
    <row r="17921" spans="1:1" s="200" customFormat="1" ht="12" hidden="1" customHeight="1">
      <c r="A17921" s="199"/>
    </row>
    <row r="17922" spans="1:1" s="200" customFormat="1" ht="12" hidden="1" customHeight="1">
      <c r="A17922" s="199"/>
    </row>
    <row r="17923" spans="1:1" s="200" customFormat="1" ht="12" hidden="1" customHeight="1">
      <c r="A17923" s="199"/>
    </row>
    <row r="17924" spans="1:1" s="200" customFormat="1" ht="12" hidden="1" customHeight="1">
      <c r="A17924" s="199"/>
    </row>
    <row r="17925" spans="1:1" s="200" customFormat="1" ht="12" hidden="1" customHeight="1">
      <c r="A17925" s="199"/>
    </row>
    <row r="17926" spans="1:1" s="200" customFormat="1" ht="12" hidden="1" customHeight="1">
      <c r="A17926" s="199"/>
    </row>
    <row r="17927" spans="1:1" s="200" customFormat="1" ht="12" hidden="1" customHeight="1">
      <c r="A17927" s="199"/>
    </row>
    <row r="17928" spans="1:1" s="200" customFormat="1" ht="12" hidden="1" customHeight="1">
      <c r="A17928" s="199"/>
    </row>
    <row r="17929" spans="1:1" s="200" customFormat="1" ht="12" hidden="1" customHeight="1">
      <c r="A17929" s="199"/>
    </row>
    <row r="17930" spans="1:1" s="200" customFormat="1" ht="12" hidden="1" customHeight="1">
      <c r="A17930" s="199"/>
    </row>
    <row r="17931" spans="1:1" s="200" customFormat="1" ht="12" hidden="1" customHeight="1">
      <c r="A17931" s="199"/>
    </row>
    <row r="17932" spans="1:1" s="200" customFormat="1" ht="12" hidden="1" customHeight="1">
      <c r="A17932" s="199"/>
    </row>
    <row r="17933" spans="1:1" s="200" customFormat="1" ht="12" hidden="1" customHeight="1">
      <c r="A17933" s="199"/>
    </row>
    <row r="17934" spans="1:1" s="200" customFormat="1" ht="12" hidden="1" customHeight="1">
      <c r="A17934" s="199"/>
    </row>
    <row r="17935" spans="1:1" s="200" customFormat="1" ht="12" hidden="1" customHeight="1">
      <c r="A17935" s="199"/>
    </row>
    <row r="17936" spans="1:1" s="200" customFormat="1" ht="12" hidden="1" customHeight="1">
      <c r="A17936" s="199"/>
    </row>
    <row r="17937" spans="1:1" s="200" customFormat="1" ht="12" hidden="1" customHeight="1">
      <c r="A17937" s="199"/>
    </row>
    <row r="17938" spans="1:1" s="200" customFormat="1" ht="12" hidden="1" customHeight="1">
      <c r="A17938" s="199"/>
    </row>
    <row r="17939" spans="1:1" s="200" customFormat="1" ht="12" hidden="1" customHeight="1">
      <c r="A17939" s="199"/>
    </row>
    <row r="17940" spans="1:1" s="200" customFormat="1" ht="12" hidden="1" customHeight="1">
      <c r="A17940" s="199"/>
    </row>
    <row r="17941" spans="1:1" s="200" customFormat="1" ht="12" hidden="1" customHeight="1">
      <c r="A17941" s="199"/>
    </row>
    <row r="17942" spans="1:1" s="200" customFormat="1" ht="12" hidden="1" customHeight="1">
      <c r="A17942" s="199"/>
    </row>
    <row r="17943" spans="1:1" s="200" customFormat="1" ht="12" hidden="1" customHeight="1">
      <c r="A17943" s="199"/>
    </row>
    <row r="17944" spans="1:1" s="200" customFormat="1" ht="12" hidden="1" customHeight="1">
      <c r="A17944" s="199"/>
    </row>
    <row r="17945" spans="1:1" s="200" customFormat="1" ht="12" hidden="1" customHeight="1">
      <c r="A17945" s="199"/>
    </row>
    <row r="17946" spans="1:1" s="200" customFormat="1" ht="12" hidden="1" customHeight="1">
      <c r="A17946" s="199"/>
    </row>
    <row r="17947" spans="1:1" s="200" customFormat="1" ht="12" hidden="1" customHeight="1">
      <c r="A17947" s="199"/>
    </row>
    <row r="17948" spans="1:1" s="200" customFormat="1" ht="12" hidden="1" customHeight="1">
      <c r="A17948" s="199"/>
    </row>
    <row r="17949" spans="1:1" s="200" customFormat="1" ht="12" hidden="1" customHeight="1">
      <c r="A17949" s="199"/>
    </row>
    <row r="17950" spans="1:1" s="200" customFormat="1" ht="12" hidden="1" customHeight="1">
      <c r="A17950" s="199"/>
    </row>
    <row r="17951" spans="1:1" s="200" customFormat="1" ht="12" hidden="1" customHeight="1">
      <c r="A17951" s="199"/>
    </row>
    <row r="17952" spans="1:1" s="200" customFormat="1" ht="12" hidden="1" customHeight="1">
      <c r="A17952" s="199"/>
    </row>
    <row r="17953" spans="1:1" s="200" customFormat="1" ht="12" hidden="1" customHeight="1">
      <c r="A17953" s="199"/>
    </row>
    <row r="17954" spans="1:1" s="200" customFormat="1" ht="12" hidden="1" customHeight="1">
      <c r="A17954" s="199"/>
    </row>
    <row r="17955" spans="1:1" s="200" customFormat="1" ht="12" hidden="1" customHeight="1">
      <c r="A17955" s="199"/>
    </row>
    <row r="17956" spans="1:1" s="200" customFormat="1" ht="12" hidden="1" customHeight="1">
      <c r="A17956" s="199"/>
    </row>
    <row r="17957" spans="1:1" s="200" customFormat="1" ht="12" hidden="1" customHeight="1">
      <c r="A17957" s="199"/>
    </row>
    <row r="17958" spans="1:1" s="200" customFormat="1" ht="12" hidden="1" customHeight="1">
      <c r="A17958" s="199"/>
    </row>
    <row r="17959" spans="1:1" s="200" customFormat="1" ht="12" hidden="1" customHeight="1">
      <c r="A17959" s="199"/>
    </row>
    <row r="17960" spans="1:1" s="200" customFormat="1" ht="12" hidden="1" customHeight="1">
      <c r="A17960" s="199"/>
    </row>
    <row r="17961" spans="1:1" s="200" customFormat="1" ht="12" hidden="1" customHeight="1">
      <c r="A17961" s="199"/>
    </row>
    <row r="17962" spans="1:1" s="200" customFormat="1" ht="12" hidden="1" customHeight="1">
      <c r="A17962" s="199"/>
    </row>
    <row r="17963" spans="1:1" s="200" customFormat="1" ht="12" hidden="1" customHeight="1">
      <c r="A17963" s="199"/>
    </row>
    <row r="17964" spans="1:1" s="200" customFormat="1" ht="12" hidden="1" customHeight="1">
      <c r="A17964" s="199"/>
    </row>
    <row r="17965" spans="1:1" s="200" customFormat="1" ht="12" hidden="1" customHeight="1">
      <c r="A17965" s="199"/>
    </row>
    <row r="17966" spans="1:1" s="200" customFormat="1" ht="12" hidden="1" customHeight="1">
      <c r="A17966" s="199"/>
    </row>
    <row r="17967" spans="1:1" s="200" customFormat="1" ht="12" hidden="1" customHeight="1">
      <c r="A17967" s="199"/>
    </row>
    <row r="17968" spans="1:1" s="200" customFormat="1" ht="12" hidden="1" customHeight="1">
      <c r="A17968" s="199"/>
    </row>
    <row r="17969" spans="1:1" s="200" customFormat="1" ht="12" hidden="1" customHeight="1">
      <c r="A17969" s="199"/>
    </row>
    <row r="17970" spans="1:1" s="200" customFormat="1" ht="12" hidden="1" customHeight="1">
      <c r="A17970" s="199"/>
    </row>
    <row r="17971" spans="1:1" s="200" customFormat="1" ht="12" hidden="1" customHeight="1">
      <c r="A17971" s="199"/>
    </row>
    <row r="17972" spans="1:1" s="200" customFormat="1" ht="12" hidden="1" customHeight="1">
      <c r="A17972" s="199"/>
    </row>
    <row r="17973" spans="1:1" s="200" customFormat="1" ht="12" hidden="1" customHeight="1">
      <c r="A17973" s="199"/>
    </row>
    <row r="17974" spans="1:1" s="200" customFormat="1" ht="12" hidden="1" customHeight="1">
      <c r="A17974" s="199"/>
    </row>
    <row r="17975" spans="1:1" s="200" customFormat="1" ht="12" hidden="1" customHeight="1">
      <c r="A17975" s="199"/>
    </row>
    <row r="17976" spans="1:1" s="200" customFormat="1" ht="12" hidden="1" customHeight="1">
      <c r="A17976" s="199"/>
    </row>
    <row r="17977" spans="1:1" s="200" customFormat="1" ht="12" hidden="1" customHeight="1">
      <c r="A17977" s="199"/>
    </row>
    <row r="17978" spans="1:1" s="200" customFormat="1" ht="12" hidden="1" customHeight="1">
      <c r="A17978" s="199"/>
    </row>
    <row r="17979" spans="1:1" s="200" customFormat="1" ht="12" hidden="1" customHeight="1">
      <c r="A17979" s="199"/>
    </row>
    <row r="17980" spans="1:1" s="200" customFormat="1" ht="12" hidden="1" customHeight="1">
      <c r="A17980" s="199"/>
    </row>
    <row r="17981" spans="1:1" s="200" customFormat="1" ht="12" hidden="1" customHeight="1">
      <c r="A17981" s="199"/>
    </row>
    <row r="17982" spans="1:1" s="200" customFormat="1" ht="12" hidden="1" customHeight="1">
      <c r="A17982" s="199"/>
    </row>
    <row r="17983" spans="1:1" s="200" customFormat="1" ht="12" hidden="1" customHeight="1">
      <c r="A17983" s="199"/>
    </row>
    <row r="17984" spans="1:1" s="200" customFormat="1" ht="12" hidden="1" customHeight="1">
      <c r="A17984" s="199"/>
    </row>
    <row r="17985" spans="1:1" s="200" customFormat="1" ht="12" hidden="1" customHeight="1">
      <c r="A17985" s="199"/>
    </row>
    <row r="17986" spans="1:1" s="200" customFormat="1" ht="12" hidden="1" customHeight="1">
      <c r="A17986" s="199"/>
    </row>
    <row r="17987" spans="1:1" s="200" customFormat="1" ht="12" hidden="1" customHeight="1">
      <c r="A17987" s="199"/>
    </row>
    <row r="17988" spans="1:1" s="200" customFormat="1" ht="12" hidden="1" customHeight="1">
      <c r="A17988" s="199"/>
    </row>
    <row r="17989" spans="1:1" s="200" customFormat="1" ht="12" hidden="1" customHeight="1">
      <c r="A17989" s="199"/>
    </row>
    <row r="17990" spans="1:1" s="200" customFormat="1" ht="12" hidden="1" customHeight="1">
      <c r="A17990" s="199"/>
    </row>
    <row r="17991" spans="1:1" s="200" customFormat="1" ht="12" hidden="1" customHeight="1">
      <c r="A17991" s="199"/>
    </row>
    <row r="17992" spans="1:1" s="200" customFormat="1" ht="12" hidden="1" customHeight="1">
      <c r="A17992" s="199"/>
    </row>
    <row r="17993" spans="1:1" s="200" customFormat="1" ht="12" hidden="1" customHeight="1">
      <c r="A17993" s="199"/>
    </row>
    <row r="17994" spans="1:1" s="200" customFormat="1" ht="12" hidden="1" customHeight="1">
      <c r="A17994" s="199"/>
    </row>
    <row r="17995" spans="1:1" s="200" customFormat="1" ht="12" hidden="1" customHeight="1">
      <c r="A17995" s="199"/>
    </row>
    <row r="17996" spans="1:1" s="200" customFormat="1" ht="12" hidden="1" customHeight="1">
      <c r="A17996" s="199"/>
    </row>
    <row r="17997" spans="1:1" s="200" customFormat="1" ht="12" hidden="1" customHeight="1">
      <c r="A17997" s="199"/>
    </row>
    <row r="17998" spans="1:1" s="200" customFormat="1" ht="12" hidden="1" customHeight="1">
      <c r="A17998" s="199"/>
    </row>
    <row r="17999" spans="1:1" s="200" customFormat="1" ht="12" hidden="1" customHeight="1">
      <c r="A17999" s="199"/>
    </row>
    <row r="18000" spans="1:1" s="200" customFormat="1" ht="12" hidden="1" customHeight="1">
      <c r="A18000" s="199"/>
    </row>
    <row r="18001" spans="1:1" s="200" customFormat="1" ht="12" hidden="1" customHeight="1">
      <c r="A18001" s="199"/>
    </row>
    <row r="18002" spans="1:1" s="200" customFormat="1" ht="12" hidden="1" customHeight="1">
      <c r="A18002" s="199"/>
    </row>
    <row r="18003" spans="1:1" s="200" customFormat="1" ht="12" hidden="1" customHeight="1">
      <c r="A18003" s="199"/>
    </row>
    <row r="18004" spans="1:1" s="200" customFormat="1" ht="12" hidden="1" customHeight="1">
      <c r="A18004" s="199"/>
    </row>
    <row r="18005" spans="1:1" s="200" customFormat="1" ht="12" hidden="1" customHeight="1">
      <c r="A18005" s="199"/>
    </row>
    <row r="18006" spans="1:1" s="200" customFormat="1" ht="12" hidden="1" customHeight="1">
      <c r="A18006" s="199"/>
    </row>
    <row r="18007" spans="1:1" s="200" customFormat="1" ht="12" hidden="1" customHeight="1">
      <c r="A18007" s="199"/>
    </row>
    <row r="18008" spans="1:1" s="200" customFormat="1" ht="12" hidden="1" customHeight="1">
      <c r="A18008" s="199"/>
    </row>
    <row r="18009" spans="1:1" s="200" customFormat="1" ht="12" hidden="1" customHeight="1">
      <c r="A18009" s="199"/>
    </row>
    <row r="18010" spans="1:1" s="200" customFormat="1" ht="12" hidden="1" customHeight="1">
      <c r="A18010" s="199"/>
    </row>
    <row r="18011" spans="1:1" s="200" customFormat="1" ht="12" hidden="1" customHeight="1">
      <c r="A18011" s="199"/>
    </row>
    <row r="18012" spans="1:1" s="200" customFormat="1" ht="12" hidden="1" customHeight="1">
      <c r="A18012" s="199"/>
    </row>
    <row r="18013" spans="1:1" s="200" customFormat="1" ht="12" hidden="1" customHeight="1">
      <c r="A18013" s="199"/>
    </row>
    <row r="18014" spans="1:1" s="200" customFormat="1" ht="12" hidden="1" customHeight="1">
      <c r="A18014" s="199"/>
    </row>
    <row r="18015" spans="1:1" s="200" customFormat="1" ht="12" hidden="1" customHeight="1">
      <c r="A18015" s="199"/>
    </row>
    <row r="18016" spans="1:1" s="200" customFormat="1" ht="12" hidden="1" customHeight="1">
      <c r="A18016" s="199"/>
    </row>
    <row r="18017" spans="1:1" s="200" customFormat="1" ht="12" hidden="1" customHeight="1">
      <c r="A18017" s="199"/>
    </row>
    <row r="18018" spans="1:1" s="200" customFormat="1" ht="12" hidden="1" customHeight="1">
      <c r="A18018" s="199"/>
    </row>
    <row r="18019" spans="1:1" s="200" customFormat="1" ht="12" hidden="1" customHeight="1">
      <c r="A18019" s="199"/>
    </row>
    <row r="18020" spans="1:1" s="200" customFormat="1" ht="12" hidden="1" customHeight="1">
      <c r="A18020" s="199"/>
    </row>
    <row r="18021" spans="1:1" s="200" customFormat="1" ht="12" hidden="1" customHeight="1">
      <c r="A18021" s="199"/>
    </row>
    <row r="18022" spans="1:1" s="200" customFormat="1" ht="12" hidden="1" customHeight="1">
      <c r="A18022" s="199"/>
    </row>
    <row r="18023" spans="1:1" s="200" customFormat="1" ht="12" hidden="1" customHeight="1">
      <c r="A18023" s="199"/>
    </row>
    <row r="18024" spans="1:1" s="200" customFormat="1" ht="12" hidden="1" customHeight="1">
      <c r="A18024" s="199"/>
    </row>
    <row r="18025" spans="1:1" s="200" customFormat="1" ht="12" hidden="1" customHeight="1">
      <c r="A18025" s="199"/>
    </row>
    <row r="18026" spans="1:1" s="200" customFormat="1" ht="12" hidden="1" customHeight="1">
      <c r="A18026" s="199"/>
    </row>
    <row r="18027" spans="1:1" s="200" customFormat="1" ht="12" hidden="1" customHeight="1">
      <c r="A18027" s="199"/>
    </row>
    <row r="18028" spans="1:1" s="200" customFormat="1" ht="12" hidden="1" customHeight="1">
      <c r="A18028" s="199"/>
    </row>
    <row r="18029" spans="1:1" s="200" customFormat="1" ht="12" hidden="1" customHeight="1">
      <c r="A18029" s="199"/>
    </row>
    <row r="18030" spans="1:1" s="200" customFormat="1" ht="12" hidden="1" customHeight="1">
      <c r="A18030" s="199"/>
    </row>
    <row r="18031" spans="1:1" s="200" customFormat="1" ht="12" hidden="1" customHeight="1">
      <c r="A18031" s="199"/>
    </row>
    <row r="18032" spans="1:1" s="200" customFormat="1" ht="12" hidden="1" customHeight="1">
      <c r="A18032" s="199"/>
    </row>
    <row r="18033" spans="1:1" s="200" customFormat="1" ht="12" hidden="1" customHeight="1">
      <c r="A18033" s="199"/>
    </row>
    <row r="18034" spans="1:1" s="200" customFormat="1" ht="12" hidden="1" customHeight="1">
      <c r="A18034" s="199"/>
    </row>
    <row r="18035" spans="1:1" s="200" customFormat="1" ht="12" hidden="1" customHeight="1">
      <c r="A18035" s="199"/>
    </row>
    <row r="18036" spans="1:1" s="200" customFormat="1" ht="12" hidden="1" customHeight="1">
      <c r="A18036" s="199"/>
    </row>
    <row r="18037" spans="1:1" s="200" customFormat="1" ht="12" hidden="1" customHeight="1">
      <c r="A18037" s="199"/>
    </row>
    <row r="18038" spans="1:1" s="200" customFormat="1" ht="12" hidden="1" customHeight="1">
      <c r="A18038" s="199"/>
    </row>
    <row r="18039" spans="1:1" s="200" customFormat="1" ht="12" hidden="1" customHeight="1">
      <c r="A18039" s="199"/>
    </row>
    <row r="18040" spans="1:1" s="200" customFormat="1" ht="12" hidden="1" customHeight="1">
      <c r="A18040" s="199"/>
    </row>
    <row r="18041" spans="1:1" s="200" customFormat="1" ht="12" hidden="1" customHeight="1">
      <c r="A18041" s="199"/>
    </row>
    <row r="18042" spans="1:1" s="200" customFormat="1" ht="12" hidden="1" customHeight="1">
      <c r="A18042" s="199"/>
    </row>
    <row r="18043" spans="1:1" s="200" customFormat="1" ht="12" hidden="1" customHeight="1">
      <c r="A18043" s="199"/>
    </row>
    <row r="18044" spans="1:1" s="200" customFormat="1" ht="12" hidden="1" customHeight="1">
      <c r="A18044" s="199"/>
    </row>
    <row r="18045" spans="1:1" s="200" customFormat="1" ht="12" hidden="1" customHeight="1">
      <c r="A18045" s="199"/>
    </row>
    <row r="18046" spans="1:1" s="200" customFormat="1" ht="12" hidden="1" customHeight="1">
      <c r="A18046" s="199"/>
    </row>
    <row r="18047" spans="1:1" s="200" customFormat="1" ht="12" hidden="1" customHeight="1">
      <c r="A18047" s="199"/>
    </row>
    <row r="18048" spans="1:1" s="200" customFormat="1" ht="12" hidden="1" customHeight="1">
      <c r="A18048" s="199"/>
    </row>
    <row r="18049" spans="1:1" s="200" customFormat="1" ht="12" hidden="1" customHeight="1">
      <c r="A18049" s="199"/>
    </row>
    <row r="18050" spans="1:1" s="200" customFormat="1" ht="12" hidden="1" customHeight="1">
      <c r="A18050" s="199"/>
    </row>
    <row r="18051" spans="1:1" s="200" customFormat="1" ht="12" hidden="1" customHeight="1">
      <c r="A18051" s="199"/>
    </row>
    <row r="18052" spans="1:1" s="200" customFormat="1" ht="12" hidden="1" customHeight="1">
      <c r="A18052" s="199"/>
    </row>
    <row r="18053" spans="1:1" s="200" customFormat="1" ht="12" hidden="1" customHeight="1">
      <c r="A18053" s="199"/>
    </row>
    <row r="18054" spans="1:1" s="200" customFormat="1" ht="12" hidden="1" customHeight="1">
      <c r="A18054" s="199"/>
    </row>
    <row r="18055" spans="1:1" s="200" customFormat="1" ht="12" hidden="1" customHeight="1">
      <c r="A18055" s="199"/>
    </row>
    <row r="18056" spans="1:1" s="200" customFormat="1" ht="12" hidden="1" customHeight="1">
      <c r="A18056" s="199"/>
    </row>
    <row r="18057" spans="1:1" s="200" customFormat="1" ht="12" hidden="1" customHeight="1">
      <c r="A18057" s="199"/>
    </row>
    <row r="18058" spans="1:1" s="200" customFormat="1" ht="12" hidden="1" customHeight="1">
      <c r="A18058" s="199"/>
    </row>
    <row r="18059" spans="1:1" s="200" customFormat="1" ht="12" hidden="1" customHeight="1">
      <c r="A18059" s="199"/>
    </row>
    <row r="18060" spans="1:1" s="200" customFormat="1" ht="12" hidden="1" customHeight="1">
      <c r="A18060" s="199"/>
    </row>
    <row r="18061" spans="1:1" s="200" customFormat="1" ht="12" hidden="1" customHeight="1">
      <c r="A18061" s="199"/>
    </row>
    <row r="18062" spans="1:1" s="200" customFormat="1" ht="12" hidden="1" customHeight="1">
      <c r="A18062" s="199"/>
    </row>
    <row r="18063" spans="1:1" s="200" customFormat="1" ht="12" hidden="1" customHeight="1">
      <c r="A18063" s="199"/>
    </row>
    <row r="18064" spans="1:1" s="200" customFormat="1" ht="12" hidden="1" customHeight="1">
      <c r="A18064" s="199"/>
    </row>
    <row r="18065" spans="1:1" s="200" customFormat="1" ht="12" hidden="1" customHeight="1">
      <c r="A18065" s="199"/>
    </row>
    <row r="18066" spans="1:1" s="200" customFormat="1" ht="12" hidden="1" customHeight="1">
      <c r="A18066" s="199"/>
    </row>
    <row r="18067" spans="1:1" s="200" customFormat="1" ht="12" hidden="1" customHeight="1">
      <c r="A18067" s="199"/>
    </row>
    <row r="18068" spans="1:1" s="200" customFormat="1" ht="12" hidden="1" customHeight="1">
      <c r="A18068" s="199"/>
    </row>
    <row r="18069" spans="1:1" s="200" customFormat="1" ht="12" hidden="1" customHeight="1">
      <c r="A18069" s="199"/>
    </row>
    <row r="18070" spans="1:1" s="200" customFormat="1" ht="12" hidden="1" customHeight="1">
      <c r="A18070" s="199"/>
    </row>
    <row r="18071" spans="1:1" s="200" customFormat="1" ht="12" hidden="1" customHeight="1">
      <c r="A18071" s="199"/>
    </row>
    <row r="18072" spans="1:1" s="200" customFormat="1" ht="12" hidden="1" customHeight="1">
      <c r="A18072" s="199"/>
    </row>
    <row r="18073" spans="1:1" s="200" customFormat="1" ht="12" hidden="1" customHeight="1">
      <c r="A18073" s="199"/>
    </row>
    <row r="18074" spans="1:1" s="200" customFormat="1" ht="12" hidden="1" customHeight="1">
      <c r="A18074" s="199"/>
    </row>
    <row r="18075" spans="1:1" s="200" customFormat="1" ht="12" hidden="1" customHeight="1">
      <c r="A18075" s="199"/>
    </row>
    <row r="18076" spans="1:1" s="200" customFormat="1" ht="12" hidden="1" customHeight="1">
      <c r="A18076" s="199"/>
    </row>
    <row r="18077" spans="1:1" s="200" customFormat="1" ht="12" hidden="1" customHeight="1">
      <c r="A18077" s="199"/>
    </row>
    <row r="18078" spans="1:1" s="200" customFormat="1" ht="12" hidden="1" customHeight="1">
      <c r="A18078" s="199"/>
    </row>
    <row r="18079" spans="1:1" s="200" customFormat="1" ht="12" hidden="1" customHeight="1">
      <c r="A18079" s="199"/>
    </row>
    <row r="18080" spans="1:1" s="200" customFormat="1" ht="12" hidden="1" customHeight="1">
      <c r="A18080" s="199"/>
    </row>
    <row r="18081" spans="1:1" s="200" customFormat="1" ht="12" hidden="1" customHeight="1">
      <c r="A18081" s="199"/>
    </row>
    <row r="18082" spans="1:1" s="200" customFormat="1" ht="12" hidden="1" customHeight="1">
      <c r="A18082" s="199"/>
    </row>
    <row r="18083" spans="1:1" s="200" customFormat="1" ht="12" hidden="1" customHeight="1">
      <c r="A18083" s="199"/>
    </row>
    <row r="18084" spans="1:1" s="200" customFormat="1" ht="12" hidden="1" customHeight="1">
      <c r="A18084" s="199"/>
    </row>
    <row r="18085" spans="1:1" s="200" customFormat="1" ht="12" hidden="1" customHeight="1">
      <c r="A18085" s="199"/>
    </row>
    <row r="18086" spans="1:1" s="200" customFormat="1" ht="12" hidden="1" customHeight="1">
      <c r="A18086" s="199"/>
    </row>
    <row r="18087" spans="1:1" s="200" customFormat="1" ht="12" hidden="1" customHeight="1">
      <c r="A18087" s="199"/>
    </row>
    <row r="18088" spans="1:1" s="200" customFormat="1" ht="12" hidden="1" customHeight="1">
      <c r="A18088" s="199"/>
    </row>
    <row r="18089" spans="1:1" s="200" customFormat="1" ht="12" hidden="1" customHeight="1">
      <c r="A18089" s="199"/>
    </row>
    <row r="18090" spans="1:1" s="200" customFormat="1" ht="12" hidden="1" customHeight="1">
      <c r="A18090" s="199"/>
    </row>
    <row r="18091" spans="1:1" s="200" customFormat="1" ht="12" hidden="1" customHeight="1">
      <c r="A18091" s="199"/>
    </row>
    <row r="18092" spans="1:1" s="200" customFormat="1" ht="12" hidden="1" customHeight="1">
      <c r="A18092" s="199"/>
    </row>
    <row r="18093" spans="1:1" s="200" customFormat="1" ht="12" hidden="1" customHeight="1">
      <c r="A18093" s="199"/>
    </row>
    <row r="18094" spans="1:1" s="200" customFormat="1" ht="12" hidden="1" customHeight="1">
      <c r="A18094" s="199"/>
    </row>
    <row r="18095" spans="1:1" s="200" customFormat="1" ht="12" hidden="1" customHeight="1">
      <c r="A18095" s="199"/>
    </row>
    <row r="18096" spans="1:1" s="200" customFormat="1" ht="12" hidden="1" customHeight="1">
      <c r="A18096" s="199"/>
    </row>
    <row r="18097" spans="1:1" s="200" customFormat="1" ht="12" hidden="1" customHeight="1">
      <c r="A18097" s="199"/>
    </row>
    <row r="18098" spans="1:1" s="200" customFormat="1" ht="12" hidden="1" customHeight="1">
      <c r="A18098" s="199"/>
    </row>
    <row r="18099" spans="1:1" s="200" customFormat="1" ht="12" hidden="1" customHeight="1">
      <c r="A18099" s="199"/>
    </row>
    <row r="18100" spans="1:1" s="200" customFormat="1" ht="12" hidden="1" customHeight="1">
      <c r="A18100" s="199"/>
    </row>
    <row r="18101" spans="1:1" s="200" customFormat="1" ht="12" hidden="1" customHeight="1">
      <c r="A18101" s="199"/>
    </row>
    <row r="18102" spans="1:1" s="200" customFormat="1" ht="12" hidden="1" customHeight="1">
      <c r="A18102" s="199"/>
    </row>
    <row r="18103" spans="1:1" s="200" customFormat="1" ht="12" hidden="1" customHeight="1">
      <c r="A18103" s="199"/>
    </row>
    <row r="18104" spans="1:1" s="200" customFormat="1" ht="12" hidden="1" customHeight="1">
      <c r="A18104" s="199"/>
    </row>
    <row r="18105" spans="1:1" s="200" customFormat="1" ht="12" hidden="1" customHeight="1">
      <c r="A18105" s="199"/>
    </row>
    <row r="18106" spans="1:1" s="200" customFormat="1" ht="12" hidden="1" customHeight="1">
      <c r="A18106" s="199"/>
    </row>
    <row r="18107" spans="1:1" s="200" customFormat="1" ht="12" hidden="1" customHeight="1">
      <c r="A18107" s="199"/>
    </row>
    <row r="18108" spans="1:1" s="200" customFormat="1" ht="12" hidden="1" customHeight="1">
      <c r="A18108" s="199"/>
    </row>
    <row r="18109" spans="1:1" s="200" customFormat="1" ht="12" hidden="1" customHeight="1">
      <c r="A18109" s="199"/>
    </row>
    <row r="18110" spans="1:1" s="200" customFormat="1" ht="12" hidden="1" customHeight="1">
      <c r="A18110" s="199"/>
    </row>
    <row r="18111" spans="1:1" s="200" customFormat="1" ht="12" hidden="1" customHeight="1">
      <c r="A18111" s="199"/>
    </row>
    <row r="18112" spans="1:1" s="200" customFormat="1" ht="12" hidden="1" customHeight="1">
      <c r="A18112" s="199"/>
    </row>
    <row r="18113" spans="1:1" s="200" customFormat="1" ht="12" hidden="1" customHeight="1">
      <c r="A18113" s="199"/>
    </row>
    <row r="18114" spans="1:1" s="200" customFormat="1" ht="12" hidden="1" customHeight="1">
      <c r="A18114" s="199"/>
    </row>
    <row r="18115" spans="1:1" s="200" customFormat="1" ht="12" hidden="1" customHeight="1">
      <c r="A18115" s="199"/>
    </row>
    <row r="18116" spans="1:1" s="200" customFormat="1" ht="12" hidden="1" customHeight="1">
      <c r="A18116" s="199"/>
    </row>
    <row r="18117" spans="1:1" s="200" customFormat="1" ht="12" hidden="1" customHeight="1">
      <c r="A18117" s="199"/>
    </row>
    <row r="18118" spans="1:1" s="200" customFormat="1" ht="12" hidden="1" customHeight="1">
      <c r="A18118" s="199"/>
    </row>
    <row r="18119" spans="1:1" s="200" customFormat="1" ht="12" hidden="1" customHeight="1">
      <c r="A18119" s="199"/>
    </row>
    <row r="18120" spans="1:1" s="200" customFormat="1" ht="12" hidden="1" customHeight="1">
      <c r="A18120" s="199"/>
    </row>
    <row r="18121" spans="1:1" s="200" customFormat="1" ht="12" hidden="1" customHeight="1">
      <c r="A18121" s="199"/>
    </row>
    <row r="18122" spans="1:1" s="200" customFormat="1" ht="12" hidden="1" customHeight="1">
      <c r="A18122" s="199"/>
    </row>
    <row r="18123" spans="1:1" s="200" customFormat="1" ht="12" hidden="1" customHeight="1">
      <c r="A18123" s="199"/>
    </row>
    <row r="18124" spans="1:1" s="200" customFormat="1" ht="12" hidden="1" customHeight="1">
      <c r="A18124" s="199"/>
    </row>
    <row r="18125" spans="1:1" s="200" customFormat="1" ht="12" hidden="1" customHeight="1">
      <c r="A18125" s="199"/>
    </row>
    <row r="18126" spans="1:1" s="200" customFormat="1" ht="12" hidden="1" customHeight="1">
      <c r="A18126" s="199"/>
    </row>
    <row r="18127" spans="1:1" s="200" customFormat="1" ht="12" hidden="1" customHeight="1">
      <c r="A18127" s="199"/>
    </row>
    <row r="18128" spans="1:1" s="200" customFormat="1" ht="12" hidden="1" customHeight="1">
      <c r="A18128" s="199"/>
    </row>
    <row r="18129" spans="1:1" s="200" customFormat="1" ht="12" hidden="1" customHeight="1">
      <c r="A18129" s="199"/>
    </row>
    <row r="18130" spans="1:1" s="200" customFormat="1" ht="12" hidden="1" customHeight="1">
      <c r="A18130" s="199"/>
    </row>
    <row r="18131" spans="1:1" s="200" customFormat="1" ht="12" hidden="1" customHeight="1">
      <c r="A18131" s="199"/>
    </row>
    <row r="18132" spans="1:1" s="200" customFormat="1" ht="12" hidden="1" customHeight="1">
      <c r="A18132" s="199"/>
    </row>
    <row r="18133" spans="1:1" s="200" customFormat="1" ht="12" hidden="1" customHeight="1">
      <c r="A18133" s="199"/>
    </row>
    <row r="18134" spans="1:1" s="200" customFormat="1" ht="12" hidden="1" customHeight="1">
      <c r="A18134" s="199"/>
    </row>
    <row r="18135" spans="1:1" s="200" customFormat="1" ht="12" hidden="1" customHeight="1">
      <c r="A18135" s="199"/>
    </row>
    <row r="18136" spans="1:1" s="200" customFormat="1" ht="12" hidden="1" customHeight="1">
      <c r="A18136" s="199"/>
    </row>
    <row r="18137" spans="1:1" s="200" customFormat="1" ht="12" hidden="1" customHeight="1">
      <c r="A18137" s="199"/>
    </row>
    <row r="18138" spans="1:1" s="200" customFormat="1" ht="12" hidden="1" customHeight="1">
      <c r="A18138" s="199"/>
    </row>
    <row r="18139" spans="1:1" s="200" customFormat="1" ht="12" hidden="1" customHeight="1">
      <c r="A18139" s="199"/>
    </row>
    <row r="18140" spans="1:1" s="200" customFormat="1" ht="12" hidden="1" customHeight="1">
      <c r="A18140" s="199"/>
    </row>
    <row r="18141" spans="1:1" s="200" customFormat="1" ht="12" hidden="1" customHeight="1">
      <c r="A18141" s="199"/>
    </row>
    <row r="18142" spans="1:1" s="200" customFormat="1" ht="12" hidden="1" customHeight="1">
      <c r="A18142" s="199"/>
    </row>
    <row r="18143" spans="1:1" s="200" customFormat="1" ht="12" hidden="1" customHeight="1">
      <c r="A18143" s="199"/>
    </row>
    <row r="18144" spans="1:1" s="200" customFormat="1" ht="12" hidden="1" customHeight="1">
      <c r="A18144" s="199"/>
    </row>
    <row r="18145" spans="1:1" s="200" customFormat="1" ht="12" hidden="1" customHeight="1">
      <c r="A18145" s="199"/>
    </row>
    <row r="18146" spans="1:1" s="200" customFormat="1" ht="12" hidden="1" customHeight="1">
      <c r="A18146" s="199"/>
    </row>
    <row r="18147" spans="1:1" s="200" customFormat="1" ht="12" hidden="1" customHeight="1">
      <c r="A18147" s="199"/>
    </row>
    <row r="18148" spans="1:1" s="200" customFormat="1" ht="12" hidden="1" customHeight="1">
      <c r="A18148" s="199"/>
    </row>
    <row r="18149" spans="1:1" s="200" customFormat="1" ht="12" hidden="1" customHeight="1">
      <c r="A18149" s="199"/>
    </row>
    <row r="18150" spans="1:1" s="200" customFormat="1" ht="12" hidden="1" customHeight="1">
      <c r="A18150" s="199"/>
    </row>
    <row r="18151" spans="1:1" s="200" customFormat="1" ht="12" hidden="1" customHeight="1">
      <c r="A18151" s="199"/>
    </row>
    <row r="18152" spans="1:1" s="200" customFormat="1" ht="12" hidden="1" customHeight="1">
      <c r="A18152" s="199"/>
    </row>
    <row r="18153" spans="1:1" s="200" customFormat="1" ht="12" hidden="1" customHeight="1">
      <c r="A18153" s="199"/>
    </row>
    <row r="18154" spans="1:1" s="200" customFormat="1" ht="12" hidden="1" customHeight="1">
      <c r="A18154" s="199"/>
    </row>
    <row r="18155" spans="1:1" s="200" customFormat="1" ht="12" hidden="1" customHeight="1">
      <c r="A18155" s="199"/>
    </row>
    <row r="18156" spans="1:1" s="200" customFormat="1" ht="12" hidden="1" customHeight="1">
      <c r="A18156" s="199"/>
    </row>
    <row r="18157" spans="1:1" s="200" customFormat="1" ht="12" hidden="1" customHeight="1">
      <c r="A18157" s="199"/>
    </row>
    <row r="18158" spans="1:1" s="200" customFormat="1" ht="12" hidden="1" customHeight="1">
      <c r="A18158" s="199"/>
    </row>
    <row r="18159" spans="1:1" s="200" customFormat="1" ht="12" hidden="1" customHeight="1">
      <c r="A18159" s="199"/>
    </row>
    <row r="18160" spans="1:1" s="200" customFormat="1" ht="12" hidden="1" customHeight="1">
      <c r="A18160" s="199"/>
    </row>
    <row r="18161" spans="1:1" s="200" customFormat="1" ht="12" hidden="1" customHeight="1">
      <c r="A18161" s="199"/>
    </row>
    <row r="18162" spans="1:1" s="200" customFormat="1" ht="12" hidden="1" customHeight="1">
      <c r="A18162" s="199"/>
    </row>
    <row r="18163" spans="1:1" s="200" customFormat="1" ht="12" hidden="1" customHeight="1">
      <c r="A18163" s="199"/>
    </row>
    <row r="18164" spans="1:1" s="200" customFormat="1" ht="12" hidden="1" customHeight="1">
      <c r="A18164" s="199"/>
    </row>
    <row r="18165" spans="1:1" s="200" customFormat="1" ht="12" hidden="1" customHeight="1">
      <c r="A18165" s="199"/>
    </row>
    <row r="18166" spans="1:1" s="200" customFormat="1" ht="12" hidden="1" customHeight="1">
      <c r="A18166" s="199"/>
    </row>
    <row r="18167" spans="1:1" s="200" customFormat="1" ht="12" hidden="1" customHeight="1">
      <c r="A18167" s="199"/>
    </row>
    <row r="18168" spans="1:1" s="200" customFormat="1" ht="12" hidden="1" customHeight="1">
      <c r="A18168" s="199"/>
    </row>
    <row r="18169" spans="1:1" s="200" customFormat="1" ht="12" hidden="1" customHeight="1">
      <c r="A18169" s="199"/>
    </row>
    <row r="18170" spans="1:1" s="200" customFormat="1" ht="12" hidden="1" customHeight="1">
      <c r="A18170" s="199"/>
    </row>
    <row r="18171" spans="1:1" s="200" customFormat="1" ht="12" hidden="1" customHeight="1">
      <c r="A18171" s="199"/>
    </row>
    <row r="18172" spans="1:1" s="200" customFormat="1" ht="12" hidden="1" customHeight="1">
      <c r="A18172" s="199"/>
    </row>
    <row r="18173" spans="1:1" s="200" customFormat="1" ht="12" hidden="1" customHeight="1">
      <c r="A18173" s="199"/>
    </row>
    <row r="18174" spans="1:1" s="200" customFormat="1" ht="12" hidden="1" customHeight="1">
      <c r="A18174" s="199"/>
    </row>
    <row r="18175" spans="1:1" s="200" customFormat="1" ht="12" hidden="1" customHeight="1">
      <c r="A18175" s="199"/>
    </row>
    <row r="18176" spans="1:1" s="200" customFormat="1" ht="12" hidden="1" customHeight="1">
      <c r="A18176" s="199"/>
    </row>
    <row r="18177" spans="1:1" s="200" customFormat="1" ht="12" hidden="1" customHeight="1">
      <c r="A18177" s="199"/>
    </row>
    <row r="18178" spans="1:1" s="200" customFormat="1" ht="12" hidden="1" customHeight="1">
      <c r="A18178" s="199"/>
    </row>
    <row r="18179" spans="1:1" s="200" customFormat="1" ht="12" hidden="1" customHeight="1">
      <c r="A18179" s="199"/>
    </row>
    <row r="18180" spans="1:1" s="200" customFormat="1" ht="12" hidden="1" customHeight="1">
      <c r="A18180" s="199"/>
    </row>
    <row r="18181" spans="1:1" s="200" customFormat="1" ht="12" hidden="1" customHeight="1">
      <c r="A18181" s="199"/>
    </row>
    <row r="18182" spans="1:1" s="200" customFormat="1" ht="12" hidden="1" customHeight="1">
      <c r="A18182" s="199"/>
    </row>
    <row r="18183" spans="1:1" s="200" customFormat="1" ht="12" hidden="1" customHeight="1">
      <c r="A18183" s="199"/>
    </row>
    <row r="18184" spans="1:1" s="200" customFormat="1" ht="12" hidden="1" customHeight="1">
      <c r="A18184" s="199"/>
    </row>
    <row r="18185" spans="1:1" s="200" customFormat="1" ht="12" hidden="1" customHeight="1">
      <c r="A18185" s="199"/>
    </row>
    <row r="18186" spans="1:1" s="200" customFormat="1" ht="12" hidden="1" customHeight="1">
      <c r="A18186" s="199"/>
    </row>
    <row r="18187" spans="1:1" s="200" customFormat="1" ht="12" hidden="1" customHeight="1">
      <c r="A18187" s="199"/>
    </row>
    <row r="18188" spans="1:1" s="200" customFormat="1" ht="12" hidden="1" customHeight="1">
      <c r="A18188" s="199"/>
    </row>
    <row r="18189" spans="1:1" s="200" customFormat="1" ht="12" hidden="1" customHeight="1">
      <c r="A18189" s="199"/>
    </row>
    <row r="18190" spans="1:1" s="200" customFormat="1" ht="12" hidden="1" customHeight="1">
      <c r="A18190" s="199"/>
    </row>
    <row r="18191" spans="1:1" s="200" customFormat="1" ht="12" hidden="1" customHeight="1">
      <c r="A18191" s="199"/>
    </row>
    <row r="18192" spans="1:1" s="200" customFormat="1" ht="12" hidden="1" customHeight="1">
      <c r="A18192" s="199"/>
    </row>
    <row r="18193" spans="1:1" s="200" customFormat="1" ht="12" hidden="1" customHeight="1">
      <c r="A18193" s="199"/>
    </row>
    <row r="18194" spans="1:1" s="200" customFormat="1" ht="12" hidden="1" customHeight="1">
      <c r="A18194" s="199"/>
    </row>
    <row r="18195" spans="1:1" s="200" customFormat="1" ht="12" hidden="1" customHeight="1">
      <c r="A18195" s="199"/>
    </row>
    <row r="18196" spans="1:1" s="200" customFormat="1" ht="12" hidden="1" customHeight="1">
      <c r="A18196" s="199"/>
    </row>
    <row r="18197" spans="1:1" s="200" customFormat="1" ht="12" hidden="1" customHeight="1">
      <c r="A18197" s="199"/>
    </row>
    <row r="18198" spans="1:1" s="200" customFormat="1" ht="12" hidden="1" customHeight="1">
      <c r="A18198" s="199"/>
    </row>
    <row r="18199" spans="1:1" s="200" customFormat="1" ht="12" hidden="1" customHeight="1">
      <c r="A18199" s="199"/>
    </row>
    <row r="18200" spans="1:1" s="200" customFormat="1" ht="12" hidden="1" customHeight="1">
      <c r="A18200" s="199"/>
    </row>
    <row r="18201" spans="1:1" s="200" customFormat="1" ht="12" hidden="1" customHeight="1">
      <c r="A18201" s="199"/>
    </row>
    <row r="18202" spans="1:1" s="200" customFormat="1" ht="12" hidden="1" customHeight="1">
      <c r="A18202" s="199"/>
    </row>
    <row r="18203" spans="1:1" s="200" customFormat="1" ht="12" hidden="1" customHeight="1">
      <c r="A18203" s="199"/>
    </row>
    <row r="18204" spans="1:1" s="200" customFormat="1" ht="12" hidden="1" customHeight="1">
      <c r="A18204" s="199"/>
    </row>
    <row r="18205" spans="1:1" s="200" customFormat="1" ht="12" hidden="1" customHeight="1">
      <c r="A18205" s="199"/>
    </row>
    <row r="18206" spans="1:1" s="200" customFormat="1" ht="12" hidden="1" customHeight="1">
      <c r="A18206" s="199"/>
    </row>
    <row r="18207" spans="1:1" s="200" customFormat="1" ht="12" hidden="1" customHeight="1">
      <c r="A18207" s="199"/>
    </row>
    <row r="18208" spans="1:1" s="200" customFormat="1" ht="12" hidden="1" customHeight="1">
      <c r="A18208" s="199"/>
    </row>
    <row r="18209" spans="1:1" s="200" customFormat="1" ht="12" hidden="1" customHeight="1">
      <c r="A18209" s="199"/>
    </row>
    <row r="18210" spans="1:1" s="200" customFormat="1" ht="12" hidden="1" customHeight="1">
      <c r="A18210" s="199"/>
    </row>
    <row r="18211" spans="1:1" s="200" customFormat="1" ht="12" hidden="1" customHeight="1">
      <c r="A18211" s="199"/>
    </row>
    <row r="18212" spans="1:1" s="200" customFormat="1" ht="12" hidden="1" customHeight="1">
      <c r="A18212" s="199"/>
    </row>
    <row r="18213" spans="1:1" s="200" customFormat="1" ht="12" hidden="1" customHeight="1">
      <c r="A18213" s="199"/>
    </row>
    <row r="18214" spans="1:1" s="200" customFormat="1" ht="12" hidden="1" customHeight="1">
      <c r="A18214" s="199"/>
    </row>
    <row r="18215" spans="1:1" s="200" customFormat="1" ht="12" hidden="1" customHeight="1">
      <c r="A18215" s="199"/>
    </row>
    <row r="18216" spans="1:1" s="200" customFormat="1" ht="12" hidden="1" customHeight="1">
      <c r="A18216" s="199"/>
    </row>
    <row r="18217" spans="1:1" s="200" customFormat="1" ht="12" hidden="1" customHeight="1">
      <c r="A18217" s="199"/>
    </row>
    <row r="18218" spans="1:1" s="200" customFormat="1" ht="12" hidden="1" customHeight="1">
      <c r="A18218" s="199"/>
    </row>
    <row r="18219" spans="1:1" s="200" customFormat="1" ht="12" hidden="1" customHeight="1">
      <c r="A18219" s="199"/>
    </row>
    <row r="18220" spans="1:1" s="200" customFormat="1" ht="12" hidden="1" customHeight="1">
      <c r="A18220" s="199"/>
    </row>
    <row r="18221" spans="1:1" s="200" customFormat="1" ht="12" hidden="1" customHeight="1">
      <c r="A18221" s="199"/>
    </row>
    <row r="18222" spans="1:1" s="200" customFormat="1" ht="12" hidden="1" customHeight="1">
      <c r="A18222" s="199"/>
    </row>
    <row r="18223" spans="1:1" s="200" customFormat="1" ht="12" hidden="1" customHeight="1">
      <c r="A18223" s="199"/>
    </row>
    <row r="18224" spans="1:1" s="200" customFormat="1" ht="12" hidden="1" customHeight="1">
      <c r="A18224" s="199"/>
    </row>
    <row r="18225" spans="1:1" s="200" customFormat="1" ht="12" hidden="1" customHeight="1">
      <c r="A18225" s="199"/>
    </row>
    <row r="18226" spans="1:1" s="200" customFormat="1" ht="12" hidden="1" customHeight="1">
      <c r="A18226" s="199"/>
    </row>
    <row r="18227" spans="1:1" s="200" customFormat="1" ht="12" hidden="1" customHeight="1">
      <c r="A18227" s="199"/>
    </row>
    <row r="18228" spans="1:1" s="200" customFormat="1" ht="12" hidden="1" customHeight="1">
      <c r="A18228" s="199"/>
    </row>
    <row r="18229" spans="1:1" s="200" customFormat="1" ht="12" hidden="1" customHeight="1">
      <c r="A18229" s="199"/>
    </row>
    <row r="18230" spans="1:1" s="200" customFormat="1" ht="12" hidden="1" customHeight="1">
      <c r="A18230" s="199"/>
    </row>
    <row r="18231" spans="1:1" s="200" customFormat="1" ht="12" hidden="1" customHeight="1">
      <c r="A18231" s="199"/>
    </row>
    <row r="18232" spans="1:1" s="200" customFormat="1" ht="12" hidden="1" customHeight="1">
      <c r="A18232" s="199"/>
    </row>
    <row r="18233" spans="1:1" s="200" customFormat="1" ht="12" hidden="1" customHeight="1">
      <c r="A18233" s="199"/>
    </row>
    <row r="18234" spans="1:1" s="200" customFormat="1" ht="12" hidden="1" customHeight="1">
      <c r="A18234" s="199"/>
    </row>
    <row r="18235" spans="1:1" s="200" customFormat="1" ht="12" hidden="1" customHeight="1">
      <c r="A18235" s="199"/>
    </row>
    <row r="18236" spans="1:1" s="200" customFormat="1" ht="12" hidden="1" customHeight="1">
      <c r="A18236" s="199"/>
    </row>
    <row r="18237" spans="1:1" s="200" customFormat="1" ht="12" hidden="1" customHeight="1">
      <c r="A18237" s="199"/>
    </row>
    <row r="18238" spans="1:1" s="200" customFormat="1" ht="12" hidden="1" customHeight="1">
      <c r="A18238" s="199"/>
    </row>
    <row r="18239" spans="1:1" s="200" customFormat="1" ht="12" hidden="1" customHeight="1">
      <c r="A18239" s="199"/>
    </row>
    <row r="18240" spans="1:1" s="200" customFormat="1" ht="12" hidden="1" customHeight="1">
      <c r="A18240" s="199"/>
    </row>
    <row r="18241" spans="1:1" s="200" customFormat="1" ht="12" hidden="1" customHeight="1">
      <c r="A18241" s="199"/>
    </row>
    <row r="18242" spans="1:1" s="200" customFormat="1" ht="12" hidden="1" customHeight="1">
      <c r="A18242" s="199"/>
    </row>
    <row r="18243" spans="1:1" s="200" customFormat="1" ht="12" hidden="1" customHeight="1">
      <c r="A18243" s="199"/>
    </row>
    <row r="18244" spans="1:1" s="200" customFormat="1" ht="12" hidden="1" customHeight="1">
      <c r="A18244" s="199"/>
    </row>
    <row r="18245" spans="1:1" s="200" customFormat="1" ht="12" hidden="1" customHeight="1">
      <c r="A18245" s="199"/>
    </row>
    <row r="18246" spans="1:1" s="200" customFormat="1" ht="12" hidden="1" customHeight="1">
      <c r="A18246" s="199"/>
    </row>
    <row r="18247" spans="1:1" s="200" customFormat="1" ht="12" hidden="1" customHeight="1">
      <c r="A18247" s="199"/>
    </row>
    <row r="18248" spans="1:1" s="200" customFormat="1" ht="12" hidden="1" customHeight="1">
      <c r="A18248" s="199"/>
    </row>
    <row r="18249" spans="1:1" s="200" customFormat="1" ht="12" hidden="1" customHeight="1">
      <c r="A18249" s="199"/>
    </row>
    <row r="18250" spans="1:1" s="200" customFormat="1" ht="12" hidden="1" customHeight="1">
      <c r="A18250" s="199"/>
    </row>
    <row r="18251" spans="1:1" s="200" customFormat="1" ht="12" hidden="1" customHeight="1">
      <c r="A18251" s="199"/>
    </row>
    <row r="18252" spans="1:1" s="200" customFormat="1" ht="12" hidden="1" customHeight="1">
      <c r="A18252" s="199"/>
    </row>
    <row r="18253" spans="1:1" s="200" customFormat="1" ht="12" hidden="1" customHeight="1">
      <c r="A18253" s="199"/>
    </row>
    <row r="18254" spans="1:1" s="200" customFormat="1" ht="12" hidden="1" customHeight="1">
      <c r="A18254" s="199"/>
    </row>
    <row r="18255" spans="1:1" s="200" customFormat="1" ht="12" hidden="1" customHeight="1">
      <c r="A18255" s="199"/>
    </row>
    <row r="18256" spans="1:1" s="200" customFormat="1" ht="12" hidden="1" customHeight="1">
      <c r="A18256" s="199"/>
    </row>
    <row r="18257" spans="1:1" s="200" customFormat="1" ht="12" hidden="1" customHeight="1">
      <c r="A18257" s="199"/>
    </row>
    <row r="18258" spans="1:1" s="200" customFormat="1" ht="12" hidden="1" customHeight="1">
      <c r="A18258" s="199"/>
    </row>
    <row r="18259" spans="1:1" s="200" customFormat="1" ht="12" hidden="1" customHeight="1">
      <c r="A18259" s="199"/>
    </row>
    <row r="18260" spans="1:1" s="200" customFormat="1" ht="12" hidden="1" customHeight="1">
      <c r="A18260" s="199"/>
    </row>
    <row r="18261" spans="1:1" s="200" customFormat="1" ht="12" hidden="1" customHeight="1">
      <c r="A18261" s="199"/>
    </row>
    <row r="18262" spans="1:1" s="200" customFormat="1" ht="12" hidden="1" customHeight="1">
      <c r="A18262" s="199"/>
    </row>
    <row r="18263" spans="1:1" s="200" customFormat="1" ht="12" hidden="1" customHeight="1">
      <c r="A18263" s="199"/>
    </row>
    <row r="18264" spans="1:1" s="200" customFormat="1" ht="12" hidden="1" customHeight="1">
      <c r="A18264" s="199"/>
    </row>
    <row r="18265" spans="1:1" s="200" customFormat="1" ht="12" hidden="1" customHeight="1">
      <c r="A18265" s="199"/>
    </row>
    <row r="18266" spans="1:1" s="200" customFormat="1" ht="12" hidden="1" customHeight="1">
      <c r="A18266" s="199"/>
    </row>
    <row r="18267" spans="1:1" s="200" customFormat="1" ht="12" hidden="1" customHeight="1">
      <c r="A18267" s="199"/>
    </row>
    <row r="18268" spans="1:1" s="200" customFormat="1" ht="12" hidden="1" customHeight="1">
      <c r="A18268" s="199"/>
    </row>
    <row r="18269" spans="1:1" s="200" customFormat="1" ht="12" hidden="1" customHeight="1">
      <c r="A18269" s="199"/>
    </row>
    <row r="18270" spans="1:1" s="200" customFormat="1" ht="12" hidden="1" customHeight="1">
      <c r="A18270" s="199"/>
    </row>
    <row r="18271" spans="1:1" s="200" customFormat="1" ht="12" hidden="1" customHeight="1">
      <c r="A18271" s="199"/>
    </row>
    <row r="18272" spans="1:1" s="200" customFormat="1" ht="12" hidden="1" customHeight="1">
      <c r="A18272" s="199"/>
    </row>
    <row r="18273" spans="1:1" s="200" customFormat="1" ht="12" hidden="1" customHeight="1">
      <c r="A18273" s="199"/>
    </row>
    <row r="18274" spans="1:1" s="200" customFormat="1" ht="12" hidden="1" customHeight="1">
      <c r="A18274" s="199"/>
    </row>
    <row r="18275" spans="1:1" s="200" customFormat="1" ht="12" hidden="1" customHeight="1">
      <c r="A18275" s="199"/>
    </row>
    <row r="18276" spans="1:1" s="200" customFormat="1" ht="12" hidden="1" customHeight="1">
      <c r="A18276" s="199"/>
    </row>
    <row r="18277" spans="1:1" s="200" customFormat="1" ht="12" hidden="1" customHeight="1">
      <c r="A18277" s="199"/>
    </row>
    <row r="18278" spans="1:1" s="200" customFormat="1" ht="12" hidden="1" customHeight="1">
      <c r="A18278" s="199"/>
    </row>
    <row r="18279" spans="1:1" s="200" customFormat="1" ht="12" hidden="1" customHeight="1">
      <c r="A18279" s="199"/>
    </row>
    <row r="18280" spans="1:1" s="200" customFormat="1" ht="12" hidden="1" customHeight="1">
      <c r="A18280" s="199"/>
    </row>
    <row r="18281" spans="1:1" s="200" customFormat="1" ht="12" hidden="1" customHeight="1">
      <c r="A18281" s="199"/>
    </row>
    <row r="18282" spans="1:1" s="200" customFormat="1" ht="12" hidden="1" customHeight="1">
      <c r="A18282" s="199"/>
    </row>
    <row r="18283" spans="1:1" s="200" customFormat="1" ht="12" hidden="1" customHeight="1">
      <c r="A18283" s="199"/>
    </row>
    <row r="18284" spans="1:1" s="200" customFormat="1" ht="12" hidden="1" customHeight="1">
      <c r="A18284" s="199"/>
    </row>
    <row r="18285" spans="1:1" s="200" customFormat="1" ht="12" hidden="1" customHeight="1">
      <c r="A18285" s="199"/>
    </row>
    <row r="18286" spans="1:1" s="200" customFormat="1" ht="12" hidden="1" customHeight="1">
      <c r="A18286" s="199"/>
    </row>
    <row r="18287" spans="1:1" s="200" customFormat="1" ht="12" hidden="1" customHeight="1">
      <c r="A18287" s="199"/>
    </row>
    <row r="18288" spans="1:1" s="200" customFormat="1" ht="12" hidden="1" customHeight="1">
      <c r="A18288" s="199"/>
    </row>
    <row r="18289" spans="1:1" s="200" customFormat="1" ht="12" hidden="1" customHeight="1">
      <c r="A18289" s="199"/>
    </row>
    <row r="18290" spans="1:1" s="200" customFormat="1" ht="12" hidden="1" customHeight="1">
      <c r="A18290" s="199"/>
    </row>
    <row r="18291" spans="1:1" s="200" customFormat="1" ht="12" hidden="1" customHeight="1">
      <c r="A18291" s="199"/>
    </row>
    <row r="18292" spans="1:1" s="200" customFormat="1" ht="12" hidden="1" customHeight="1">
      <c r="A18292" s="199"/>
    </row>
    <row r="18293" spans="1:1" s="200" customFormat="1" ht="12" hidden="1" customHeight="1">
      <c r="A18293" s="199"/>
    </row>
    <row r="18294" spans="1:1" s="200" customFormat="1" ht="12" hidden="1" customHeight="1">
      <c r="A18294" s="199"/>
    </row>
    <row r="18295" spans="1:1" s="200" customFormat="1" ht="12" hidden="1" customHeight="1">
      <c r="A18295" s="199"/>
    </row>
    <row r="18296" spans="1:1" s="200" customFormat="1" ht="12" hidden="1" customHeight="1">
      <c r="A18296" s="199"/>
    </row>
    <row r="18297" spans="1:1" s="200" customFormat="1" ht="12" hidden="1" customHeight="1">
      <c r="A18297" s="199"/>
    </row>
    <row r="18298" spans="1:1" s="200" customFormat="1" ht="12" hidden="1" customHeight="1">
      <c r="A18298" s="199"/>
    </row>
    <row r="18299" spans="1:1" s="200" customFormat="1" ht="12" hidden="1" customHeight="1">
      <c r="A18299" s="199"/>
    </row>
    <row r="18300" spans="1:1" s="200" customFormat="1" ht="12" hidden="1" customHeight="1">
      <c r="A18300" s="199"/>
    </row>
    <row r="18301" spans="1:1" s="200" customFormat="1" ht="12" hidden="1" customHeight="1">
      <c r="A18301" s="199"/>
    </row>
    <row r="18302" spans="1:1" s="200" customFormat="1" ht="12" hidden="1" customHeight="1">
      <c r="A18302" s="199"/>
    </row>
    <row r="18303" spans="1:1" s="200" customFormat="1" ht="12" hidden="1" customHeight="1">
      <c r="A18303" s="199"/>
    </row>
    <row r="18304" spans="1:1" s="200" customFormat="1" ht="12" hidden="1" customHeight="1">
      <c r="A18304" s="199"/>
    </row>
    <row r="18305" spans="1:1" s="200" customFormat="1" ht="12" hidden="1" customHeight="1">
      <c r="A18305" s="199"/>
    </row>
    <row r="18306" spans="1:1" s="200" customFormat="1" ht="12" hidden="1" customHeight="1">
      <c r="A18306" s="199"/>
    </row>
    <row r="18307" spans="1:1" s="200" customFormat="1" ht="12" hidden="1" customHeight="1">
      <c r="A18307" s="199"/>
    </row>
    <row r="18308" spans="1:1" s="200" customFormat="1" ht="12" hidden="1" customHeight="1">
      <c r="A18308" s="199"/>
    </row>
    <row r="18309" spans="1:1" s="200" customFormat="1" ht="12" hidden="1" customHeight="1">
      <c r="A18309" s="199"/>
    </row>
    <row r="18310" spans="1:1" s="200" customFormat="1" ht="12" hidden="1" customHeight="1">
      <c r="A18310" s="199"/>
    </row>
    <row r="18311" spans="1:1" s="200" customFormat="1" ht="12" hidden="1" customHeight="1">
      <c r="A18311" s="199"/>
    </row>
    <row r="18312" spans="1:1" s="200" customFormat="1" ht="12" hidden="1" customHeight="1">
      <c r="A18312" s="199"/>
    </row>
    <row r="18313" spans="1:1" s="200" customFormat="1" ht="12" hidden="1" customHeight="1">
      <c r="A18313" s="199"/>
    </row>
    <row r="18314" spans="1:1" s="200" customFormat="1" ht="12" hidden="1" customHeight="1">
      <c r="A18314" s="199"/>
    </row>
    <row r="18315" spans="1:1" s="200" customFormat="1" ht="12" hidden="1" customHeight="1">
      <c r="A18315" s="199"/>
    </row>
    <row r="18316" spans="1:1" s="200" customFormat="1" ht="12" hidden="1" customHeight="1">
      <c r="A18316" s="199"/>
    </row>
    <row r="18317" spans="1:1" s="200" customFormat="1" ht="12" hidden="1" customHeight="1">
      <c r="A18317" s="199"/>
    </row>
    <row r="18318" spans="1:1" s="200" customFormat="1" ht="12" hidden="1" customHeight="1">
      <c r="A18318" s="199"/>
    </row>
    <row r="18319" spans="1:1" s="200" customFormat="1" ht="12" hidden="1" customHeight="1">
      <c r="A18319" s="199"/>
    </row>
    <row r="18320" spans="1:1" s="200" customFormat="1" ht="12" hidden="1" customHeight="1">
      <c r="A18320" s="199"/>
    </row>
    <row r="18321" spans="1:1" s="200" customFormat="1" ht="12" hidden="1" customHeight="1">
      <c r="A18321" s="199"/>
    </row>
    <row r="18322" spans="1:1" s="200" customFormat="1" ht="12" hidden="1" customHeight="1">
      <c r="A18322" s="199"/>
    </row>
    <row r="18323" spans="1:1" s="200" customFormat="1" ht="12" hidden="1" customHeight="1">
      <c r="A18323" s="199"/>
    </row>
    <row r="18324" spans="1:1" s="200" customFormat="1" ht="12" hidden="1" customHeight="1">
      <c r="A18324" s="199"/>
    </row>
    <row r="18325" spans="1:1" s="200" customFormat="1" ht="12" hidden="1" customHeight="1">
      <c r="A18325" s="199"/>
    </row>
    <row r="18326" spans="1:1" s="200" customFormat="1" ht="12" hidden="1" customHeight="1">
      <c r="A18326" s="199"/>
    </row>
    <row r="18327" spans="1:1" s="200" customFormat="1" ht="12" hidden="1" customHeight="1">
      <c r="A18327" s="199"/>
    </row>
    <row r="18328" spans="1:1" s="200" customFormat="1" ht="12" hidden="1" customHeight="1">
      <c r="A18328" s="199"/>
    </row>
    <row r="18329" spans="1:1" s="200" customFormat="1" ht="12" hidden="1" customHeight="1">
      <c r="A18329" s="199"/>
    </row>
    <row r="18330" spans="1:1" s="200" customFormat="1" ht="12" hidden="1" customHeight="1">
      <c r="A18330" s="199"/>
    </row>
    <row r="18331" spans="1:1" s="200" customFormat="1" ht="12" hidden="1" customHeight="1">
      <c r="A18331" s="199"/>
    </row>
    <row r="18332" spans="1:1" s="200" customFormat="1" ht="12" hidden="1" customHeight="1">
      <c r="A18332" s="199"/>
    </row>
    <row r="18333" spans="1:1" s="200" customFormat="1" ht="12" hidden="1" customHeight="1">
      <c r="A18333" s="199"/>
    </row>
    <row r="18334" spans="1:1" s="200" customFormat="1" ht="12" hidden="1" customHeight="1">
      <c r="A18334" s="199"/>
    </row>
    <row r="18335" spans="1:1" s="200" customFormat="1" ht="12" hidden="1" customHeight="1">
      <c r="A18335" s="199"/>
    </row>
    <row r="18336" spans="1:1" s="200" customFormat="1" ht="12" hidden="1" customHeight="1">
      <c r="A18336" s="199"/>
    </row>
    <row r="18337" spans="1:1" s="200" customFormat="1" ht="12" hidden="1" customHeight="1">
      <c r="A18337" s="199"/>
    </row>
    <row r="18338" spans="1:1" s="200" customFormat="1" ht="12" hidden="1" customHeight="1">
      <c r="A18338" s="199"/>
    </row>
    <row r="18339" spans="1:1" s="200" customFormat="1" ht="12" hidden="1" customHeight="1">
      <c r="A18339" s="199"/>
    </row>
    <row r="18340" spans="1:1" s="200" customFormat="1" ht="12" hidden="1" customHeight="1">
      <c r="A18340" s="199"/>
    </row>
    <row r="18341" spans="1:1" s="200" customFormat="1" ht="12" hidden="1" customHeight="1">
      <c r="A18341" s="199"/>
    </row>
    <row r="18342" spans="1:1" s="200" customFormat="1" ht="12" hidden="1" customHeight="1">
      <c r="A18342" s="199"/>
    </row>
    <row r="18343" spans="1:1" s="200" customFormat="1" ht="12" hidden="1" customHeight="1">
      <c r="A18343" s="199"/>
    </row>
    <row r="18344" spans="1:1" s="200" customFormat="1" ht="12" hidden="1" customHeight="1">
      <c r="A18344" s="199"/>
    </row>
    <row r="18345" spans="1:1" s="200" customFormat="1" ht="12" hidden="1" customHeight="1">
      <c r="A18345" s="199"/>
    </row>
    <row r="18346" spans="1:1" s="200" customFormat="1" ht="12" hidden="1" customHeight="1">
      <c r="A18346" s="199"/>
    </row>
    <row r="18347" spans="1:1" s="200" customFormat="1" ht="12" hidden="1" customHeight="1">
      <c r="A18347" s="199"/>
    </row>
    <row r="18348" spans="1:1" s="200" customFormat="1" ht="12" hidden="1" customHeight="1">
      <c r="A18348" s="199"/>
    </row>
    <row r="18349" spans="1:1" s="200" customFormat="1" ht="12" hidden="1" customHeight="1">
      <c r="A18349" s="199"/>
    </row>
    <row r="18350" spans="1:1" s="200" customFormat="1" ht="12" hidden="1" customHeight="1">
      <c r="A18350" s="199"/>
    </row>
    <row r="18351" spans="1:1" s="200" customFormat="1" ht="12" hidden="1" customHeight="1">
      <c r="A18351" s="199"/>
    </row>
    <row r="18352" spans="1:1" s="200" customFormat="1" ht="12" hidden="1" customHeight="1">
      <c r="A18352" s="199"/>
    </row>
    <row r="18353" spans="1:1" s="200" customFormat="1" ht="12" hidden="1" customHeight="1">
      <c r="A18353" s="199"/>
    </row>
    <row r="18354" spans="1:1" s="200" customFormat="1" ht="12" hidden="1" customHeight="1">
      <c r="A18354" s="199"/>
    </row>
    <row r="18355" spans="1:1" s="200" customFormat="1" ht="12" hidden="1" customHeight="1">
      <c r="A18355" s="199"/>
    </row>
    <row r="18356" spans="1:1" s="200" customFormat="1" ht="12" hidden="1" customHeight="1">
      <c r="A18356" s="199"/>
    </row>
    <row r="18357" spans="1:1" s="200" customFormat="1" ht="12" hidden="1" customHeight="1">
      <c r="A18357" s="199"/>
    </row>
    <row r="18358" spans="1:1" s="200" customFormat="1" ht="12" hidden="1" customHeight="1">
      <c r="A18358" s="199"/>
    </row>
    <row r="18359" spans="1:1" s="200" customFormat="1" ht="12" hidden="1" customHeight="1">
      <c r="A18359" s="199"/>
    </row>
    <row r="18360" spans="1:1" s="200" customFormat="1" ht="12" hidden="1" customHeight="1">
      <c r="A18360" s="199"/>
    </row>
    <row r="18361" spans="1:1" s="200" customFormat="1" ht="12" hidden="1" customHeight="1">
      <c r="A18361" s="199"/>
    </row>
    <row r="18362" spans="1:1" s="200" customFormat="1" ht="12" hidden="1" customHeight="1">
      <c r="A18362" s="199"/>
    </row>
    <row r="18363" spans="1:1" s="200" customFormat="1" ht="12" hidden="1" customHeight="1">
      <c r="A18363" s="199"/>
    </row>
    <row r="18364" spans="1:1" s="200" customFormat="1" ht="12" hidden="1" customHeight="1">
      <c r="A18364" s="199"/>
    </row>
    <row r="18365" spans="1:1" s="200" customFormat="1" ht="12" hidden="1" customHeight="1">
      <c r="A18365" s="199"/>
    </row>
    <row r="18366" spans="1:1" s="200" customFormat="1" ht="12" hidden="1" customHeight="1">
      <c r="A18366" s="199"/>
    </row>
    <row r="18367" spans="1:1" s="200" customFormat="1" ht="12" hidden="1" customHeight="1">
      <c r="A18367" s="199"/>
    </row>
    <row r="18368" spans="1:1" s="200" customFormat="1" ht="12" hidden="1" customHeight="1">
      <c r="A18368" s="199"/>
    </row>
    <row r="18369" spans="1:1" s="200" customFormat="1" ht="12" hidden="1" customHeight="1">
      <c r="A18369" s="199"/>
    </row>
    <row r="18370" spans="1:1" s="200" customFormat="1" ht="12" hidden="1" customHeight="1">
      <c r="A18370" s="199"/>
    </row>
    <row r="18371" spans="1:1" s="200" customFormat="1" ht="12" hidden="1" customHeight="1">
      <c r="A18371" s="199"/>
    </row>
    <row r="18372" spans="1:1" s="200" customFormat="1" ht="12" hidden="1" customHeight="1">
      <c r="A18372" s="199"/>
    </row>
    <row r="18373" spans="1:1" s="200" customFormat="1" ht="12" hidden="1" customHeight="1">
      <c r="A18373" s="199"/>
    </row>
    <row r="18374" spans="1:1" s="200" customFormat="1" ht="12" hidden="1" customHeight="1">
      <c r="A18374" s="199"/>
    </row>
    <row r="18375" spans="1:1" s="200" customFormat="1" ht="12" hidden="1" customHeight="1">
      <c r="A18375" s="199"/>
    </row>
    <row r="18376" spans="1:1" s="200" customFormat="1" ht="12" hidden="1" customHeight="1">
      <c r="A18376" s="199"/>
    </row>
    <row r="18377" spans="1:1" s="200" customFormat="1" ht="12" hidden="1" customHeight="1">
      <c r="A18377" s="199"/>
    </row>
    <row r="18378" spans="1:1" s="200" customFormat="1" ht="12" hidden="1" customHeight="1">
      <c r="A18378" s="199"/>
    </row>
    <row r="18379" spans="1:1" s="200" customFormat="1" ht="12" hidden="1" customHeight="1">
      <c r="A18379" s="199"/>
    </row>
    <row r="18380" spans="1:1" s="200" customFormat="1" ht="12" hidden="1" customHeight="1">
      <c r="A18380" s="199"/>
    </row>
    <row r="18381" spans="1:1" s="200" customFormat="1" ht="12" hidden="1" customHeight="1">
      <c r="A18381" s="199"/>
    </row>
    <row r="18382" spans="1:1" s="200" customFormat="1" ht="12" hidden="1" customHeight="1">
      <c r="A18382" s="199"/>
    </row>
    <row r="18383" spans="1:1" s="200" customFormat="1" ht="12" hidden="1" customHeight="1">
      <c r="A18383" s="199"/>
    </row>
    <row r="18384" spans="1:1" s="200" customFormat="1" ht="12" hidden="1" customHeight="1">
      <c r="A18384" s="199"/>
    </row>
    <row r="18385" spans="1:1" s="200" customFormat="1" ht="12" hidden="1" customHeight="1">
      <c r="A18385" s="199"/>
    </row>
    <row r="18386" spans="1:1" s="200" customFormat="1" ht="12" hidden="1" customHeight="1">
      <c r="A18386" s="199"/>
    </row>
    <row r="18387" spans="1:1" s="200" customFormat="1" ht="12" hidden="1" customHeight="1">
      <c r="A18387" s="199"/>
    </row>
    <row r="18388" spans="1:1" s="200" customFormat="1" ht="12" hidden="1" customHeight="1">
      <c r="A18388" s="199"/>
    </row>
    <row r="18389" spans="1:1" s="200" customFormat="1" ht="12" hidden="1" customHeight="1">
      <c r="A18389" s="199"/>
    </row>
    <row r="18390" spans="1:1" s="200" customFormat="1" ht="12" hidden="1" customHeight="1">
      <c r="A18390" s="199"/>
    </row>
    <row r="18391" spans="1:1" s="200" customFormat="1" ht="12" hidden="1" customHeight="1">
      <c r="A18391" s="199"/>
    </row>
    <row r="18392" spans="1:1" s="200" customFormat="1" ht="12" hidden="1" customHeight="1">
      <c r="A18392" s="199"/>
    </row>
    <row r="18393" spans="1:1" s="200" customFormat="1" ht="12" hidden="1" customHeight="1">
      <c r="A18393" s="199"/>
    </row>
    <row r="18394" spans="1:1" s="200" customFormat="1" ht="12" hidden="1" customHeight="1">
      <c r="A18394" s="199"/>
    </row>
    <row r="18395" spans="1:1" s="200" customFormat="1" ht="12" hidden="1" customHeight="1">
      <c r="A18395" s="199"/>
    </row>
    <row r="18396" spans="1:1" s="200" customFormat="1" ht="12" hidden="1" customHeight="1">
      <c r="A18396" s="199"/>
    </row>
    <row r="18397" spans="1:1" s="200" customFormat="1" ht="12" hidden="1" customHeight="1">
      <c r="A18397" s="199"/>
    </row>
    <row r="18398" spans="1:1" s="200" customFormat="1" ht="12" hidden="1" customHeight="1">
      <c r="A18398" s="199"/>
    </row>
    <row r="18399" spans="1:1" s="200" customFormat="1" ht="12" hidden="1" customHeight="1">
      <c r="A18399" s="199"/>
    </row>
    <row r="18400" spans="1:1" s="200" customFormat="1" ht="12" hidden="1" customHeight="1">
      <c r="A18400" s="199"/>
    </row>
    <row r="18401" spans="1:1" s="200" customFormat="1" ht="12" hidden="1" customHeight="1">
      <c r="A18401" s="199"/>
    </row>
    <row r="18402" spans="1:1" s="200" customFormat="1" ht="12" hidden="1" customHeight="1">
      <c r="A18402" s="199"/>
    </row>
    <row r="18403" spans="1:1" s="200" customFormat="1" ht="12" hidden="1" customHeight="1">
      <c r="A18403" s="199"/>
    </row>
    <row r="18404" spans="1:1" s="200" customFormat="1" ht="12" hidden="1" customHeight="1">
      <c r="A18404" s="199"/>
    </row>
    <row r="18405" spans="1:1" s="200" customFormat="1" ht="12" hidden="1" customHeight="1">
      <c r="A18405" s="199"/>
    </row>
    <row r="18406" spans="1:1" s="200" customFormat="1" ht="12" hidden="1" customHeight="1">
      <c r="A18406" s="199"/>
    </row>
    <row r="18407" spans="1:1" s="200" customFormat="1" ht="12" hidden="1" customHeight="1">
      <c r="A18407" s="199"/>
    </row>
    <row r="18408" spans="1:1" s="200" customFormat="1" ht="12" hidden="1" customHeight="1">
      <c r="A18408" s="199"/>
    </row>
    <row r="18409" spans="1:1" s="200" customFormat="1" ht="12" hidden="1" customHeight="1">
      <c r="A18409" s="199"/>
    </row>
    <row r="18410" spans="1:1" s="200" customFormat="1" ht="12" hidden="1" customHeight="1">
      <c r="A18410" s="199"/>
    </row>
    <row r="18411" spans="1:1" s="200" customFormat="1" ht="12" hidden="1" customHeight="1">
      <c r="A18411" s="199"/>
    </row>
    <row r="18412" spans="1:1" s="200" customFormat="1" ht="12" hidden="1" customHeight="1">
      <c r="A18412" s="199"/>
    </row>
    <row r="18413" spans="1:1" s="200" customFormat="1" ht="12" hidden="1" customHeight="1">
      <c r="A18413" s="199"/>
    </row>
    <row r="18414" spans="1:1" s="200" customFormat="1" ht="12" hidden="1" customHeight="1">
      <c r="A18414" s="199"/>
    </row>
    <row r="18415" spans="1:1" s="200" customFormat="1" ht="12" hidden="1" customHeight="1">
      <c r="A18415" s="199"/>
    </row>
    <row r="18416" spans="1:1" s="200" customFormat="1" ht="12" hidden="1" customHeight="1">
      <c r="A18416" s="199"/>
    </row>
    <row r="18417" spans="1:1" s="200" customFormat="1" ht="12" hidden="1" customHeight="1">
      <c r="A18417" s="199"/>
    </row>
    <row r="18418" spans="1:1" s="200" customFormat="1" ht="12" hidden="1" customHeight="1">
      <c r="A18418" s="199"/>
    </row>
    <row r="18419" spans="1:1" s="200" customFormat="1" ht="12" hidden="1" customHeight="1">
      <c r="A18419" s="199"/>
    </row>
    <row r="18420" spans="1:1" s="200" customFormat="1" ht="12" hidden="1" customHeight="1">
      <c r="A18420" s="199"/>
    </row>
    <row r="18421" spans="1:1" s="200" customFormat="1" ht="12" hidden="1" customHeight="1">
      <c r="A18421" s="199"/>
    </row>
    <row r="18422" spans="1:1" s="200" customFormat="1" ht="12" hidden="1" customHeight="1">
      <c r="A18422" s="199"/>
    </row>
    <row r="18423" spans="1:1" s="200" customFormat="1" ht="12" hidden="1" customHeight="1">
      <c r="A18423" s="199"/>
    </row>
    <row r="18424" spans="1:1" s="200" customFormat="1" ht="12" hidden="1" customHeight="1">
      <c r="A18424" s="199"/>
    </row>
    <row r="18425" spans="1:1" s="200" customFormat="1" ht="12" hidden="1" customHeight="1">
      <c r="A18425" s="199"/>
    </row>
    <row r="18426" spans="1:1" s="200" customFormat="1" ht="12" hidden="1" customHeight="1">
      <c r="A18426" s="199"/>
    </row>
    <row r="18427" spans="1:1" s="200" customFormat="1" ht="12" hidden="1" customHeight="1">
      <c r="A18427" s="199"/>
    </row>
    <row r="18428" spans="1:1" s="200" customFormat="1" ht="12" hidden="1" customHeight="1">
      <c r="A18428" s="199"/>
    </row>
    <row r="18429" spans="1:1" s="200" customFormat="1" ht="12" hidden="1" customHeight="1">
      <c r="A18429" s="199"/>
    </row>
    <row r="18430" spans="1:1" s="200" customFormat="1" ht="12" hidden="1" customHeight="1">
      <c r="A18430" s="199"/>
    </row>
    <row r="18431" spans="1:1" s="200" customFormat="1" ht="12" hidden="1" customHeight="1">
      <c r="A18431" s="199"/>
    </row>
    <row r="18432" spans="1:1" s="200" customFormat="1" ht="12" hidden="1" customHeight="1">
      <c r="A18432" s="199"/>
    </row>
    <row r="18433" spans="1:1" s="200" customFormat="1" ht="12" hidden="1" customHeight="1">
      <c r="A18433" s="199"/>
    </row>
    <row r="18434" spans="1:1" s="200" customFormat="1" ht="12" hidden="1" customHeight="1">
      <c r="A18434" s="199"/>
    </row>
    <row r="18435" spans="1:1" s="200" customFormat="1" ht="12" hidden="1" customHeight="1">
      <c r="A18435" s="199"/>
    </row>
    <row r="18436" spans="1:1" s="200" customFormat="1" ht="12" hidden="1" customHeight="1">
      <c r="A18436" s="199"/>
    </row>
    <row r="18437" spans="1:1" s="200" customFormat="1" ht="12" hidden="1" customHeight="1">
      <c r="A18437" s="199"/>
    </row>
    <row r="18438" spans="1:1" s="200" customFormat="1" ht="12" hidden="1" customHeight="1">
      <c r="A18438" s="199"/>
    </row>
    <row r="18439" spans="1:1" s="200" customFormat="1" ht="12" hidden="1" customHeight="1">
      <c r="A18439" s="199"/>
    </row>
    <row r="18440" spans="1:1" s="200" customFormat="1" ht="12" hidden="1" customHeight="1">
      <c r="A18440" s="199"/>
    </row>
    <row r="18441" spans="1:1" s="200" customFormat="1" ht="12" hidden="1" customHeight="1">
      <c r="A18441" s="199"/>
    </row>
    <row r="18442" spans="1:1" s="200" customFormat="1" ht="12" hidden="1" customHeight="1">
      <c r="A18442" s="199"/>
    </row>
    <row r="18443" spans="1:1" s="200" customFormat="1" ht="12" hidden="1" customHeight="1">
      <c r="A18443" s="199"/>
    </row>
    <row r="18444" spans="1:1" s="200" customFormat="1" ht="12" hidden="1" customHeight="1">
      <c r="A18444" s="199"/>
    </row>
    <row r="18445" spans="1:1" s="200" customFormat="1" ht="12" hidden="1" customHeight="1">
      <c r="A18445" s="199"/>
    </row>
    <row r="18446" spans="1:1" s="200" customFormat="1" ht="12" hidden="1" customHeight="1">
      <c r="A18446" s="199"/>
    </row>
    <row r="18447" spans="1:1" s="200" customFormat="1" ht="12" hidden="1" customHeight="1">
      <c r="A18447" s="199"/>
    </row>
    <row r="18448" spans="1:1" s="200" customFormat="1" ht="12" hidden="1" customHeight="1">
      <c r="A18448" s="199"/>
    </row>
    <row r="18449" spans="1:1" s="200" customFormat="1" ht="12" hidden="1" customHeight="1">
      <c r="A18449" s="199"/>
    </row>
    <row r="18450" spans="1:1" s="200" customFormat="1" ht="12" hidden="1" customHeight="1">
      <c r="A18450" s="199"/>
    </row>
    <row r="18451" spans="1:1" s="200" customFormat="1" ht="12" hidden="1" customHeight="1">
      <c r="A18451" s="199"/>
    </row>
    <row r="18452" spans="1:1" s="200" customFormat="1" ht="12" hidden="1" customHeight="1">
      <c r="A18452" s="199"/>
    </row>
    <row r="18453" spans="1:1" s="200" customFormat="1" ht="12" hidden="1" customHeight="1">
      <c r="A18453" s="199"/>
    </row>
    <row r="18454" spans="1:1" s="200" customFormat="1" ht="12" hidden="1" customHeight="1">
      <c r="A18454" s="199"/>
    </row>
    <row r="18455" spans="1:1" s="200" customFormat="1" ht="12" hidden="1" customHeight="1">
      <c r="A18455" s="199"/>
    </row>
    <row r="18456" spans="1:1" s="200" customFormat="1" ht="12" hidden="1" customHeight="1">
      <c r="A18456" s="199"/>
    </row>
    <row r="18457" spans="1:1" s="200" customFormat="1" ht="12" hidden="1" customHeight="1">
      <c r="A18457" s="199"/>
    </row>
    <row r="18458" spans="1:1" s="200" customFormat="1" ht="12" hidden="1" customHeight="1">
      <c r="A18458" s="199"/>
    </row>
    <row r="18459" spans="1:1" s="200" customFormat="1" ht="12" hidden="1" customHeight="1">
      <c r="A18459" s="199"/>
    </row>
    <row r="18460" spans="1:1" s="200" customFormat="1" ht="12" hidden="1" customHeight="1">
      <c r="A18460" s="199"/>
    </row>
    <row r="18461" spans="1:1" s="200" customFormat="1" ht="12" hidden="1" customHeight="1">
      <c r="A18461" s="199"/>
    </row>
    <row r="18462" spans="1:1" s="200" customFormat="1" ht="12" hidden="1" customHeight="1">
      <c r="A18462" s="199"/>
    </row>
    <row r="18463" spans="1:1" s="200" customFormat="1" ht="12" hidden="1" customHeight="1">
      <c r="A18463" s="199"/>
    </row>
    <row r="18464" spans="1:1" s="200" customFormat="1" ht="12" hidden="1" customHeight="1">
      <c r="A18464" s="199"/>
    </row>
    <row r="18465" spans="1:1" s="200" customFormat="1" ht="12" hidden="1" customHeight="1">
      <c r="A18465" s="199"/>
    </row>
    <row r="18466" spans="1:1" s="200" customFormat="1" ht="12" hidden="1" customHeight="1">
      <c r="A18466" s="199"/>
    </row>
    <row r="18467" spans="1:1" s="200" customFormat="1" ht="12" hidden="1" customHeight="1">
      <c r="A18467" s="199"/>
    </row>
    <row r="18468" spans="1:1" s="200" customFormat="1" ht="12" hidden="1" customHeight="1">
      <c r="A18468" s="199"/>
    </row>
    <row r="18469" spans="1:1" s="200" customFormat="1" ht="12" hidden="1" customHeight="1">
      <c r="A18469" s="199"/>
    </row>
    <row r="18470" spans="1:1" s="200" customFormat="1" ht="12" hidden="1" customHeight="1">
      <c r="A18470" s="199"/>
    </row>
    <row r="18471" spans="1:1" s="200" customFormat="1" ht="12" hidden="1" customHeight="1">
      <c r="A18471" s="199"/>
    </row>
    <row r="18472" spans="1:1" s="200" customFormat="1" ht="12" hidden="1" customHeight="1">
      <c r="A18472" s="199"/>
    </row>
    <row r="18473" spans="1:1" s="200" customFormat="1" ht="12" hidden="1" customHeight="1">
      <c r="A18473" s="199"/>
    </row>
    <row r="18474" spans="1:1" s="200" customFormat="1" ht="12" hidden="1" customHeight="1">
      <c r="A18474" s="199"/>
    </row>
    <row r="18475" spans="1:1" s="200" customFormat="1" ht="12" hidden="1" customHeight="1">
      <c r="A18475" s="199"/>
    </row>
    <row r="18476" spans="1:1" s="200" customFormat="1" ht="12" hidden="1" customHeight="1">
      <c r="A18476" s="199"/>
    </row>
    <row r="18477" spans="1:1" s="200" customFormat="1" ht="12" hidden="1" customHeight="1">
      <c r="A18477" s="199"/>
    </row>
    <row r="18478" spans="1:1" s="200" customFormat="1" ht="12" hidden="1" customHeight="1">
      <c r="A18478" s="199"/>
    </row>
    <row r="18479" spans="1:1" s="200" customFormat="1" ht="12" hidden="1" customHeight="1">
      <c r="A18479" s="199"/>
    </row>
    <row r="18480" spans="1:1" s="200" customFormat="1" ht="12" hidden="1" customHeight="1">
      <c r="A18480" s="199"/>
    </row>
    <row r="18481" spans="1:1" s="200" customFormat="1" ht="12" hidden="1" customHeight="1">
      <c r="A18481" s="199"/>
    </row>
    <row r="18482" spans="1:1" s="200" customFormat="1" ht="12" hidden="1" customHeight="1">
      <c r="A18482" s="199"/>
    </row>
    <row r="18483" spans="1:1" s="200" customFormat="1" ht="12" hidden="1" customHeight="1">
      <c r="A18483" s="199"/>
    </row>
    <row r="18484" spans="1:1" s="200" customFormat="1" ht="12" hidden="1" customHeight="1">
      <c r="A18484" s="199"/>
    </row>
    <row r="18485" spans="1:1" s="200" customFormat="1" ht="12" hidden="1" customHeight="1">
      <c r="A18485" s="199"/>
    </row>
    <row r="18486" spans="1:1" s="200" customFormat="1" ht="12" hidden="1" customHeight="1">
      <c r="A18486" s="199"/>
    </row>
    <row r="18487" spans="1:1" s="200" customFormat="1" ht="12" hidden="1" customHeight="1">
      <c r="A18487" s="199"/>
    </row>
    <row r="18488" spans="1:1" s="200" customFormat="1" ht="12" hidden="1" customHeight="1">
      <c r="A18488" s="199"/>
    </row>
    <row r="18489" spans="1:1" s="200" customFormat="1" ht="12" hidden="1" customHeight="1">
      <c r="A18489" s="199"/>
    </row>
    <row r="18490" spans="1:1" s="200" customFormat="1" ht="12" hidden="1" customHeight="1">
      <c r="A18490" s="199"/>
    </row>
    <row r="18491" spans="1:1" s="200" customFormat="1" ht="12" hidden="1" customHeight="1">
      <c r="A18491" s="199"/>
    </row>
    <row r="18492" spans="1:1" s="200" customFormat="1" ht="12" hidden="1" customHeight="1">
      <c r="A18492" s="199"/>
    </row>
    <row r="18493" spans="1:1" s="200" customFormat="1" ht="12" hidden="1" customHeight="1">
      <c r="A18493" s="199"/>
    </row>
    <row r="18494" spans="1:1" s="200" customFormat="1" ht="12" hidden="1" customHeight="1">
      <c r="A18494" s="199"/>
    </row>
    <row r="18495" spans="1:1" s="200" customFormat="1" ht="12" hidden="1" customHeight="1">
      <c r="A18495" s="199"/>
    </row>
    <row r="18496" spans="1:1" s="200" customFormat="1" ht="12" hidden="1" customHeight="1">
      <c r="A18496" s="199"/>
    </row>
    <row r="18497" spans="1:1" s="200" customFormat="1" ht="12" hidden="1" customHeight="1">
      <c r="A18497" s="199"/>
    </row>
    <row r="18498" spans="1:1" s="200" customFormat="1" ht="12" hidden="1" customHeight="1">
      <c r="A18498" s="199"/>
    </row>
    <row r="18499" spans="1:1" s="200" customFormat="1" ht="12" hidden="1" customHeight="1">
      <c r="A18499" s="199"/>
    </row>
    <row r="18500" spans="1:1" s="200" customFormat="1" ht="12" hidden="1" customHeight="1">
      <c r="A18500" s="199"/>
    </row>
    <row r="18501" spans="1:1" s="200" customFormat="1" ht="12" hidden="1" customHeight="1">
      <c r="A18501" s="199"/>
    </row>
    <row r="18502" spans="1:1" s="200" customFormat="1" ht="12" hidden="1" customHeight="1">
      <c r="A18502" s="199"/>
    </row>
    <row r="18503" spans="1:1" s="200" customFormat="1" ht="12" hidden="1" customHeight="1">
      <c r="A18503" s="199"/>
    </row>
    <row r="18504" spans="1:1" s="200" customFormat="1" ht="12" hidden="1" customHeight="1">
      <c r="A18504" s="199"/>
    </row>
    <row r="18505" spans="1:1" s="200" customFormat="1" ht="12" hidden="1" customHeight="1">
      <c r="A18505" s="199"/>
    </row>
    <row r="18506" spans="1:1" s="200" customFormat="1" ht="12" hidden="1" customHeight="1">
      <c r="A18506" s="199"/>
    </row>
    <row r="18507" spans="1:1" s="200" customFormat="1" ht="12" hidden="1" customHeight="1">
      <c r="A18507" s="199"/>
    </row>
    <row r="18508" spans="1:1" s="200" customFormat="1" ht="12" hidden="1" customHeight="1">
      <c r="A18508" s="199"/>
    </row>
    <row r="18509" spans="1:1" s="200" customFormat="1" ht="12" hidden="1" customHeight="1">
      <c r="A18509" s="199"/>
    </row>
    <row r="18510" spans="1:1" s="200" customFormat="1" ht="12" hidden="1" customHeight="1">
      <c r="A18510" s="199"/>
    </row>
    <row r="18511" spans="1:1" s="200" customFormat="1" ht="12" hidden="1" customHeight="1">
      <c r="A18511" s="199"/>
    </row>
    <row r="18512" spans="1:1" s="200" customFormat="1" ht="12" hidden="1" customHeight="1">
      <c r="A18512" s="199"/>
    </row>
    <row r="18513" spans="1:1" s="200" customFormat="1" ht="12" hidden="1" customHeight="1">
      <c r="A18513" s="199"/>
    </row>
    <row r="18514" spans="1:1" s="200" customFormat="1" ht="12" hidden="1" customHeight="1">
      <c r="A18514" s="199"/>
    </row>
    <row r="18515" spans="1:1" s="200" customFormat="1" ht="12" hidden="1" customHeight="1">
      <c r="A18515" s="199"/>
    </row>
    <row r="18516" spans="1:1" s="200" customFormat="1" ht="12" hidden="1" customHeight="1">
      <c r="A18516" s="199"/>
    </row>
    <row r="18517" spans="1:1" s="200" customFormat="1" ht="12" hidden="1" customHeight="1">
      <c r="A18517" s="199"/>
    </row>
    <row r="18518" spans="1:1" s="200" customFormat="1" ht="12" hidden="1" customHeight="1">
      <c r="A18518" s="199"/>
    </row>
    <row r="18519" spans="1:1" s="200" customFormat="1" ht="12" hidden="1" customHeight="1">
      <c r="A18519" s="199"/>
    </row>
    <row r="18520" spans="1:1" s="200" customFormat="1" ht="12" hidden="1" customHeight="1">
      <c r="A18520" s="199"/>
    </row>
    <row r="18521" spans="1:1" s="200" customFormat="1" ht="12" hidden="1" customHeight="1">
      <c r="A18521" s="199"/>
    </row>
    <row r="18522" spans="1:1" s="200" customFormat="1" ht="12" hidden="1" customHeight="1">
      <c r="A18522" s="199"/>
    </row>
    <row r="18523" spans="1:1" s="200" customFormat="1" ht="12" hidden="1" customHeight="1">
      <c r="A18523" s="199"/>
    </row>
    <row r="18524" spans="1:1" s="200" customFormat="1" ht="12" hidden="1" customHeight="1">
      <c r="A18524" s="199"/>
    </row>
    <row r="18525" spans="1:1" s="200" customFormat="1" ht="12" hidden="1" customHeight="1">
      <c r="A18525" s="199"/>
    </row>
    <row r="18526" spans="1:1" s="200" customFormat="1" ht="12" hidden="1" customHeight="1">
      <c r="A18526" s="199"/>
    </row>
    <row r="18527" spans="1:1" s="200" customFormat="1" ht="12" hidden="1" customHeight="1">
      <c r="A18527" s="199"/>
    </row>
    <row r="18528" spans="1:1" s="200" customFormat="1" ht="12" hidden="1" customHeight="1">
      <c r="A18528" s="199"/>
    </row>
    <row r="18529" spans="1:1" s="200" customFormat="1" ht="12" hidden="1" customHeight="1">
      <c r="A18529" s="199"/>
    </row>
    <row r="18530" spans="1:1" s="200" customFormat="1" ht="12" hidden="1" customHeight="1">
      <c r="A18530" s="199"/>
    </row>
    <row r="18531" spans="1:1" s="200" customFormat="1" ht="12" hidden="1" customHeight="1">
      <c r="A18531" s="199"/>
    </row>
    <row r="18532" spans="1:1" s="200" customFormat="1" ht="12" hidden="1" customHeight="1">
      <c r="A18532" s="199"/>
    </row>
    <row r="18533" spans="1:1" s="200" customFormat="1" ht="12" hidden="1" customHeight="1">
      <c r="A18533" s="199"/>
    </row>
    <row r="18534" spans="1:1" s="200" customFormat="1" ht="12" hidden="1" customHeight="1">
      <c r="A18534" s="199"/>
    </row>
    <row r="18535" spans="1:1" s="200" customFormat="1" ht="12" hidden="1" customHeight="1">
      <c r="A18535" s="199"/>
    </row>
    <row r="18536" spans="1:1" s="200" customFormat="1" ht="12" hidden="1" customHeight="1">
      <c r="A18536" s="199"/>
    </row>
    <row r="18537" spans="1:1" s="200" customFormat="1" ht="12" hidden="1" customHeight="1">
      <c r="A18537" s="199"/>
    </row>
    <row r="18538" spans="1:1" s="200" customFormat="1" ht="12" hidden="1" customHeight="1">
      <c r="A18538" s="199"/>
    </row>
    <row r="18539" spans="1:1" s="200" customFormat="1" ht="12" hidden="1" customHeight="1">
      <c r="A18539" s="199"/>
    </row>
    <row r="18540" spans="1:1" s="200" customFormat="1" ht="12" hidden="1" customHeight="1">
      <c r="A18540" s="199"/>
    </row>
    <row r="18541" spans="1:1" s="200" customFormat="1" ht="12" hidden="1" customHeight="1">
      <c r="A18541" s="199"/>
    </row>
    <row r="18542" spans="1:1" s="200" customFormat="1" ht="12" hidden="1" customHeight="1">
      <c r="A18542" s="199"/>
    </row>
    <row r="18543" spans="1:1" s="200" customFormat="1" ht="12" hidden="1" customHeight="1">
      <c r="A18543" s="199"/>
    </row>
    <row r="18544" spans="1:1" s="200" customFormat="1" ht="12" hidden="1" customHeight="1">
      <c r="A18544" s="199"/>
    </row>
    <row r="18545" spans="1:1" s="200" customFormat="1" ht="12" hidden="1" customHeight="1">
      <c r="A18545" s="199"/>
    </row>
    <row r="18546" spans="1:1" s="200" customFormat="1" ht="12" hidden="1" customHeight="1">
      <c r="A18546" s="199"/>
    </row>
    <row r="18547" spans="1:1" s="200" customFormat="1" ht="12" hidden="1" customHeight="1">
      <c r="A18547" s="199"/>
    </row>
    <row r="18548" spans="1:1" s="200" customFormat="1" ht="12" hidden="1" customHeight="1">
      <c r="A18548" s="199"/>
    </row>
    <row r="18549" spans="1:1" s="200" customFormat="1" ht="12" hidden="1" customHeight="1">
      <c r="A18549" s="199"/>
    </row>
    <row r="18550" spans="1:1" s="200" customFormat="1" ht="12" hidden="1" customHeight="1">
      <c r="A18550" s="199"/>
    </row>
    <row r="18551" spans="1:1" s="200" customFormat="1" ht="12" hidden="1" customHeight="1">
      <c r="A18551" s="199"/>
    </row>
    <row r="18552" spans="1:1" s="200" customFormat="1" ht="12" hidden="1" customHeight="1">
      <c r="A18552" s="199"/>
    </row>
    <row r="18553" spans="1:1" s="200" customFormat="1" ht="12" hidden="1" customHeight="1">
      <c r="A18553" s="199"/>
    </row>
    <row r="18554" spans="1:1" s="200" customFormat="1" ht="12" hidden="1" customHeight="1">
      <c r="A18554" s="199"/>
    </row>
    <row r="18555" spans="1:1" s="200" customFormat="1" ht="12" hidden="1" customHeight="1">
      <c r="A18555" s="199"/>
    </row>
    <row r="18556" spans="1:1" s="200" customFormat="1" ht="12" hidden="1" customHeight="1">
      <c r="A18556" s="199"/>
    </row>
    <row r="18557" spans="1:1" s="200" customFormat="1" ht="12" hidden="1" customHeight="1">
      <c r="A18557" s="199"/>
    </row>
    <row r="18558" spans="1:1" s="200" customFormat="1" ht="12" hidden="1" customHeight="1">
      <c r="A18558" s="199"/>
    </row>
    <row r="18559" spans="1:1" s="200" customFormat="1" ht="12" hidden="1" customHeight="1">
      <c r="A18559" s="199"/>
    </row>
    <row r="18560" spans="1:1" s="200" customFormat="1" ht="12" hidden="1" customHeight="1">
      <c r="A18560" s="199"/>
    </row>
    <row r="18561" spans="1:1" s="200" customFormat="1" ht="12" hidden="1" customHeight="1">
      <c r="A18561" s="199"/>
    </row>
    <row r="18562" spans="1:1" s="200" customFormat="1" ht="12" hidden="1" customHeight="1">
      <c r="A18562" s="199"/>
    </row>
    <row r="18563" spans="1:1" s="200" customFormat="1" ht="12" hidden="1" customHeight="1">
      <c r="A18563" s="199"/>
    </row>
    <row r="18564" spans="1:1" s="200" customFormat="1" ht="12" hidden="1" customHeight="1">
      <c r="A18564" s="199"/>
    </row>
    <row r="18565" spans="1:1" s="200" customFormat="1" ht="12" hidden="1" customHeight="1">
      <c r="A18565" s="199"/>
    </row>
    <row r="18566" spans="1:1" s="200" customFormat="1" ht="12" hidden="1" customHeight="1">
      <c r="A18566" s="199"/>
    </row>
    <row r="18567" spans="1:1" s="200" customFormat="1" ht="12" hidden="1" customHeight="1">
      <c r="A18567" s="199"/>
    </row>
    <row r="18568" spans="1:1" s="200" customFormat="1" ht="12" hidden="1" customHeight="1">
      <c r="A18568" s="199"/>
    </row>
    <row r="18569" spans="1:1" s="200" customFormat="1" ht="12" hidden="1" customHeight="1">
      <c r="A18569" s="199"/>
    </row>
    <row r="18570" spans="1:1" s="200" customFormat="1" ht="12" hidden="1" customHeight="1">
      <c r="A18570" s="199"/>
    </row>
    <row r="18571" spans="1:1" s="200" customFormat="1" ht="12" hidden="1" customHeight="1">
      <c r="A18571" s="199"/>
    </row>
    <row r="18572" spans="1:1" s="200" customFormat="1" ht="12" hidden="1" customHeight="1">
      <c r="A18572" s="199"/>
    </row>
    <row r="18573" spans="1:1" s="200" customFormat="1" ht="12" hidden="1" customHeight="1">
      <c r="A18573" s="199"/>
    </row>
    <row r="18574" spans="1:1" s="200" customFormat="1" ht="12" hidden="1" customHeight="1">
      <c r="A18574" s="199"/>
    </row>
    <row r="18575" spans="1:1" s="200" customFormat="1" ht="12" hidden="1" customHeight="1">
      <c r="A18575" s="199"/>
    </row>
    <row r="18576" spans="1:1" s="200" customFormat="1" ht="12" hidden="1" customHeight="1">
      <c r="A18576" s="199"/>
    </row>
    <row r="18577" spans="1:1" s="200" customFormat="1" ht="12" hidden="1" customHeight="1">
      <c r="A18577" s="199"/>
    </row>
    <row r="18578" spans="1:1" s="200" customFormat="1" ht="12" hidden="1" customHeight="1">
      <c r="A18578" s="199"/>
    </row>
    <row r="18579" spans="1:1" s="200" customFormat="1" ht="12" hidden="1" customHeight="1">
      <c r="A18579" s="199"/>
    </row>
    <row r="18580" spans="1:1" s="200" customFormat="1" ht="12" hidden="1" customHeight="1">
      <c r="A18580" s="199"/>
    </row>
    <row r="18581" spans="1:1" s="200" customFormat="1" ht="12" hidden="1" customHeight="1">
      <c r="A18581" s="199"/>
    </row>
    <row r="18582" spans="1:1" s="200" customFormat="1" ht="12" hidden="1" customHeight="1">
      <c r="A18582" s="199"/>
    </row>
    <row r="18583" spans="1:1" s="200" customFormat="1" ht="12" hidden="1" customHeight="1">
      <c r="A18583" s="199"/>
    </row>
    <row r="18584" spans="1:1" s="200" customFormat="1" ht="12" hidden="1" customHeight="1">
      <c r="A18584" s="199"/>
    </row>
    <row r="18585" spans="1:1" s="200" customFormat="1" ht="12" hidden="1" customHeight="1">
      <c r="A18585" s="199"/>
    </row>
    <row r="18586" spans="1:1" s="200" customFormat="1" ht="12" hidden="1" customHeight="1">
      <c r="A18586" s="199"/>
    </row>
    <row r="18587" spans="1:1" s="200" customFormat="1" ht="12" hidden="1" customHeight="1">
      <c r="A18587" s="199"/>
    </row>
    <row r="18588" spans="1:1" s="200" customFormat="1" ht="12" hidden="1" customHeight="1">
      <c r="A18588" s="199"/>
    </row>
    <row r="18589" spans="1:1" s="200" customFormat="1" ht="12" hidden="1" customHeight="1">
      <c r="A18589" s="199"/>
    </row>
    <row r="18590" spans="1:1" s="200" customFormat="1" ht="12" hidden="1" customHeight="1">
      <c r="A18590" s="199"/>
    </row>
    <row r="18591" spans="1:1" s="200" customFormat="1" ht="12" hidden="1" customHeight="1">
      <c r="A18591" s="199"/>
    </row>
    <row r="18592" spans="1:1" s="200" customFormat="1" ht="12" hidden="1" customHeight="1">
      <c r="A18592" s="199"/>
    </row>
    <row r="18593" spans="1:1" s="200" customFormat="1" ht="12" hidden="1" customHeight="1">
      <c r="A18593" s="199"/>
    </row>
    <row r="18594" spans="1:1" s="200" customFormat="1" ht="12" hidden="1" customHeight="1">
      <c r="A18594" s="199"/>
    </row>
    <row r="18595" spans="1:1" s="200" customFormat="1" ht="12" hidden="1" customHeight="1">
      <c r="A18595" s="199"/>
    </row>
    <row r="18596" spans="1:1" s="200" customFormat="1" ht="12" hidden="1" customHeight="1">
      <c r="A18596" s="199"/>
    </row>
    <row r="18597" spans="1:1" s="200" customFormat="1" ht="12" hidden="1" customHeight="1">
      <c r="A18597" s="199"/>
    </row>
    <row r="18598" spans="1:1" s="200" customFormat="1" ht="12" hidden="1" customHeight="1">
      <c r="A18598" s="199"/>
    </row>
    <row r="18599" spans="1:1" s="200" customFormat="1" ht="12" hidden="1" customHeight="1">
      <c r="A18599" s="199"/>
    </row>
    <row r="18600" spans="1:1" s="200" customFormat="1" ht="12" hidden="1" customHeight="1">
      <c r="A18600" s="199"/>
    </row>
    <row r="18601" spans="1:1" s="200" customFormat="1" ht="12" hidden="1" customHeight="1">
      <c r="A18601" s="199"/>
    </row>
    <row r="18602" spans="1:1" s="200" customFormat="1" ht="12" hidden="1" customHeight="1">
      <c r="A18602" s="199"/>
    </row>
    <row r="18603" spans="1:1" s="200" customFormat="1" ht="12" hidden="1" customHeight="1">
      <c r="A18603" s="199"/>
    </row>
    <row r="18604" spans="1:1" s="200" customFormat="1" ht="12" hidden="1" customHeight="1">
      <c r="A18604" s="199"/>
    </row>
    <row r="18605" spans="1:1" s="200" customFormat="1" ht="12" hidden="1" customHeight="1">
      <c r="A18605" s="199"/>
    </row>
    <row r="18606" spans="1:1" s="200" customFormat="1" ht="12" hidden="1" customHeight="1">
      <c r="A18606" s="199"/>
    </row>
    <row r="18607" spans="1:1" s="200" customFormat="1" ht="12" hidden="1" customHeight="1">
      <c r="A18607" s="199"/>
    </row>
    <row r="18608" spans="1:1" s="200" customFormat="1" ht="12" hidden="1" customHeight="1">
      <c r="A18608" s="199"/>
    </row>
    <row r="18609" spans="1:1" s="200" customFormat="1" ht="12" hidden="1" customHeight="1">
      <c r="A18609" s="199"/>
    </row>
    <row r="18610" spans="1:1" s="200" customFormat="1" ht="12" hidden="1" customHeight="1">
      <c r="A18610" s="199"/>
    </row>
    <row r="18611" spans="1:1" s="200" customFormat="1" ht="12" hidden="1" customHeight="1">
      <c r="A18611" s="199"/>
    </row>
    <row r="18612" spans="1:1" s="200" customFormat="1" ht="12" hidden="1" customHeight="1">
      <c r="A18612" s="199"/>
    </row>
    <row r="18613" spans="1:1" s="200" customFormat="1" ht="12" hidden="1" customHeight="1">
      <c r="A18613" s="199"/>
    </row>
    <row r="18614" spans="1:1" s="200" customFormat="1" ht="12" hidden="1" customHeight="1">
      <c r="A18614" s="199"/>
    </row>
    <row r="18615" spans="1:1" s="200" customFormat="1" ht="12" hidden="1" customHeight="1">
      <c r="A18615" s="199"/>
    </row>
    <row r="18616" spans="1:1" s="200" customFormat="1" ht="12" hidden="1" customHeight="1">
      <c r="A18616" s="199"/>
    </row>
    <row r="18617" spans="1:1" s="200" customFormat="1" ht="12" hidden="1" customHeight="1">
      <c r="A18617" s="199"/>
    </row>
    <row r="18618" spans="1:1" s="200" customFormat="1" ht="12" hidden="1" customHeight="1">
      <c r="A18618" s="199"/>
    </row>
    <row r="18619" spans="1:1" s="200" customFormat="1" ht="12" hidden="1" customHeight="1">
      <c r="A18619" s="199"/>
    </row>
    <row r="18620" spans="1:1" s="200" customFormat="1" ht="12" hidden="1" customHeight="1">
      <c r="A18620" s="199"/>
    </row>
    <row r="18621" spans="1:1" s="200" customFormat="1" ht="12" hidden="1" customHeight="1">
      <c r="A18621" s="199"/>
    </row>
    <row r="18622" spans="1:1" s="200" customFormat="1" ht="12" hidden="1" customHeight="1">
      <c r="A18622" s="199"/>
    </row>
    <row r="18623" spans="1:1" s="200" customFormat="1" ht="12" hidden="1" customHeight="1">
      <c r="A18623" s="199"/>
    </row>
    <row r="18624" spans="1:1" s="200" customFormat="1" ht="12" hidden="1" customHeight="1">
      <c r="A18624" s="199"/>
    </row>
    <row r="18625" spans="1:1" s="200" customFormat="1" ht="12" hidden="1" customHeight="1">
      <c r="A18625" s="199"/>
    </row>
    <row r="18626" spans="1:1" s="200" customFormat="1" ht="12" hidden="1" customHeight="1">
      <c r="A18626" s="199"/>
    </row>
    <row r="18627" spans="1:1" s="200" customFormat="1" ht="12" hidden="1" customHeight="1">
      <c r="A18627" s="199"/>
    </row>
    <row r="18628" spans="1:1" s="200" customFormat="1" ht="12" hidden="1" customHeight="1">
      <c r="A18628" s="199"/>
    </row>
    <row r="18629" spans="1:1" s="200" customFormat="1" ht="12" hidden="1" customHeight="1">
      <c r="A18629" s="199"/>
    </row>
    <row r="18630" spans="1:1" s="200" customFormat="1" ht="12" hidden="1" customHeight="1">
      <c r="A18630" s="199"/>
    </row>
    <row r="18631" spans="1:1" s="200" customFormat="1" ht="12" hidden="1" customHeight="1">
      <c r="A18631" s="199"/>
    </row>
    <row r="18632" spans="1:1" s="200" customFormat="1" ht="12" hidden="1" customHeight="1">
      <c r="A18632" s="199"/>
    </row>
    <row r="18633" spans="1:1" s="200" customFormat="1" ht="12" hidden="1" customHeight="1">
      <c r="A18633" s="199"/>
    </row>
    <row r="18634" spans="1:1" s="200" customFormat="1" ht="12" hidden="1" customHeight="1">
      <c r="A18634" s="199"/>
    </row>
    <row r="18635" spans="1:1" s="200" customFormat="1" ht="12" hidden="1" customHeight="1">
      <c r="A18635" s="199"/>
    </row>
    <row r="18636" spans="1:1" s="200" customFormat="1" ht="12" hidden="1" customHeight="1">
      <c r="A18636" s="199"/>
    </row>
    <row r="18637" spans="1:1" s="200" customFormat="1" ht="12" hidden="1" customHeight="1">
      <c r="A18637" s="199"/>
    </row>
    <row r="18638" spans="1:1" s="200" customFormat="1" ht="12" hidden="1" customHeight="1">
      <c r="A18638" s="199"/>
    </row>
    <row r="18639" spans="1:1" s="200" customFormat="1" ht="12" hidden="1" customHeight="1">
      <c r="A18639" s="199"/>
    </row>
    <row r="18640" spans="1:1" s="200" customFormat="1" ht="12" hidden="1" customHeight="1">
      <c r="A18640" s="199"/>
    </row>
    <row r="18641" spans="1:1" s="200" customFormat="1" ht="12" hidden="1" customHeight="1">
      <c r="A18641" s="199"/>
    </row>
    <row r="18642" spans="1:1" s="200" customFormat="1" ht="12" hidden="1" customHeight="1">
      <c r="A18642" s="199"/>
    </row>
    <row r="18643" spans="1:1" s="200" customFormat="1" ht="12" hidden="1" customHeight="1">
      <c r="A18643" s="199"/>
    </row>
    <row r="18644" spans="1:1" s="200" customFormat="1" ht="12" hidden="1" customHeight="1">
      <c r="A18644" s="199"/>
    </row>
    <row r="18645" spans="1:1" s="200" customFormat="1" ht="12" hidden="1" customHeight="1">
      <c r="A18645" s="199"/>
    </row>
    <row r="18646" spans="1:1" s="200" customFormat="1" ht="12" hidden="1" customHeight="1">
      <c r="A18646" s="199"/>
    </row>
    <row r="18647" spans="1:1" s="200" customFormat="1" ht="12" hidden="1" customHeight="1">
      <c r="A18647" s="199"/>
    </row>
    <row r="18648" spans="1:1" s="200" customFormat="1" ht="12" hidden="1" customHeight="1">
      <c r="A18648" s="199"/>
    </row>
    <row r="18649" spans="1:1" s="200" customFormat="1" ht="12" hidden="1" customHeight="1">
      <c r="A18649" s="199"/>
    </row>
    <row r="18650" spans="1:1" s="200" customFormat="1" ht="12" hidden="1" customHeight="1">
      <c r="A18650" s="199"/>
    </row>
    <row r="18651" spans="1:1" s="200" customFormat="1" ht="12" hidden="1" customHeight="1">
      <c r="A18651" s="199"/>
    </row>
    <row r="18652" spans="1:1" s="200" customFormat="1" ht="12" hidden="1" customHeight="1">
      <c r="A18652" s="199"/>
    </row>
    <row r="18653" spans="1:1" s="200" customFormat="1" ht="12" hidden="1" customHeight="1">
      <c r="A18653" s="199"/>
    </row>
    <row r="18654" spans="1:1" s="200" customFormat="1" ht="12" hidden="1" customHeight="1">
      <c r="A18654" s="199"/>
    </row>
    <row r="18655" spans="1:1" s="200" customFormat="1" ht="12" hidden="1" customHeight="1">
      <c r="A18655" s="199"/>
    </row>
    <row r="18656" spans="1:1" s="200" customFormat="1" ht="12" hidden="1" customHeight="1">
      <c r="A18656" s="199"/>
    </row>
    <row r="18657" spans="1:1" s="200" customFormat="1" ht="12" hidden="1" customHeight="1">
      <c r="A18657" s="199"/>
    </row>
    <row r="18658" spans="1:1" s="200" customFormat="1" ht="12" hidden="1" customHeight="1">
      <c r="A18658" s="199"/>
    </row>
    <row r="18659" spans="1:1" s="200" customFormat="1" ht="12" hidden="1" customHeight="1">
      <c r="A18659" s="199"/>
    </row>
    <row r="18660" spans="1:1" s="200" customFormat="1" ht="12" hidden="1" customHeight="1">
      <c r="A18660" s="199"/>
    </row>
    <row r="18661" spans="1:1" s="200" customFormat="1" ht="12" hidden="1" customHeight="1">
      <c r="A18661" s="199"/>
    </row>
    <row r="18662" spans="1:1" s="200" customFormat="1" ht="12" hidden="1" customHeight="1">
      <c r="A18662" s="199"/>
    </row>
    <row r="18663" spans="1:1" s="200" customFormat="1" ht="12" hidden="1" customHeight="1">
      <c r="A18663" s="199"/>
    </row>
    <row r="18664" spans="1:1" s="200" customFormat="1" ht="12" hidden="1" customHeight="1">
      <c r="A18664" s="199"/>
    </row>
    <row r="18665" spans="1:1" s="200" customFormat="1" ht="12" hidden="1" customHeight="1">
      <c r="A18665" s="199"/>
    </row>
    <row r="18666" spans="1:1" s="200" customFormat="1" ht="12" hidden="1" customHeight="1">
      <c r="A18666" s="199"/>
    </row>
    <row r="18667" spans="1:1" s="200" customFormat="1" ht="12" hidden="1" customHeight="1">
      <c r="A18667" s="199"/>
    </row>
    <row r="18668" spans="1:1" s="200" customFormat="1" ht="12" hidden="1" customHeight="1">
      <c r="A18668" s="199"/>
    </row>
    <row r="18669" spans="1:1" s="200" customFormat="1" ht="12" hidden="1" customHeight="1">
      <c r="A18669" s="199"/>
    </row>
    <row r="18670" spans="1:1" s="200" customFormat="1" ht="12" hidden="1" customHeight="1">
      <c r="A18670" s="199"/>
    </row>
    <row r="18671" spans="1:1" s="200" customFormat="1" ht="12" hidden="1" customHeight="1">
      <c r="A18671" s="199"/>
    </row>
    <row r="18672" spans="1:1" s="200" customFormat="1" ht="12" hidden="1" customHeight="1">
      <c r="A18672" s="199"/>
    </row>
    <row r="18673" spans="1:1" s="200" customFormat="1" ht="12" hidden="1" customHeight="1">
      <c r="A18673" s="199"/>
    </row>
    <row r="18674" spans="1:1" s="200" customFormat="1" ht="12" hidden="1" customHeight="1">
      <c r="A18674" s="199"/>
    </row>
    <row r="18675" spans="1:1" s="200" customFormat="1" ht="12" hidden="1" customHeight="1">
      <c r="A18675" s="199"/>
    </row>
    <row r="18676" spans="1:1" s="200" customFormat="1" ht="12" hidden="1" customHeight="1">
      <c r="A18676" s="199"/>
    </row>
    <row r="18677" spans="1:1" s="200" customFormat="1" ht="12" hidden="1" customHeight="1">
      <c r="A18677" s="199"/>
    </row>
    <row r="18678" spans="1:1" s="200" customFormat="1" ht="12" hidden="1" customHeight="1">
      <c r="A18678" s="199"/>
    </row>
    <row r="18679" spans="1:1" s="200" customFormat="1" ht="12" hidden="1" customHeight="1">
      <c r="A18679" s="199"/>
    </row>
    <row r="18680" spans="1:1" s="200" customFormat="1" ht="12" hidden="1" customHeight="1">
      <c r="A18680" s="199"/>
    </row>
    <row r="18681" spans="1:1" s="200" customFormat="1" ht="12" hidden="1" customHeight="1">
      <c r="A18681" s="199"/>
    </row>
    <row r="18682" spans="1:1" s="200" customFormat="1" ht="12" hidden="1" customHeight="1">
      <c r="A18682" s="199"/>
    </row>
    <row r="18683" spans="1:1" s="200" customFormat="1" ht="12" hidden="1" customHeight="1">
      <c r="A18683" s="199"/>
    </row>
    <row r="18684" spans="1:1" s="200" customFormat="1" ht="12" hidden="1" customHeight="1">
      <c r="A18684" s="199"/>
    </row>
    <row r="18685" spans="1:1" s="200" customFormat="1" ht="12" hidden="1" customHeight="1">
      <c r="A18685" s="199"/>
    </row>
    <row r="18686" spans="1:1" s="200" customFormat="1" ht="12" hidden="1" customHeight="1">
      <c r="A18686" s="199"/>
    </row>
    <row r="18687" spans="1:1" s="200" customFormat="1" ht="12" hidden="1" customHeight="1">
      <c r="A18687" s="199"/>
    </row>
    <row r="18688" spans="1:1" s="200" customFormat="1" ht="12" hidden="1" customHeight="1">
      <c r="A18688" s="199"/>
    </row>
    <row r="18689" spans="1:1" s="200" customFormat="1" ht="12" hidden="1" customHeight="1">
      <c r="A18689" s="199"/>
    </row>
    <row r="18690" spans="1:1" s="200" customFormat="1" ht="12" hidden="1" customHeight="1">
      <c r="A18690" s="199"/>
    </row>
    <row r="18691" spans="1:1" s="200" customFormat="1" ht="12" hidden="1" customHeight="1">
      <c r="A18691" s="199"/>
    </row>
    <row r="18692" spans="1:1" s="200" customFormat="1" ht="12" hidden="1" customHeight="1">
      <c r="A18692" s="199"/>
    </row>
    <row r="18693" spans="1:1" s="200" customFormat="1" ht="12" hidden="1" customHeight="1">
      <c r="A18693" s="199"/>
    </row>
    <row r="18694" spans="1:1" s="200" customFormat="1" ht="12" hidden="1" customHeight="1">
      <c r="A18694" s="199"/>
    </row>
    <row r="18695" spans="1:1" s="200" customFormat="1" ht="12" hidden="1" customHeight="1">
      <c r="A18695" s="199"/>
    </row>
    <row r="18696" spans="1:1" s="200" customFormat="1" ht="12" hidden="1" customHeight="1">
      <c r="A18696" s="199"/>
    </row>
    <row r="18697" spans="1:1" s="200" customFormat="1" ht="12" hidden="1" customHeight="1">
      <c r="A18697" s="199"/>
    </row>
    <row r="18698" spans="1:1" s="200" customFormat="1" ht="12" hidden="1" customHeight="1">
      <c r="A18698" s="199"/>
    </row>
    <row r="18699" spans="1:1" s="200" customFormat="1" ht="12" hidden="1" customHeight="1">
      <c r="A18699" s="199"/>
    </row>
    <row r="18700" spans="1:1" s="200" customFormat="1" ht="12" hidden="1" customHeight="1">
      <c r="A18700" s="199"/>
    </row>
    <row r="18701" spans="1:1" s="200" customFormat="1" ht="12" hidden="1" customHeight="1">
      <c r="A18701" s="199"/>
    </row>
    <row r="18702" spans="1:1" s="200" customFormat="1" ht="12" hidden="1" customHeight="1">
      <c r="A18702" s="199"/>
    </row>
    <row r="18703" spans="1:1" s="200" customFormat="1" ht="12" hidden="1" customHeight="1">
      <c r="A18703" s="199"/>
    </row>
    <row r="18704" spans="1:1" s="200" customFormat="1" ht="12" hidden="1" customHeight="1">
      <c r="A18704" s="199"/>
    </row>
    <row r="18705" spans="1:1" s="200" customFormat="1" ht="12" hidden="1" customHeight="1">
      <c r="A18705" s="199"/>
    </row>
    <row r="18706" spans="1:1" s="200" customFormat="1" ht="12" hidden="1" customHeight="1">
      <c r="A18706" s="199"/>
    </row>
    <row r="18707" spans="1:1" s="200" customFormat="1" ht="12" hidden="1" customHeight="1">
      <c r="A18707" s="199"/>
    </row>
    <row r="18708" spans="1:1" s="200" customFormat="1" ht="12" hidden="1" customHeight="1">
      <c r="A18708" s="199"/>
    </row>
    <row r="18709" spans="1:1" s="200" customFormat="1" ht="12" hidden="1" customHeight="1">
      <c r="A18709" s="199"/>
    </row>
    <row r="18710" spans="1:1" s="200" customFormat="1" ht="12" hidden="1" customHeight="1">
      <c r="A18710" s="199"/>
    </row>
    <row r="18711" spans="1:1" s="200" customFormat="1" ht="12" hidden="1" customHeight="1">
      <c r="A18711" s="199"/>
    </row>
    <row r="18712" spans="1:1" s="200" customFormat="1" ht="12" hidden="1" customHeight="1">
      <c r="A18712" s="199"/>
    </row>
    <row r="18713" spans="1:1" s="200" customFormat="1" ht="12" hidden="1" customHeight="1">
      <c r="A18713" s="199"/>
    </row>
    <row r="18714" spans="1:1" s="200" customFormat="1" ht="12" hidden="1" customHeight="1">
      <c r="A18714" s="199"/>
    </row>
    <row r="18715" spans="1:1" s="200" customFormat="1" ht="12" hidden="1" customHeight="1">
      <c r="A18715" s="199"/>
    </row>
    <row r="18716" spans="1:1" s="200" customFormat="1" ht="12" hidden="1" customHeight="1">
      <c r="A18716" s="199"/>
    </row>
    <row r="18717" spans="1:1" s="200" customFormat="1" ht="12" hidden="1" customHeight="1">
      <c r="A18717" s="199"/>
    </row>
    <row r="18718" spans="1:1" s="200" customFormat="1" ht="12" hidden="1" customHeight="1">
      <c r="A18718" s="199"/>
    </row>
    <row r="18719" spans="1:1" s="200" customFormat="1" ht="12" hidden="1" customHeight="1">
      <c r="A18719" s="199"/>
    </row>
    <row r="18720" spans="1:1" s="200" customFormat="1" ht="12" hidden="1" customHeight="1">
      <c r="A18720" s="199"/>
    </row>
    <row r="18721" spans="1:1" s="200" customFormat="1" ht="12" hidden="1" customHeight="1">
      <c r="A18721" s="199"/>
    </row>
    <row r="18722" spans="1:1" s="200" customFormat="1" ht="12" hidden="1" customHeight="1">
      <c r="A18722" s="199"/>
    </row>
    <row r="18723" spans="1:1" s="200" customFormat="1" ht="12" hidden="1" customHeight="1">
      <c r="A18723" s="199"/>
    </row>
    <row r="18724" spans="1:1" s="200" customFormat="1" ht="12" hidden="1" customHeight="1">
      <c r="A18724" s="199"/>
    </row>
    <row r="18725" spans="1:1" s="200" customFormat="1" ht="12" hidden="1" customHeight="1">
      <c r="A18725" s="199"/>
    </row>
    <row r="18726" spans="1:1" s="200" customFormat="1" ht="12" hidden="1" customHeight="1">
      <c r="A18726" s="199"/>
    </row>
    <row r="18727" spans="1:1" s="200" customFormat="1" ht="12" hidden="1" customHeight="1">
      <c r="A18727" s="199"/>
    </row>
    <row r="18728" spans="1:1" s="200" customFormat="1" ht="12" hidden="1" customHeight="1">
      <c r="A18728" s="199"/>
    </row>
    <row r="18729" spans="1:1" s="200" customFormat="1" ht="12" hidden="1" customHeight="1">
      <c r="A18729" s="199"/>
    </row>
    <row r="18730" spans="1:1" s="200" customFormat="1" ht="12" hidden="1" customHeight="1">
      <c r="A18730" s="199"/>
    </row>
    <row r="18731" spans="1:1" s="200" customFormat="1" ht="12" hidden="1" customHeight="1">
      <c r="A18731" s="199"/>
    </row>
    <row r="18732" spans="1:1" s="200" customFormat="1" ht="12" hidden="1" customHeight="1">
      <c r="A18732" s="199"/>
    </row>
    <row r="18733" spans="1:1" s="200" customFormat="1" ht="12" hidden="1" customHeight="1">
      <c r="A18733" s="199"/>
    </row>
    <row r="18734" spans="1:1" s="200" customFormat="1" ht="12" hidden="1" customHeight="1">
      <c r="A18734" s="199"/>
    </row>
    <row r="18735" spans="1:1" s="200" customFormat="1" ht="12" hidden="1" customHeight="1">
      <c r="A18735" s="199"/>
    </row>
    <row r="18736" spans="1:1" s="200" customFormat="1" ht="12" hidden="1" customHeight="1">
      <c r="A18736" s="199"/>
    </row>
    <row r="18737" spans="1:1" s="200" customFormat="1" ht="12" hidden="1" customHeight="1">
      <c r="A18737" s="199"/>
    </row>
    <row r="18738" spans="1:1" s="200" customFormat="1" ht="12" hidden="1" customHeight="1">
      <c r="A18738" s="199"/>
    </row>
    <row r="18739" spans="1:1" s="200" customFormat="1" ht="12" hidden="1" customHeight="1">
      <c r="A18739" s="199"/>
    </row>
    <row r="18740" spans="1:1" s="200" customFormat="1" ht="12" hidden="1" customHeight="1">
      <c r="A18740" s="199"/>
    </row>
    <row r="18741" spans="1:1" s="200" customFormat="1" ht="12" hidden="1" customHeight="1">
      <c r="A18741" s="199"/>
    </row>
    <row r="18742" spans="1:1" s="200" customFormat="1" ht="12" hidden="1" customHeight="1">
      <c r="A18742" s="199"/>
    </row>
    <row r="18743" spans="1:1" s="200" customFormat="1" ht="12" hidden="1" customHeight="1">
      <c r="A18743" s="199"/>
    </row>
    <row r="18744" spans="1:1" s="200" customFormat="1" ht="12" hidden="1" customHeight="1">
      <c r="A18744" s="199"/>
    </row>
    <row r="18745" spans="1:1" s="200" customFormat="1" ht="12" hidden="1" customHeight="1">
      <c r="A18745" s="199"/>
    </row>
    <row r="18746" spans="1:1" s="200" customFormat="1" ht="12" hidden="1" customHeight="1">
      <c r="A18746" s="199"/>
    </row>
    <row r="18747" spans="1:1" s="200" customFormat="1" ht="12" hidden="1" customHeight="1">
      <c r="A18747" s="199"/>
    </row>
    <row r="18748" spans="1:1" s="200" customFormat="1" ht="12" hidden="1" customHeight="1">
      <c r="A18748" s="199"/>
    </row>
    <row r="18749" spans="1:1" s="200" customFormat="1" ht="12" hidden="1" customHeight="1">
      <c r="A18749" s="199"/>
    </row>
    <row r="18750" spans="1:1" s="200" customFormat="1" ht="12" hidden="1" customHeight="1">
      <c r="A18750" s="199"/>
    </row>
    <row r="18751" spans="1:1" s="200" customFormat="1" ht="12" hidden="1" customHeight="1">
      <c r="A18751" s="199"/>
    </row>
    <row r="18752" spans="1:1" s="200" customFormat="1" ht="12" hidden="1" customHeight="1">
      <c r="A18752" s="199"/>
    </row>
    <row r="18753" spans="1:1" s="200" customFormat="1" ht="12" hidden="1" customHeight="1">
      <c r="A18753" s="199"/>
    </row>
    <row r="18754" spans="1:1" s="200" customFormat="1" ht="12" hidden="1" customHeight="1">
      <c r="A18754" s="199"/>
    </row>
    <row r="18755" spans="1:1" s="200" customFormat="1" ht="12" hidden="1" customHeight="1">
      <c r="A18755" s="199"/>
    </row>
    <row r="18756" spans="1:1" s="200" customFormat="1" ht="12" hidden="1" customHeight="1">
      <c r="A18756" s="199"/>
    </row>
    <row r="18757" spans="1:1" s="200" customFormat="1" ht="12" hidden="1" customHeight="1">
      <c r="A18757" s="199"/>
    </row>
    <row r="18758" spans="1:1" s="200" customFormat="1" ht="12" hidden="1" customHeight="1">
      <c r="A18758" s="199"/>
    </row>
    <row r="18759" spans="1:1" s="200" customFormat="1" ht="12" hidden="1" customHeight="1">
      <c r="A18759" s="199"/>
    </row>
    <row r="18760" spans="1:1" s="200" customFormat="1" ht="12" hidden="1" customHeight="1">
      <c r="A18760" s="199"/>
    </row>
    <row r="18761" spans="1:1" s="200" customFormat="1" ht="12" hidden="1" customHeight="1">
      <c r="A18761" s="199"/>
    </row>
    <row r="18762" spans="1:1" s="200" customFormat="1" ht="12" hidden="1" customHeight="1">
      <c r="A18762" s="199"/>
    </row>
    <row r="18763" spans="1:1" s="200" customFormat="1" ht="12" hidden="1" customHeight="1">
      <c r="A18763" s="199"/>
    </row>
    <row r="18764" spans="1:1" s="200" customFormat="1" ht="12" hidden="1" customHeight="1">
      <c r="A18764" s="199"/>
    </row>
    <row r="18765" spans="1:1" s="200" customFormat="1" ht="12" hidden="1" customHeight="1">
      <c r="A18765" s="199"/>
    </row>
    <row r="18766" spans="1:1" s="200" customFormat="1" ht="12" hidden="1" customHeight="1">
      <c r="A18766" s="199"/>
    </row>
    <row r="18767" spans="1:1" s="200" customFormat="1" ht="12" hidden="1" customHeight="1">
      <c r="A18767" s="199"/>
    </row>
    <row r="18768" spans="1:1" s="200" customFormat="1" ht="12" hidden="1" customHeight="1">
      <c r="A18768" s="199"/>
    </row>
    <row r="18769" spans="1:1" s="200" customFormat="1" ht="12" hidden="1" customHeight="1">
      <c r="A18769" s="199"/>
    </row>
    <row r="18770" spans="1:1" s="200" customFormat="1" ht="12" hidden="1" customHeight="1">
      <c r="A18770" s="199"/>
    </row>
    <row r="18771" spans="1:1" s="200" customFormat="1" ht="12" hidden="1" customHeight="1">
      <c r="A18771" s="199"/>
    </row>
    <row r="18772" spans="1:1" s="200" customFormat="1" ht="12" hidden="1" customHeight="1">
      <c r="A18772" s="199"/>
    </row>
    <row r="18773" spans="1:1" s="200" customFormat="1" ht="12" hidden="1" customHeight="1">
      <c r="A18773" s="199"/>
    </row>
    <row r="18774" spans="1:1" s="200" customFormat="1" ht="12" hidden="1" customHeight="1">
      <c r="A18774" s="199"/>
    </row>
    <row r="18775" spans="1:1" s="200" customFormat="1" ht="12" hidden="1" customHeight="1">
      <c r="A18775" s="199"/>
    </row>
    <row r="18776" spans="1:1" s="200" customFormat="1" ht="12" hidden="1" customHeight="1">
      <c r="A18776" s="199"/>
    </row>
    <row r="18777" spans="1:1" s="200" customFormat="1" ht="12" hidden="1" customHeight="1">
      <c r="A18777" s="199"/>
    </row>
    <row r="18778" spans="1:1" s="200" customFormat="1" ht="12" hidden="1" customHeight="1">
      <c r="A18778" s="199"/>
    </row>
    <row r="18779" spans="1:1" s="200" customFormat="1" ht="12" hidden="1" customHeight="1">
      <c r="A18779" s="199"/>
    </row>
    <row r="18780" spans="1:1" s="200" customFormat="1" ht="12" hidden="1" customHeight="1">
      <c r="A18780" s="199"/>
    </row>
    <row r="18781" spans="1:1" s="200" customFormat="1" ht="12" hidden="1" customHeight="1">
      <c r="A18781" s="199"/>
    </row>
    <row r="18782" spans="1:1" s="200" customFormat="1" ht="12" hidden="1" customHeight="1">
      <c r="A18782" s="199"/>
    </row>
    <row r="18783" spans="1:1" s="200" customFormat="1" ht="12" hidden="1" customHeight="1">
      <c r="A18783" s="199"/>
    </row>
    <row r="18784" spans="1:1" s="200" customFormat="1" ht="12" hidden="1" customHeight="1">
      <c r="A18784" s="199"/>
    </row>
    <row r="18785" spans="1:1" s="200" customFormat="1" ht="12" hidden="1" customHeight="1">
      <c r="A18785" s="199"/>
    </row>
    <row r="18786" spans="1:1" s="200" customFormat="1" ht="12" hidden="1" customHeight="1">
      <c r="A18786" s="199"/>
    </row>
    <row r="18787" spans="1:1" s="200" customFormat="1" ht="12" hidden="1" customHeight="1">
      <c r="A18787" s="199"/>
    </row>
    <row r="18788" spans="1:1" s="200" customFormat="1" ht="12" hidden="1" customHeight="1">
      <c r="A18788" s="199"/>
    </row>
    <row r="18789" spans="1:1" s="200" customFormat="1" ht="12" hidden="1" customHeight="1">
      <c r="A18789" s="199"/>
    </row>
    <row r="18790" spans="1:1" s="200" customFormat="1" ht="12" hidden="1" customHeight="1">
      <c r="A18790" s="199"/>
    </row>
    <row r="18791" spans="1:1" s="200" customFormat="1" ht="12" hidden="1" customHeight="1">
      <c r="A18791" s="199"/>
    </row>
    <row r="18792" spans="1:1" s="200" customFormat="1" ht="12" hidden="1" customHeight="1">
      <c r="A18792" s="199"/>
    </row>
    <row r="18793" spans="1:1" s="200" customFormat="1" ht="12" hidden="1" customHeight="1">
      <c r="A18793" s="199"/>
    </row>
    <row r="18794" spans="1:1" s="200" customFormat="1" ht="12" hidden="1" customHeight="1">
      <c r="A18794" s="199"/>
    </row>
    <row r="18795" spans="1:1" s="200" customFormat="1" ht="12" hidden="1" customHeight="1">
      <c r="A18795" s="199"/>
    </row>
    <row r="18796" spans="1:1" s="200" customFormat="1" ht="12" hidden="1" customHeight="1">
      <c r="A18796" s="199"/>
    </row>
    <row r="18797" spans="1:1" s="200" customFormat="1" ht="12" hidden="1" customHeight="1">
      <c r="A18797" s="199"/>
    </row>
    <row r="18798" spans="1:1" s="200" customFormat="1" ht="12" hidden="1" customHeight="1">
      <c r="A18798" s="199"/>
    </row>
    <row r="18799" spans="1:1" s="200" customFormat="1" ht="12" hidden="1" customHeight="1">
      <c r="A18799" s="199"/>
    </row>
    <row r="18800" spans="1:1" s="200" customFormat="1" ht="12" hidden="1" customHeight="1">
      <c r="A18800" s="199"/>
    </row>
    <row r="18801" spans="1:1" s="200" customFormat="1" ht="12" hidden="1" customHeight="1">
      <c r="A18801" s="199"/>
    </row>
    <row r="18802" spans="1:1" s="200" customFormat="1" ht="12" hidden="1" customHeight="1">
      <c r="A18802" s="199"/>
    </row>
    <row r="18803" spans="1:1" s="200" customFormat="1" ht="12" hidden="1" customHeight="1">
      <c r="A18803" s="199"/>
    </row>
    <row r="18804" spans="1:1" s="200" customFormat="1" ht="12" hidden="1" customHeight="1">
      <c r="A18804" s="199"/>
    </row>
    <row r="18805" spans="1:1" s="200" customFormat="1" ht="12" hidden="1" customHeight="1">
      <c r="A18805" s="199"/>
    </row>
    <row r="18806" spans="1:1" s="200" customFormat="1" ht="12" hidden="1" customHeight="1">
      <c r="A18806" s="199"/>
    </row>
    <row r="18807" spans="1:1" s="200" customFormat="1" ht="12" hidden="1" customHeight="1">
      <c r="A18807" s="199"/>
    </row>
    <row r="18808" spans="1:1" s="200" customFormat="1" ht="12" hidden="1" customHeight="1">
      <c r="A18808" s="199"/>
    </row>
    <row r="18809" spans="1:1" s="200" customFormat="1" ht="12" hidden="1" customHeight="1">
      <c r="A18809" s="199"/>
    </row>
    <row r="18810" spans="1:1" s="200" customFormat="1" ht="12" hidden="1" customHeight="1">
      <c r="A18810" s="199"/>
    </row>
    <row r="18811" spans="1:1" s="200" customFormat="1" ht="12" hidden="1" customHeight="1">
      <c r="A18811" s="199"/>
    </row>
    <row r="18812" spans="1:1" s="200" customFormat="1" ht="12" hidden="1" customHeight="1">
      <c r="A18812" s="199"/>
    </row>
    <row r="18813" spans="1:1" s="200" customFormat="1" ht="12" hidden="1" customHeight="1">
      <c r="A18813" s="199"/>
    </row>
    <row r="18814" spans="1:1" s="200" customFormat="1" ht="12" hidden="1" customHeight="1">
      <c r="A18814" s="199"/>
    </row>
    <row r="18815" spans="1:1" s="200" customFormat="1" ht="12" hidden="1" customHeight="1">
      <c r="A18815" s="199"/>
    </row>
    <row r="18816" spans="1:1" s="200" customFormat="1" ht="12" hidden="1" customHeight="1">
      <c r="A18816" s="199"/>
    </row>
    <row r="18817" spans="1:1" s="200" customFormat="1" ht="12" hidden="1" customHeight="1">
      <c r="A18817" s="199"/>
    </row>
    <row r="18818" spans="1:1" s="200" customFormat="1" ht="12" hidden="1" customHeight="1">
      <c r="A18818" s="199"/>
    </row>
    <row r="18819" spans="1:1" s="200" customFormat="1" ht="12" hidden="1" customHeight="1">
      <c r="A18819" s="199"/>
    </row>
    <row r="18820" spans="1:1" s="200" customFormat="1" ht="12" hidden="1" customHeight="1">
      <c r="A18820" s="199"/>
    </row>
    <row r="18821" spans="1:1" s="200" customFormat="1" ht="12" hidden="1" customHeight="1">
      <c r="A18821" s="199"/>
    </row>
    <row r="18822" spans="1:1" s="200" customFormat="1" ht="12" hidden="1" customHeight="1">
      <c r="A18822" s="199"/>
    </row>
    <row r="18823" spans="1:1" s="200" customFormat="1" ht="12" hidden="1" customHeight="1">
      <c r="A18823" s="199"/>
    </row>
    <row r="18824" spans="1:1" s="200" customFormat="1" ht="12" hidden="1" customHeight="1">
      <c r="A18824" s="199"/>
    </row>
    <row r="18825" spans="1:1" s="200" customFormat="1" ht="12" hidden="1" customHeight="1">
      <c r="A18825" s="199"/>
    </row>
    <row r="18826" spans="1:1" s="200" customFormat="1" ht="12" hidden="1" customHeight="1">
      <c r="A18826" s="199"/>
    </row>
    <row r="18827" spans="1:1" s="200" customFormat="1" ht="12" hidden="1" customHeight="1">
      <c r="A18827" s="199"/>
    </row>
    <row r="18828" spans="1:1" s="200" customFormat="1" ht="12" hidden="1" customHeight="1">
      <c r="A18828" s="199"/>
    </row>
    <row r="18829" spans="1:1" s="200" customFormat="1" ht="12" hidden="1" customHeight="1">
      <c r="A18829" s="199"/>
    </row>
    <row r="18830" spans="1:1" s="200" customFormat="1" ht="12" hidden="1" customHeight="1">
      <c r="A18830" s="199"/>
    </row>
    <row r="18831" spans="1:1" s="200" customFormat="1" ht="12" hidden="1" customHeight="1">
      <c r="A18831" s="199"/>
    </row>
    <row r="18832" spans="1:1" s="200" customFormat="1" ht="12" hidden="1" customHeight="1">
      <c r="A18832" s="199"/>
    </row>
    <row r="18833" spans="1:1" s="200" customFormat="1" ht="12" hidden="1" customHeight="1">
      <c r="A18833" s="199"/>
    </row>
    <row r="18834" spans="1:1" s="200" customFormat="1" ht="12" hidden="1" customHeight="1">
      <c r="A18834" s="199"/>
    </row>
    <row r="18835" spans="1:1" s="200" customFormat="1" ht="12" hidden="1" customHeight="1">
      <c r="A18835" s="199"/>
    </row>
    <row r="18836" spans="1:1" s="200" customFormat="1" ht="12" hidden="1" customHeight="1">
      <c r="A18836" s="199"/>
    </row>
    <row r="18837" spans="1:1" s="200" customFormat="1" ht="12" hidden="1" customHeight="1">
      <c r="A18837" s="199"/>
    </row>
    <row r="18838" spans="1:1" s="200" customFormat="1" ht="12" hidden="1" customHeight="1">
      <c r="A18838" s="199"/>
    </row>
    <row r="18839" spans="1:1" s="200" customFormat="1" ht="12" hidden="1" customHeight="1">
      <c r="A18839" s="199"/>
    </row>
    <row r="18840" spans="1:1" s="200" customFormat="1" ht="12" hidden="1" customHeight="1">
      <c r="A18840" s="199"/>
    </row>
    <row r="18841" spans="1:1" s="200" customFormat="1" ht="12" hidden="1" customHeight="1">
      <c r="A18841" s="199"/>
    </row>
    <row r="18842" spans="1:1" s="200" customFormat="1" ht="12" hidden="1" customHeight="1">
      <c r="A18842" s="199"/>
    </row>
    <row r="18843" spans="1:1" s="200" customFormat="1" ht="12" hidden="1" customHeight="1">
      <c r="A18843" s="199"/>
    </row>
    <row r="18844" spans="1:1" s="200" customFormat="1" ht="12" hidden="1" customHeight="1">
      <c r="A18844" s="199"/>
    </row>
    <row r="18845" spans="1:1" s="200" customFormat="1" ht="12" hidden="1" customHeight="1">
      <c r="A18845" s="199"/>
    </row>
    <row r="18846" spans="1:1" s="200" customFormat="1" ht="12" hidden="1" customHeight="1">
      <c r="A18846" s="199"/>
    </row>
    <row r="18847" spans="1:1" s="200" customFormat="1" ht="12" hidden="1" customHeight="1">
      <c r="A18847" s="199"/>
    </row>
    <row r="18848" spans="1:1" s="200" customFormat="1" ht="12" hidden="1" customHeight="1">
      <c r="A18848" s="199"/>
    </row>
    <row r="18849" spans="1:1" s="200" customFormat="1" ht="12" hidden="1" customHeight="1">
      <c r="A18849" s="199"/>
    </row>
    <row r="18850" spans="1:1" s="200" customFormat="1" ht="12" hidden="1" customHeight="1">
      <c r="A18850" s="199"/>
    </row>
    <row r="18851" spans="1:1" s="200" customFormat="1" ht="12" hidden="1" customHeight="1">
      <c r="A18851" s="199"/>
    </row>
    <row r="18852" spans="1:1" s="200" customFormat="1" ht="12" hidden="1" customHeight="1">
      <c r="A18852" s="199"/>
    </row>
    <row r="18853" spans="1:1" s="200" customFormat="1" ht="12" hidden="1" customHeight="1">
      <c r="A18853" s="199"/>
    </row>
    <row r="18854" spans="1:1" s="200" customFormat="1" ht="12" hidden="1" customHeight="1">
      <c r="A18854" s="199"/>
    </row>
    <row r="18855" spans="1:1" s="200" customFormat="1" ht="12" hidden="1" customHeight="1">
      <c r="A18855" s="199"/>
    </row>
    <row r="18856" spans="1:1" s="200" customFormat="1" ht="12" hidden="1" customHeight="1">
      <c r="A18856" s="199"/>
    </row>
    <row r="18857" spans="1:1" s="200" customFormat="1" ht="12" hidden="1" customHeight="1">
      <c r="A18857" s="199"/>
    </row>
    <row r="18858" spans="1:1" s="200" customFormat="1" ht="12" hidden="1" customHeight="1">
      <c r="A18858" s="199"/>
    </row>
    <row r="18859" spans="1:1" s="200" customFormat="1" ht="12" hidden="1" customHeight="1">
      <c r="A18859" s="199"/>
    </row>
    <row r="18860" spans="1:1" s="200" customFormat="1" ht="12" hidden="1" customHeight="1">
      <c r="A18860" s="199"/>
    </row>
    <row r="18861" spans="1:1" s="200" customFormat="1" ht="12" hidden="1" customHeight="1">
      <c r="A18861" s="199"/>
    </row>
    <row r="18862" spans="1:1" s="200" customFormat="1" ht="12" hidden="1" customHeight="1">
      <c r="A18862" s="199"/>
    </row>
    <row r="18863" spans="1:1" s="200" customFormat="1" ht="12" hidden="1" customHeight="1">
      <c r="A18863" s="199"/>
    </row>
    <row r="18864" spans="1:1" s="200" customFormat="1" ht="12" hidden="1" customHeight="1">
      <c r="A18864" s="199"/>
    </row>
    <row r="18865" spans="1:1" s="200" customFormat="1" ht="12" hidden="1" customHeight="1">
      <c r="A18865" s="199"/>
    </row>
    <row r="18866" spans="1:1" s="200" customFormat="1" ht="12" hidden="1" customHeight="1">
      <c r="A18866" s="199"/>
    </row>
    <row r="18867" spans="1:1" s="200" customFormat="1" ht="12" hidden="1" customHeight="1">
      <c r="A18867" s="199"/>
    </row>
    <row r="18868" spans="1:1" s="200" customFormat="1" ht="12" hidden="1" customHeight="1">
      <c r="A18868" s="199"/>
    </row>
    <row r="18869" spans="1:1" s="200" customFormat="1" ht="12" hidden="1" customHeight="1">
      <c r="A18869" s="199"/>
    </row>
    <row r="18870" spans="1:1" s="200" customFormat="1" ht="12" hidden="1" customHeight="1">
      <c r="A18870" s="199"/>
    </row>
    <row r="18871" spans="1:1" s="200" customFormat="1" ht="12" hidden="1" customHeight="1">
      <c r="A18871" s="199"/>
    </row>
    <row r="18872" spans="1:1" s="200" customFormat="1" ht="12" hidden="1" customHeight="1">
      <c r="A18872" s="199"/>
    </row>
    <row r="18873" spans="1:1" s="200" customFormat="1" ht="12" hidden="1" customHeight="1">
      <c r="A18873" s="199"/>
    </row>
    <row r="18874" spans="1:1" s="200" customFormat="1" ht="12" hidden="1" customHeight="1">
      <c r="A18874" s="199"/>
    </row>
    <row r="18875" spans="1:1" s="200" customFormat="1" ht="12" hidden="1" customHeight="1">
      <c r="A18875" s="199"/>
    </row>
    <row r="18876" spans="1:1" s="200" customFormat="1" ht="12" hidden="1" customHeight="1">
      <c r="A18876" s="199"/>
    </row>
    <row r="18877" spans="1:1" s="200" customFormat="1" ht="12" hidden="1" customHeight="1">
      <c r="A18877" s="199"/>
    </row>
    <row r="18878" spans="1:1" s="200" customFormat="1" ht="12" hidden="1" customHeight="1">
      <c r="A18878" s="199"/>
    </row>
    <row r="18879" spans="1:1" s="200" customFormat="1" ht="12" hidden="1" customHeight="1">
      <c r="A18879" s="199"/>
    </row>
    <row r="18880" spans="1:1" s="200" customFormat="1" ht="12" hidden="1" customHeight="1">
      <c r="A18880" s="199"/>
    </row>
    <row r="18881" spans="1:1" s="200" customFormat="1" ht="12" hidden="1" customHeight="1">
      <c r="A18881" s="199"/>
    </row>
    <row r="18882" spans="1:1" s="200" customFormat="1" ht="12" hidden="1" customHeight="1">
      <c r="A18882" s="199"/>
    </row>
    <row r="18883" spans="1:1" s="200" customFormat="1" ht="12" hidden="1" customHeight="1">
      <c r="A18883" s="199"/>
    </row>
    <row r="18884" spans="1:1" s="200" customFormat="1" ht="12" hidden="1" customHeight="1">
      <c r="A18884" s="199"/>
    </row>
    <row r="18885" spans="1:1" s="200" customFormat="1" ht="12" hidden="1" customHeight="1">
      <c r="A18885" s="199"/>
    </row>
    <row r="18886" spans="1:1" s="200" customFormat="1" ht="12" hidden="1" customHeight="1">
      <c r="A18886" s="199"/>
    </row>
    <row r="18887" spans="1:1" s="200" customFormat="1" ht="12" hidden="1" customHeight="1">
      <c r="A18887" s="199"/>
    </row>
    <row r="18888" spans="1:1" s="200" customFormat="1" ht="12" hidden="1" customHeight="1">
      <c r="A18888" s="199"/>
    </row>
    <row r="18889" spans="1:1" s="200" customFormat="1" ht="12" hidden="1" customHeight="1">
      <c r="A18889" s="199"/>
    </row>
    <row r="18890" spans="1:1" s="200" customFormat="1" ht="12" hidden="1" customHeight="1">
      <c r="A18890" s="199"/>
    </row>
    <row r="18891" spans="1:1" s="200" customFormat="1" ht="12" hidden="1" customHeight="1">
      <c r="A18891" s="199"/>
    </row>
    <row r="18892" spans="1:1" s="200" customFormat="1" ht="12" hidden="1" customHeight="1">
      <c r="A18892" s="199"/>
    </row>
    <row r="18893" spans="1:1" s="200" customFormat="1" ht="12" hidden="1" customHeight="1">
      <c r="A18893" s="199"/>
    </row>
    <row r="18894" spans="1:1" s="200" customFormat="1" ht="12" hidden="1" customHeight="1">
      <c r="A18894" s="199"/>
    </row>
    <row r="18895" spans="1:1" s="200" customFormat="1" ht="12" hidden="1" customHeight="1">
      <c r="A18895" s="199"/>
    </row>
    <row r="18896" spans="1:1" s="200" customFormat="1" ht="12" hidden="1" customHeight="1">
      <c r="A18896" s="199"/>
    </row>
    <row r="18897" spans="1:1" s="200" customFormat="1" ht="12" hidden="1" customHeight="1">
      <c r="A18897" s="199"/>
    </row>
    <row r="18898" spans="1:1" s="200" customFormat="1" ht="12" hidden="1" customHeight="1">
      <c r="A18898" s="199"/>
    </row>
    <row r="18899" spans="1:1" s="200" customFormat="1" ht="12" hidden="1" customHeight="1">
      <c r="A18899" s="199"/>
    </row>
    <row r="18900" spans="1:1" s="200" customFormat="1" ht="12" hidden="1" customHeight="1">
      <c r="A18900" s="199"/>
    </row>
    <row r="18901" spans="1:1" s="200" customFormat="1" ht="12" hidden="1" customHeight="1">
      <c r="A18901" s="199"/>
    </row>
    <row r="18902" spans="1:1" s="200" customFormat="1" ht="12" hidden="1" customHeight="1">
      <c r="A18902" s="199"/>
    </row>
    <row r="18903" spans="1:1" s="200" customFormat="1" ht="12" hidden="1" customHeight="1">
      <c r="A18903" s="199"/>
    </row>
    <row r="18904" spans="1:1" s="200" customFormat="1" ht="12" hidden="1" customHeight="1">
      <c r="A18904" s="199"/>
    </row>
    <row r="18905" spans="1:1" s="200" customFormat="1" ht="12" hidden="1" customHeight="1">
      <c r="A18905" s="199"/>
    </row>
    <row r="18906" spans="1:1" s="200" customFormat="1" ht="12" hidden="1" customHeight="1">
      <c r="A18906" s="199"/>
    </row>
    <row r="18907" spans="1:1" s="200" customFormat="1" ht="12" hidden="1" customHeight="1">
      <c r="A18907" s="199"/>
    </row>
    <row r="18908" spans="1:1" s="200" customFormat="1" ht="12" hidden="1" customHeight="1">
      <c r="A18908" s="199"/>
    </row>
    <row r="18909" spans="1:1" s="200" customFormat="1" ht="12" hidden="1" customHeight="1">
      <c r="A18909" s="199"/>
    </row>
    <row r="18910" spans="1:1" s="200" customFormat="1" ht="12" hidden="1" customHeight="1">
      <c r="A18910" s="199"/>
    </row>
    <row r="18911" spans="1:1" s="200" customFormat="1" ht="12" hidden="1" customHeight="1">
      <c r="A18911" s="199"/>
    </row>
    <row r="18912" spans="1:1" s="200" customFormat="1" ht="12" hidden="1" customHeight="1">
      <c r="A18912" s="199"/>
    </row>
    <row r="18913" spans="1:1" s="200" customFormat="1" ht="12" hidden="1" customHeight="1">
      <c r="A18913" s="199"/>
    </row>
    <row r="18914" spans="1:1" s="200" customFormat="1" ht="12" hidden="1" customHeight="1">
      <c r="A18914" s="199"/>
    </row>
    <row r="18915" spans="1:1" s="200" customFormat="1" ht="12" hidden="1" customHeight="1">
      <c r="A18915" s="199"/>
    </row>
    <row r="18916" spans="1:1" s="200" customFormat="1" ht="12" hidden="1" customHeight="1">
      <c r="A18916" s="199"/>
    </row>
    <row r="18917" spans="1:1" s="200" customFormat="1" ht="12" hidden="1" customHeight="1">
      <c r="A18917" s="199"/>
    </row>
    <row r="18918" spans="1:1" s="200" customFormat="1" ht="12" hidden="1" customHeight="1">
      <c r="A18918" s="199"/>
    </row>
    <row r="18919" spans="1:1" s="200" customFormat="1" ht="12" hidden="1" customHeight="1">
      <c r="A18919" s="199"/>
    </row>
    <row r="18920" spans="1:1" s="200" customFormat="1" ht="12" hidden="1" customHeight="1">
      <c r="A18920" s="199"/>
    </row>
    <row r="18921" spans="1:1" s="200" customFormat="1" ht="12" hidden="1" customHeight="1">
      <c r="A18921" s="199"/>
    </row>
    <row r="18922" spans="1:1" s="200" customFormat="1" ht="12" hidden="1" customHeight="1">
      <c r="A18922" s="199"/>
    </row>
    <row r="18923" spans="1:1" s="200" customFormat="1" ht="12" hidden="1" customHeight="1">
      <c r="A18923" s="199"/>
    </row>
    <row r="18924" spans="1:1" s="200" customFormat="1" ht="12" hidden="1" customHeight="1">
      <c r="A18924" s="199"/>
    </row>
    <row r="18925" spans="1:1" s="200" customFormat="1" ht="12" hidden="1" customHeight="1">
      <c r="A18925" s="199"/>
    </row>
    <row r="18926" spans="1:1" s="200" customFormat="1" ht="12" hidden="1" customHeight="1">
      <c r="A18926" s="199"/>
    </row>
    <row r="18927" spans="1:1" s="200" customFormat="1" ht="12" hidden="1" customHeight="1">
      <c r="A18927" s="199"/>
    </row>
    <row r="18928" spans="1:1" s="200" customFormat="1" ht="12" hidden="1" customHeight="1">
      <c r="A18928" s="199"/>
    </row>
    <row r="18929" spans="1:1" s="200" customFormat="1" ht="12" hidden="1" customHeight="1">
      <c r="A18929" s="199"/>
    </row>
    <row r="18930" spans="1:1" s="200" customFormat="1" ht="12" hidden="1" customHeight="1">
      <c r="A18930" s="199"/>
    </row>
    <row r="18931" spans="1:1" s="200" customFormat="1" ht="12" hidden="1" customHeight="1">
      <c r="A18931" s="199"/>
    </row>
    <row r="18932" spans="1:1" s="200" customFormat="1" ht="12" hidden="1" customHeight="1">
      <c r="A18932" s="199"/>
    </row>
    <row r="18933" spans="1:1" s="200" customFormat="1" ht="12" hidden="1" customHeight="1">
      <c r="A18933" s="199"/>
    </row>
    <row r="18934" spans="1:1" s="200" customFormat="1" ht="12" hidden="1" customHeight="1">
      <c r="A18934" s="199"/>
    </row>
    <row r="18935" spans="1:1" s="200" customFormat="1" ht="12" hidden="1" customHeight="1">
      <c r="A18935" s="199"/>
    </row>
    <row r="18936" spans="1:1" s="200" customFormat="1" ht="12" hidden="1" customHeight="1">
      <c r="A18936" s="199"/>
    </row>
    <row r="18937" spans="1:1" s="200" customFormat="1" ht="12" hidden="1" customHeight="1">
      <c r="A18937" s="199"/>
    </row>
    <row r="18938" spans="1:1" s="200" customFormat="1" ht="12" hidden="1" customHeight="1">
      <c r="A18938" s="199"/>
    </row>
    <row r="18939" spans="1:1" s="200" customFormat="1" ht="12" hidden="1" customHeight="1">
      <c r="A18939" s="199"/>
    </row>
    <row r="18940" spans="1:1" s="200" customFormat="1" ht="12" hidden="1" customHeight="1">
      <c r="A18940" s="199"/>
    </row>
    <row r="18941" spans="1:1" s="200" customFormat="1" ht="12" hidden="1" customHeight="1">
      <c r="A18941" s="199"/>
    </row>
    <row r="18942" spans="1:1" s="200" customFormat="1" ht="12" hidden="1" customHeight="1">
      <c r="A18942" s="199"/>
    </row>
    <row r="18943" spans="1:1" s="200" customFormat="1" ht="12" hidden="1" customHeight="1">
      <c r="A18943" s="199"/>
    </row>
    <row r="18944" spans="1:1" s="200" customFormat="1" ht="12" hidden="1" customHeight="1">
      <c r="A18944" s="199"/>
    </row>
    <row r="18945" spans="1:1" s="200" customFormat="1" ht="12" hidden="1" customHeight="1">
      <c r="A18945" s="199"/>
    </row>
    <row r="18946" spans="1:1" s="200" customFormat="1" ht="12" hidden="1" customHeight="1">
      <c r="A18946" s="199"/>
    </row>
    <row r="18947" spans="1:1" s="200" customFormat="1" ht="12" hidden="1" customHeight="1">
      <c r="A18947" s="199"/>
    </row>
    <row r="18948" spans="1:1" s="200" customFormat="1" ht="12" hidden="1" customHeight="1">
      <c r="A18948" s="199"/>
    </row>
    <row r="18949" spans="1:1" s="200" customFormat="1" ht="12" hidden="1" customHeight="1">
      <c r="A18949" s="199"/>
    </row>
    <row r="18950" spans="1:1" s="200" customFormat="1" ht="12" hidden="1" customHeight="1">
      <c r="A18950" s="199"/>
    </row>
    <row r="18951" spans="1:1" s="200" customFormat="1" ht="12" hidden="1" customHeight="1">
      <c r="A18951" s="199"/>
    </row>
    <row r="18952" spans="1:1" s="200" customFormat="1" ht="12" hidden="1" customHeight="1">
      <c r="A18952" s="199"/>
    </row>
    <row r="18953" spans="1:1" s="200" customFormat="1" ht="12" hidden="1" customHeight="1">
      <c r="A18953" s="199"/>
    </row>
    <row r="18954" spans="1:1" s="200" customFormat="1" ht="12" hidden="1" customHeight="1">
      <c r="A18954" s="199"/>
    </row>
    <row r="18955" spans="1:1" s="200" customFormat="1" ht="12" hidden="1" customHeight="1">
      <c r="A18955" s="199"/>
    </row>
    <row r="18956" spans="1:1" s="200" customFormat="1" ht="12" hidden="1" customHeight="1">
      <c r="A18956" s="199"/>
    </row>
    <row r="18957" spans="1:1" s="200" customFormat="1" ht="12" hidden="1" customHeight="1">
      <c r="A18957" s="199"/>
    </row>
    <row r="18958" spans="1:1" s="200" customFormat="1" ht="12" hidden="1" customHeight="1">
      <c r="A18958" s="199"/>
    </row>
    <row r="18959" spans="1:1" s="200" customFormat="1" ht="12" hidden="1" customHeight="1">
      <c r="A18959" s="199"/>
    </row>
    <row r="18960" spans="1:1" s="200" customFormat="1" ht="12" hidden="1" customHeight="1">
      <c r="A18960" s="199"/>
    </row>
    <row r="18961" spans="1:1" s="200" customFormat="1" ht="12" hidden="1" customHeight="1">
      <c r="A18961" s="199"/>
    </row>
    <row r="18962" spans="1:1" s="200" customFormat="1" ht="12" hidden="1" customHeight="1">
      <c r="A18962" s="199"/>
    </row>
    <row r="18963" spans="1:1" s="200" customFormat="1" ht="12" hidden="1" customHeight="1">
      <c r="A18963" s="199"/>
    </row>
    <row r="18964" spans="1:1" s="200" customFormat="1" ht="12" hidden="1" customHeight="1">
      <c r="A18964" s="199"/>
    </row>
    <row r="18965" spans="1:1" s="200" customFormat="1" ht="12" hidden="1" customHeight="1">
      <c r="A18965" s="199"/>
    </row>
    <row r="18966" spans="1:1" s="200" customFormat="1" ht="12" hidden="1" customHeight="1">
      <c r="A18966" s="199"/>
    </row>
    <row r="18967" spans="1:1" s="200" customFormat="1" ht="12" hidden="1" customHeight="1">
      <c r="A18967" s="199"/>
    </row>
    <row r="18968" spans="1:1" s="200" customFormat="1" ht="12" hidden="1" customHeight="1">
      <c r="A18968" s="199"/>
    </row>
    <row r="18969" spans="1:1" s="200" customFormat="1" ht="12" hidden="1" customHeight="1">
      <c r="A18969" s="199"/>
    </row>
    <row r="18970" spans="1:1" s="200" customFormat="1" ht="12" hidden="1" customHeight="1">
      <c r="A18970" s="199"/>
    </row>
    <row r="18971" spans="1:1" s="200" customFormat="1" ht="12" hidden="1" customHeight="1">
      <c r="A18971" s="199"/>
    </row>
    <row r="18972" spans="1:1" s="200" customFormat="1" ht="12" hidden="1" customHeight="1">
      <c r="A18972" s="199"/>
    </row>
    <row r="18973" spans="1:1" s="200" customFormat="1" ht="12" hidden="1" customHeight="1">
      <c r="A18973" s="199"/>
    </row>
    <row r="18974" spans="1:1" s="200" customFormat="1" ht="12" hidden="1" customHeight="1">
      <c r="A18974" s="199"/>
    </row>
    <row r="18975" spans="1:1" s="200" customFormat="1" ht="12" hidden="1" customHeight="1">
      <c r="A18975" s="199"/>
    </row>
    <row r="18976" spans="1:1" s="200" customFormat="1" ht="12" hidden="1" customHeight="1">
      <c r="A18976" s="199"/>
    </row>
    <row r="18977" spans="1:1" s="200" customFormat="1" ht="12" hidden="1" customHeight="1">
      <c r="A18977" s="199"/>
    </row>
    <row r="18978" spans="1:1" s="200" customFormat="1" ht="12" hidden="1" customHeight="1">
      <c r="A18978" s="199"/>
    </row>
    <row r="18979" spans="1:1" s="200" customFormat="1" ht="12" hidden="1" customHeight="1">
      <c r="A18979" s="199"/>
    </row>
    <row r="18980" spans="1:1" s="200" customFormat="1" ht="12" hidden="1" customHeight="1">
      <c r="A18980" s="199"/>
    </row>
    <row r="18981" spans="1:1" s="200" customFormat="1" ht="12" hidden="1" customHeight="1">
      <c r="A18981" s="199"/>
    </row>
    <row r="18982" spans="1:1" s="200" customFormat="1" ht="12" hidden="1" customHeight="1">
      <c r="A18982" s="199"/>
    </row>
    <row r="18983" spans="1:1" s="200" customFormat="1" ht="12" hidden="1" customHeight="1">
      <c r="A18983" s="199"/>
    </row>
    <row r="18984" spans="1:1" s="200" customFormat="1" ht="12" hidden="1" customHeight="1">
      <c r="A18984" s="199"/>
    </row>
    <row r="18985" spans="1:1" s="200" customFormat="1" ht="12" hidden="1" customHeight="1">
      <c r="A18985" s="199"/>
    </row>
    <row r="18986" spans="1:1" s="200" customFormat="1" ht="12" hidden="1" customHeight="1">
      <c r="A18986" s="199"/>
    </row>
    <row r="18987" spans="1:1" s="200" customFormat="1" ht="12" hidden="1" customHeight="1">
      <c r="A18987" s="199"/>
    </row>
    <row r="18988" spans="1:1" s="200" customFormat="1" ht="12" hidden="1" customHeight="1">
      <c r="A18988" s="199"/>
    </row>
    <row r="18989" spans="1:1" s="200" customFormat="1" ht="12" hidden="1" customHeight="1">
      <c r="A18989" s="199"/>
    </row>
    <row r="18990" spans="1:1" s="200" customFormat="1" ht="12" hidden="1" customHeight="1">
      <c r="A18990" s="199"/>
    </row>
    <row r="18991" spans="1:1" s="200" customFormat="1" ht="12" hidden="1" customHeight="1">
      <c r="A18991" s="199"/>
    </row>
    <row r="18992" spans="1:1" s="200" customFormat="1" ht="12" hidden="1" customHeight="1">
      <c r="A18992" s="199"/>
    </row>
    <row r="18993" spans="1:1" s="200" customFormat="1" ht="12" hidden="1" customHeight="1">
      <c r="A18993" s="199"/>
    </row>
    <row r="18994" spans="1:1" s="200" customFormat="1" ht="12" hidden="1" customHeight="1">
      <c r="A18994" s="199"/>
    </row>
    <row r="18995" spans="1:1" s="200" customFormat="1" ht="12" hidden="1" customHeight="1">
      <c r="A18995" s="199"/>
    </row>
    <row r="18996" spans="1:1" s="200" customFormat="1" ht="12" hidden="1" customHeight="1">
      <c r="A18996" s="199"/>
    </row>
    <row r="18997" spans="1:1" s="200" customFormat="1" ht="12" hidden="1" customHeight="1">
      <c r="A18997" s="199"/>
    </row>
    <row r="18998" spans="1:1" s="200" customFormat="1" ht="12" hidden="1" customHeight="1">
      <c r="A18998" s="199"/>
    </row>
    <row r="18999" spans="1:1" s="200" customFormat="1" ht="12" hidden="1" customHeight="1">
      <c r="A18999" s="199"/>
    </row>
    <row r="19000" spans="1:1" s="200" customFormat="1" ht="12" hidden="1" customHeight="1">
      <c r="A19000" s="199"/>
    </row>
    <row r="19001" spans="1:1" s="200" customFormat="1" ht="12" hidden="1" customHeight="1">
      <c r="A19001" s="199"/>
    </row>
    <row r="19002" spans="1:1" s="200" customFormat="1" ht="12" hidden="1" customHeight="1">
      <c r="A19002" s="199"/>
    </row>
    <row r="19003" spans="1:1" s="200" customFormat="1" ht="12" hidden="1" customHeight="1">
      <c r="A19003" s="199"/>
    </row>
    <row r="19004" spans="1:1" s="200" customFormat="1" ht="12" hidden="1" customHeight="1">
      <c r="A19004" s="199"/>
    </row>
    <row r="19005" spans="1:1" s="200" customFormat="1" ht="12" hidden="1" customHeight="1">
      <c r="A19005" s="199"/>
    </row>
    <row r="19006" spans="1:1" s="200" customFormat="1" ht="12" hidden="1" customHeight="1">
      <c r="A19006" s="199"/>
    </row>
    <row r="19007" spans="1:1" s="200" customFormat="1" ht="12" hidden="1" customHeight="1">
      <c r="A19007" s="199"/>
    </row>
    <row r="19008" spans="1:1" s="200" customFormat="1" ht="12" hidden="1" customHeight="1">
      <c r="A19008" s="199"/>
    </row>
    <row r="19009" spans="1:1" s="200" customFormat="1" ht="12" hidden="1" customHeight="1">
      <c r="A19009" s="199"/>
    </row>
    <row r="19010" spans="1:1" s="200" customFormat="1" ht="12" hidden="1" customHeight="1">
      <c r="A19010" s="199"/>
    </row>
    <row r="19011" spans="1:1" s="200" customFormat="1" ht="12" hidden="1" customHeight="1">
      <c r="A19011" s="199"/>
    </row>
    <row r="19012" spans="1:1" s="200" customFormat="1" ht="12" hidden="1" customHeight="1">
      <c r="A19012" s="199"/>
    </row>
    <row r="19013" spans="1:1" s="200" customFormat="1" ht="12" hidden="1" customHeight="1">
      <c r="A19013" s="199"/>
    </row>
    <row r="19014" spans="1:1" s="200" customFormat="1" ht="12" hidden="1" customHeight="1">
      <c r="A19014" s="199"/>
    </row>
    <row r="19015" spans="1:1" s="200" customFormat="1" ht="12" hidden="1" customHeight="1">
      <c r="A19015" s="199"/>
    </row>
    <row r="19016" spans="1:1" s="200" customFormat="1" ht="12" hidden="1" customHeight="1">
      <c r="A19016" s="199"/>
    </row>
    <row r="19017" spans="1:1" s="200" customFormat="1" ht="12" hidden="1" customHeight="1">
      <c r="A19017" s="199"/>
    </row>
    <row r="19018" spans="1:1" s="200" customFormat="1" ht="12" hidden="1" customHeight="1">
      <c r="A19018" s="199"/>
    </row>
    <row r="19019" spans="1:1" s="200" customFormat="1" ht="12" hidden="1" customHeight="1">
      <c r="A19019" s="199"/>
    </row>
    <row r="19020" spans="1:1" s="200" customFormat="1" ht="12" hidden="1" customHeight="1">
      <c r="A19020" s="199"/>
    </row>
    <row r="19021" spans="1:1" s="200" customFormat="1" ht="12" hidden="1" customHeight="1">
      <c r="A19021" s="199"/>
    </row>
    <row r="19022" spans="1:1" s="200" customFormat="1" ht="12" hidden="1" customHeight="1">
      <c r="A19022" s="199"/>
    </row>
    <row r="19023" spans="1:1" s="200" customFormat="1" ht="12" hidden="1" customHeight="1">
      <c r="A19023" s="199"/>
    </row>
    <row r="19024" spans="1:1" s="200" customFormat="1" ht="12" hidden="1" customHeight="1">
      <c r="A19024" s="199"/>
    </row>
    <row r="19025" spans="1:1" s="200" customFormat="1" ht="12" hidden="1" customHeight="1">
      <c r="A19025" s="199"/>
    </row>
    <row r="19026" spans="1:1" s="200" customFormat="1" ht="12" hidden="1" customHeight="1">
      <c r="A19026" s="199"/>
    </row>
    <row r="19027" spans="1:1" s="200" customFormat="1" ht="12" hidden="1" customHeight="1">
      <c r="A19027" s="199"/>
    </row>
    <row r="19028" spans="1:1" s="200" customFormat="1" ht="12" hidden="1" customHeight="1">
      <c r="A19028" s="199"/>
    </row>
    <row r="19029" spans="1:1" s="200" customFormat="1" ht="12" hidden="1" customHeight="1">
      <c r="A19029" s="199"/>
    </row>
    <row r="19030" spans="1:1" s="200" customFormat="1" ht="12" hidden="1" customHeight="1">
      <c r="A19030" s="199"/>
    </row>
    <row r="19031" spans="1:1" s="200" customFormat="1" ht="12" hidden="1" customHeight="1">
      <c r="A19031" s="199"/>
    </row>
    <row r="19032" spans="1:1" s="200" customFormat="1" ht="12" hidden="1" customHeight="1">
      <c r="A19032" s="199"/>
    </row>
    <row r="19033" spans="1:1" s="200" customFormat="1" ht="12" hidden="1" customHeight="1">
      <c r="A19033" s="199"/>
    </row>
    <row r="19034" spans="1:1" s="200" customFormat="1" ht="12" hidden="1" customHeight="1">
      <c r="A19034" s="199"/>
    </row>
    <row r="19035" spans="1:1" s="200" customFormat="1" ht="12" hidden="1" customHeight="1">
      <c r="A19035" s="199"/>
    </row>
    <row r="19036" spans="1:1" s="200" customFormat="1" ht="12" hidden="1" customHeight="1">
      <c r="A19036" s="199"/>
    </row>
    <row r="19037" spans="1:1" s="200" customFormat="1" ht="12" hidden="1" customHeight="1">
      <c r="A19037" s="199"/>
    </row>
    <row r="19038" spans="1:1" s="200" customFormat="1" ht="12" hidden="1" customHeight="1">
      <c r="A19038" s="199"/>
    </row>
    <row r="19039" spans="1:1" s="200" customFormat="1" ht="12" hidden="1" customHeight="1">
      <c r="A19039" s="199"/>
    </row>
    <row r="19040" spans="1:1" s="200" customFormat="1" ht="12" hidden="1" customHeight="1">
      <c r="A19040" s="199"/>
    </row>
    <row r="19041" spans="1:1" s="200" customFormat="1" ht="12" hidden="1" customHeight="1">
      <c r="A19041" s="199"/>
    </row>
    <row r="19042" spans="1:1" s="200" customFormat="1" ht="12" hidden="1" customHeight="1">
      <c r="A19042" s="199"/>
    </row>
    <row r="19043" spans="1:1" s="200" customFormat="1" ht="12" hidden="1" customHeight="1">
      <c r="A19043" s="199"/>
    </row>
    <row r="19044" spans="1:1" s="200" customFormat="1" ht="12" hidden="1" customHeight="1">
      <c r="A19044" s="199"/>
    </row>
    <row r="19045" spans="1:1" s="200" customFormat="1" ht="12" hidden="1" customHeight="1">
      <c r="A19045" s="199"/>
    </row>
    <row r="19046" spans="1:1" s="200" customFormat="1" ht="12" hidden="1" customHeight="1">
      <c r="A19046" s="199"/>
    </row>
    <row r="19047" spans="1:1" s="200" customFormat="1" ht="12" hidden="1" customHeight="1">
      <c r="A19047" s="199"/>
    </row>
    <row r="19048" spans="1:1" s="200" customFormat="1" ht="12" hidden="1" customHeight="1">
      <c r="A19048" s="199"/>
    </row>
    <row r="19049" spans="1:1" s="200" customFormat="1" ht="12" hidden="1" customHeight="1">
      <c r="A19049" s="199"/>
    </row>
    <row r="19050" spans="1:1" s="200" customFormat="1" ht="12" hidden="1" customHeight="1">
      <c r="A19050" s="199"/>
    </row>
    <row r="19051" spans="1:1" s="200" customFormat="1" ht="12" hidden="1" customHeight="1">
      <c r="A19051" s="199"/>
    </row>
    <row r="19052" spans="1:1" s="200" customFormat="1" ht="12" hidden="1" customHeight="1">
      <c r="A19052" s="199"/>
    </row>
    <row r="19053" spans="1:1" s="200" customFormat="1" ht="12" hidden="1" customHeight="1">
      <c r="A19053" s="199"/>
    </row>
    <row r="19054" spans="1:1" s="200" customFormat="1" ht="12" hidden="1" customHeight="1">
      <c r="A19054" s="199"/>
    </row>
    <row r="19055" spans="1:1" s="200" customFormat="1" ht="12" hidden="1" customHeight="1">
      <c r="A19055" s="199"/>
    </row>
    <row r="19056" spans="1:1" s="200" customFormat="1" ht="12" hidden="1" customHeight="1">
      <c r="A19056" s="199"/>
    </row>
    <row r="19057" spans="1:1" s="200" customFormat="1" ht="12" hidden="1" customHeight="1">
      <c r="A19057" s="199"/>
    </row>
    <row r="19058" spans="1:1" s="200" customFormat="1" ht="12" hidden="1" customHeight="1">
      <c r="A19058" s="199"/>
    </row>
    <row r="19059" spans="1:1" s="200" customFormat="1" ht="12" hidden="1" customHeight="1">
      <c r="A19059" s="199"/>
    </row>
    <row r="19060" spans="1:1" s="200" customFormat="1" ht="12" hidden="1" customHeight="1">
      <c r="A19060" s="199"/>
    </row>
    <row r="19061" spans="1:1" s="200" customFormat="1" ht="12" hidden="1" customHeight="1">
      <c r="A19061" s="199"/>
    </row>
    <row r="19062" spans="1:1" s="200" customFormat="1" ht="12" hidden="1" customHeight="1">
      <c r="A19062" s="199"/>
    </row>
    <row r="19063" spans="1:1" s="200" customFormat="1" ht="12" hidden="1" customHeight="1">
      <c r="A19063" s="199"/>
    </row>
    <row r="19064" spans="1:1" s="200" customFormat="1" ht="12" hidden="1" customHeight="1">
      <c r="A19064" s="199"/>
    </row>
    <row r="19065" spans="1:1" s="200" customFormat="1" ht="12" hidden="1" customHeight="1">
      <c r="A19065" s="199"/>
    </row>
    <row r="19066" spans="1:1" s="200" customFormat="1" ht="12" hidden="1" customHeight="1">
      <c r="A19066" s="199"/>
    </row>
    <row r="19067" spans="1:1" s="200" customFormat="1" ht="12" hidden="1" customHeight="1">
      <c r="A19067" s="199"/>
    </row>
    <row r="19068" spans="1:1" s="200" customFormat="1" ht="12" hidden="1" customHeight="1">
      <c r="A19068" s="199"/>
    </row>
    <row r="19069" spans="1:1" s="200" customFormat="1" ht="12" hidden="1" customHeight="1">
      <c r="A19069" s="199"/>
    </row>
    <row r="19070" spans="1:1" s="200" customFormat="1" ht="12" hidden="1" customHeight="1">
      <c r="A19070" s="199"/>
    </row>
    <row r="19071" spans="1:1" s="200" customFormat="1" ht="12" hidden="1" customHeight="1">
      <c r="A19071" s="199"/>
    </row>
    <row r="19072" spans="1:1" s="200" customFormat="1" ht="12" hidden="1" customHeight="1">
      <c r="A19072" s="199"/>
    </row>
    <row r="19073" spans="1:1" s="200" customFormat="1" ht="12" hidden="1" customHeight="1">
      <c r="A19073" s="199"/>
    </row>
    <row r="19074" spans="1:1" s="200" customFormat="1" ht="12" hidden="1" customHeight="1">
      <c r="A19074" s="199"/>
    </row>
    <row r="19075" spans="1:1" s="200" customFormat="1" ht="12" hidden="1" customHeight="1">
      <c r="A19075" s="199"/>
    </row>
    <row r="19076" spans="1:1" s="200" customFormat="1" ht="12" hidden="1" customHeight="1">
      <c r="A19076" s="199"/>
    </row>
    <row r="19077" spans="1:1" s="200" customFormat="1" ht="12" hidden="1" customHeight="1">
      <c r="A19077" s="199"/>
    </row>
    <row r="19078" spans="1:1" s="200" customFormat="1" ht="12" hidden="1" customHeight="1">
      <c r="A19078" s="199"/>
    </row>
    <row r="19079" spans="1:1" s="200" customFormat="1" ht="12" hidden="1" customHeight="1">
      <c r="A19079" s="199"/>
    </row>
    <row r="19080" spans="1:1" s="200" customFormat="1" ht="12" hidden="1" customHeight="1">
      <c r="A19080" s="199"/>
    </row>
    <row r="19081" spans="1:1" s="200" customFormat="1" ht="12" hidden="1" customHeight="1">
      <c r="A19081" s="199"/>
    </row>
    <row r="19082" spans="1:1" s="200" customFormat="1" ht="12" hidden="1" customHeight="1">
      <c r="A19082" s="199"/>
    </row>
    <row r="19083" spans="1:1" s="200" customFormat="1" ht="12" hidden="1" customHeight="1">
      <c r="A19083" s="199"/>
    </row>
    <row r="19084" spans="1:1" s="200" customFormat="1" ht="12" hidden="1" customHeight="1">
      <c r="A19084" s="199"/>
    </row>
    <row r="19085" spans="1:1" s="200" customFormat="1" ht="12" hidden="1" customHeight="1">
      <c r="A19085" s="199"/>
    </row>
    <row r="19086" spans="1:1" s="200" customFormat="1" ht="12" hidden="1" customHeight="1">
      <c r="A19086" s="199"/>
    </row>
    <row r="19087" spans="1:1" s="200" customFormat="1" ht="12" hidden="1" customHeight="1">
      <c r="A19087" s="199"/>
    </row>
    <row r="19088" spans="1:1" s="200" customFormat="1" ht="12" hidden="1" customHeight="1">
      <c r="A19088" s="199"/>
    </row>
    <row r="19089" spans="1:1" s="200" customFormat="1" ht="12" hidden="1" customHeight="1">
      <c r="A19089" s="199"/>
    </row>
    <row r="19090" spans="1:1" s="200" customFormat="1" ht="12" hidden="1" customHeight="1">
      <c r="A19090" s="199"/>
    </row>
    <row r="19091" spans="1:1" s="200" customFormat="1" ht="12" hidden="1" customHeight="1">
      <c r="A19091" s="199"/>
    </row>
    <row r="19092" spans="1:1" s="200" customFormat="1" ht="12" hidden="1" customHeight="1">
      <c r="A19092" s="199"/>
    </row>
    <row r="19093" spans="1:1" s="200" customFormat="1" ht="12" hidden="1" customHeight="1">
      <c r="A19093" s="199"/>
    </row>
    <row r="19094" spans="1:1" s="200" customFormat="1" ht="12" hidden="1" customHeight="1">
      <c r="A19094" s="199"/>
    </row>
    <row r="19095" spans="1:1" s="200" customFormat="1" ht="12" hidden="1" customHeight="1">
      <c r="A19095" s="199"/>
    </row>
    <row r="19096" spans="1:1" s="200" customFormat="1" ht="12" hidden="1" customHeight="1">
      <c r="A19096" s="199"/>
    </row>
    <row r="19097" spans="1:1" s="200" customFormat="1" ht="12" hidden="1" customHeight="1">
      <c r="A19097" s="199"/>
    </row>
    <row r="19098" spans="1:1" s="200" customFormat="1" ht="12" hidden="1" customHeight="1">
      <c r="A19098" s="199"/>
    </row>
    <row r="19099" spans="1:1" s="200" customFormat="1" ht="12" hidden="1" customHeight="1">
      <c r="A19099" s="199"/>
    </row>
    <row r="19100" spans="1:1" s="200" customFormat="1" ht="12" hidden="1" customHeight="1">
      <c r="A19100" s="199"/>
    </row>
    <row r="19101" spans="1:1" s="200" customFormat="1" ht="12" hidden="1" customHeight="1">
      <c r="A19101" s="199"/>
    </row>
    <row r="19102" spans="1:1" s="200" customFormat="1" ht="12" hidden="1" customHeight="1">
      <c r="A19102" s="199"/>
    </row>
    <row r="19103" spans="1:1" s="200" customFormat="1" ht="12" hidden="1" customHeight="1">
      <c r="A19103" s="199"/>
    </row>
    <row r="19104" spans="1:1" s="200" customFormat="1" ht="12" hidden="1" customHeight="1">
      <c r="A19104" s="199"/>
    </row>
    <row r="19105" spans="1:1" s="200" customFormat="1" ht="12" hidden="1" customHeight="1">
      <c r="A19105" s="199"/>
    </row>
    <row r="19106" spans="1:1" s="200" customFormat="1" ht="12" hidden="1" customHeight="1">
      <c r="A19106" s="199"/>
    </row>
    <row r="19107" spans="1:1" s="200" customFormat="1" ht="12" hidden="1" customHeight="1">
      <c r="A19107" s="199"/>
    </row>
    <row r="19108" spans="1:1" s="200" customFormat="1" ht="12" hidden="1" customHeight="1">
      <c r="A19108" s="199"/>
    </row>
    <row r="19109" spans="1:1" s="200" customFormat="1" ht="12" hidden="1" customHeight="1">
      <c r="A19109" s="199"/>
    </row>
    <row r="19110" spans="1:1" s="200" customFormat="1" ht="12" hidden="1" customHeight="1">
      <c r="A19110" s="199"/>
    </row>
    <row r="19111" spans="1:1" s="200" customFormat="1" ht="12" hidden="1" customHeight="1">
      <c r="A19111" s="199"/>
    </row>
    <row r="19112" spans="1:1" s="200" customFormat="1" ht="12" hidden="1" customHeight="1">
      <c r="A19112" s="199"/>
    </row>
    <row r="19113" spans="1:1" s="200" customFormat="1" ht="12" hidden="1" customHeight="1">
      <c r="A19113" s="199"/>
    </row>
    <row r="19114" spans="1:1" s="200" customFormat="1" ht="12" hidden="1" customHeight="1">
      <c r="A19114" s="199"/>
    </row>
    <row r="19115" spans="1:1" s="200" customFormat="1" ht="12" hidden="1" customHeight="1">
      <c r="A19115" s="199"/>
    </row>
    <row r="19116" spans="1:1" s="200" customFormat="1" ht="12" hidden="1" customHeight="1">
      <c r="A19116" s="199"/>
    </row>
    <row r="19117" spans="1:1" s="200" customFormat="1" ht="12" hidden="1" customHeight="1">
      <c r="A19117" s="199"/>
    </row>
    <row r="19118" spans="1:1" s="200" customFormat="1" ht="12" hidden="1" customHeight="1">
      <c r="A19118" s="199"/>
    </row>
    <row r="19119" spans="1:1" s="200" customFormat="1" ht="12" hidden="1" customHeight="1">
      <c r="A19119" s="199"/>
    </row>
    <row r="19120" spans="1:1" s="200" customFormat="1" ht="12" hidden="1" customHeight="1">
      <c r="A19120" s="199"/>
    </row>
    <row r="19121" spans="1:1" s="200" customFormat="1" ht="12" hidden="1" customHeight="1">
      <c r="A19121" s="199"/>
    </row>
    <row r="19122" spans="1:1" s="200" customFormat="1" ht="12" hidden="1" customHeight="1">
      <c r="A19122" s="199"/>
    </row>
    <row r="19123" spans="1:1" s="200" customFormat="1" ht="12" hidden="1" customHeight="1">
      <c r="A19123" s="199"/>
    </row>
    <row r="19124" spans="1:1" s="200" customFormat="1" ht="12" hidden="1" customHeight="1">
      <c r="A19124" s="199"/>
    </row>
    <row r="19125" spans="1:1" s="200" customFormat="1" ht="12" hidden="1" customHeight="1">
      <c r="A19125" s="199"/>
    </row>
    <row r="19126" spans="1:1" s="200" customFormat="1" ht="12" hidden="1" customHeight="1">
      <c r="A19126" s="199"/>
    </row>
    <row r="19127" spans="1:1" s="200" customFormat="1" ht="12" hidden="1" customHeight="1">
      <c r="A19127" s="199"/>
    </row>
    <row r="19128" spans="1:1" s="200" customFormat="1" ht="12" hidden="1" customHeight="1">
      <c r="A19128" s="199"/>
    </row>
    <row r="19129" spans="1:1" s="200" customFormat="1" ht="12" hidden="1" customHeight="1">
      <c r="A19129" s="199"/>
    </row>
    <row r="19130" spans="1:1" s="200" customFormat="1" ht="12" hidden="1" customHeight="1">
      <c r="A19130" s="199"/>
    </row>
    <row r="19131" spans="1:1" s="200" customFormat="1" ht="12" hidden="1" customHeight="1">
      <c r="A19131" s="199"/>
    </row>
    <row r="19132" spans="1:1" s="200" customFormat="1" ht="12" hidden="1" customHeight="1">
      <c r="A19132" s="199"/>
    </row>
    <row r="19133" spans="1:1" s="200" customFormat="1" ht="12" hidden="1" customHeight="1">
      <c r="A19133" s="199"/>
    </row>
    <row r="19134" spans="1:1" s="200" customFormat="1" ht="12" hidden="1" customHeight="1">
      <c r="A19134" s="199"/>
    </row>
    <row r="19135" spans="1:1" s="200" customFormat="1" ht="12" hidden="1" customHeight="1">
      <c r="A19135" s="199"/>
    </row>
    <row r="19136" spans="1:1" s="200" customFormat="1" ht="12" hidden="1" customHeight="1">
      <c r="A19136" s="199"/>
    </row>
    <row r="19137" spans="1:1" s="200" customFormat="1" ht="12" hidden="1" customHeight="1">
      <c r="A19137" s="199"/>
    </row>
    <row r="19138" spans="1:1" s="200" customFormat="1" ht="12" hidden="1" customHeight="1">
      <c r="A19138" s="199"/>
    </row>
    <row r="19139" spans="1:1" s="200" customFormat="1" ht="12" hidden="1" customHeight="1">
      <c r="A19139" s="199"/>
    </row>
    <row r="19140" spans="1:1" s="200" customFormat="1" ht="12" hidden="1" customHeight="1">
      <c r="A19140" s="199"/>
    </row>
    <row r="19141" spans="1:1" s="200" customFormat="1" ht="12" hidden="1" customHeight="1">
      <c r="A19141" s="199"/>
    </row>
    <row r="19142" spans="1:1" s="200" customFormat="1" ht="12" hidden="1" customHeight="1">
      <c r="A19142" s="199"/>
    </row>
    <row r="19143" spans="1:1" s="200" customFormat="1" ht="12" hidden="1" customHeight="1">
      <c r="A19143" s="199"/>
    </row>
    <row r="19144" spans="1:1" s="200" customFormat="1" ht="12" hidden="1" customHeight="1">
      <c r="A19144" s="199"/>
    </row>
    <row r="19145" spans="1:1" s="200" customFormat="1" ht="12" hidden="1" customHeight="1">
      <c r="A19145" s="199"/>
    </row>
    <row r="19146" spans="1:1" s="200" customFormat="1" ht="12" hidden="1" customHeight="1">
      <c r="A19146" s="199"/>
    </row>
    <row r="19147" spans="1:1" s="200" customFormat="1" ht="12" hidden="1" customHeight="1">
      <c r="A19147" s="199"/>
    </row>
    <row r="19148" spans="1:1" s="200" customFormat="1" ht="12" hidden="1" customHeight="1">
      <c r="A19148" s="199"/>
    </row>
    <row r="19149" spans="1:1" s="200" customFormat="1" ht="12" hidden="1" customHeight="1">
      <c r="A19149" s="199"/>
    </row>
    <row r="19150" spans="1:1" s="200" customFormat="1" ht="12" hidden="1" customHeight="1">
      <c r="A19150" s="199"/>
    </row>
    <row r="19151" spans="1:1" s="200" customFormat="1" ht="12" hidden="1" customHeight="1">
      <c r="A19151" s="199"/>
    </row>
    <row r="19152" spans="1:1" s="200" customFormat="1" ht="12" hidden="1" customHeight="1">
      <c r="A19152" s="199"/>
    </row>
    <row r="19153" spans="1:1" s="200" customFormat="1" ht="12" hidden="1" customHeight="1">
      <c r="A19153" s="199"/>
    </row>
    <row r="19154" spans="1:1" s="200" customFormat="1" ht="12" hidden="1" customHeight="1">
      <c r="A19154" s="199"/>
    </row>
    <row r="19155" spans="1:1" s="200" customFormat="1" ht="12" hidden="1" customHeight="1">
      <c r="A19155" s="199"/>
    </row>
    <row r="19156" spans="1:1" s="200" customFormat="1" ht="12" hidden="1" customHeight="1">
      <c r="A19156" s="199"/>
    </row>
    <row r="19157" spans="1:1" s="200" customFormat="1" ht="12" hidden="1" customHeight="1">
      <c r="A19157" s="199"/>
    </row>
    <row r="19158" spans="1:1" s="200" customFormat="1" ht="12" hidden="1" customHeight="1">
      <c r="A19158" s="199"/>
    </row>
    <row r="19159" spans="1:1" s="200" customFormat="1" ht="12" hidden="1" customHeight="1">
      <c r="A19159" s="199"/>
    </row>
    <row r="19160" spans="1:1" s="200" customFormat="1" ht="12" hidden="1" customHeight="1">
      <c r="A19160" s="199"/>
    </row>
    <row r="19161" spans="1:1" s="200" customFormat="1" ht="12" hidden="1" customHeight="1">
      <c r="A19161" s="199"/>
    </row>
    <row r="19162" spans="1:1" s="200" customFormat="1" ht="12" hidden="1" customHeight="1">
      <c r="A19162" s="199"/>
    </row>
    <row r="19163" spans="1:1" s="200" customFormat="1" ht="12" hidden="1" customHeight="1">
      <c r="A19163" s="199"/>
    </row>
    <row r="19164" spans="1:1" s="200" customFormat="1" ht="12" hidden="1" customHeight="1">
      <c r="A19164" s="199"/>
    </row>
    <row r="19165" spans="1:1" s="200" customFormat="1" ht="12" hidden="1" customHeight="1">
      <c r="A19165" s="199"/>
    </row>
    <row r="19166" spans="1:1" s="200" customFormat="1" ht="12" hidden="1" customHeight="1">
      <c r="A19166" s="199"/>
    </row>
    <row r="19167" spans="1:1" s="200" customFormat="1" ht="12" hidden="1" customHeight="1">
      <c r="A19167" s="199"/>
    </row>
    <row r="19168" spans="1:1" s="200" customFormat="1" ht="12" hidden="1" customHeight="1">
      <c r="A19168" s="199"/>
    </row>
    <row r="19169" spans="1:1" s="200" customFormat="1" ht="12" hidden="1" customHeight="1">
      <c r="A19169" s="199"/>
    </row>
    <row r="19170" spans="1:1" s="200" customFormat="1" ht="12" hidden="1" customHeight="1">
      <c r="A19170" s="199"/>
    </row>
    <row r="19171" spans="1:1" s="200" customFormat="1" ht="12" hidden="1" customHeight="1">
      <c r="A19171" s="199"/>
    </row>
    <row r="19172" spans="1:1" s="200" customFormat="1" ht="12" hidden="1" customHeight="1">
      <c r="A19172" s="199"/>
    </row>
    <row r="19173" spans="1:1" s="200" customFormat="1" ht="12" hidden="1" customHeight="1">
      <c r="A19173" s="199"/>
    </row>
    <row r="19174" spans="1:1" s="200" customFormat="1" ht="12" hidden="1" customHeight="1">
      <c r="A19174" s="199"/>
    </row>
    <row r="19175" spans="1:1" s="200" customFormat="1" ht="12" hidden="1" customHeight="1">
      <c r="A19175" s="199"/>
    </row>
    <row r="19176" spans="1:1" s="200" customFormat="1" ht="12" hidden="1" customHeight="1">
      <c r="A19176" s="199"/>
    </row>
    <row r="19177" spans="1:1" s="200" customFormat="1" ht="12" hidden="1" customHeight="1">
      <c r="A19177" s="199"/>
    </row>
    <row r="19178" spans="1:1" s="200" customFormat="1" ht="12" hidden="1" customHeight="1">
      <c r="A19178" s="199"/>
    </row>
    <row r="19179" spans="1:1" s="200" customFormat="1" ht="12" hidden="1" customHeight="1">
      <c r="A19179" s="199"/>
    </row>
    <row r="19180" spans="1:1" s="200" customFormat="1" ht="12" hidden="1" customHeight="1">
      <c r="A19180" s="199"/>
    </row>
    <row r="19181" spans="1:1" s="200" customFormat="1" ht="12" hidden="1" customHeight="1">
      <c r="A19181" s="199"/>
    </row>
    <row r="19182" spans="1:1" s="200" customFormat="1" ht="12" hidden="1" customHeight="1">
      <c r="A19182" s="199"/>
    </row>
    <row r="19183" spans="1:1" s="200" customFormat="1" ht="12" hidden="1" customHeight="1">
      <c r="A19183" s="199"/>
    </row>
    <row r="19184" spans="1:1" s="200" customFormat="1" ht="12" hidden="1" customHeight="1">
      <c r="A19184" s="199"/>
    </row>
    <row r="19185" spans="1:1" s="200" customFormat="1" ht="12" hidden="1" customHeight="1">
      <c r="A19185" s="199"/>
    </row>
    <row r="19186" spans="1:1" s="200" customFormat="1" ht="12" hidden="1" customHeight="1">
      <c r="A19186" s="199"/>
    </row>
    <row r="19187" spans="1:1" s="200" customFormat="1" ht="12" hidden="1" customHeight="1">
      <c r="A19187" s="199"/>
    </row>
    <row r="19188" spans="1:1" s="200" customFormat="1" ht="12" hidden="1" customHeight="1">
      <c r="A19188" s="199"/>
    </row>
    <row r="19189" spans="1:1" s="200" customFormat="1" ht="12" hidden="1" customHeight="1">
      <c r="A19189" s="199"/>
    </row>
    <row r="19190" spans="1:1" s="200" customFormat="1" ht="12" hidden="1" customHeight="1">
      <c r="A19190" s="199"/>
    </row>
    <row r="19191" spans="1:1" s="200" customFormat="1" ht="12" hidden="1" customHeight="1">
      <c r="A19191" s="199"/>
    </row>
    <row r="19192" spans="1:1" s="200" customFormat="1" ht="12" hidden="1" customHeight="1">
      <c r="A19192" s="199"/>
    </row>
    <row r="19193" spans="1:1" s="200" customFormat="1" ht="12" hidden="1" customHeight="1">
      <c r="A19193" s="199"/>
    </row>
    <row r="19194" spans="1:1" s="200" customFormat="1" ht="12" hidden="1" customHeight="1">
      <c r="A19194" s="199"/>
    </row>
    <row r="19195" spans="1:1" s="200" customFormat="1" ht="12" hidden="1" customHeight="1">
      <c r="A19195" s="199"/>
    </row>
    <row r="19196" spans="1:1" s="200" customFormat="1" ht="12" hidden="1" customHeight="1">
      <c r="A19196" s="199"/>
    </row>
    <row r="19197" spans="1:1" s="200" customFormat="1" ht="12" hidden="1" customHeight="1">
      <c r="A19197" s="199"/>
    </row>
    <row r="19198" spans="1:1" s="200" customFormat="1" ht="12" hidden="1" customHeight="1">
      <c r="A19198" s="199"/>
    </row>
    <row r="19199" spans="1:1" s="200" customFormat="1" ht="12" hidden="1" customHeight="1">
      <c r="A19199" s="199"/>
    </row>
    <row r="19200" spans="1:1" s="200" customFormat="1" ht="12" hidden="1" customHeight="1">
      <c r="A19200" s="199"/>
    </row>
    <row r="19201" spans="1:1" s="200" customFormat="1" ht="12" hidden="1" customHeight="1">
      <c r="A19201" s="199"/>
    </row>
    <row r="19202" spans="1:1" s="200" customFormat="1" ht="12" hidden="1" customHeight="1">
      <c r="A19202" s="199"/>
    </row>
    <row r="19203" spans="1:1" s="200" customFormat="1" ht="12" hidden="1" customHeight="1">
      <c r="A19203" s="199"/>
    </row>
    <row r="19204" spans="1:1" s="200" customFormat="1" ht="12" hidden="1" customHeight="1">
      <c r="A19204" s="199"/>
    </row>
    <row r="19205" spans="1:1" s="200" customFormat="1" ht="12" hidden="1" customHeight="1">
      <c r="A19205" s="199"/>
    </row>
    <row r="19206" spans="1:1" s="200" customFormat="1" ht="12" hidden="1" customHeight="1">
      <c r="A19206" s="199"/>
    </row>
    <row r="19207" spans="1:1" s="200" customFormat="1" ht="12" hidden="1" customHeight="1">
      <c r="A19207" s="199"/>
    </row>
    <row r="19208" spans="1:1" s="200" customFormat="1" ht="12" hidden="1" customHeight="1">
      <c r="A19208" s="199"/>
    </row>
    <row r="19209" spans="1:1" s="200" customFormat="1" ht="12" hidden="1" customHeight="1">
      <c r="A19209" s="199"/>
    </row>
    <row r="19210" spans="1:1" s="200" customFormat="1" ht="12" hidden="1" customHeight="1">
      <c r="A19210" s="199"/>
    </row>
    <row r="19211" spans="1:1" s="200" customFormat="1" ht="12" hidden="1" customHeight="1">
      <c r="A19211" s="199"/>
    </row>
    <row r="19212" spans="1:1" s="200" customFormat="1" ht="12" hidden="1" customHeight="1">
      <c r="A19212" s="199"/>
    </row>
    <row r="19213" spans="1:1" s="200" customFormat="1" ht="12" hidden="1" customHeight="1">
      <c r="A19213" s="199"/>
    </row>
    <row r="19214" spans="1:1" s="200" customFormat="1" ht="12" hidden="1" customHeight="1">
      <c r="A19214" s="199"/>
    </row>
    <row r="19215" spans="1:1" s="200" customFormat="1" ht="12" hidden="1" customHeight="1">
      <c r="A19215" s="199"/>
    </row>
    <row r="19216" spans="1:1" s="200" customFormat="1" ht="12" hidden="1" customHeight="1">
      <c r="A19216" s="199"/>
    </row>
    <row r="19217" spans="1:1" s="200" customFormat="1" ht="12" hidden="1" customHeight="1">
      <c r="A19217" s="199"/>
    </row>
    <row r="19218" spans="1:1" s="200" customFormat="1" ht="12" hidden="1" customHeight="1">
      <c r="A19218" s="199"/>
    </row>
    <row r="19219" spans="1:1" s="200" customFormat="1" ht="12" hidden="1" customHeight="1">
      <c r="A19219" s="199"/>
    </row>
    <row r="19220" spans="1:1" s="200" customFormat="1" ht="12" hidden="1" customHeight="1">
      <c r="A19220" s="199"/>
    </row>
    <row r="19221" spans="1:1" s="200" customFormat="1" ht="12" hidden="1" customHeight="1">
      <c r="A19221" s="199"/>
    </row>
    <row r="19222" spans="1:1" s="200" customFormat="1" ht="12" hidden="1" customHeight="1">
      <c r="A19222" s="199"/>
    </row>
    <row r="19223" spans="1:1" s="200" customFormat="1" ht="12" hidden="1" customHeight="1">
      <c r="A19223" s="199"/>
    </row>
    <row r="19224" spans="1:1" s="200" customFormat="1" ht="12" hidden="1" customHeight="1">
      <c r="A19224" s="199"/>
    </row>
    <row r="19225" spans="1:1" s="200" customFormat="1" ht="12" hidden="1" customHeight="1">
      <c r="A19225" s="199"/>
    </row>
    <row r="19226" spans="1:1" s="200" customFormat="1" ht="12" hidden="1" customHeight="1">
      <c r="A19226" s="199"/>
    </row>
    <row r="19227" spans="1:1" s="200" customFormat="1" ht="12" hidden="1" customHeight="1">
      <c r="A19227" s="199"/>
    </row>
    <row r="19228" spans="1:1" s="200" customFormat="1" ht="12" hidden="1" customHeight="1">
      <c r="A19228" s="199"/>
    </row>
    <row r="19229" spans="1:1" s="200" customFormat="1" ht="12" hidden="1" customHeight="1">
      <c r="A19229" s="199"/>
    </row>
    <row r="19230" spans="1:1" s="200" customFormat="1" ht="12" hidden="1" customHeight="1">
      <c r="A19230" s="199"/>
    </row>
    <row r="19231" spans="1:1" s="200" customFormat="1" ht="12" hidden="1" customHeight="1">
      <c r="A19231" s="199"/>
    </row>
    <row r="19232" spans="1:1" s="200" customFormat="1" ht="12" hidden="1" customHeight="1">
      <c r="A19232" s="199"/>
    </row>
    <row r="19233" spans="1:1" s="200" customFormat="1" ht="12" hidden="1" customHeight="1">
      <c r="A19233" s="199"/>
    </row>
    <row r="19234" spans="1:1" s="200" customFormat="1" ht="12" hidden="1" customHeight="1">
      <c r="A19234" s="199"/>
    </row>
    <row r="19235" spans="1:1" s="200" customFormat="1" ht="12" hidden="1" customHeight="1">
      <c r="A19235" s="199"/>
    </row>
    <row r="19236" spans="1:1" s="200" customFormat="1" ht="12" hidden="1" customHeight="1">
      <c r="A19236" s="199"/>
    </row>
    <row r="19237" spans="1:1" s="200" customFormat="1" ht="12" hidden="1" customHeight="1">
      <c r="A19237" s="199"/>
    </row>
    <row r="19238" spans="1:1" s="200" customFormat="1" ht="12" hidden="1" customHeight="1">
      <c r="A19238" s="199"/>
    </row>
    <row r="19239" spans="1:1" s="200" customFormat="1" ht="12" hidden="1" customHeight="1">
      <c r="A19239" s="199"/>
    </row>
    <row r="19240" spans="1:1" s="200" customFormat="1" ht="12" hidden="1" customHeight="1">
      <c r="A19240" s="199"/>
    </row>
    <row r="19241" spans="1:1" s="200" customFormat="1" ht="12" hidden="1" customHeight="1">
      <c r="A19241" s="199"/>
    </row>
    <row r="19242" spans="1:1" s="200" customFormat="1" ht="12" hidden="1" customHeight="1">
      <c r="A19242" s="199"/>
    </row>
    <row r="19243" spans="1:1" s="200" customFormat="1" ht="12" hidden="1" customHeight="1">
      <c r="A19243" s="199"/>
    </row>
    <row r="19244" spans="1:1" s="200" customFormat="1" ht="12" hidden="1" customHeight="1">
      <c r="A19244" s="199"/>
    </row>
    <row r="19245" spans="1:1" s="200" customFormat="1" ht="12" hidden="1" customHeight="1">
      <c r="A19245" s="199"/>
    </row>
    <row r="19246" spans="1:1" s="200" customFormat="1" ht="12" hidden="1" customHeight="1">
      <c r="A19246" s="199"/>
    </row>
    <row r="19247" spans="1:1" s="200" customFormat="1" ht="12" hidden="1" customHeight="1">
      <c r="A19247" s="199"/>
    </row>
    <row r="19248" spans="1:1" s="200" customFormat="1" ht="12" hidden="1" customHeight="1">
      <c r="A19248" s="199"/>
    </row>
    <row r="19249" spans="1:1" s="200" customFormat="1" ht="12" hidden="1" customHeight="1">
      <c r="A19249" s="199"/>
    </row>
    <row r="19250" spans="1:1" s="200" customFormat="1" ht="12" hidden="1" customHeight="1">
      <c r="A19250" s="199"/>
    </row>
    <row r="19251" spans="1:1" s="200" customFormat="1" ht="12" hidden="1" customHeight="1">
      <c r="A19251" s="199"/>
    </row>
    <row r="19252" spans="1:1" s="200" customFormat="1" ht="12" hidden="1" customHeight="1">
      <c r="A19252" s="199"/>
    </row>
    <row r="19253" spans="1:1" s="200" customFormat="1" ht="12" hidden="1" customHeight="1">
      <c r="A19253" s="199"/>
    </row>
    <row r="19254" spans="1:1" s="200" customFormat="1" ht="12" hidden="1" customHeight="1">
      <c r="A19254" s="199"/>
    </row>
    <row r="19255" spans="1:1" s="200" customFormat="1" ht="12" hidden="1" customHeight="1">
      <c r="A19255" s="199"/>
    </row>
    <row r="19256" spans="1:1" s="200" customFormat="1" ht="12" hidden="1" customHeight="1">
      <c r="A19256" s="199"/>
    </row>
    <row r="19257" spans="1:1" s="200" customFormat="1" ht="12" hidden="1" customHeight="1">
      <c r="A19257" s="199"/>
    </row>
    <row r="19258" spans="1:1" s="200" customFormat="1" ht="12" hidden="1" customHeight="1">
      <c r="A19258" s="199"/>
    </row>
    <row r="19259" spans="1:1" s="200" customFormat="1" ht="12" hidden="1" customHeight="1">
      <c r="A19259" s="199"/>
    </row>
    <row r="19260" spans="1:1" s="200" customFormat="1" ht="12" hidden="1" customHeight="1">
      <c r="A19260" s="199"/>
    </row>
    <row r="19261" spans="1:1" s="200" customFormat="1" ht="12" hidden="1" customHeight="1">
      <c r="A19261" s="199"/>
    </row>
    <row r="19262" spans="1:1" s="200" customFormat="1" ht="12" hidden="1" customHeight="1">
      <c r="A19262" s="199"/>
    </row>
    <row r="19263" spans="1:1" s="200" customFormat="1" ht="12" hidden="1" customHeight="1">
      <c r="A19263" s="199"/>
    </row>
    <row r="19264" spans="1:1" s="200" customFormat="1" ht="12" hidden="1" customHeight="1">
      <c r="A19264" s="199"/>
    </row>
    <row r="19265" spans="1:1" s="200" customFormat="1" ht="12" hidden="1" customHeight="1">
      <c r="A19265" s="199"/>
    </row>
    <row r="19266" spans="1:1" s="200" customFormat="1" ht="12" hidden="1" customHeight="1">
      <c r="A19266" s="199"/>
    </row>
    <row r="19267" spans="1:1" s="200" customFormat="1" ht="12" hidden="1" customHeight="1">
      <c r="A19267" s="199"/>
    </row>
    <row r="19268" spans="1:1" s="200" customFormat="1" ht="12" hidden="1" customHeight="1">
      <c r="A19268" s="199"/>
    </row>
    <row r="19269" spans="1:1" s="200" customFormat="1" ht="12" hidden="1" customHeight="1">
      <c r="A19269" s="199"/>
    </row>
    <row r="19270" spans="1:1" s="200" customFormat="1" ht="12" hidden="1" customHeight="1">
      <c r="A19270" s="199"/>
    </row>
    <row r="19271" spans="1:1" s="200" customFormat="1" ht="12" hidden="1" customHeight="1">
      <c r="A19271" s="199"/>
    </row>
    <row r="19272" spans="1:1" s="200" customFormat="1" ht="12" hidden="1" customHeight="1">
      <c r="A19272" s="199"/>
    </row>
    <row r="19273" spans="1:1" s="200" customFormat="1" ht="12" hidden="1" customHeight="1">
      <c r="A19273" s="199"/>
    </row>
    <row r="19274" spans="1:1" s="200" customFormat="1" ht="12" hidden="1" customHeight="1">
      <c r="A19274" s="199"/>
    </row>
    <row r="19275" spans="1:1" s="200" customFormat="1" ht="12" hidden="1" customHeight="1">
      <c r="A19275" s="199"/>
    </row>
    <row r="19276" spans="1:1" s="200" customFormat="1" ht="12" hidden="1" customHeight="1">
      <c r="A19276" s="199"/>
    </row>
    <row r="19277" spans="1:1" s="200" customFormat="1" ht="12" hidden="1" customHeight="1">
      <c r="A19277" s="199"/>
    </row>
    <row r="19278" spans="1:1" s="200" customFormat="1" ht="12" hidden="1" customHeight="1">
      <c r="A19278" s="199"/>
    </row>
    <row r="19279" spans="1:1" s="200" customFormat="1" ht="12" hidden="1" customHeight="1">
      <c r="A19279" s="199"/>
    </row>
    <row r="19280" spans="1:1" s="200" customFormat="1" ht="12" hidden="1" customHeight="1">
      <c r="A19280" s="199"/>
    </row>
    <row r="19281" spans="1:1" s="200" customFormat="1" ht="12" hidden="1" customHeight="1">
      <c r="A19281" s="199"/>
    </row>
    <row r="19282" spans="1:1" s="200" customFormat="1" ht="12" hidden="1" customHeight="1">
      <c r="A19282" s="199"/>
    </row>
    <row r="19283" spans="1:1" s="200" customFormat="1" ht="12" hidden="1" customHeight="1">
      <c r="A19283" s="199"/>
    </row>
    <row r="19284" spans="1:1" s="200" customFormat="1" ht="12" hidden="1" customHeight="1">
      <c r="A19284" s="199"/>
    </row>
    <row r="19285" spans="1:1" s="200" customFormat="1" ht="12" hidden="1" customHeight="1">
      <c r="A19285" s="199"/>
    </row>
    <row r="19286" spans="1:1" s="200" customFormat="1" ht="12" hidden="1" customHeight="1">
      <c r="A19286" s="199"/>
    </row>
    <row r="19287" spans="1:1" s="200" customFormat="1" ht="12" hidden="1" customHeight="1">
      <c r="A19287" s="199"/>
    </row>
    <row r="19288" spans="1:1" s="200" customFormat="1" ht="12" hidden="1" customHeight="1">
      <c r="A19288" s="199"/>
    </row>
    <row r="19289" spans="1:1" s="200" customFormat="1" ht="12" hidden="1" customHeight="1">
      <c r="A19289" s="199"/>
    </row>
    <row r="19290" spans="1:1" s="200" customFormat="1" ht="12" hidden="1" customHeight="1">
      <c r="A19290" s="199"/>
    </row>
    <row r="19291" spans="1:1" s="200" customFormat="1" ht="12" hidden="1" customHeight="1">
      <c r="A19291" s="199"/>
    </row>
    <row r="19292" spans="1:1" s="200" customFormat="1" ht="12" hidden="1" customHeight="1">
      <c r="A19292" s="199"/>
    </row>
    <row r="19293" spans="1:1" s="200" customFormat="1" ht="12" hidden="1" customHeight="1">
      <c r="A19293" s="199"/>
    </row>
    <row r="19294" spans="1:1" s="200" customFormat="1" ht="12" hidden="1" customHeight="1">
      <c r="A19294" s="199"/>
    </row>
    <row r="19295" spans="1:1" s="200" customFormat="1" ht="12" hidden="1" customHeight="1">
      <c r="A19295" s="199"/>
    </row>
    <row r="19296" spans="1:1" s="200" customFormat="1" ht="12" hidden="1" customHeight="1">
      <c r="A19296" s="199"/>
    </row>
    <row r="19297" spans="1:1" s="200" customFormat="1" ht="12" hidden="1" customHeight="1">
      <c r="A19297" s="199"/>
    </row>
    <row r="19298" spans="1:1" s="200" customFormat="1" ht="12" hidden="1" customHeight="1">
      <c r="A19298" s="199"/>
    </row>
    <row r="19299" spans="1:1" s="200" customFormat="1" ht="12" hidden="1" customHeight="1">
      <c r="A19299" s="199"/>
    </row>
    <row r="19300" spans="1:1" s="200" customFormat="1" ht="12" hidden="1" customHeight="1">
      <c r="A19300" s="199"/>
    </row>
    <row r="19301" spans="1:1" s="200" customFormat="1" ht="12" hidden="1" customHeight="1">
      <c r="A19301" s="199"/>
    </row>
    <row r="19302" spans="1:1" s="200" customFormat="1" ht="12" hidden="1" customHeight="1">
      <c r="A19302" s="199"/>
    </row>
    <row r="19303" spans="1:1" s="200" customFormat="1" ht="12" hidden="1" customHeight="1">
      <c r="A19303" s="199"/>
    </row>
    <row r="19304" spans="1:1" s="200" customFormat="1" ht="12" hidden="1" customHeight="1">
      <c r="A19304" s="199"/>
    </row>
    <row r="19305" spans="1:1" s="200" customFormat="1" ht="12" hidden="1" customHeight="1">
      <c r="A19305" s="199"/>
    </row>
    <row r="19306" spans="1:1" s="200" customFormat="1" ht="12" hidden="1" customHeight="1">
      <c r="A19306" s="199"/>
    </row>
    <row r="19307" spans="1:1" s="200" customFormat="1" ht="12" hidden="1" customHeight="1">
      <c r="A19307" s="199"/>
    </row>
    <row r="19308" spans="1:1" s="200" customFormat="1" ht="12" hidden="1" customHeight="1">
      <c r="A19308" s="199"/>
    </row>
    <row r="19309" spans="1:1" s="200" customFormat="1" ht="12" hidden="1" customHeight="1">
      <c r="A19309" s="199"/>
    </row>
    <row r="19310" spans="1:1" s="200" customFormat="1" ht="12" hidden="1" customHeight="1">
      <c r="A19310" s="199"/>
    </row>
    <row r="19311" spans="1:1" s="200" customFormat="1" ht="12" hidden="1" customHeight="1">
      <c r="A19311" s="199"/>
    </row>
    <row r="19312" spans="1:1" s="200" customFormat="1" ht="12" hidden="1" customHeight="1">
      <c r="A19312" s="199"/>
    </row>
    <row r="19313" spans="1:1" s="200" customFormat="1" ht="12" hidden="1" customHeight="1">
      <c r="A19313" s="199"/>
    </row>
    <row r="19314" spans="1:1" s="200" customFormat="1" ht="12" hidden="1" customHeight="1">
      <c r="A19314" s="199"/>
    </row>
    <row r="19315" spans="1:1" s="200" customFormat="1" ht="12" hidden="1" customHeight="1">
      <c r="A19315" s="199"/>
    </row>
    <row r="19316" spans="1:1" s="200" customFormat="1" ht="12" hidden="1" customHeight="1">
      <c r="A19316" s="199"/>
    </row>
    <row r="19317" spans="1:1" s="200" customFormat="1" ht="12" hidden="1" customHeight="1">
      <c r="A19317" s="199"/>
    </row>
    <row r="19318" spans="1:1" s="200" customFormat="1" ht="12" hidden="1" customHeight="1">
      <c r="A19318" s="199"/>
    </row>
    <row r="19319" spans="1:1" s="200" customFormat="1" ht="12" hidden="1" customHeight="1">
      <c r="A19319" s="199"/>
    </row>
    <row r="19320" spans="1:1" s="200" customFormat="1" ht="12" hidden="1" customHeight="1">
      <c r="A19320" s="199"/>
    </row>
    <row r="19321" spans="1:1" s="200" customFormat="1" ht="12" hidden="1" customHeight="1">
      <c r="A19321" s="199"/>
    </row>
    <row r="19322" spans="1:1" s="200" customFormat="1" ht="12" hidden="1" customHeight="1">
      <c r="A19322" s="199"/>
    </row>
    <row r="19323" spans="1:1" s="200" customFormat="1" ht="12" hidden="1" customHeight="1">
      <c r="A19323" s="199"/>
    </row>
    <row r="19324" spans="1:1" s="200" customFormat="1" ht="12" hidden="1" customHeight="1">
      <c r="A19324" s="199"/>
    </row>
    <row r="19325" spans="1:1" s="200" customFormat="1" ht="12" hidden="1" customHeight="1">
      <c r="A19325" s="199"/>
    </row>
    <row r="19326" spans="1:1" s="200" customFormat="1" ht="12" hidden="1" customHeight="1">
      <c r="A19326" s="199"/>
    </row>
    <row r="19327" spans="1:1" s="200" customFormat="1" ht="12" hidden="1" customHeight="1">
      <c r="A19327" s="199"/>
    </row>
    <row r="19328" spans="1:1" s="200" customFormat="1" ht="12" hidden="1" customHeight="1">
      <c r="A19328" s="199"/>
    </row>
    <row r="19329" spans="1:1" s="200" customFormat="1" ht="12" hidden="1" customHeight="1">
      <c r="A19329" s="199"/>
    </row>
    <row r="19330" spans="1:1" s="200" customFormat="1" ht="12" hidden="1" customHeight="1">
      <c r="A19330" s="199"/>
    </row>
    <row r="19331" spans="1:1" s="200" customFormat="1" ht="12" hidden="1" customHeight="1">
      <c r="A19331" s="199"/>
    </row>
    <row r="19332" spans="1:1" s="200" customFormat="1" ht="12" hidden="1" customHeight="1">
      <c r="A19332" s="199"/>
    </row>
    <row r="19333" spans="1:1" s="200" customFormat="1" ht="12" hidden="1" customHeight="1">
      <c r="A19333" s="199"/>
    </row>
    <row r="19334" spans="1:1" s="200" customFormat="1" ht="12" hidden="1" customHeight="1">
      <c r="A19334" s="199"/>
    </row>
    <row r="19335" spans="1:1" s="200" customFormat="1" ht="12" hidden="1" customHeight="1">
      <c r="A19335" s="199"/>
    </row>
    <row r="19336" spans="1:1" s="200" customFormat="1" ht="12" hidden="1" customHeight="1">
      <c r="A19336" s="199"/>
    </row>
    <row r="19337" spans="1:1" s="200" customFormat="1" ht="12" hidden="1" customHeight="1">
      <c r="A19337" s="199"/>
    </row>
    <row r="19338" spans="1:1" s="200" customFormat="1" ht="12" hidden="1" customHeight="1">
      <c r="A19338" s="199"/>
    </row>
    <row r="19339" spans="1:1" s="200" customFormat="1" ht="12" hidden="1" customHeight="1">
      <c r="A19339" s="199"/>
    </row>
    <row r="19340" spans="1:1" s="200" customFormat="1" ht="12" hidden="1" customHeight="1">
      <c r="A19340" s="199"/>
    </row>
    <row r="19341" spans="1:1" s="200" customFormat="1" ht="12" hidden="1" customHeight="1">
      <c r="A19341" s="199"/>
    </row>
    <row r="19342" spans="1:1" s="200" customFormat="1" ht="12" hidden="1" customHeight="1">
      <c r="A19342" s="199"/>
    </row>
    <row r="19343" spans="1:1" s="200" customFormat="1" ht="12" hidden="1" customHeight="1">
      <c r="A19343" s="199"/>
    </row>
    <row r="19344" spans="1:1" s="200" customFormat="1" ht="12" hidden="1" customHeight="1">
      <c r="A19344" s="199"/>
    </row>
    <row r="19345" spans="1:1" s="200" customFormat="1" ht="12" hidden="1" customHeight="1">
      <c r="A19345" s="199"/>
    </row>
    <row r="19346" spans="1:1" s="200" customFormat="1" ht="12" hidden="1" customHeight="1">
      <c r="A19346" s="199"/>
    </row>
    <row r="19347" spans="1:1" s="200" customFormat="1" ht="12" hidden="1" customHeight="1">
      <c r="A19347" s="199"/>
    </row>
    <row r="19348" spans="1:1" s="200" customFormat="1" ht="12" hidden="1" customHeight="1">
      <c r="A19348" s="199"/>
    </row>
    <row r="19349" spans="1:1" s="200" customFormat="1" ht="12" hidden="1" customHeight="1">
      <c r="A19349" s="199"/>
    </row>
    <row r="19350" spans="1:1" s="200" customFormat="1" ht="12" hidden="1" customHeight="1">
      <c r="A19350" s="199"/>
    </row>
    <row r="19351" spans="1:1" s="200" customFormat="1" ht="12" hidden="1" customHeight="1">
      <c r="A19351" s="199"/>
    </row>
    <row r="19352" spans="1:1" s="200" customFormat="1" ht="12" hidden="1" customHeight="1">
      <c r="A19352" s="199"/>
    </row>
    <row r="19353" spans="1:1" s="200" customFormat="1" ht="12" hidden="1" customHeight="1">
      <c r="A19353" s="199"/>
    </row>
    <row r="19354" spans="1:1" s="200" customFormat="1" ht="12" hidden="1" customHeight="1">
      <c r="A19354" s="199"/>
    </row>
    <row r="19355" spans="1:1" s="200" customFormat="1" ht="12" hidden="1" customHeight="1">
      <c r="A19355" s="199"/>
    </row>
    <row r="19356" spans="1:1" s="200" customFormat="1" ht="12" hidden="1" customHeight="1">
      <c r="A19356" s="199"/>
    </row>
    <row r="19357" spans="1:1" s="200" customFormat="1" ht="12" hidden="1" customHeight="1">
      <c r="A19357" s="199"/>
    </row>
    <row r="19358" spans="1:1" s="200" customFormat="1" ht="12" hidden="1" customHeight="1">
      <c r="A19358" s="199"/>
    </row>
    <row r="19359" spans="1:1" s="200" customFormat="1" ht="12" hidden="1" customHeight="1">
      <c r="A19359" s="199"/>
    </row>
    <row r="19360" spans="1:1" s="200" customFormat="1" ht="12" hidden="1" customHeight="1">
      <c r="A19360" s="199"/>
    </row>
    <row r="19361" spans="1:1" s="200" customFormat="1" ht="12" hidden="1" customHeight="1">
      <c r="A19361" s="199"/>
    </row>
    <row r="19362" spans="1:1" s="200" customFormat="1" ht="12" hidden="1" customHeight="1">
      <c r="A19362" s="199"/>
    </row>
    <row r="19363" spans="1:1" s="200" customFormat="1" ht="12" hidden="1" customHeight="1">
      <c r="A19363" s="199"/>
    </row>
    <row r="19364" spans="1:1" s="200" customFormat="1" ht="12" hidden="1" customHeight="1">
      <c r="A19364" s="199"/>
    </row>
    <row r="19365" spans="1:1" s="200" customFormat="1" ht="12" hidden="1" customHeight="1">
      <c r="A19365" s="199"/>
    </row>
    <row r="19366" spans="1:1" s="200" customFormat="1" ht="12" hidden="1" customHeight="1">
      <c r="A19366" s="199"/>
    </row>
    <row r="19367" spans="1:1" s="200" customFormat="1" ht="12" hidden="1" customHeight="1">
      <c r="A19367" s="199"/>
    </row>
    <row r="19368" spans="1:1" s="200" customFormat="1" ht="12" hidden="1" customHeight="1">
      <c r="A19368" s="199"/>
    </row>
    <row r="19369" spans="1:1" s="200" customFormat="1" ht="12" hidden="1" customHeight="1">
      <c r="A19369" s="199"/>
    </row>
    <row r="19370" spans="1:1" s="200" customFormat="1" ht="12" hidden="1" customHeight="1">
      <c r="A19370" s="199"/>
    </row>
    <row r="19371" spans="1:1" s="200" customFormat="1" ht="12" hidden="1" customHeight="1">
      <c r="A19371" s="199"/>
    </row>
    <row r="19372" spans="1:1" s="200" customFormat="1" ht="12" hidden="1" customHeight="1">
      <c r="A19372" s="199"/>
    </row>
    <row r="19373" spans="1:1" s="200" customFormat="1" ht="12" hidden="1" customHeight="1">
      <c r="A19373" s="199"/>
    </row>
    <row r="19374" spans="1:1" s="200" customFormat="1" ht="12" hidden="1" customHeight="1">
      <c r="A19374" s="199"/>
    </row>
    <row r="19375" spans="1:1" s="200" customFormat="1" ht="12" hidden="1" customHeight="1">
      <c r="A19375" s="199"/>
    </row>
    <row r="19376" spans="1:1" s="200" customFormat="1" ht="12" hidden="1" customHeight="1">
      <c r="A19376" s="199"/>
    </row>
    <row r="19377" spans="1:1" s="200" customFormat="1" ht="12" hidden="1" customHeight="1">
      <c r="A19377" s="199"/>
    </row>
    <row r="19378" spans="1:1" s="200" customFormat="1" ht="12" hidden="1" customHeight="1">
      <c r="A19378" s="199"/>
    </row>
    <row r="19379" spans="1:1" s="200" customFormat="1" ht="12" hidden="1" customHeight="1">
      <c r="A19379" s="199"/>
    </row>
    <row r="19380" spans="1:1" s="200" customFormat="1" ht="12" hidden="1" customHeight="1">
      <c r="A19380" s="199"/>
    </row>
    <row r="19381" spans="1:1" s="200" customFormat="1" ht="12" hidden="1" customHeight="1">
      <c r="A19381" s="199"/>
    </row>
    <row r="19382" spans="1:1" s="200" customFormat="1" ht="12" hidden="1" customHeight="1">
      <c r="A19382" s="199"/>
    </row>
    <row r="19383" spans="1:1" s="200" customFormat="1" ht="12" hidden="1" customHeight="1">
      <c r="A19383" s="199"/>
    </row>
    <row r="19384" spans="1:1" s="200" customFormat="1" ht="12" hidden="1" customHeight="1">
      <c r="A19384" s="199"/>
    </row>
    <row r="19385" spans="1:1" s="200" customFormat="1" ht="12" hidden="1" customHeight="1">
      <c r="A19385" s="199"/>
    </row>
    <row r="19386" spans="1:1" s="200" customFormat="1" ht="12" hidden="1" customHeight="1">
      <c r="A19386" s="199"/>
    </row>
    <row r="19387" spans="1:1" s="200" customFormat="1" ht="12" hidden="1" customHeight="1">
      <c r="A19387" s="199"/>
    </row>
    <row r="19388" spans="1:1" s="200" customFormat="1" ht="12" hidden="1" customHeight="1">
      <c r="A19388" s="199"/>
    </row>
    <row r="19389" spans="1:1" s="200" customFormat="1" ht="12" hidden="1" customHeight="1">
      <c r="A19389" s="199"/>
    </row>
    <row r="19390" spans="1:1" s="200" customFormat="1" ht="12" hidden="1" customHeight="1">
      <c r="A19390" s="199"/>
    </row>
    <row r="19391" spans="1:1" s="200" customFormat="1" ht="12" hidden="1" customHeight="1">
      <c r="A19391" s="199"/>
    </row>
    <row r="19392" spans="1:1" s="200" customFormat="1" ht="12" hidden="1" customHeight="1">
      <c r="A19392" s="199"/>
    </row>
    <row r="19393" spans="1:1" s="200" customFormat="1" ht="12" hidden="1" customHeight="1">
      <c r="A19393" s="199"/>
    </row>
    <row r="19394" spans="1:1" s="200" customFormat="1" ht="12" hidden="1" customHeight="1">
      <c r="A19394" s="199"/>
    </row>
    <row r="19395" spans="1:1" s="200" customFormat="1" ht="12" hidden="1" customHeight="1">
      <c r="A19395" s="199"/>
    </row>
    <row r="19396" spans="1:1" s="200" customFormat="1" ht="12" hidden="1" customHeight="1">
      <c r="A19396" s="199"/>
    </row>
    <row r="19397" spans="1:1" s="200" customFormat="1" ht="12" hidden="1" customHeight="1">
      <c r="A19397" s="199"/>
    </row>
    <row r="19398" spans="1:1" s="200" customFormat="1" ht="12" hidden="1" customHeight="1">
      <c r="A19398" s="199"/>
    </row>
    <row r="19399" spans="1:1" s="200" customFormat="1" ht="12" hidden="1" customHeight="1">
      <c r="A19399" s="199"/>
    </row>
    <row r="19400" spans="1:1" s="200" customFormat="1" ht="12" hidden="1" customHeight="1">
      <c r="A19400" s="199"/>
    </row>
    <row r="19401" spans="1:1" s="200" customFormat="1" ht="12" hidden="1" customHeight="1">
      <c r="A19401" s="199"/>
    </row>
    <row r="19402" spans="1:1" s="200" customFormat="1" ht="12" hidden="1" customHeight="1">
      <c r="A19402" s="199"/>
    </row>
    <row r="19403" spans="1:1" s="200" customFormat="1" ht="12" hidden="1" customHeight="1">
      <c r="A19403" s="199"/>
    </row>
    <row r="19404" spans="1:1" s="200" customFormat="1" ht="12" hidden="1" customHeight="1">
      <c r="A19404" s="199"/>
    </row>
    <row r="19405" spans="1:1" s="200" customFormat="1" ht="12" hidden="1" customHeight="1">
      <c r="A19405" s="199"/>
    </row>
    <row r="19406" spans="1:1" s="200" customFormat="1" ht="12" hidden="1" customHeight="1">
      <c r="A19406" s="199"/>
    </row>
    <row r="19407" spans="1:1" s="200" customFormat="1" ht="12" hidden="1" customHeight="1">
      <c r="A19407" s="199"/>
    </row>
    <row r="19408" spans="1:1" s="200" customFormat="1" ht="12" hidden="1" customHeight="1">
      <c r="A19408" s="199"/>
    </row>
    <row r="19409" spans="1:1" s="200" customFormat="1" ht="12" hidden="1" customHeight="1">
      <c r="A19409" s="199"/>
    </row>
    <row r="19410" spans="1:1" s="200" customFormat="1" ht="12" hidden="1" customHeight="1">
      <c r="A19410" s="199"/>
    </row>
    <row r="19411" spans="1:1" s="200" customFormat="1" ht="12" hidden="1" customHeight="1">
      <c r="A19411" s="199"/>
    </row>
    <row r="19412" spans="1:1" s="200" customFormat="1" ht="12" hidden="1" customHeight="1">
      <c r="A19412" s="199"/>
    </row>
    <row r="19413" spans="1:1" s="200" customFormat="1" ht="12" hidden="1" customHeight="1">
      <c r="A19413" s="199"/>
    </row>
    <row r="19414" spans="1:1" s="200" customFormat="1" ht="12" hidden="1" customHeight="1">
      <c r="A19414" s="199"/>
    </row>
    <row r="19415" spans="1:1" s="200" customFormat="1" ht="12" hidden="1" customHeight="1">
      <c r="A19415" s="199"/>
    </row>
    <row r="19416" spans="1:1" s="200" customFormat="1" ht="12" hidden="1" customHeight="1">
      <c r="A19416" s="199"/>
    </row>
    <row r="19417" spans="1:1" s="200" customFormat="1" ht="12" hidden="1" customHeight="1">
      <c r="A19417" s="199"/>
    </row>
    <row r="19418" spans="1:1" s="200" customFormat="1" ht="12" hidden="1" customHeight="1">
      <c r="A19418" s="199"/>
    </row>
    <row r="19419" spans="1:1" s="200" customFormat="1" ht="12" hidden="1" customHeight="1">
      <c r="A19419" s="199"/>
    </row>
    <row r="19420" spans="1:1" s="200" customFormat="1" ht="12" hidden="1" customHeight="1">
      <c r="A19420" s="199"/>
    </row>
    <row r="19421" spans="1:1" s="200" customFormat="1" ht="12" hidden="1" customHeight="1">
      <c r="A19421" s="199"/>
    </row>
    <row r="19422" spans="1:1" s="200" customFormat="1" ht="12" hidden="1" customHeight="1">
      <c r="A19422" s="199"/>
    </row>
    <row r="19423" spans="1:1" s="200" customFormat="1" ht="12" hidden="1" customHeight="1">
      <c r="A19423" s="199"/>
    </row>
    <row r="19424" spans="1:1" s="200" customFormat="1" ht="12" hidden="1" customHeight="1">
      <c r="A19424" s="199"/>
    </row>
    <row r="19425" spans="1:1" s="200" customFormat="1" ht="12" hidden="1" customHeight="1">
      <c r="A19425" s="199"/>
    </row>
    <row r="19426" spans="1:1" s="200" customFormat="1" ht="12" hidden="1" customHeight="1">
      <c r="A19426" s="199"/>
    </row>
    <row r="19427" spans="1:1" s="200" customFormat="1" ht="12" hidden="1" customHeight="1">
      <c r="A19427" s="199"/>
    </row>
    <row r="19428" spans="1:1" s="200" customFormat="1" ht="12" hidden="1" customHeight="1">
      <c r="A19428" s="199"/>
    </row>
    <row r="19429" spans="1:1" s="200" customFormat="1" ht="12" hidden="1" customHeight="1">
      <c r="A19429" s="199"/>
    </row>
    <row r="19430" spans="1:1" s="200" customFormat="1" ht="12" hidden="1" customHeight="1">
      <c r="A19430" s="199"/>
    </row>
    <row r="19431" spans="1:1" s="200" customFormat="1" ht="12" hidden="1" customHeight="1">
      <c r="A19431" s="199"/>
    </row>
    <row r="19432" spans="1:1" s="200" customFormat="1" ht="12" hidden="1" customHeight="1">
      <c r="A19432" s="199"/>
    </row>
    <row r="19433" spans="1:1" s="200" customFormat="1" ht="12" hidden="1" customHeight="1">
      <c r="A19433" s="199"/>
    </row>
    <row r="19434" spans="1:1" s="200" customFormat="1" ht="12" hidden="1" customHeight="1">
      <c r="A19434" s="199"/>
    </row>
    <row r="19435" spans="1:1" s="200" customFormat="1" ht="12" hidden="1" customHeight="1">
      <c r="A19435" s="199"/>
    </row>
    <row r="19436" spans="1:1" s="200" customFormat="1" ht="12" hidden="1" customHeight="1">
      <c r="A19436" s="199"/>
    </row>
    <row r="19437" spans="1:1" s="200" customFormat="1" ht="12" hidden="1" customHeight="1">
      <c r="A19437" s="199"/>
    </row>
    <row r="19438" spans="1:1" s="200" customFormat="1" ht="12" hidden="1" customHeight="1">
      <c r="A19438" s="199"/>
    </row>
    <row r="19439" spans="1:1" s="200" customFormat="1" ht="12" hidden="1" customHeight="1">
      <c r="A19439" s="199"/>
    </row>
    <row r="19440" spans="1:1" s="200" customFormat="1" ht="12" hidden="1" customHeight="1">
      <c r="A19440" s="199"/>
    </row>
    <row r="19441" spans="1:1" s="200" customFormat="1" ht="12" hidden="1" customHeight="1">
      <c r="A19441" s="199"/>
    </row>
    <row r="19442" spans="1:1" s="200" customFormat="1" ht="12" hidden="1" customHeight="1">
      <c r="A19442" s="199"/>
    </row>
    <row r="19443" spans="1:1" s="200" customFormat="1" ht="12" hidden="1" customHeight="1">
      <c r="A19443" s="199"/>
    </row>
    <row r="19444" spans="1:1" s="200" customFormat="1" ht="12" hidden="1" customHeight="1">
      <c r="A19444" s="199"/>
    </row>
    <row r="19445" spans="1:1" s="200" customFormat="1" ht="12" hidden="1" customHeight="1">
      <c r="A19445" s="199"/>
    </row>
    <row r="19446" spans="1:1" s="200" customFormat="1" ht="12" hidden="1" customHeight="1">
      <c r="A19446" s="199"/>
    </row>
    <row r="19447" spans="1:1" s="200" customFormat="1" ht="12" hidden="1" customHeight="1">
      <c r="A19447" s="199"/>
    </row>
    <row r="19448" spans="1:1" s="200" customFormat="1" ht="12" hidden="1" customHeight="1">
      <c r="A19448" s="199"/>
    </row>
    <row r="19449" spans="1:1" s="200" customFormat="1" ht="12" hidden="1" customHeight="1">
      <c r="A19449" s="199"/>
    </row>
    <row r="19450" spans="1:1" s="200" customFormat="1" ht="12" hidden="1" customHeight="1">
      <c r="A19450" s="199"/>
    </row>
    <row r="19451" spans="1:1" s="200" customFormat="1" ht="12" hidden="1" customHeight="1">
      <c r="A19451" s="199"/>
    </row>
    <row r="19452" spans="1:1" s="200" customFormat="1" ht="12" hidden="1" customHeight="1">
      <c r="A19452" s="199"/>
    </row>
    <row r="19453" spans="1:1" s="200" customFormat="1" ht="12" hidden="1" customHeight="1">
      <c r="A19453" s="199"/>
    </row>
    <row r="19454" spans="1:1" s="200" customFormat="1" ht="12" hidden="1" customHeight="1">
      <c r="A19454" s="199"/>
    </row>
    <row r="19455" spans="1:1" s="200" customFormat="1" ht="12" hidden="1" customHeight="1">
      <c r="A19455" s="199"/>
    </row>
    <row r="19456" spans="1:1" s="200" customFormat="1" ht="12" hidden="1" customHeight="1">
      <c r="A19456" s="199"/>
    </row>
    <row r="19457" spans="1:1" s="200" customFormat="1" ht="12" hidden="1" customHeight="1">
      <c r="A19457" s="199"/>
    </row>
    <row r="19458" spans="1:1" s="200" customFormat="1" ht="12" hidden="1" customHeight="1">
      <c r="A19458" s="199"/>
    </row>
    <row r="19459" spans="1:1" s="200" customFormat="1" ht="12" hidden="1" customHeight="1">
      <c r="A19459" s="199"/>
    </row>
    <row r="19460" spans="1:1" s="200" customFormat="1" ht="12" hidden="1" customHeight="1">
      <c r="A19460" s="199"/>
    </row>
    <row r="19461" spans="1:1" s="200" customFormat="1" ht="12" hidden="1" customHeight="1">
      <c r="A19461" s="199"/>
    </row>
    <row r="19462" spans="1:1" s="200" customFormat="1" ht="12" hidden="1" customHeight="1">
      <c r="A19462" s="199"/>
    </row>
    <row r="19463" spans="1:1" s="200" customFormat="1" ht="12" hidden="1" customHeight="1">
      <c r="A19463" s="199"/>
    </row>
    <row r="19464" spans="1:1" s="200" customFormat="1" ht="12" hidden="1" customHeight="1">
      <c r="A19464" s="199"/>
    </row>
    <row r="19465" spans="1:1" s="200" customFormat="1" ht="12" hidden="1" customHeight="1">
      <c r="A19465" s="199"/>
    </row>
    <row r="19466" spans="1:1" s="200" customFormat="1" ht="12" hidden="1" customHeight="1">
      <c r="A19466" s="199"/>
    </row>
    <row r="19467" spans="1:1" s="200" customFormat="1" ht="12" hidden="1" customHeight="1">
      <c r="A19467" s="199"/>
    </row>
    <row r="19468" spans="1:1" s="200" customFormat="1" ht="12" hidden="1" customHeight="1">
      <c r="A19468" s="199"/>
    </row>
    <row r="19469" spans="1:1" s="200" customFormat="1" ht="12" hidden="1" customHeight="1">
      <c r="A19469" s="199"/>
    </row>
    <row r="19470" spans="1:1" s="200" customFormat="1" ht="12" hidden="1" customHeight="1">
      <c r="A19470" s="199"/>
    </row>
    <row r="19471" spans="1:1" s="200" customFormat="1" ht="12" hidden="1" customHeight="1">
      <c r="A19471" s="199"/>
    </row>
    <row r="19472" spans="1:1" s="200" customFormat="1" ht="12" hidden="1" customHeight="1">
      <c r="A19472" s="199"/>
    </row>
    <row r="19473" spans="1:1" s="200" customFormat="1" ht="12" hidden="1" customHeight="1">
      <c r="A19473" s="199"/>
    </row>
    <row r="19474" spans="1:1" s="200" customFormat="1" ht="12" hidden="1" customHeight="1">
      <c r="A19474" s="199"/>
    </row>
    <row r="19475" spans="1:1" s="200" customFormat="1" ht="12" hidden="1" customHeight="1">
      <c r="A19475" s="199"/>
    </row>
    <row r="19476" spans="1:1" s="200" customFormat="1" ht="12" hidden="1" customHeight="1">
      <c r="A19476" s="199"/>
    </row>
    <row r="19477" spans="1:1" s="200" customFormat="1" ht="12" hidden="1" customHeight="1">
      <c r="A19477" s="199"/>
    </row>
    <row r="19478" spans="1:1" s="200" customFormat="1" ht="12" hidden="1" customHeight="1">
      <c r="A19478" s="199"/>
    </row>
    <row r="19479" spans="1:1" s="200" customFormat="1" ht="12" hidden="1" customHeight="1">
      <c r="A19479" s="199"/>
    </row>
    <row r="19480" spans="1:1" s="200" customFormat="1" ht="12" hidden="1" customHeight="1">
      <c r="A19480" s="199"/>
    </row>
    <row r="19481" spans="1:1" s="200" customFormat="1" ht="12" hidden="1" customHeight="1">
      <c r="A19481" s="199"/>
    </row>
    <row r="19482" spans="1:1" s="200" customFormat="1" ht="12" hidden="1" customHeight="1">
      <c r="A19482" s="199"/>
    </row>
    <row r="19483" spans="1:1" s="200" customFormat="1" ht="12" hidden="1" customHeight="1">
      <c r="A19483" s="199"/>
    </row>
    <row r="19484" spans="1:1" s="200" customFormat="1" ht="12" hidden="1" customHeight="1">
      <c r="A19484" s="199"/>
    </row>
    <row r="19485" spans="1:1" s="200" customFormat="1" ht="12" hidden="1" customHeight="1">
      <c r="A19485" s="199"/>
    </row>
    <row r="19486" spans="1:1" s="200" customFormat="1" ht="12" hidden="1" customHeight="1">
      <c r="A19486" s="199"/>
    </row>
    <row r="19487" spans="1:1" s="200" customFormat="1" ht="12" hidden="1" customHeight="1">
      <c r="A19487" s="199"/>
    </row>
    <row r="19488" spans="1:1" s="200" customFormat="1" ht="12" hidden="1" customHeight="1">
      <c r="A19488" s="199"/>
    </row>
    <row r="19489" spans="1:1" s="200" customFormat="1" ht="12" hidden="1" customHeight="1">
      <c r="A19489" s="199"/>
    </row>
    <row r="19490" spans="1:1" s="200" customFormat="1" ht="12" hidden="1" customHeight="1">
      <c r="A19490" s="199"/>
    </row>
    <row r="19491" spans="1:1" s="200" customFormat="1" ht="12" hidden="1" customHeight="1">
      <c r="A19491" s="199"/>
    </row>
    <row r="19492" spans="1:1" s="200" customFormat="1" ht="12" hidden="1" customHeight="1">
      <c r="A19492" s="199"/>
    </row>
    <row r="19493" spans="1:1" s="200" customFormat="1" ht="12" hidden="1" customHeight="1">
      <c r="A19493" s="199"/>
    </row>
    <row r="19494" spans="1:1" s="200" customFormat="1" ht="12" hidden="1" customHeight="1">
      <c r="A19494" s="199"/>
    </row>
    <row r="19495" spans="1:1" s="200" customFormat="1" ht="12" hidden="1" customHeight="1">
      <c r="A19495" s="199"/>
    </row>
    <row r="19496" spans="1:1" s="200" customFormat="1" ht="12" hidden="1" customHeight="1">
      <c r="A19496" s="199"/>
    </row>
    <row r="19497" spans="1:1" s="200" customFormat="1" ht="12" hidden="1" customHeight="1">
      <c r="A19497" s="199"/>
    </row>
    <row r="19498" spans="1:1" s="200" customFormat="1" ht="12" hidden="1" customHeight="1">
      <c r="A19498" s="199"/>
    </row>
    <row r="19499" spans="1:1" s="200" customFormat="1" ht="12" hidden="1" customHeight="1">
      <c r="A19499" s="199"/>
    </row>
    <row r="19500" spans="1:1" s="200" customFormat="1" ht="12" hidden="1" customHeight="1">
      <c r="A19500" s="199"/>
    </row>
    <row r="19501" spans="1:1" s="200" customFormat="1" ht="12" hidden="1" customHeight="1">
      <c r="A19501" s="199"/>
    </row>
    <row r="19502" spans="1:1" s="200" customFormat="1" ht="12" hidden="1" customHeight="1">
      <c r="A19502" s="199"/>
    </row>
    <row r="19503" spans="1:1" s="200" customFormat="1" ht="12" hidden="1" customHeight="1">
      <c r="A19503" s="199"/>
    </row>
    <row r="19504" spans="1:1" s="200" customFormat="1" ht="12" hidden="1" customHeight="1">
      <c r="A19504" s="199"/>
    </row>
    <row r="19505" spans="1:1" s="200" customFormat="1" ht="12" hidden="1" customHeight="1">
      <c r="A19505" s="199"/>
    </row>
    <row r="19506" spans="1:1" s="200" customFormat="1" ht="12" hidden="1" customHeight="1">
      <c r="A19506" s="199"/>
    </row>
    <row r="19507" spans="1:1" s="200" customFormat="1" ht="12" hidden="1" customHeight="1">
      <c r="A19507" s="199"/>
    </row>
    <row r="19508" spans="1:1" s="200" customFormat="1" ht="12" hidden="1" customHeight="1">
      <c r="A19508" s="199"/>
    </row>
    <row r="19509" spans="1:1" s="200" customFormat="1" ht="12" hidden="1" customHeight="1">
      <c r="A19509" s="199"/>
    </row>
    <row r="19510" spans="1:1" s="200" customFormat="1" ht="12" hidden="1" customHeight="1">
      <c r="A19510" s="199"/>
    </row>
    <row r="19511" spans="1:1" s="200" customFormat="1" ht="12" hidden="1" customHeight="1">
      <c r="A19511" s="199"/>
    </row>
    <row r="19512" spans="1:1" s="200" customFormat="1" ht="12" hidden="1" customHeight="1">
      <c r="A19512" s="199"/>
    </row>
    <row r="19513" spans="1:1" s="200" customFormat="1" ht="12" hidden="1" customHeight="1">
      <c r="A19513" s="199"/>
    </row>
    <row r="19514" spans="1:1" s="200" customFormat="1" ht="12" hidden="1" customHeight="1">
      <c r="A19514" s="199"/>
    </row>
    <row r="19515" spans="1:1" s="200" customFormat="1" ht="12" hidden="1" customHeight="1">
      <c r="A19515" s="199"/>
    </row>
    <row r="19516" spans="1:1" s="200" customFormat="1" ht="12" hidden="1" customHeight="1">
      <c r="A19516" s="199"/>
    </row>
    <row r="19517" spans="1:1" s="200" customFormat="1" ht="12" hidden="1" customHeight="1">
      <c r="A19517" s="199"/>
    </row>
    <row r="19518" spans="1:1" s="200" customFormat="1" ht="12" hidden="1" customHeight="1">
      <c r="A19518" s="199"/>
    </row>
    <row r="19519" spans="1:1" s="200" customFormat="1" ht="12" hidden="1" customHeight="1">
      <c r="A19519" s="199"/>
    </row>
    <row r="19520" spans="1:1" s="200" customFormat="1" ht="12" hidden="1" customHeight="1">
      <c r="A19520" s="199"/>
    </row>
    <row r="19521" spans="1:1" s="200" customFormat="1" ht="12" hidden="1" customHeight="1">
      <c r="A19521" s="199"/>
    </row>
    <row r="19522" spans="1:1" s="200" customFormat="1" ht="12" hidden="1" customHeight="1">
      <c r="A19522" s="199"/>
    </row>
    <row r="19523" spans="1:1" s="200" customFormat="1" ht="12" hidden="1" customHeight="1">
      <c r="A19523" s="199"/>
    </row>
    <row r="19524" spans="1:1" s="200" customFormat="1" ht="12" hidden="1" customHeight="1">
      <c r="A19524" s="199"/>
    </row>
    <row r="19525" spans="1:1" s="200" customFormat="1" ht="12" hidden="1" customHeight="1">
      <c r="A19525" s="199"/>
    </row>
    <row r="19526" spans="1:1" s="200" customFormat="1" ht="12" hidden="1" customHeight="1">
      <c r="A19526" s="199"/>
    </row>
    <row r="19527" spans="1:1" s="200" customFormat="1" ht="12" hidden="1" customHeight="1">
      <c r="A19527" s="199"/>
    </row>
    <row r="19528" spans="1:1" s="200" customFormat="1" ht="12" hidden="1" customHeight="1">
      <c r="A19528" s="199"/>
    </row>
    <row r="19529" spans="1:1" s="200" customFormat="1" ht="12" hidden="1" customHeight="1">
      <c r="A19529" s="199"/>
    </row>
    <row r="19530" spans="1:1" s="200" customFormat="1" ht="12" hidden="1" customHeight="1">
      <c r="A19530" s="199"/>
    </row>
    <row r="19531" spans="1:1" s="200" customFormat="1" ht="12" hidden="1" customHeight="1">
      <c r="A19531" s="199"/>
    </row>
    <row r="19532" spans="1:1" s="200" customFormat="1" ht="12" hidden="1" customHeight="1">
      <c r="A19532" s="199"/>
    </row>
    <row r="19533" spans="1:1" s="200" customFormat="1" ht="12" hidden="1" customHeight="1">
      <c r="A19533" s="199"/>
    </row>
    <row r="19534" spans="1:1" s="200" customFormat="1" ht="12" hidden="1" customHeight="1">
      <c r="A19534" s="199"/>
    </row>
    <row r="19535" spans="1:1" s="200" customFormat="1" ht="12" hidden="1" customHeight="1">
      <c r="A19535" s="199"/>
    </row>
    <row r="19536" spans="1:1" s="200" customFormat="1" ht="12" hidden="1" customHeight="1">
      <c r="A19536" s="199"/>
    </row>
    <row r="19537" spans="1:1" s="200" customFormat="1" ht="12" hidden="1" customHeight="1">
      <c r="A19537" s="199"/>
    </row>
    <row r="19538" spans="1:1" s="200" customFormat="1" ht="12" hidden="1" customHeight="1">
      <c r="A19538" s="199"/>
    </row>
    <row r="19539" spans="1:1" s="200" customFormat="1" ht="12" hidden="1" customHeight="1">
      <c r="A19539" s="199"/>
    </row>
    <row r="19540" spans="1:1" s="200" customFormat="1" ht="12" hidden="1" customHeight="1">
      <c r="A19540" s="199"/>
    </row>
    <row r="19541" spans="1:1" s="200" customFormat="1" ht="12" hidden="1" customHeight="1">
      <c r="A19541" s="199"/>
    </row>
    <row r="19542" spans="1:1" s="200" customFormat="1" ht="12" hidden="1" customHeight="1">
      <c r="A19542" s="199"/>
    </row>
    <row r="19543" spans="1:1" s="200" customFormat="1" ht="12" hidden="1" customHeight="1">
      <c r="A19543" s="199"/>
    </row>
    <row r="19544" spans="1:1" s="200" customFormat="1" ht="12" hidden="1" customHeight="1">
      <c r="A19544" s="199"/>
    </row>
    <row r="19545" spans="1:1" s="200" customFormat="1" ht="12" hidden="1" customHeight="1">
      <c r="A19545" s="199"/>
    </row>
    <row r="19546" spans="1:1" s="200" customFormat="1" ht="12" hidden="1" customHeight="1">
      <c r="A19546" s="199"/>
    </row>
    <row r="19547" spans="1:1" s="200" customFormat="1" ht="12" hidden="1" customHeight="1">
      <c r="A19547" s="199"/>
    </row>
    <row r="19548" spans="1:1" s="200" customFormat="1" ht="12" hidden="1" customHeight="1">
      <c r="A19548" s="199"/>
    </row>
    <row r="19549" spans="1:1" s="200" customFormat="1" ht="12" hidden="1" customHeight="1">
      <c r="A19549" s="199"/>
    </row>
    <row r="19550" spans="1:1" s="200" customFormat="1" ht="12" hidden="1" customHeight="1">
      <c r="A19550" s="199"/>
    </row>
    <row r="19551" spans="1:1" s="200" customFormat="1" ht="12" hidden="1" customHeight="1">
      <c r="A19551" s="199"/>
    </row>
    <row r="19552" spans="1:1" s="200" customFormat="1" ht="12" hidden="1" customHeight="1">
      <c r="A19552" s="199"/>
    </row>
    <row r="19553" spans="1:1" s="200" customFormat="1" ht="12" hidden="1" customHeight="1">
      <c r="A19553" s="199"/>
    </row>
    <row r="19554" spans="1:1" s="200" customFormat="1" ht="12" hidden="1" customHeight="1">
      <c r="A19554" s="199"/>
    </row>
    <row r="19555" spans="1:1" s="200" customFormat="1" ht="12" hidden="1" customHeight="1">
      <c r="A19555" s="199"/>
    </row>
    <row r="19556" spans="1:1" s="200" customFormat="1" ht="12" hidden="1" customHeight="1">
      <c r="A19556" s="199"/>
    </row>
    <row r="19557" spans="1:1" s="200" customFormat="1" ht="12" hidden="1" customHeight="1">
      <c r="A19557" s="199"/>
    </row>
    <row r="19558" spans="1:1" s="200" customFormat="1" ht="12" hidden="1" customHeight="1">
      <c r="A19558" s="199"/>
    </row>
    <row r="19559" spans="1:1" s="200" customFormat="1" ht="12" hidden="1" customHeight="1">
      <c r="A19559" s="199"/>
    </row>
    <row r="19560" spans="1:1" s="200" customFormat="1" ht="12" hidden="1" customHeight="1">
      <c r="A19560" s="199"/>
    </row>
    <row r="19561" spans="1:1" s="200" customFormat="1" ht="12" hidden="1" customHeight="1">
      <c r="A19561" s="199"/>
    </row>
    <row r="19562" spans="1:1" s="200" customFormat="1" ht="12" hidden="1" customHeight="1">
      <c r="A19562" s="199"/>
    </row>
    <row r="19563" spans="1:1" s="200" customFormat="1" ht="12" hidden="1" customHeight="1">
      <c r="A19563" s="199"/>
    </row>
    <row r="19564" spans="1:1" s="200" customFormat="1" ht="12" hidden="1" customHeight="1">
      <c r="A19564" s="199"/>
    </row>
    <row r="19565" spans="1:1" s="200" customFormat="1" ht="12" hidden="1" customHeight="1">
      <c r="A19565" s="199"/>
    </row>
    <row r="19566" spans="1:1" s="200" customFormat="1" ht="12" hidden="1" customHeight="1">
      <c r="A19566" s="199"/>
    </row>
    <row r="19567" spans="1:1" s="200" customFormat="1" ht="12" hidden="1" customHeight="1">
      <c r="A19567" s="199"/>
    </row>
    <row r="19568" spans="1:1" s="200" customFormat="1" ht="12" hidden="1" customHeight="1">
      <c r="A19568" s="199"/>
    </row>
    <row r="19569" spans="1:1" s="200" customFormat="1" ht="12" hidden="1" customHeight="1">
      <c r="A19569" s="199"/>
    </row>
    <row r="19570" spans="1:1" s="200" customFormat="1" ht="12" hidden="1" customHeight="1">
      <c r="A19570" s="199"/>
    </row>
    <row r="19571" spans="1:1" s="200" customFormat="1" ht="12" hidden="1" customHeight="1">
      <c r="A19571" s="199"/>
    </row>
    <row r="19572" spans="1:1" s="200" customFormat="1" ht="12" hidden="1" customHeight="1">
      <c r="A19572" s="199"/>
    </row>
    <row r="19573" spans="1:1" s="200" customFormat="1" ht="12" hidden="1" customHeight="1">
      <c r="A19573" s="199"/>
    </row>
    <row r="19574" spans="1:1" s="200" customFormat="1" ht="12" hidden="1" customHeight="1">
      <c r="A19574" s="199"/>
    </row>
    <row r="19575" spans="1:1" s="200" customFormat="1" ht="12" hidden="1" customHeight="1">
      <c r="A19575" s="199"/>
    </row>
    <row r="19576" spans="1:1" s="200" customFormat="1" ht="12" hidden="1" customHeight="1">
      <c r="A19576" s="199"/>
    </row>
    <row r="19577" spans="1:1" s="200" customFormat="1" ht="12" hidden="1" customHeight="1">
      <c r="A19577" s="199"/>
    </row>
    <row r="19578" spans="1:1" s="200" customFormat="1" ht="12" hidden="1" customHeight="1">
      <c r="A19578" s="199"/>
    </row>
    <row r="19579" spans="1:1" s="200" customFormat="1" ht="12" hidden="1" customHeight="1">
      <c r="A19579" s="199"/>
    </row>
    <row r="19580" spans="1:1" s="200" customFormat="1" ht="12" hidden="1" customHeight="1">
      <c r="A19580" s="199"/>
    </row>
    <row r="19581" spans="1:1" s="200" customFormat="1" ht="12" hidden="1" customHeight="1">
      <c r="A19581" s="199"/>
    </row>
    <row r="19582" spans="1:1" s="200" customFormat="1" ht="12" hidden="1" customHeight="1">
      <c r="A19582" s="199"/>
    </row>
    <row r="19583" spans="1:1" s="200" customFormat="1" ht="12" hidden="1" customHeight="1">
      <c r="A19583" s="199"/>
    </row>
    <row r="19584" spans="1:1" s="200" customFormat="1" ht="12" hidden="1" customHeight="1">
      <c r="A19584" s="199"/>
    </row>
    <row r="19585" spans="1:1" s="200" customFormat="1" ht="12" hidden="1" customHeight="1">
      <c r="A19585" s="199"/>
    </row>
    <row r="19586" spans="1:1" s="200" customFormat="1" ht="12" hidden="1" customHeight="1">
      <c r="A19586" s="199"/>
    </row>
    <row r="19587" spans="1:1" s="200" customFormat="1" ht="12" hidden="1" customHeight="1">
      <c r="A19587" s="199"/>
    </row>
    <row r="19588" spans="1:1" s="200" customFormat="1" ht="12" hidden="1" customHeight="1">
      <c r="A19588" s="199"/>
    </row>
    <row r="19589" spans="1:1" s="200" customFormat="1" ht="12" hidden="1" customHeight="1">
      <c r="A19589" s="199"/>
    </row>
    <row r="19590" spans="1:1" s="200" customFormat="1" ht="12" hidden="1" customHeight="1">
      <c r="A19590" s="199"/>
    </row>
    <row r="19591" spans="1:1" s="200" customFormat="1" ht="12" hidden="1" customHeight="1">
      <c r="A19591" s="199"/>
    </row>
    <row r="19592" spans="1:1" s="200" customFormat="1" ht="12" hidden="1" customHeight="1">
      <c r="A19592" s="199"/>
    </row>
    <row r="19593" spans="1:1" s="200" customFormat="1" ht="12" hidden="1" customHeight="1">
      <c r="A19593" s="199"/>
    </row>
    <row r="19594" spans="1:1" s="200" customFormat="1" ht="12" hidden="1" customHeight="1">
      <c r="A19594" s="199"/>
    </row>
    <row r="19595" spans="1:1" s="200" customFormat="1" ht="12" hidden="1" customHeight="1">
      <c r="A19595" s="199"/>
    </row>
    <row r="19596" spans="1:1" s="200" customFormat="1" ht="12" hidden="1" customHeight="1">
      <c r="A19596" s="199"/>
    </row>
    <row r="19597" spans="1:1" s="200" customFormat="1" ht="12" hidden="1" customHeight="1">
      <c r="A19597" s="199"/>
    </row>
    <row r="19598" spans="1:1" s="200" customFormat="1" ht="12" hidden="1" customHeight="1">
      <c r="A19598" s="199"/>
    </row>
    <row r="19599" spans="1:1" s="200" customFormat="1" ht="12" hidden="1" customHeight="1">
      <c r="A19599" s="199"/>
    </row>
    <row r="19600" spans="1:1" s="200" customFormat="1" ht="12" hidden="1" customHeight="1">
      <c r="A19600" s="199"/>
    </row>
    <row r="19601" spans="1:1" s="200" customFormat="1" ht="12" hidden="1" customHeight="1">
      <c r="A19601" s="199"/>
    </row>
    <row r="19602" spans="1:1" s="200" customFormat="1" ht="12" hidden="1" customHeight="1">
      <c r="A19602" s="199"/>
    </row>
    <row r="19603" spans="1:1" s="200" customFormat="1" ht="12" hidden="1" customHeight="1">
      <c r="A19603" s="199"/>
    </row>
    <row r="19604" spans="1:1" s="200" customFormat="1" ht="12" hidden="1" customHeight="1">
      <c r="A19604" s="199"/>
    </row>
    <row r="19605" spans="1:1" s="200" customFormat="1" ht="12" hidden="1" customHeight="1">
      <c r="A19605" s="199"/>
    </row>
    <row r="19606" spans="1:1" s="200" customFormat="1" ht="12" hidden="1" customHeight="1">
      <c r="A19606" s="199"/>
    </row>
    <row r="19607" spans="1:1" s="200" customFormat="1" ht="12" hidden="1" customHeight="1">
      <c r="A19607" s="199"/>
    </row>
    <row r="19608" spans="1:1" s="200" customFormat="1" ht="12" hidden="1" customHeight="1">
      <c r="A19608" s="199"/>
    </row>
    <row r="19609" spans="1:1" s="200" customFormat="1" ht="12" hidden="1" customHeight="1">
      <c r="A19609" s="199"/>
    </row>
    <row r="19610" spans="1:1" s="200" customFormat="1" ht="12" hidden="1" customHeight="1">
      <c r="A19610" s="199"/>
    </row>
    <row r="19611" spans="1:1" s="200" customFormat="1" ht="12" hidden="1" customHeight="1">
      <c r="A19611" s="199"/>
    </row>
    <row r="19612" spans="1:1" s="200" customFormat="1" ht="12" hidden="1" customHeight="1">
      <c r="A19612" s="199"/>
    </row>
    <row r="19613" spans="1:1" s="200" customFormat="1" ht="12" hidden="1" customHeight="1">
      <c r="A19613" s="199"/>
    </row>
    <row r="19614" spans="1:1" s="200" customFormat="1" ht="12" hidden="1" customHeight="1">
      <c r="A19614" s="199"/>
    </row>
    <row r="19615" spans="1:1" s="200" customFormat="1" ht="12" hidden="1" customHeight="1">
      <c r="A19615" s="199"/>
    </row>
    <row r="19616" spans="1:1" s="200" customFormat="1" ht="12" hidden="1" customHeight="1">
      <c r="A19616" s="199"/>
    </row>
    <row r="19617" spans="1:1" s="200" customFormat="1" ht="12" hidden="1" customHeight="1">
      <c r="A19617" s="199"/>
    </row>
    <row r="19618" spans="1:1" s="200" customFormat="1" ht="12" hidden="1" customHeight="1">
      <c r="A19618" s="199"/>
    </row>
    <row r="19619" spans="1:1" s="200" customFormat="1" ht="12" hidden="1" customHeight="1">
      <c r="A19619" s="199"/>
    </row>
    <row r="19620" spans="1:1" s="200" customFormat="1" ht="12" hidden="1" customHeight="1">
      <c r="A19620" s="199"/>
    </row>
    <row r="19621" spans="1:1" s="200" customFormat="1" ht="12" hidden="1" customHeight="1">
      <c r="A19621" s="199"/>
    </row>
    <row r="19622" spans="1:1" s="200" customFormat="1" ht="12" hidden="1" customHeight="1">
      <c r="A19622" s="199"/>
    </row>
    <row r="19623" spans="1:1" s="200" customFormat="1" ht="12" hidden="1" customHeight="1">
      <c r="A19623" s="199"/>
    </row>
    <row r="19624" spans="1:1" s="200" customFormat="1" ht="12" hidden="1" customHeight="1">
      <c r="A19624" s="199"/>
    </row>
    <row r="19625" spans="1:1" s="200" customFormat="1" ht="12" hidden="1" customHeight="1">
      <c r="A19625" s="199"/>
    </row>
    <row r="19626" spans="1:1" s="200" customFormat="1" ht="12" hidden="1" customHeight="1">
      <c r="A19626" s="199"/>
    </row>
    <row r="19627" spans="1:1" s="200" customFormat="1" ht="12" hidden="1" customHeight="1">
      <c r="A19627" s="199"/>
    </row>
    <row r="19628" spans="1:1" s="200" customFormat="1" ht="12" hidden="1" customHeight="1">
      <c r="A19628" s="199"/>
    </row>
    <row r="19629" spans="1:1" s="200" customFormat="1" ht="12" hidden="1" customHeight="1">
      <c r="A19629" s="199"/>
    </row>
    <row r="19630" spans="1:1" s="200" customFormat="1" ht="12" hidden="1" customHeight="1">
      <c r="A19630" s="199"/>
    </row>
    <row r="19631" spans="1:1" s="200" customFormat="1" ht="12" hidden="1" customHeight="1">
      <c r="A19631" s="199"/>
    </row>
    <row r="19632" spans="1:1" s="200" customFormat="1" ht="12" hidden="1" customHeight="1">
      <c r="A19632" s="199"/>
    </row>
    <row r="19633" spans="1:1" s="200" customFormat="1" ht="12" hidden="1" customHeight="1">
      <c r="A19633" s="199"/>
    </row>
    <row r="19634" spans="1:1" s="200" customFormat="1" ht="12" hidden="1" customHeight="1">
      <c r="A19634" s="199"/>
    </row>
    <row r="19635" spans="1:1" s="200" customFormat="1" ht="12" hidden="1" customHeight="1">
      <c r="A19635" s="199"/>
    </row>
    <row r="19636" spans="1:1" s="200" customFormat="1" ht="12" hidden="1" customHeight="1">
      <c r="A19636" s="199"/>
    </row>
    <row r="19637" spans="1:1" s="200" customFormat="1" ht="12" hidden="1" customHeight="1">
      <c r="A19637" s="199"/>
    </row>
    <row r="19638" spans="1:1" s="200" customFormat="1" ht="12" hidden="1" customHeight="1">
      <c r="A19638" s="199"/>
    </row>
    <row r="19639" spans="1:1" s="200" customFormat="1" ht="12" hidden="1" customHeight="1">
      <c r="A19639" s="199"/>
    </row>
    <row r="19640" spans="1:1" s="200" customFormat="1" ht="12" hidden="1" customHeight="1">
      <c r="A19640" s="199"/>
    </row>
    <row r="19641" spans="1:1" s="200" customFormat="1" ht="12" hidden="1" customHeight="1">
      <c r="A19641" s="199"/>
    </row>
    <row r="19642" spans="1:1" s="200" customFormat="1" ht="12" hidden="1" customHeight="1">
      <c r="A19642" s="199"/>
    </row>
    <row r="19643" spans="1:1" s="200" customFormat="1" ht="12" hidden="1" customHeight="1">
      <c r="A19643" s="199"/>
    </row>
    <row r="19644" spans="1:1" s="200" customFormat="1" ht="12" hidden="1" customHeight="1">
      <c r="A19644" s="199"/>
    </row>
    <row r="19645" spans="1:1" s="200" customFormat="1" ht="12" hidden="1" customHeight="1">
      <c r="A19645" s="199"/>
    </row>
    <row r="19646" spans="1:1" s="200" customFormat="1" ht="12" hidden="1" customHeight="1">
      <c r="A19646" s="199"/>
    </row>
    <row r="19647" spans="1:1" s="200" customFormat="1" ht="12" hidden="1" customHeight="1">
      <c r="A19647" s="199"/>
    </row>
    <row r="19648" spans="1:1" s="200" customFormat="1" ht="12" hidden="1" customHeight="1">
      <c r="A19648" s="199"/>
    </row>
    <row r="19649" spans="1:1" s="200" customFormat="1" ht="12" hidden="1" customHeight="1">
      <c r="A19649" s="199"/>
    </row>
    <row r="19650" spans="1:1" s="200" customFormat="1" ht="12" hidden="1" customHeight="1">
      <c r="A19650" s="199"/>
    </row>
    <row r="19651" spans="1:1" s="200" customFormat="1" ht="12" hidden="1" customHeight="1">
      <c r="A19651" s="199"/>
    </row>
    <row r="19652" spans="1:1" s="200" customFormat="1" ht="12" hidden="1" customHeight="1">
      <c r="A19652" s="199"/>
    </row>
    <row r="19653" spans="1:1" s="200" customFormat="1" ht="12" hidden="1" customHeight="1">
      <c r="A19653" s="199"/>
    </row>
    <row r="19654" spans="1:1" s="200" customFormat="1" ht="12" hidden="1" customHeight="1">
      <c r="A19654" s="199"/>
    </row>
    <row r="19655" spans="1:1" s="200" customFormat="1" ht="12" hidden="1" customHeight="1">
      <c r="A19655" s="199"/>
    </row>
    <row r="19656" spans="1:1" s="200" customFormat="1" ht="12" hidden="1" customHeight="1">
      <c r="A19656" s="199"/>
    </row>
    <row r="19657" spans="1:1" s="200" customFormat="1" ht="12" hidden="1" customHeight="1">
      <c r="A19657" s="199"/>
    </row>
    <row r="19658" spans="1:1" s="200" customFormat="1" ht="12" hidden="1" customHeight="1">
      <c r="A19658" s="199"/>
    </row>
    <row r="19659" spans="1:1" s="200" customFormat="1" ht="12" hidden="1" customHeight="1">
      <c r="A19659" s="199"/>
    </row>
    <row r="19660" spans="1:1" s="200" customFormat="1" ht="12" hidden="1" customHeight="1">
      <c r="A19660" s="199"/>
    </row>
    <row r="19661" spans="1:1" s="200" customFormat="1" ht="12" hidden="1" customHeight="1">
      <c r="A19661" s="199"/>
    </row>
    <row r="19662" spans="1:1" s="200" customFormat="1" ht="12" hidden="1" customHeight="1">
      <c r="A19662" s="199"/>
    </row>
    <row r="19663" spans="1:1" s="200" customFormat="1" ht="12" hidden="1" customHeight="1">
      <c r="A19663" s="199"/>
    </row>
    <row r="19664" spans="1:1" s="200" customFormat="1" ht="12" hidden="1" customHeight="1">
      <c r="A19664" s="199"/>
    </row>
    <row r="19665" spans="1:1" s="200" customFormat="1" ht="12" hidden="1" customHeight="1">
      <c r="A19665" s="199"/>
    </row>
    <row r="19666" spans="1:1" s="200" customFormat="1" ht="12" hidden="1" customHeight="1">
      <c r="A19666" s="199"/>
    </row>
    <row r="19667" spans="1:1" s="200" customFormat="1" ht="12" hidden="1" customHeight="1">
      <c r="A19667" s="199"/>
    </row>
    <row r="19668" spans="1:1" s="200" customFormat="1" ht="12" hidden="1" customHeight="1">
      <c r="A19668" s="199"/>
    </row>
    <row r="19669" spans="1:1" s="200" customFormat="1" ht="12" hidden="1" customHeight="1">
      <c r="A19669" s="199"/>
    </row>
    <row r="19670" spans="1:1" s="200" customFormat="1" ht="12" hidden="1" customHeight="1">
      <c r="A19670" s="199"/>
    </row>
    <row r="19671" spans="1:1" s="200" customFormat="1" ht="12" hidden="1" customHeight="1">
      <c r="A19671" s="199"/>
    </row>
    <row r="19672" spans="1:1" s="200" customFormat="1" ht="12" hidden="1" customHeight="1">
      <c r="A19672" s="199"/>
    </row>
    <row r="19673" spans="1:1" s="200" customFormat="1" ht="12" hidden="1" customHeight="1">
      <c r="A19673" s="199"/>
    </row>
    <row r="19674" spans="1:1" s="200" customFormat="1" ht="12" hidden="1" customHeight="1">
      <c r="A19674" s="199"/>
    </row>
    <row r="19675" spans="1:1" s="200" customFormat="1" ht="12" hidden="1" customHeight="1">
      <c r="A19675" s="199"/>
    </row>
    <row r="19676" spans="1:1" s="200" customFormat="1" ht="12" hidden="1" customHeight="1">
      <c r="A19676" s="199"/>
    </row>
    <row r="19677" spans="1:1" s="200" customFormat="1" ht="12" hidden="1" customHeight="1">
      <c r="A19677" s="199"/>
    </row>
    <row r="19678" spans="1:1" s="200" customFormat="1" ht="12" hidden="1" customHeight="1">
      <c r="A19678" s="199"/>
    </row>
    <row r="19679" spans="1:1" s="200" customFormat="1" ht="12" hidden="1" customHeight="1">
      <c r="A19679" s="199"/>
    </row>
    <row r="19680" spans="1:1" s="200" customFormat="1" ht="12" hidden="1" customHeight="1">
      <c r="A19680" s="199"/>
    </row>
    <row r="19681" spans="1:1" s="200" customFormat="1" ht="12" hidden="1" customHeight="1">
      <c r="A19681" s="199"/>
    </row>
    <row r="19682" spans="1:1" s="200" customFormat="1" ht="12" hidden="1" customHeight="1">
      <c r="A19682" s="199"/>
    </row>
    <row r="19683" spans="1:1" s="200" customFormat="1" ht="12" hidden="1" customHeight="1">
      <c r="A19683" s="199"/>
    </row>
    <row r="19684" spans="1:1" s="200" customFormat="1" ht="12" hidden="1" customHeight="1">
      <c r="A19684" s="199"/>
    </row>
    <row r="19685" spans="1:1" s="200" customFormat="1" ht="12" hidden="1" customHeight="1">
      <c r="A19685" s="199"/>
    </row>
    <row r="19686" spans="1:1" s="200" customFormat="1" ht="12" hidden="1" customHeight="1">
      <c r="A19686" s="199"/>
    </row>
    <row r="19687" spans="1:1" s="200" customFormat="1" ht="12" hidden="1" customHeight="1">
      <c r="A19687" s="199"/>
    </row>
    <row r="19688" spans="1:1" s="200" customFormat="1" ht="12" hidden="1" customHeight="1">
      <c r="A19688" s="199"/>
    </row>
    <row r="19689" spans="1:1" s="200" customFormat="1" ht="12" hidden="1" customHeight="1">
      <c r="A19689" s="199"/>
    </row>
    <row r="19690" spans="1:1" s="200" customFormat="1" ht="12" hidden="1" customHeight="1">
      <c r="A19690" s="199"/>
    </row>
    <row r="19691" spans="1:1" s="200" customFormat="1" ht="12" hidden="1" customHeight="1">
      <c r="A19691" s="199"/>
    </row>
    <row r="19692" spans="1:1" s="200" customFormat="1" ht="12" hidden="1" customHeight="1">
      <c r="A19692" s="199"/>
    </row>
    <row r="19693" spans="1:1" s="200" customFormat="1" ht="12" hidden="1" customHeight="1">
      <c r="A19693" s="199"/>
    </row>
    <row r="19694" spans="1:1" s="200" customFormat="1" ht="12" hidden="1" customHeight="1">
      <c r="A19694" s="199"/>
    </row>
    <row r="19695" spans="1:1" s="200" customFormat="1" ht="12" hidden="1" customHeight="1">
      <c r="A19695" s="199"/>
    </row>
    <row r="19696" spans="1:1" s="200" customFormat="1" ht="12" hidden="1" customHeight="1">
      <c r="A19696" s="199"/>
    </row>
    <row r="19697" spans="1:1" s="200" customFormat="1" ht="12" hidden="1" customHeight="1">
      <c r="A19697" s="199"/>
    </row>
    <row r="19698" spans="1:1" s="200" customFormat="1" ht="12" hidden="1" customHeight="1">
      <c r="A19698" s="199"/>
    </row>
    <row r="19699" spans="1:1" s="200" customFormat="1" ht="12" hidden="1" customHeight="1">
      <c r="A19699" s="199"/>
    </row>
    <row r="19700" spans="1:1" s="200" customFormat="1" ht="12" hidden="1" customHeight="1">
      <c r="A19700" s="199"/>
    </row>
    <row r="19701" spans="1:1" s="200" customFormat="1" ht="12" hidden="1" customHeight="1">
      <c r="A19701" s="199"/>
    </row>
    <row r="19702" spans="1:1" s="200" customFormat="1" ht="12" hidden="1" customHeight="1">
      <c r="A19702" s="199"/>
    </row>
    <row r="19703" spans="1:1" s="200" customFormat="1" ht="12" hidden="1" customHeight="1">
      <c r="A19703" s="199"/>
    </row>
    <row r="19704" spans="1:1" s="200" customFormat="1" ht="12" hidden="1" customHeight="1">
      <c r="A19704" s="199"/>
    </row>
    <row r="19705" spans="1:1" s="200" customFormat="1" ht="12" hidden="1" customHeight="1">
      <c r="A19705" s="199"/>
    </row>
    <row r="19706" spans="1:1" s="200" customFormat="1" ht="12" hidden="1" customHeight="1">
      <c r="A19706" s="199"/>
    </row>
    <row r="19707" spans="1:1" s="200" customFormat="1" ht="12" hidden="1" customHeight="1">
      <c r="A19707" s="199"/>
    </row>
    <row r="19708" spans="1:1" s="200" customFormat="1" ht="12" hidden="1" customHeight="1">
      <c r="A19708" s="199"/>
    </row>
    <row r="19709" spans="1:1" s="200" customFormat="1" ht="12" hidden="1" customHeight="1">
      <c r="A19709" s="199"/>
    </row>
    <row r="19710" spans="1:1" s="200" customFormat="1" ht="12" hidden="1" customHeight="1">
      <c r="A19710" s="199"/>
    </row>
    <row r="19711" spans="1:1" s="200" customFormat="1" ht="12" hidden="1" customHeight="1">
      <c r="A19711" s="199"/>
    </row>
    <row r="19712" spans="1:1" s="200" customFormat="1" ht="12" hidden="1" customHeight="1">
      <c r="A19712" s="199"/>
    </row>
    <row r="19713" spans="1:1" s="200" customFormat="1" ht="12" hidden="1" customHeight="1">
      <c r="A19713" s="199"/>
    </row>
    <row r="19714" spans="1:1" s="200" customFormat="1" ht="12" hidden="1" customHeight="1">
      <c r="A19714" s="199"/>
    </row>
    <row r="19715" spans="1:1" s="200" customFormat="1" ht="12" hidden="1" customHeight="1">
      <c r="A19715" s="199"/>
    </row>
    <row r="19716" spans="1:1" s="200" customFormat="1" ht="12" hidden="1" customHeight="1">
      <c r="A19716" s="199"/>
    </row>
    <row r="19717" spans="1:1" s="200" customFormat="1" ht="12" hidden="1" customHeight="1">
      <c r="A19717" s="199"/>
    </row>
    <row r="19718" spans="1:1" s="200" customFormat="1" ht="12" hidden="1" customHeight="1">
      <c r="A19718" s="199"/>
    </row>
    <row r="19719" spans="1:1" s="200" customFormat="1" ht="12" hidden="1" customHeight="1">
      <c r="A19719" s="199"/>
    </row>
    <row r="19720" spans="1:1" s="200" customFormat="1" ht="12" hidden="1" customHeight="1">
      <c r="A19720" s="199"/>
    </row>
    <row r="19721" spans="1:1" s="200" customFormat="1" ht="12" hidden="1" customHeight="1">
      <c r="A19721" s="199"/>
    </row>
    <row r="19722" spans="1:1" s="200" customFormat="1" ht="12" hidden="1" customHeight="1">
      <c r="A19722" s="199"/>
    </row>
    <row r="19723" spans="1:1" s="200" customFormat="1" ht="12" hidden="1" customHeight="1">
      <c r="A19723" s="199"/>
    </row>
    <row r="19724" spans="1:1" s="200" customFormat="1" ht="12" hidden="1" customHeight="1">
      <c r="A19724" s="199"/>
    </row>
    <row r="19725" spans="1:1" s="200" customFormat="1" ht="12" hidden="1" customHeight="1">
      <c r="A19725" s="199"/>
    </row>
    <row r="19726" spans="1:1" s="200" customFormat="1" ht="12" hidden="1" customHeight="1">
      <c r="A19726" s="199"/>
    </row>
    <row r="19727" spans="1:1" s="200" customFormat="1" ht="12" hidden="1" customHeight="1">
      <c r="A19727" s="199"/>
    </row>
    <row r="19728" spans="1:1" s="200" customFormat="1" ht="12" hidden="1" customHeight="1">
      <c r="A19728" s="199"/>
    </row>
    <row r="19729" spans="1:1" s="200" customFormat="1" ht="12" hidden="1" customHeight="1">
      <c r="A19729" s="199"/>
    </row>
    <row r="19730" spans="1:1" s="200" customFormat="1" ht="12" hidden="1" customHeight="1">
      <c r="A19730" s="199"/>
    </row>
    <row r="19731" spans="1:1" s="200" customFormat="1" ht="12" hidden="1" customHeight="1">
      <c r="A19731" s="199"/>
    </row>
    <row r="19732" spans="1:1" s="200" customFormat="1" ht="12" hidden="1" customHeight="1">
      <c r="A19732" s="199"/>
    </row>
    <row r="19733" spans="1:1" s="200" customFormat="1" ht="12" hidden="1" customHeight="1">
      <c r="A19733" s="199"/>
    </row>
    <row r="19734" spans="1:1" s="200" customFormat="1" ht="12" hidden="1" customHeight="1">
      <c r="A19734" s="199"/>
    </row>
    <row r="19735" spans="1:1" s="200" customFormat="1" ht="12" hidden="1" customHeight="1">
      <c r="A19735" s="199"/>
    </row>
    <row r="19736" spans="1:1" s="200" customFormat="1" ht="12" hidden="1" customHeight="1">
      <c r="A19736" s="199"/>
    </row>
    <row r="19737" spans="1:1" s="200" customFormat="1" ht="12" hidden="1" customHeight="1">
      <c r="A19737" s="199"/>
    </row>
    <row r="19738" spans="1:1" s="200" customFormat="1" ht="12" hidden="1" customHeight="1">
      <c r="A19738" s="199"/>
    </row>
    <row r="19739" spans="1:1" s="200" customFormat="1" ht="12" hidden="1" customHeight="1">
      <c r="A19739" s="199"/>
    </row>
    <row r="19740" spans="1:1" s="200" customFormat="1" ht="12" hidden="1" customHeight="1">
      <c r="A19740" s="199"/>
    </row>
    <row r="19741" spans="1:1" s="200" customFormat="1" ht="12" hidden="1" customHeight="1">
      <c r="A19741" s="199"/>
    </row>
    <row r="19742" spans="1:1" s="200" customFormat="1" ht="12" hidden="1" customHeight="1">
      <c r="A19742" s="199"/>
    </row>
    <row r="19743" spans="1:1" s="200" customFormat="1" ht="12" hidden="1" customHeight="1">
      <c r="A19743" s="199"/>
    </row>
    <row r="19744" spans="1:1" s="200" customFormat="1" ht="12" hidden="1" customHeight="1">
      <c r="A19744" s="199"/>
    </row>
    <row r="19745" spans="1:1" s="200" customFormat="1" ht="12" hidden="1" customHeight="1">
      <c r="A19745" s="199"/>
    </row>
    <row r="19746" spans="1:1" s="200" customFormat="1" ht="12" hidden="1" customHeight="1">
      <c r="A19746" s="199"/>
    </row>
    <row r="19747" spans="1:1" s="200" customFormat="1" ht="12" hidden="1" customHeight="1">
      <c r="A19747" s="199"/>
    </row>
    <row r="19748" spans="1:1" s="200" customFormat="1" ht="12" hidden="1" customHeight="1">
      <c r="A19748" s="199"/>
    </row>
    <row r="19749" spans="1:1" s="200" customFormat="1" ht="12" hidden="1" customHeight="1">
      <c r="A19749" s="199"/>
    </row>
    <row r="19750" spans="1:1" s="200" customFormat="1" ht="12" hidden="1" customHeight="1">
      <c r="A19750" s="199"/>
    </row>
    <row r="19751" spans="1:1" s="200" customFormat="1" ht="12" hidden="1" customHeight="1">
      <c r="A19751" s="199"/>
    </row>
    <row r="19752" spans="1:1" s="200" customFormat="1" ht="12" hidden="1" customHeight="1">
      <c r="A19752" s="199"/>
    </row>
    <row r="19753" spans="1:1" s="200" customFormat="1" ht="12" hidden="1" customHeight="1">
      <c r="A19753" s="199"/>
    </row>
    <row r="19754" spans="1:1" s="200" customFormat="1" ht="12" hidden="1" customHeight="1">
      <c r="A19754" s="199"/>
    </row>
    <row r="19755" spans="1:1" s="200" customFormat="1" ht="12" hidden="1" customHeight="1">
      <c r="A19755" s="199"/>
    </row>
    <row r="19756" spans="1:1" s="200" customFormat="1" ht="12" hidden="1" customHeight="1">
      <c r="A19756" s="199"/>
    </row>
    <row r="19757" spans="1:1" s="200" customFormat="1" ht="12" hidden="1" customHeight="1">
      <c r="A19757" s="199"/>
    </row>
    <row r="19758" spans="1:1" s="200" customFormat="1" ht="12" hidden="1" customHeight="1">
      <c r="A19758" s="199"/>
    </row>
    <row r="19759" spans="1:1" s="200" customFormat="1" ht="12" hidden="1" customHeight="1">
      <c r="A19759" s="199"/>
    </row>
    <row r="19760" spans="1:1" s="200" customFormat="1" ht="12" hidden="1" customHeight="1">
      <c r="A19760" s="199"/>
    </row>
    <row r="19761" spans="1:1" s="200" customFormat="1" ht="12" hidden="1" customHeight="1">
      <c r="A19761" s="199"/>
    </row>
    <row r="19762" spans="1:1" s="200" customFormat="1" ht="12" hidden="1" customHeight="1">
      <c r="A19762" s="199"/>
    </row>
    <row r="19763" spans="1:1" s="200" customFormat="1" ht="12" hidden="1" customHeight="1">
      <c r="A19763" s="199"/>
    </row>
    <row r="19764" spans="1:1" s="200" customFormat="1" ht="12" hidden="1" customHeight="1">
      <c r="A19764" s="199"/>
    </row>
    <row r="19765" spans="1:1" s="200" customFormat="1" ht="12" hidden="1" customHeight="1">
      <c r="A19765" s="199"/>
    </row>
    <row r="19766" spans="1:1" s="200" customFormat="1" ht="12" hidden="1" customHeight="1">
      <c r="A19766" s="199"/>
    </row>
    <row r="19767" spans="1:1" s="200" customFormat="1" ht="12" hidden="1" customHeight="1">
      <c r="A19767" s="199"/>
    </row>
    <row r="19768" spans="1:1" s="200" customFormat="1" ht="12" hidden="1" customHeight="1">
      <c r="A19768" s="199"/>
    </row>
    <row r="19769" spans="1:1" s="200" customFormat="1" ht="12" hidden="1" customHeight="1">
      <c r="A19769" s="199"/>
    </row>
    <row r="19770" spans="1:1" s="200" customFormat="1" ht="12" hidden="1" customHeight="1">
      <c r="A19770" s="199"/>
    </row>
    <row r="19771" spans="1:1" s="200" customFormat="1" ht="12" hidden="1" customHeight="1">
      <c r="A19771" s="199"/>
    </row>
    <row r="19772" spans="1:1" s="200" customFormat="1" ht="12" hidden="1" customHeight="1">
      <c r="A19772" s="199"/>
    </row>
    <row r="19773" spans="1:1" s="200" customFormat="1" ht="12" hidden="1" customHeight="1">
      <c r="A19773" s="199"/>
    </row>
    <row r="19774" spans="1:1" s="200" customFormat="1" ht="12" hidden="1" customHeight="1">
      <c r="A19774" s="199"/>
    </row>
    <row r="19775" spans="1:1" s="200" customFormat="1" ht="12" hidden="1" customHeight="1">
      <c r="A19775" s="199"/>
    </row>
    <row r="19776" spans="1:1" s="200" customFormat="1" ht="12" hidden="1" customHeight="1">
      <c r="A19776" s="199"/>
    </row>
    <row r="19777" spans="1:1" s="200" customFormat="1" ht="12" hidden="1" customHeight="1">
      <c r="A19777" s="199"/>
    </row>
    <row r="19778" spans="1:1" s="200" customFormat="1" ht="12" hidden="1" customHeight="1">
      <c r="A19778" s="199"/>
    </row>
    <row r="19779" spans="1:1" s="200" customFormat="1" ht="12" hidden="1" customHeight="1">
      <c r="A19779" s="199"/>
    </row>
    <row r="19780" spans="1:1" s="200" customFormat="1" ht="12" hidden="1" customHeight="1">
      <c r="A19780" s="199"/>
    </row>
    <row r="19781" spans="1:1" s="200" customFormat="1" ht="12" hidden="1" customHeight="1">
      <c r="A19781" s="199"/>
    </row>
    <row r="19782" spans="1:1" s="200" customFormat="1" ht="12" hidden="1" customHeight="1">
      <c r="A19782" s="199"/>
    </row>
    <row r="19783" spans="1:1" s="200" customFormat="1" ht="12" hidden="1" customHeight="1">
      <c r="A19783" s="199"/>
    </row>
    <row r="19784" spans="1:1" s="200" customFormat="1" ht="12" hidden="1" customHeight="1">
      <c r="A19784" s="199"/>
    </row>
    <row r="19785" spans="1:1" s="200" customFormat="1" ht="12" hidden="1" customHeight="1">
      <c r="A19785" s="199"/>
    </row>
    <row r="19786" spans="1:1" s="200" customFormat="1" ht="12" hidden="1" customHeight="1">
      <c r="A19786" s="199"/>
    </row>
    <row r="19787" spans="1:1" s="200" customFormat="1" ht="12" hidden="1" customHeight="1">
      <c r="A19787" s="199"/>
    </row>
    <row r="19788" spans="1:1" s="200" customFormat="1" ht="12" hidden="1" customHeight="1">
      <c r="A19788" s="199"/>
    </row>
    <row r="19789" spans="1:1" s="200" customFormat="1" ht="12" hidden="1" customHeight="1">
      <c r="A19789" s="199"/>
    </row>
    <row r="19790" spans="1:1" s="200" customFormat="1" ht="12" hidden="1" customHeight="1">
      <c r="A19790" s="199"/>
    </row>
    <row r="19791" spans="1:1" s="200" customFormat="1" ht="12" hidden="1" customHeight="1">
      <c r="A19791" s="199"/>
    </row>
    <row r="19792" spans="1:1" s="200" customFormat="1" ht="12" hidden="1" customHeight="1">
      <c r="A19792" s="199"/>
    </row>
    <row r="19793" spans="1:1" s="200" customFormat="1" ht="12" hidden="1" customHeight="1">
      <c r="A19793" s="199"/>
    </row>
    <row r="19794" spans="1:1" s="200" customFormat="1" ht="12" hidden="1" customHeight="1">
      <c r="A19794" s="199"/>
    </row>
    <row r="19795" spans="1:1" s="200" customFormat="1" ht="12" hidden="1" customHeight="1">
      <c r="A19795" s="199"/>
    </row>
    <row r="19796" spans="1:1" s="200" customFormat="1" ht="12" hidden="1" customHeight="1">
      <c r="A19796" s="199"/>
    </row>
    <row r="19797" spans="1:1" s="200" customFormat="1" ht="12" hidden="1" customHeight="1">
      <c r="A19797" s="199"/>
    </row>
    <row r="19798" spans="1:1" s="200" customFormat="1" ht="12" hidden="1" customHeight="1">
      <c r="A19798" s="199"/>
    </row>
    <row r="19799" spans="1:1" s="200" customFormat="1" ht="12" hidden="1" customHeight="1">
      <c r="A19799" s="199"/>
    </row>
    <row r="19800" spans="1:1" s="200" customFormat="1" ht="12" hidden="1" customHeight="1">
      <c r="A19800" s="199"/>
    </row>
    <row r="19801" spans="1:1" s="200" customFormat="1" ht="12" hidden="1" customHeight="1">
      <c r="A19801" s="199"/>
    </row>
    <row r="19802" spans="1:1" s="200" customFormat="1" ht="12" hidden="1" customHeight="1">
      <c r="A19802" s="199"/>
    </row>
    <row r="19803" spans="1:1" s="200" customFormat="1" ht="12" hidden="1" customHeight="1">
      <c r="A19803" s="199"/>
    </row>
    <row r="19804" spans="1:1" s="200" customFormat="1" ht="12" hidden="1" customHeight="1">
      <c r="A19804" s="199"/>
    </row>
    <row r="19805" spans="1:1" s="200" customFormat="1" ht="12" hidden="1" customHeight="1">
      <c r="A19805" s="199"/>
    </row>
    <row r="19806" spans="1:1" s="200" customFormat="1" ht="12" hidden="1" customHeight="1">
      <c r="A19806" s="199"/>
    </row>
    <row r="19807" spans="1:1" s="200" customFormat="1" ht="12" hidden="1" customHeight="1">
      <c r="A19807" s="199"/>
    </row>
    <row r="19808" spans="1:1" s="200" customFormat="1" ht="12" hidden="1" customHeight="1">
      <c r="A19808" s="199"/>
    </row>
    <row r="19809" spans="1:1" s="200" customFormat="1" ht="12" hidden="1" customHeight="1">
      <c r="A19809" s="199"/>
    </row>
    <row r="19810" spans="1:1" s="200" customFormat="1" ht="12" hidden="1" customHeight="1">
      <c r="A19810" s="199"/>
    </row>
    <row r="19811" spans="1:1" s="200" customFormat="1" ht="12" hidden="1" customHeight="1">
      <c r="A19811" s="199"/>
    </row>
    <row r="19812" spans="1:1" s="200" customFormat="1" ht="12" hidden="1" customHeight="1">
      <c r="A19812" s="199"/>
    </row>
    <row r="19813" spans="1:1" s="200" customFormat="1" ht="12" hidden="1" customHeight="1">
      <c r="A19813" s="199"/>
    </row>
    <row r="19814" spans="1:1" s="200" customFormat="1" ht="12" hidden="1" customHeight="1">
      <c r="A19814" s="199"/>
    </row>
    <row r="19815" spans="1:1" s="200" customFormat="1" ht="12" hidden="1" customHeight="1">
      <c r="A19815" s="199"/>
    </row>
    <row r="19816" spans="1:1" s="200" customFormat="1" ht="12" hidden="1" customHeight="1">
      <c r="A19816" s="199"/>
    </row>
    <row r="19817" spans="1:1" s="200" customFormat="1" ht="12" hidden="1" customHeight="1">
      <c r="A19817" s="199"/>
    </row>
    <row r="19818" spans="1:1" s="200" customFormat="1" ht="12" hidden="1" customHeight="1">
      <c r="A19818" s="199"/>
    </row>
    <row r="19819" spans="1:1" s="200" customFormat="1" ht="12" hidden="1" customHeight="1">
      <c r="A19819" s="199"/>
    </row>
    <row r="19820" spans="1:1" s="200" customFormat="1" ht="12" hidden="1" customHeight="1">
      <c r="A19820" s="199"/>
    </row>
    <row r="19821" spans="1:1" s="200" customFormat="1" ht="12" hidden="1" customHeight="1">
      <c r="A19821" s="199"/>
    </row>
    <row r="19822" spans="1:1" s="200" customFormat="1" ht="12" hidden="1" customHeight="1">
      <c r="A19822" s="199"/>
    </row>
    <row r="19823" spans="1:1" s="200" customFormat="1" ht="12" hidden="1" customHeight="1">
      <c r="A19823" s="199"/>
    </row>
    <row r="19824" spans="1:1" s="200" customFormat="1" ht="12" hidden="1" customHeight="1">
      <c r="A19824" s="199"/>
    </row>
    <row r="19825" spans="1:1" s="200" customFormat="1" ht="12" hidden="1" customHeight="1">
      <c r="A19825" s="199"/>
    </row>
    <row r="19826" spans="1:1" s="200" customFormat="1" ht="12" hidden="1" customHeight="1">
      <c r="A19826" s="199"/>
    </row>
    <row r="19827" spans="1:1" s="200" customFormat="1" ht="12" hidden="1" customHeight="1">
      <c r="A19827" s="199"/>
    </row>
    <row r="19828" spans="1:1" s="200" customFormat="1" ht="12" hidden="1" customHeight="1">
      <c r="A19828" s="199"/>
    </row>
    <row r="19829" spans="1:1" s="200" customFormat="1" ht="12" hidden="1" customHeight="1">
      <c r="A19829" s="199"/>
    </row>
    <row r="19830" spans="1:1" s="200" customFormat="1" ht="12" hidden="1" customHeight="1">
      <c r="A19830" s="199"/>
    </row>
    <row r="19831" spans="1:1" s="200" customFormat="1" ht="12" hidden="1" customHeight="1">
      <c r="A19831" s="199"/>
    </row>
    <row r="19832" spans="1:1" s="200" customFormat="1" ht="12" hidden="1" customHeight="1">
      <c r="A19832" s="199"/>
    </row>
    <row r="19833" spans="1:1" s="200" customFormat="1" ht="12" hidden="1" customHeight="1">
      <c r="A19833" s="199"/>
    </row>
    <row r="19834" spans="1:1" s="200" customFormat="1" ht="12" hidden="1" customHeight="1">
      <c r="A19834" s="199"/>
    </row>
    <row r="19835" spans="1:1" s="200" customFormat="1" ht="12" hidden="1" customHeight="1">
      <c r="A19835" s="199"/>
    </row>
    <row r="19836" spans="1:1" s="200" customFormat="1" ht="12" hidden="1" customHeight="1">
      <c r="A19836" s="199"/>
    </row>
    <row r="19837" spans="1:1" s="200" customFormat="1" ht="12" hidden="1" customHeight="1">
      <c r="A19837" s="199"/>
    </row>
    <row r="19838" spans="1:1" s="200" customFormat="1" ht="12" hidden="1" customHeight="1">
      <c r="A19838" s="199"/>
    </row>
    <row r="19839" spans="1:1" s="200" customFormat="1" ht="12" hidden="1" customHeight="1">
      <c r="A19839" s="199"/>
    </row>
    <row r="19840" spans="1:1" s="200" customFormat="1" ht="12" hidden="1" customHeight="1">
      <c r="A19840" s="199"/>
    </row>
    <row r="19841" spans="1:1" s="200" customFormat="1" ht="12" hidden="1" customHeight="1">
      <c r="A19841" s="199"/>
    </row>
    <row r="19842" spans="1:1" s="200" customFormat="1" ht="12" hidden="1" customHeight="1">
      <c r="A19842" s="199"/>
    </row>
    <row r="19843" spans="1:1" s="200" customFormat="1" ht="12" hidden="1" customHeight="1">
      <c r="A19843" s="199"/>
    </row>
    <row r="19844" spans="1:1" s="200" customFormat="1" ht="12" hidden="1" customHeight="1">
      <c r="A19844" s="199"/>
    </row>
    <row r="19845" spans="1:1" s="200" customFormat="1" ht="12" hidden="1" customHeight="1">
      <c r="A19845" s="199"/>
    </row>
    <row r="19846" spans="1:1" s="200" customFormat="1" ht="12" hidden="1" customHeight="1">
      <c r="A19846" s="199"/>
    </row>
    <row r="19847" spans="1:1" s="200" customFormat="1" ht="12" hidden="1" customHeight="1">
      <c r="A19847" s="199"/>
    </row>
    <row r="19848" spans="1:1" s="200" customFormat="1" ht="12" hidden="1" customHeight="1">
      <c r="A19848" s="199"/>
    </row>
    <row r="19849" spans="1:1" s="200" customFormat="1" ht="12" hidden="1" customHeight="1">
      <c r="A19849" s="199"/>
    </row>
    <row r="19850" spans="1:1" s="200" customFormat="1" ht="12" hidden="1" customHeight="1">
      <c r="A19850" s="199"/>
    </row>
    <row r="19851" spans="1:1" s="200" customFormat="1" ht="12" hidden="1" customHeight="1">
      <c r="A19851" s="199"/>
    </row>
    <row r="19852" spans="1:1" s="200" customFormat="1" ht="12" hidden="1" customHeight="1">
      <c r="A19852" s="199"/>
    </row>
    <row r="19853" spans="1:1" s="200" customFormat="1" ht="12" hidden="1" customHeight="1">
      <c r="A19853" s="199"/>
    </row>
    <row r="19854" spans="1:1" s="200" customFormat="1" ht="12" hidden="1" customHeight="1">
      <c r="A19854" s="199"/>
    </row>
    <row r="19855" spans="1:1" s="200" customFormat="1" ht="12" hidden="1" customHeight="1">
      <c r="A19855" s="199"/>
    </row>
    <row r="19856" spans="1:1" s="200" customFormat="1" ht="12" hidden="1" customHeight="1">
      <c r="A19856" s="199"/>
    </row>
    <row r="19857" spans="1:1" s="200" customFormat="1" ht="12" hidden="1" customHeight="1">
      <c r="A19857" s="199"/>
    </row>
    <row r="19858" spans="1:1" s="200" customFormat="1" ht="12" hidden="1" customHeight="1">
      <c r="A19858" s="199"/>
    </row>
    <row r="19859" spans="1:1" s="200" customFormat="1" ht="12" hidden="1" customHeight="1">
      <c r="A19859" s="199"/>
    </row>
    <row r="19860" spans="1:1" s="200" customFormat="1" ht="12" hidden="1" customHeight="1">
      <c r="A19860" s="199"/>
    </row>
    <row r="19861" spans="1:1" s="200" customFormat="1" ht="12" hidden="1" customHeight="1">
      <c r="A19861" s="199"/>
    </row>
    <row r="19862" spans="1:1" s="200" customFormat="1" ht="12" hidden="1" customHeight="1">
      <c r="A19862" s="199"/>
    </row>
    <row r="19863" spans="1:1" s="200" customFormat="1" ht="12" hidden="1" customHeight="1">
      <c r="A19863" s="199"/>
    </row>
    <row r="19864" spans="1:1" s="200" customFormat="1" ht="12" hidden="1" customHeight="1">
      <c r="A19864" s="199"/>
    </row>
    <row r="19865" spans="1:1" s="200" customFormat="1" ht="12" hidden="1" customHeight="1">
      <c r="A19865" s="199"/>
    </row>
    <row r="19866" spans="1:1" s="200" customFormat="1" ht="12" hidden="1" customHeight="1">
      <c r="A19866" s="199"/>
    </row>
    <row r="19867" spans="1:1" s="200" customFormat="1" ht="12" hidden="1" customHeight="1">
      <c r="A19867" s="199"/>
    </row>
    <row r="19868" spans="1:1" s="200" customFormat="1" ht="12" hidden="1" customHeight="1">
      <c r="A19868" s="199"/>
    </row>
    <row r="19869" spans="1:1" s="200" customFormat="1" ht="12" hidden="1" customHeight="1">
      <c r="A19869" s="199"/>
    </row>
    <row r="19870" spans="1:1" s="200" customFormat="1" ht="12" hidden="1" customHeight="1">
      <c r="A19870" s="199"/>
    </row>
    <row r="19871" spans="1:1" s="200" customFormat="1" ht="12" hidden="1" customHeight="1">
      <c r="A19871" s="199"/>
    </row>
    <row r="19872" spans="1:1" s="200" customFormat="1" ht="12" hidden="1" customHeight="1">
      <c r="A19872" s="199"/>
    </row>
    <row r="19873" spans="1:1" s="200" customFormat="1" ht="12" hidden="1" customHeight="1">
      <c r="A19873" s="199"/>
    </row>
    <row r="19874" spans="1:1" s="200" customFormat="1" ht="12" hidden="1" customHeight="1">
      <c r="A19874" s="199"/>
    </row>
    <row r="19875" spans="1:1" s="200" customFormat="1" ht="12" hidden="1" customHeight="1">
      <c r="A19875" s="199"/>
    </row>
    <row r="19876" spans="1:1" s="200" customFormat="1" ht="12" hidden="1" customHeight="1">
      <c r="A19876" s="199"/>
    </row>
    <row r="19877" spans="1:1" s="200" customFormat="1" ht="12" hidden="1" customHeight="1">
      <c r="A19877" s="199"/>
    </row>
    <row r="19878" spans="1:1" s="200" customFormat="1" ht="12" hidden="1" customHeight="1">
      <c r="A19878" s="199"/>
    </row>
    <row r="19879" spans="1:1" s="200" customFormat="1" ht="12" hidden="1" customHeight="1">
      <c r="A19879" s="199"/>
    </row>
    <row r="19880" spans="1:1" s="200" customFormat="1" ht="12" hidden="1" customHeight="1">
      <c r="A19880" s="199"/>
    </row>
    <row r="19881" spans="1:1" s="200" customFormat="1" ht="12" hidden="1" customHeight="1">
      <c r="A19881" s="199"/>
    </row>
    <row r="19882" spans="1:1" s="200" customFormat="1" ht="12" hidden="1" customHeight="1">
      <c r="A19882" s="199"/>
    </row>
    <row r="19883" spans="1:1" s="200" customFormat="1" ht="12" hidden="1" customHeight="1">
      <c r="A19883" s="199"/>
    </row>
    <row r="19884" spans="1:1" s="200" customFormat="1" ht="12" hidden="1" customHeight="1">
      <c r="A19884" s="199"/>
    </row>
    <row r="19885" spans="1:1" s="200" customFormat="1" ht="12" hidden="1" customHeight="1">
      <c r="A19885" s="199"/>
    </row>
    <row r="19886" spans="1:1" s="200" customFormat="1" ht="12" hidden="1" customHeight="1">
      <c r="A19886" s="199"/>
    </row>
    <row r="19887" spans="1:1" s="200" customFormat="1" ht="12" hidden="1" customHeight="1">
      <c r="A19887" s="199"/>
    </row>
    <row r="19888" spans="1:1" s="200" customFormat="1" ht="12" hidden="1" customHeight="1">
      <c r="A19888" s="199"/>
    </row>
    <row r="19889" spans="1:1" s="200" customFormat="1" ht="12" hidden="1" customHeight="1">
      <c r="A19889" s="199"/>
    </row>
    <row r="19890" spans="1:1" s="200" customFormat="1" ht="12" hidden="1" customHeight="1">
      <c r="A19890" s="199"/>
    </row>
    <row r="19891" spans="1:1" s="200" customFormat="1" ht="12" hidden="1" customHeight="1">
      <c r="A19891" s="199"/>
    </row>
    <row r="19892" spans="1:1" s="200" customFormat="1" ht="12" hidden="1" customHeight="1">
      <c r="A19892" s="199"/>
    </row>
    <row r="19893" spans="1:1" s="200" customFormat="1" ht="12" hidden="1" customHeight="1">
      <c r="A19893" s="199"/>
    </row>
    <row r="19894" spans="1:1" s="200" customFormat="1" ht="12" hidden="1" customHeight="1">
      <c r="A19894" s="199"/>
    </row>
    <row r="19895" spans="1:1" s="200" customFormat="1" ht="12" hidden="1" customHeight="1">
      <c r="A19895" s="199"/>
    </row>
    <row r="19896" spans="1:1" s="200" customFormat="1" ht="12" hidden="1" customHeight="1">
      <c r="A19896" s="199"/>
    </row>
    <row r="19897" spans="1:1" s="200" customFormat="1" ht="12" hidden="1" customHeight="1">
      <c r="A19897" s="199"/>
    </row>
    <row r="19898" spans="1:1" s="200" customFormat="1" ht="12" hidden="1" customHeight="1">
      <c r="A19898" s="199"/>
    </row>
    <row r="19899" spans="1:1" s="200" customFormat="1" ht="12" hidden="1" customHeight="1">
      <c r="A19899" s="199"/>
    </row>
    <row r="19900" spans="1:1" s="200" customFormat="1" ht="12" hidden="1" customHeight="1">
      <c r="A19900" s="199"/>
    </row>
    <row r="19901" spans="1:1" s="200" customFormat="1" ht="12" hidden="1" customHeight="1">
      <c r="A19901" s="199"/>
    </row>
    <row r="19902" spans="1:1" s="200" customFormat="1" ht="12" hidden="1" customHeight="1">
      <c r="A19902" s="199"/>
    </row>
    <row r="19903" spans="1:1" s="200" customFormat="1" ht="12" hidden="1" customHeight="1">
      <c r="A19903" s="199"/>
    </row>
    <row r="19904" spans="1:1" s="200" customFormat="1" ht="12" hidden="1" customHeight="1">
      <c r="A19904" s="199"/>
    </row>
    <row r="19905" spans="1:185" s="200" customFormat="1" ht="12" hidden="1" customHeight="1">
      <c r="A19905" s="199"/>
    </row>
    <row r="19906" spans="1:185" s="200" customFormat="1" ht="12" hidden="1" customHeight="1">
      <c r="A19906" s="199"/>
    </row>
    <row r="19907" spans="1:185" s="200" customFormat="1" ht="12" hidden="1" customHeight="1">
      <c r="A19907" s="199"/>
    </row>
    <row r="19908" spans="1:185" s="200" customFormat="1" ht="12" hidden="1" customHeight="1">
      <c r="A19908" s="199"/>
    </row>
    <row r="19909" spans="1:185" s="200" customFormat="1" ht="12" hidden="1" customHeight="1">
      <c r="A19909" s="199"/>
    </row>
    <row r="19910" spans="1:185" s="200" customFormat="1" ht="12" hidden="1" customHeight="1">
      <c r="A19910" s="199"/>
    </row>
    <row r="19911" spans="1:185" s="200" customFormat="1" ht="12" hidden="1" customHeight="1">
      <c r="A19911" s="199"/>
    </row>
    <row r="19912" spans="1:185" s="200" customFormat="1" ht="12" hidden="1" customHeight="1">
      <c r="A19912" s="199"/>
    </row>
    <row r="19913" spans="1:185" s="200" customFormat="1" ht="12" hidden="1" customHeight="1">
      <c r="A19913" s="199"/>
    </row>
    <row r="19914" spans="1:185" hidden="1">
      <c r="A19914" s="199"/>
      <c r="B19914" s="200"/>
      <c r="C19914" s="200"/>
      <c r="D19914" s="200"/>
      <c r="E19914" s="200"/>
      <c r="F19914" s="200"/>
      <c r="G19914" s="200"/>
      <c r="H19914" s="200"/>
      <c r="I19914" s="200"/>
      <c r="J19914" s="200"/>
      <c r="K19914" s="200"/>
      <c r="L19914" s="200"/>
      <c r="M19914" s="200"/>
      <c r="N19914" s="200"/>
      <c r="O19914" s="200"/>
      <c r="P19914" s="200"/>
      <c r="Q19914" s="200"/>
      <c r="R19914" s="200"/>
      <c r="S19914" s="200"/>
      <c r="T19914" s="200"/>
      <c r="U19914" s="200"/>
      <c r="V19914" s="200"/>
      <c r="W19914" s="200"/>
      <c r="X19914" s="200"/>
      <c r="Y19914" s="200"/>
      <c r="Z19914" s="200"/>
      <c r="AA19914" s="200"/>
      <c r="AB19914" s="200"/>
      <c r="AC19914" s="200"/>
      <c r="AD19914" s="200"/>
      <c r="AE19914" s="200"/>
      <c r="AF19914" s="200"/>
      <c r="AG19914" s="200"/>
      <c r="AH19914" s="200"/>
      <c r="AI19914" s="200"/>
      <c r="AJ19914" s="200"/>
      <c r="AK19914" s="200"/>
      <c r="AL19914" s="200"/>
      <c r="AM19914" s="200"/>
      <c r="AN19914" s="200"/>
      <c r="AO19914" s="200"/>
      <c r="AP19914" s="200"/>
      <c r="AQ19914" s="200"/>
      <c r="AR19914" s="200"/>
      <c r="AS19914" s="200"/>
      <c r="AT19914" s="200"/>
      <c r="AU19914" s="200"/>
      <c r="AV19914" s="200"/>
      <c r="AW19914" s="200"/>
      <c r="AX19914" s="200"/>
      <c r="AY19914" s="200"/>
      <c r="AZ19914" s="200"/>
      <c r="BA19914" s="200"/>
      <c r="BB19914" s="200"/>
      <c r="BC19914" s="200"/>
      <c r="BD19914" s="200"/>
      <c r="BE19914" s="200"/>
      <c r="BF19914" s="200"/>
      <c r="BG19914" s="200"/>
      <c r="BH19914" s="200"/>
      <c r="BI19914" s="200"/>
      <c r="BJ19914" s="200"/>
      <c r="BK19914" s="200"/>
      <c r="BL19914" s="200"/>
      <c r="BM19914" s="200"/>
      <c r="BN19914" s="200"/>
      <c r="BO19914" s="200"/>
      <c r="BP19914" s="200"/>
      <c r="BQ19914" s="200"/>
      <c r="BR19914" s="200"/>
      <c r="BS19914" s="200"/>
      <c r="BT19914" s="200"/>
      <c r="BU19914" s="200"/>
      <c r="BV19914" s="200"/>
      <c r="BW19914" s="200"/>
      <c r="BX19914" s="200"/>
      <c r="BY19914" s="200"/>
      <c r="BZ19914" s="200"/>
      <c r="CA19914" s="200"/>
      <c r="CB19914" s="200"/>
      <c r="CC19914" s="200"/>
      <c r="CD19914" s="200"/>
      <c r="CE19914" s="200"/>
      <c r="CF19914" s="200"/>
      <c r="CG19914" s="200"/>
      <c r="CH19914" s="200"/>
      <c r="CI19914" s="200"/>
      <c r="CJ19914" s="200"/>
      <c r="CK19914" s="200"/>
      <c r="CL19914" s="200"/>
      <c r="CM19914" s="200"/>
      <c r="CN19914" s="200"/>
      <c r="CO19914" s="200"/>
      <c r="CP19914" s="200"/>
      <c r="CQ19914" s="200"/>
      <c r="CR19914" s="200"/>
      <c r="CS19914" s="200"/>
      <c r="CT19914" s="200"/>
      <c r="CU19914" s="200"/>
      <c r="CV19914" s="200"/>
      <c r="CW19914" s="200"/>
      <c r="CX19914" s="200"/>
      <c r="CY19914" s="200"/>
      <c r="CZ19914" s="200"/>
      <c r="DA19914" s="200"/>
      <c r="DB19914" s="200"/>
      <c r="DC19914" s="200"/>
      <c r="DD19914" s="200"/>
      <c r="DE19914" s="200"/>
      <c r="DF19914" s="200"/>
      <c r="DG19914" s="200"/>
      <c r="DH19914" s="200"/>
      <c r="DI19914" s="200"/>
      <c r="DJ19914" s="200"/>
      <c r="DK19914" s="200"/>
      <c r="DL19914" s="200"/>
      <c r="DM19914" s="200"/>
      <c r="DN19914" s="200"/>
      <c r="DO19914" s="200"/>
      <c r="DP19914" s="200"/>
      <c r="DQ19914" s="200"/>
      <c r="DR19914" s="200"/>
      <c r="DS19914" s="200"/>
      <c r="DT19914" s="200"/>
      <c r="DU19914" s="200"/>
      <c r="DV19914" s="200"/>
      <c r="DW19914" s="200"/>
      <c r="DX19914" s="200"/>
      <c r="DY19914" s="200"/>
      <c r="DZ19914" s="200"/>
      <c r="EA19914" s="200"/>
      <c r="EB19914" s="200"/>
      <c r="EC19914" s="200"/>
      <c r="ED19914" s="200"/>
      <c r="EE19914" s="200"/>
      <c r="EF19914" s="200"/>
      <c r="EG19914" s="200"/>
      <c r="EH19914" s="200"/>
      <c r="EI19914" s="200"/>
      <c r="EJ19914" s="200"/>
      <c r="EK19914" s="200"/>
      <c r="EL19914" s="200"/>
      <c r="EM19914" s="200"/>
      <c r="EN19914" s="200"/>
      <c r="EO19914" s="200"/>
      <c r="EP19914" s="200"/>
      <c r="EQ19914" s="200"/>
      <c r="ER19914" s="200"/>
      <c r="ES19914" s="200"/>
      <c r="ET19914" s="200"/>
      <c r="EU19914" s="200"/>
      <c r="EV19914" s="200"/>
      <c r="EW19914" s="200"/>
      <c r="EX19914" s="200"/>
      <c r="EY19914" s="200"/>
      <c r="EZ19914" s="200"/>
      <c r="FA19914" s="200"/>
      <c r="FB19914" s="200"/>
      <c r="FC19914" s="200"/>
      <c r="FD19914" s="200"/>
      <c r="FE19914" s="200"/>
      <c r="FF19914" s="200"/>
      <c r="FG19914" s="200"/>
      <c r="FH19914" s="200"/>
      <c r="FI19914" s="200"/>
      <c r="FJ19914" s="200"/>
      <c r="FK19914" s="200"/>
      <c r="FL19914" s="200"/>
      <c r="FM19914" s="200"/>
      <c r="FN19914" s="200"/>
      <c r="FO19914" s="200"/>
      <c r="FP19914" s="200"/>
      <c r="FQ19914" s="200"/>
      <c r="FR19914" s="200"/>
      <c r="FS19914" s="200"/>
      <c r="FT19914" s="200"/>
      <c r="FU19914" s="200"/>
      <c r="FV19914" s="200"/>
      <c r="FW19914" s="200"/>
      <c r="FX19914" s="200"/>
      <c r="FY19914" s="200"/>
      <c r="FZ19914" s="200"/>
      <c r="GA19914" s="200"/>
      <c r="GB19914" s="200"/>
      <c r="GC19914" s="200"/>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9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c r="A1" s="279"/>
      <c r="B1" s="279"/>
      <c r="C1" s="279"/>
      <c r="D1" s="3"/>
      <c r="E1" s="3"/>
      <c r="F1" s="3"/>
      <c r="G1" s="3"/>
    </row>
    <row r="2" spans="1:9">
      <c r="A2" s="1183" t="s">
        <v>292</v>
      </c>
      <c r="B2" s="1183"/>
      <c r="C2" s="2401"/>
      <c r="D2" s="2401"/>
      <c r="E2" s="2401"/>
      <c r="F2" s="2401"/>
      <c r="G2" s="2401"/>
    </row>
    <row r="3" spans="1:9" s="121" customFormat="1">
      <c r="A3" s="1183" t="s">
        <v>293</v>
      </c>
      <c r="B3" s="1183"/>
      <c r="C3" s="2401"/>
      <c r="D3" s="2401"/>
      <c r="E3" s="2401"/>
      <c r="F3" s="2401"/>
      <c r="G3" s="2401"/>
      <c r="I3" t="s">
        <v>294</v>
      </c>
    </row>
    <row r="4" spans="1:9">
      <c r="A4" s="279"/>
      <c r="B4" s="279"/>
      <c r="C4" s="279"/>
      <c r="D4" s="3"/>
      <c r="E4" s="3"/>
      <c r="F4" s="3"/>
      <c r="G4" s="3"/>
      <c r="I4" s="3" t="s">
        <v>295</v>
      </c>
    </row>
    <row r="5" spans="1:9">
      <c r="A5" s="1185" t="s">
        <v>296</v>
      </c>
      <c r="B5" s="1185"/>
      <c r="C5" s="2401"/>
      <c r="D5" s="2401"/>
      <c r="E5" s="2401"/>
      <c r="F5" s="2401"/>
      <c r="G5" s="2401"/>
      <c r="I5" s="3" t="s">
        <v>297</v>
      </c>
    </row>
    <row r="6" spans="1:9">
      <c r="A6" s="1185" t="s">
        <v>298</v>
      </c>
      <c r="B6" s="1185"/>
      <c r="C6" s="2401"/>
      <c r="D6" s="2401"/>
      <c r="E6" s="2401"/>
      <c r="F6" s="2401"/>
      <c r="G6" s="2401"/>
      <c r="I6" t="s">
        <v>299</v>
      </c>
    </row>
    <row r="7" spans="1:9" ht="12" customHeight="1">
      <c r="A7" s="279"/>
      <c r="B7" s="279"/>
      <c r="C7" s="279"/>
      <c r="D7" s="3"/>
      <c r="E7" s="3"/>
      <c r="F7" s="3"/>
      <c r="G7" s="3"/>
    </row>
    <row r="8" spans="1:9">
      <c r="A8" s="1183" t="s">
        <v>300</v>
      </c>
      <c r="B8" s="1183"/>
      <c r="C8" s="1184"/>
      <c r="D8" s="1184"/>
      <c r="E8" s="1184"/>
      <c r="F8" s="1184"/>
      <c r="G8" s="1184"/>
    </row>
    <row r="9" spans="1:9">
      <c r="A9" s="1183" t="s">
        <v>301</v>
      </c>
      <c r="B9" s="1183"/>
      <c r="C9" s="1184"/>
      <c r="D9" s="1184"/>
      <c r="E9" s="1184"/>
      <c r="F9" s="1184"/>
      <c r="G9" s="1184"/>
    </row>
    <row r="10" spans="1:9">
      <c r="A10" s="122"/>
      <c r="B10" s="122"/>
      <c r="C10" s="120"/>
      <c r="D10" s="120"/>
      <c r="E10" s="120"/>
      <c r="F10" s="120"/>
      <c r="G10" s="3"/>
    </row>
    <row r="11" spans="1:9">
      <c r="A11" s="1167" t="s">
        <v>302</v>
      </c>
      <c r="B11" s="1167"/>
      <c r="C11" s="1167"/>
      <c r="D11" s="1167"/>
      <c r="E11" s="1167"/>
      <c r="F11" s="1167"/>
      <c r="G11" s="1167"/>
    </row>
    <row r="12" spans="1:9">
      <c r="A12" s="120"/>
      <c r="B12" s="120"/>
      <c r="C12" s="279"/>
      <c r="D12" s="3"/>
      <c r="E12" s="2"/>
      <c r="F12" s="3"/>
      <c r="G12" s="3"/>
    </row>
    <row r="13" spans="1:9" ht="13.35" customHeight="1">
      <c r="A13" s="279"/>
      <c r="B13" s="279"/>
      <c r="C13" s="120"/>
      <c r="D13" s="1169" t="s">
        <v>303</v>
      </c>
      <c r="E13" s="1169"/>
      <c r="F13" s="1169"/>
      <c r="G13" s="3"/>
    </row>
    <row r="14" spans="1:9">
      <c r="A14" s="279"/>
      <c r="B14" s="279"/>
      <c r="C14" s="120"/>
      <c r="D14" s="1169"/>
      <c r="E14" s="1169"/>
      <c r="F14" s="1169"/>
      <c r="G14" s="3"/>
    </row>
    <row r="15" spans="1:9">
      <c r="A15" s="123"/>
      <c r="B15" s="123"/>
      <c r="C15" s="123"/>
      <c r="D15" s="1166" t="s">
        <v>304</v>
      </c>
      <c r="E15" s="1166"/>
      <c r="F15" s="1166"/>
      <c r="G15" s="3"/>
    </row>
    <row r="16" spans="1:9">
      <c r="A16" s="123"/>
      <c r="B16" s="123"/>
      <c r="C16" s="123"/>
      <c r="D16" s="143"/>
      <c r="E16" s="3"/>
      <c r="F16" s="3"/>
      <c r="G16" s="3"/>
    </row>
    <row r="17" spans="1:6">
      <c r="A17" s="124"/>
      <c r="B17" s="362" t="s">
        <v>294</v>
      </c>
      <c r="C17" s="123"/>
      <c r="D17" s="1149" t="s">
        <v>305</v>
      </c>
      <c r="E17" s="1149"/>
      <c r="F17" s="1149"/>
    </row>
    <row r="18" spans="1:6">
      <c r="A18" s="123"/>
      <c r="B18" s="123"/>
      <c r="C18" s="123"/>
      <c r="D18" s="1149"/>
      <c r="E18" s="1149"/>
      <c r="F18" s="1149"/>
    </row>
    <row r="19" spans="1:6">
      <c r="A19" s="123"/>
      <c r="B19" s="123"/>
      <c r="C19" s="123"/>
      <c r="D19" s="1149"/>
      <c r="E19" s="1149"/>
      <c r="F19" s="1149"/>
    </row>
    <row r="20" spans="1:6">
      <c r="A20" s="123"/>
      <c r="B20" s="123"/>
      <c r="C20" s="123"/>
      <c r="D20" s="3"/>
      <c r="E20" s="3"/>
      <c r="F20" s="3"/>
    </row>
    <row r="21" spans="1:6">
      <c r="A21" s="124"/>
      <c r="B21" s="362" t="s">
        <v>294</v>
      </c>
      <c r="C21" s="279"/>
      <c r="D21" s="1170" t="s">
        <v>306</v>
      </c>
      <c r="E21" s="1170"/>
      <c r="F21" s="1170"/>
    </row>
    <row r="22" spans="1:6">
      <c r="A22" s="124"/>
      <c r="B22" s="124"/>
      <c r="C22" s="279"/>
      <c r="D22" s="85"/>
      <c r="E22" s="3"/>
      <c r="F22" s="3"/>
    </row>
    <row r="23" spans="1:6">
      <c r="A23" s="124"/>
      <c r="B23" s="362" t="s">
        <v>294</v>
      </c>
      <c r="C23" s="279"/>
      <c r="D23" s="1149" t="s">
        <v>307</v>
      </c>
      <c r="E23" s="1149"/>
      <c r="F23" s="1149"/>
    </row>
    <row r="24" spans="1:6">
      <c r="A24" s="124"/>
      <c r="B24" s="124"/>
      <c r="C24" s="279"/>
      <c r="D24" s="1149"/>
      <c r="E24" s="1149"/>
      <c r="F24" s="1149"/>
    </row>
    <row r="25" spans="1:6">
      <c r="A25" s="279"/>
      <c r="B25" s="279"/>
      <c r="C25" s="279"/>
      <c r="D25" s="3"/>
      <c r="E25" s="3"/>
      <c r="F25" s="3"/>
    </row>
    <row r="26" spans="1:6">
      <c r="A26" s="124"/>
      <c r="B26" s="362" t="s">
        <v>294</v>
      </c>
      <c r="C26" s="279"/>
      <c r="D26" s="1149" t="s">
        <v>308</v>
      </c>
      <c r="E26" s="1149"/>
      <c r="F26" s="1149"/>
    </row>
    <row r="27" spans="1:6">
      <c r="A27" s="279"/>
      <c r="B27" s="279"/>
      <c r="C27" s="279"/>
      <c r="D27" s="1149"/>
      <c r="E27" s="1149"/>
      <c r="F27" s="1149"/>
    </row>
    <row r="28" spans="1:6">
      <c r="A28" s="279"/>
      <c r="B28" s="279"/>
      <c r="C28" s="279"/>
      <c r="D28" s="1149"/>
      <c r="E28" s="1149"/>
      <c r="F28" s="1149"/>
    </row>
    <row r="29" spans="1:6">
      <c r="A29" s="279"/>
      <c r="B29" s="279"/>
      <c r="C29" s="279"/>
      <c r="D29" s="1149"/>
      <c r="E29" s="1149"/>
      <c r="F29" s="1149"/>
    </row>
    <row r="30" spans="1:6">
      <c r="A30" s="279"/>
      <c r="B30" s="279"/>
      <c r="C30" s="279"/>
      <c r="D30" s="1149"/>
      <c r="E30" s="1149"/>
      <c r="F30" s="1149"/>
    </row>
    <row r="31" spans="1:6">
      <c r="A31" s="279"/>
      <c r="B31" s="279"/>
      <c r="C31" s="279"/>
      <c r="D31" s="145"/>
      <c r="E31" s="3"/>
      <c r="F31" s="3"/>
    </row>
    <row r="32" spans="1:6">
      <c r="A32" s="279"/>
      <c r="B32" s="362" t="s">
        <v>294</v>
      </c>
      <c r="C32" s="279"/>
      <c r="D32" s="1149" t="s">
        <v>309</v>
      </c>
      <c r="E32" s="1149"/>
      <c r="F32" s="1149"/>
    </row>
    <row r="33" spans="1:6">
      <c r="A33" s="279"/>
      <c r="B33" s="279"/>
      <c r="C33" s="279"/>
      <c r="D33" s="1149"/>
      <c r="E33" s="1149"/>
      <c r="F33" s="1149"/>
    </row>
    <row r="34" spans="1:6">
      <c r="A34" s="124"/>
      <c r="B34" s="124"/>
      <c r="C34" s="279"/>
      <c r="D34" s="145"/>
      <c r="E34" s="3"/>
      <c r="F34" s="3"/>
    </row>
    <row r="35" spans="1:6" ht="14.45" customHeight="1">
      <c r="A35" s="124"/>
      <c r="B35" s="362" t="s">
        <v>294</v>
      </c>
      <c r="C35" s="279"/>
      <c r="D35" s="1149" t="s">
        <v>310</v>
      </c>
      <c r="E35" s="1149"/>
      <c r="F35" s="1149"/>
    </row>
    <row r="36" spans="1:6">
      <c r="A36" s="124"/>
      <c r="B36" s="124"/>
      <c r="C36" s="279"/>
      <c r="D36" s="1149"/>
      <c r="E36" s="1149"/>
      <c r="F36" s="1149"/>
    </row>
    <row r="37" spans="1:6">
      <c r="A37" s="124"/>
      <c r="B37" s="124"/>
      <c r="C37" s="279"/>
      <c r="D37" s="1149"/>
      <c r="E37" s="1149"/>
      <c r="F37" s="1149"/>
    </row>
    <row r="38" spans="1:6">
      <c r="A38" s="124"/>
      <c r="B38" s="124"/>
      <c r="C38" s="279"/>
      <c r="D38"/>
      <c r="E38" s="3"/>
      <c r="F38" s="3"/>
    </row>
    <row r="39" spans="1:6">
      <c r="A39" s="124"/>
      <c r="B39" s="362" t="s">
        <v>294</v>
      </c>
      <c r="C39" s="279"/>
      <c r="D39" s="1149" t="s">
        <v>311</v>
      </c>
      <c r="E39" s="1149"/>
      <c r="F39" s="1149"/>
    </row>
    <row r="40" spans="1:6">
      <c r="A40" s="124"/>
      <c r="B40" s="124"/>
      <c r="C40" s="279"/>
      <c r="D40" s="1149"/>
      <c r="E40" s="1149"/>
      <c r="F40" s="1149"/>
    </row>
    <row r="41" spans="1:6">
      <c r="A41" s="124"/>
      <c r="B41" s="124"/>
      <c r="C41" s="279"/>
      <c r="D41" s="1149"/>
      <c r="E41" s="1149"/>
      <c r="F41" s="1149"/>
    </row>
    <row r="42" spans="1:6">
      <c r="A42" s="124"/>
      <c r="B42" s="124"/>
      <c r="C42" s="279"/>
      <c r="D42" s="1149"/>
      <c r="E42" s="1149"/>
      <c r="F42" s="1149"/>
    </row>
    <row r="43" spans="1:6">
      <c r="A43" s="124"/>
      <c r="B43" s="124"/>
      <c r="C43" s="279"/>
      <c r="D43" s="1149"/>
      <c r="E43" s="1149"/>
      <c r="F43" s="1149"/>
    </row>
    <row r="44" spans="1:6">
      <c r="A44" s="124"/>
      <c r="B44" s="124"/>
      <c r="C44" s="279"/>
      <c r="D44" s="368"/>
      <c r="E44" s="368"/>
      <c r="F44" s="368"/>
    </row>
    <row r="45" spans="1:6">
      <c r="A45" s="124"/>
      <c r="B45" s="362" t="s">
        <v>294</v>
      </c>
      <c r="C45" s="279"/>
      <c r="D45" s="1149" t="s">
        <v>312</v>
      </c>
      <c r="E45" s="1149"/>
      <c r="F45" s="1149"/>
    </row>
    <row r="46" spans="1:6">
      <c r="A46" s="124"/>
      <c r="B46" s="124"/>
      <c r="C46" s="279"/>
      <c r="D46" s="1149"/>
      <c r="E46" s="1149"/>
      <c r="F46" s="1149"/>
    </row>
    <row r="47" spans="1:6">
      <c r="A47" s="124"/>
      <c r="B47" s="124"/>
      <c r="C47" s="279"/>
      <c r="D47" s="1149"/>
      <c r="E47" s="1149"/>
      <c r="F47" s="1149"/>
    </row>
    <row r="48" spans="1:6" ht="23.25" customHeight="1">
      <c r="A48" s="124"/>
      <c r="B48" s="124"/>
      <c r="C48" s="279"/>
      <c r="D48" s="1149"/>
      <c r="E48" s="1149"/>
      <c r="F48" s="1149"/>
    </row>
    <row r="49" spans="1:7">
      <c r="A49" s="124"/>
      <c r="B49" s="124"/>
      <c r="C49" s="279"/>
      <c r="D49" s="85"/>
      <c r="E49" s="3"/>
      <c r="F49" s="3"/>
      <c r="G49" s="3"/>
    </row>
    <row r="50" spans="1:7" ht="14.45" customHeight="1">
      <c r="A50" s="124"/>
      <c r="B50" s="362" t="s">
        <v>294</v>
      </c>
      <c r="C50" s="279"/>
      <c r="D50" s="1149" t="s">
        <v>313</v>
      </c>
      <c r="E50" s="1149"/>
      <c r="F50" s="1149"/>
      <c r="G50" s="3"/>
    </row>
    <row r="51" spans="1:7">
      <c r="A51" s="124"/>
      <c r="B51" s="124"/>
      <c r="C51" s="279"/>
      <c r="D51" s="1149"/>
      <c r="E51" s="1149"/>
      <c r="F51" s="1149"/>
      <c r="G51" s="3"/>
    </row>
    <row r="52" spans="1:7">
      <c r="A52" s="124"/>
      <c r="B52" s="124"/>
      <c r="C52" s="279"/>
      <c r="D52" s="1149"/>
      <c r="E52" s="1149"/>
      <c r="F52" s="1149"/>
      <c r="G52" s="3"/>
    </row>
    <row r="53" spans="1:7">
      <c r="A53" s="124"/>
      <c r="B53" s="124"/>
      <c r="C53" s="279"/>
      <c r="D53" s="3"/>
      <c r="E53" s="3"/>
      <c r="F53" s="3"/>
      <c r="G53" s="3"/>
    </row>
    <row r="54" spans="1:7">
      <c r="A54" s="124"/>
      <c r="B54" s="362" t="s">
        <v>294</v>
      </c>
      <c r="C54" s="279"/>
      <c r="D54" s="1149" t="s">
        <v>314</v>
      </c>
      <c r="E54" s="1149"/>
      <c r="F54" s="1149"/>
      <c r="G54" s="3"/>
    </row>
    <row r="55" spans="1:7">
      <c r="A55" s="124"/>
      <c r="B55" s="124"/>
      <c r="C55" s="279"/>
      <c r="D55" s="1149"/>
      <c r="E55" s="1149"/>
      <c r="F55" s="1149"/>
      <c r="G55" s="3"/>
    </row>
    <row r="56" spans="1:7">
      <c r="A56" s="279"/>
      <c r="B56" s="279"/>
      <c r="C56" s="279"/>
      <c r="D56" s="145"/>
      <c r="E56" s="3"/>
      <c r="F56" s="3"/>
      <c r="G56" s="3"/>
    </row>
    <row r="57" spans="1:7">
      <c r="A57" s="124"/>
      <c r="B57" s="362" t="s">
        <v>294</v>
      </c>
      <c r="C57" s="279"/>
      <c r="D57" s="1149" t="s">
        <v>315</v>
      </c>
      <c r="E57" s="1149"/>
      <c r="F57" s="1149"/>
      <c r="G57" s="3"/>
    </row>
    <row r="58" spans="1:7">
      <c r="A58" s="279"/>
      <c r="B58" s="279"/>
      <c r="C58" s="279"/>
      <c r="D58" s="1149"/>
      <c r="E58" s="1149"/>
      <c r="F58" s="1149"/>
      <c r="G58" s="3"/>
    </row>
    <row r="59" spans="1:7">
      <c r="A59" s="279"/>
      <c r="B59" s="279"/>
      <c r="C59" s="279"/>
      <c r="D59" s="1149"/>
      <c r="E59" s="1149"/>
      <c r="F59" s="1149"/>
      <c r="G59" s="3"/>
    </row>
    <row r="60" spans="1:7">
      <c r="A60" s="279"/>
      <c r="B60" s="279"/>
      <c r="C60" s="279"/>
      <c r="D60" s="3"/>
      <c r="E60" s="3"/>
      <c r="F60" s="3"/>
      <c r="G60" s="3"/>
    </row>
    <row r="61" spans="1:7">
      <c r="A61" s="124"/>
      <c r="B61" s="362" t="s">
        <v>294</v>
      </c>
      <c r="C61" s="279"/>
      <c r="D61" s="1149" t="s">
        <v>316</v>
      </c>
      <c r="E61" s="1149"/>
      <c r="F61" s="1149"/>
      <c r="G61" s="3"/>
    </row>
    <row r="62" spans="1:7">
      <c r="A62" s="279"/>
      <c r="B62" s="279"/>
      <c r="C62" s="279"/>
      <c r="D62" s="1149"/>
      <c r="E62" s="1149"/>
      <c r="F62" s="1149"/>
      <c r="G62" s="3"/>
    </row>
    <row r="63" spans="1:7">
      <c r="A63" s="279"/>
      <c r="B63" s="279"/>
      <c r="C63" s="279"/>
      <c r="D63" s="3"/>
      <c r="E63" s="3"/>
      <c r="F63" s="3"/>
      <c r="G63" s="3"/>
    </row>
    <row r="64" spans="1:7">
      <c r="A64" s="124"/>
      <c r="B64" s="362" t="s">
        <v>294</v>
      </c>
      <c r="C64" s="279"/>
      <c r="D64" s="1149" t="s">
        <v>317</v>
      </c>
      <c r="E64" s="1149"/>
      <c r="F64" s="1149"/>
      <c r="G64" s="3"/>
    </row>
    <row r="65" spans="1:7">
      <c r="A65" s="279"/>
      <c r="B65" s="279"/>
      <c r="C65" s="279"/>
      <c r="D65" s="1149"/>
      <c r="E65" s="1149"/>
      <c r="F65" s="1149"/>
      <c r="G65" s="3"/>
    </row>
    <row r="66" spans="1:7">
      <c r="A66" s="279"/>
      <c r="B66" s="279"/>
      <c r="C66" s="279"/>
      <c r="D66" s="1149"/>
      <c r="E66" s="1149"/>
      <c r="F66" s="1149"/>
      <c r="G66" s="3"/>
    </row>
    <row r="67" spans="1:7">
      <c r="A67" s="279"/>
      <c r="B67" s="279"/>
      <c r="C67" s="279"/>
      <c r="D67"/>
      <c r="E67" s="3"/>
      <c r="F67" s="3"/>
      <c r="G67" s="3"/>
    </row>
    <row r="68" spans="1:7">
      <c r="A68" s="124"/>
      <c r="B68" s="362" t="s">
        <v>294</v>
      </c>
      <c r="C68" s="279"/>
      <c r="D68" s="1149" t="s">
        <v>318</v>
      </c>
      <c r="E68" s="1149"/>
      <c r="F68" s="1149"/>
      <c r="G68" s="3"/>
    </row>
    <row r="69" spans="1:7">
      <c r="A69" s="279"/>
      <c r="B69" s="279"/>
      <c r="C69" s="279"/>
      <c r="D69" s="1149"/>
      <c r="E69" s="1149"/>
      <c r="F69" s="1149"/>
      <c r="G69" s="3"/>
    </row>
    <row r="70" spans="1:7">
      <c r="A70" s="124"/>
      <c r="B70" s="124"/>
      <c r="C70" s="279"/>
      <c r="D70" s="85"/>
      <c r="E70" s="3"/>
      <c r="F70" s="3"/>
      <c r="G70" s="3"/>
    </row>
    <row r="71" spans="1:7">
      <c r="A71" s="1167" t="s">
        <v>319</v>
      </c>
      <c r="B71" s="1167"/>
      <c r="C71" s="1167"/>
      <c r="D71" s="1167"/>
      <c r="E71" s="1167"/>
      <c r="F71" s="1167"/>
      <c r="G71" s="1167"/>
    </row>
    <row r="72" spans="1:7">
      <c r="A72" s="279"/>
      <c r="B72" s="279"/>
      <c r="C72" s="279"/>
      <c r="D72" s="3"/>
      <c r="E72" s="3"/>
      <c r="F72" s="3"/>
      <c r="G72" s="3"/>
    </row>
    <row r="73" spans="1:7">
      <c r="A73" s="279"/>
      <c r="B73" s="279"/>
      <c r="C73" s="2403"/>
      <c r="D73" s="1177" t="s">
        <v>320</v>
      </c>
      <c r="E73" s="1177"/>
      <c r="F73" s="1177"/>
      <c r="G73" s="3"/>
    </row>
    <row r="74" spans="1:7">
      <c r="A74" s="85"/>
      <c r="B74" s="85"/>
      <c r="C74" s="279"/>
      <c r="D74" s="1149" t="s">
        <v>321</v>
      </c>
      <c r="E74" s="1149"/>
      <c r="F74" s="1149"/>
      <c r="G74" s="3"/>
    </row>
    <row r="75" spans="1:7">
      <c r="A75" s="85"/>
      <c r="B75" s="85"/>
      <c r="C75" s="279"/>
      <c r="D75" s="3"/>
      <c r="E75" s="3"/>
      <c r="F75" s="3"/>
      <c r="G75" s="3"/>
    </row>
    <row r="76" spans="1:7">
      <c r="A76" s="124"/>
      <c r="B76" s="362" t="s">
        <v>294</v>
      </c>
      <c r="C76" s="279"/>
      <c r="D76" s="1149" t="s">
        <v>322</v>
      </c>
      <c r="E76" s="1149"/>
      <c r="F76" s="1149"/>
      <c r="G76" s="3"/>
    </row>
    <row r="77" spans="1:7">
      <c r="A77" s="124"/>
      <c r="B77" s="124"/>
      <c r="C77" s="279"/>
      <c r="D77" s="1149"/>
      <c r="E77" s="1149"/>
      <c r="F77" s="1149"/>
      <c r="G77" s="3"/>
    </row>
    <row r="78" spans="1:7">
      <c r="A78" s="124"/>
      <c r="B78" s="124"/>
      <c r="C78" s="279"/>
      <c r="D78" s="1149"/>
      <c r="E78" s="1149"/>
      <c r="F78" s="1149"/>
      <c r="G78" s="3"/>
    </row>
    <row r="79" spans="1:7">
      <c r="A79" s="124"/>
      <c r="B79" s="124"/>
      <c r="C79" s="279"/>
      <c r="D79" s="1149"/>
      <c r="E79" s="1149"/>
      <c r="F79" s="1149"/>
      <c r="G79" s="3"/>
    </row>
    <row r="80" spans="1:7">
      <c r="A80" s="124"/>
      <c r="B80" s="124"/>
      <c r="C80" s="279"/>
      <c r="D80" s="1149"/>
      <c r="E80" s="1149"/>
      <c r="F80" s="1149"/>
      <c r="G80" s="3"/>
    </row>
    <row r="81" spans="1:6">
      <c r="A81" s="124"/>
      <c r="B81" s="124"/>
      <c r="C81" s="279"/>
      <c r="D81" s="1149"/>
      <c r="E81" s="1149"/>
      <c r="F81" s="1149"/>
    </row>
    <row r="82" spans="1:6">
      <c r="A82" s="124"/>
      <c r="B82" s="124"/>
      <c r="C82" s="279"/>
      <c r="D82" s="368"/>
      <c r="E82" s="368"/>
      <c r="F82" s="368"/>
    </row>
    <row r="83" spans="1:6" ht="14.45" customHeight="1">
      <c r="A83" s="124"/>
      <c r="B83" s="362" t="s">
        <v>294</v>
      </c>
      <c r="C83" s="279"/>
      <c r="D83" s="1150" t="s">
        <v>323</v>
      </c>
      <c r="E83" s="1150"/>
      <c r="F83" s="1150"/>
    </row>
    <row r="84" spans="1:6">
      <c r="A84" s="124"/>
      <c r="B84" s="124"/>
      <c r="C84" s="279"/>
      <c r="D84" s="1150"/>
      <c r="E84" s="1150"/>
      <c r="F84" s="1150"/>
    </row>
    <row r="85" spans="1:6">
      <c r="A85" s="124"/>
      <c r="B85" s="124"/>
      <c r="C85" s="279"/>
      <c r="D85" s="1150"/>
      <c r="E85" s="1150"/>
      <c r="F85" s="1150"/>
    </row>
    <row r="86" spans="1:6">
      <c r="A86" s="124"/>
      <c r="B86" s="124"/>
      <c r="C86" s="279"/>
      <c r="D86" s="1150"/>
      <c r="E86" s="1150"/>
      <c r="F86" s="1150"/>
    </row>
    <row r="87" spans="1:6">
      <c r="A87" s="124"/>
      <c r="B87" s="124"/>
      <c r="C87" s="279"/>
      <c r="D87" s="1150"/>
      <c r="E87" s="1150"/>
      <c r="F87" s="1150"/>
    </row>
    <row r="88" spans="1:6">
      <c r="A88" s="124"/>
      <c r="B88" s="124"/>
      <c r="C88" s="279"/>
      <c r="D88" s="1150"/>
      <c r="E88" s="1150"/>
      <c r="F88" s="1150"/>
    </row>
    <row r="89" spans="1:6">
      <c r="A89" s="124"/>
      <c r="B89" s="124"/>
      <c r="C89" s="279"/>
      <c r="D89" s="1150"/>
      <c r="E89" s="1150"/>
      <c r="F89" s="1150"/>
    </row>
    <row r="90" spans="1:6">
      <c r="A90" s="124"/>
      <c r="B90" s="124"/>
      <c r="C90" s="279"/>
      <c r="D90" s="1150"/>
      <c r="E90" s="1150"/>
      <c r="F90" s="1150"/>
    </row>
    <row r="91" spans="1:6">
      <c r="A91" s="124"/>
      <c r="B91" s="124"/>
      <c r="C91" s="279"/>
      <c r="D91" s="1150"/>
      <c r="E91" s="1150"/>
      <c r="F91" s="1150"/>
    </row>
    <row r="92" spans="1:6">
      <c r="A92" s="124"/>
      <c r="B92" s="124"/>
      <c r="C92" s="279"/>
      <c r="D92" s="1150"/>
      <c r="E92" s="1150"/>
      <c r="F92" s="1150"/>
    </row>
    <row r="93" spans="1:6">
      <c r="A93" s="124"/>
      <c r="B93" s="124"/>
      <c r="C93" s="279"/>
      <c r="D93" s="1150"/>
      <c r="E93" s="1150"/>
      <c r="F93" s="1150"/>
    </row>
    <row r="94" spans="1:6">
      <c r="A94" s="124"/>
      <c r="B94" s="124"/>
      <c r="C94" s="279"/>
      <c r="D94" s="1150"/>
      <c r="E94" s="1150"/>
      <c r="F94" s="1150"/>
    </row>
    <row r="95" spans="1:6">
      <c r="A95" s="124"/>
      <c r="B95" s="124"/>
      <c r="C95" s="279"/>
      <c r="D95" s="1150"/>
      <c r="E95" s="1150"/>
      <c r="F95" s="1150"/>
    </row>
    <row r="96" spans="1:6">
      <c r="A96" s="124"/>
      <c r="B96" s="124"/>
      <c r="C96" s="279"/>
      <c r="D96" s="1150"/>
      <c r="E96" s="1150"/>
      <c r="F96" s="1150"/>
    </row>
    <row r="97" spans="1:11">
      <c r="A97" s="124"/>
      <c r="B97" s="362" t="s">
        <v>294</v>
      </c>
      <c r="C97" s="279"/>
      <c r="D97" s="1149" t="s">
        <v>324</v>
      </c>
      <c r="E97" s="1149"/>
      <c r="F97" s="1149"/>
      <c r="G97" s="3"/>
    </row>
    <row r="98" spans="1:11">
      <c r="A98" s="124"/>
      <c r="B98" s="124"/>
      <c r="C98" s="279"/>
      <c r="D98" s="1149"/>
      <c r="E98" s="1149"/>
      <c r="F98" s="1149"/>
      <c r="G98" s="3"/>
    </row>
    <row r="99" spans="1:11">
      <c r="A99" s="124"/>
      <c r="B99" s="124"/>
      <c r="C99" s="279"/>
      <c r="D99" s="1149"/>
      <c r="E99" s="1149"/>
      <c r="F99" s="1149"/>
      <c r="G99" s="3"/>
    </row>
    <row r="100" spans="1:11">
      <c r="A100" s="124"/>
      <c r="B100" s="124"/>
      <c r="C100" s="279"/>
      <c r="D100" s="1149"/>
      <c r="E100" s="1149"/>
      <c r="F100" s="1149"/>
      <c r="G100" s="3"/>
    </row>
    <row r="101" spans="1:11">
      <c r="A101" s="124"/>
      <c r="B101" s="124"/>
      <c r="C101" s="279"/>
      <c r="D101" s="1149"/>
      <c r="E101" s="1149"/>
      <c r="F101" s="1149"/>
      <c r="G101" s="3"/>
    </row>
    <row r="102" spans="1:11">
      <c r="A102" s="124"/>
      <c r="B102" s="124"/>
      <c r="C102" s="279"/>
      <c r="D102" s="1149"/>
      <c r="E102" s="1149"/>
      <c r="F102" s="1149"/>
      <c r="G102" s="3"/>
    </row>
    <row r="103" spans="1:11">
      <c r="A103" s="124"/>
      <c r="B103" s="124"/>
      <c r="C103" s="279"/>
      <c r="D103" s="1149"/>
      <c r="E103" s="1149"/>
      <c r="F103" s="1149"/>
      <c r="G103" s="3"/>
    </row>
    <row r="104" spans="1:11">
      <c r="A104" s="124"/>
      <c r="B104" s="124"/>
      <c r="C104" s="279"/>
      <c r="D104" s="1149"/>
      <c r="E104" s="1149"/>
      <c r="F104" s="1149"/>
      <c r="G104" s="3"/>
    </row>
    <row r="105" spans="1:11">
      <c r="A105" s="124"/>
      <c r="B105" s="124"/>
      <c r="C105" s="279"/>
      <c r="D105" s="368"/>
      <c r="E105" s="368"/>
      <c r="F105" s="368"/>
      <c r="G105" s="3"/>
    </row>
    <row r="106" spans="1:11">
      <c r="A106" s="124"/>
      <c r="B106" s="362" t="s">
        <v>294</v>
      </c>
      <c r="C106" s="909"/>
      <c r="D106" s="1186" t="s">
        <v>325</v>
      </c>
      <c r="E106" s="1186"/>
      <c r="F106" s="1186"/>
      <c r="G106" s="908"/>
      <c r="H106" s="126"/>
      <c r="I106" s="126"/>
      <c r="J106" s="126"/>
      <c r="K106" s="126"/>
    </row>
    <row r="107" spans="1:11">
      <c r="A107" s="124"/>
      <c r="B107" s="124"/>
      <c r="C107" s="909"/>
      <c r="D107" s="1186"/>
      <c r="E107" s="1186"/>
      <c r="F107" s="1186"/>
      <c r="G107" s="908"/>
      <c r="H107" s="126"/>
      <c r="I107" s="126"/>
      <c r="J107" s="126"/>
      <c r="K107" s="126"/>
    </row>
    <row r="108" spans="1:11">
      <c r="A108" s="124"/>
      <c r="B108" s="124"/>
      <c r="C108" s="909"/>
      <c r="D108" s="1186"/>
      <c r="E108" s="1186"/>
      <c r="F108" s="1186"/>
      <c r="G108" s="908"/>
      <c r="H108" s="126"/>
      <c r="I108" s="126"/>
      <c r="J108" s="126"/>
      <c r="K108" s="126"/>
    </row>
    <row r="109" spans="1:11">
      <c r="A109" s="124"/>
      <c r="B109" s="124"/>
      <c r="C109" s="909"/>
      <c r="D109" s="1186"/>
      <c r="E109" s="1186"/>
      <c r="F109" s="1186"/>
      <c r="G109" s="908"/>
      <c r="H109" s="126"/>
      <c r="I109" s="126"/>
      <c r="J109" s="126"/>
      <c r="K109" s="126"/>
    </row>
    <row r="110" spans="1:11">
      <c r="A110" s="124"/>
      <c r="B110" s="124"/>
      <c r="C110" s="909"/>
      <c r="D110" s="1186"/>
      <c r="E110" s="1186"/>
      <c r="F110" s="1186"/>
      <c r="G110" s="908"/>
      <c r="H110" s="126"/>
      <c r="I110" s="126"/>
      <c r="J110" s="126"/>
      <c r="K110" s="126"/>
    </row>
    <row r="111" spans="1:11">
      <c r="A111" s="279"/>
      <c r="B111" s="279"/>
      <c r="C111"/>
      <c r="D111" s="1186"/>
      <c r="E111" s="1186"/>
      <c r="F111" s="1186"/>
      <c r="G111"/>
    </row>
    <row r="112" spans="1:11">
      <c r="A112" s="279"/>
      <c r="B112" s="279"/>
      <c r="C112"/>
      <c r="D112" s="1186"/>
      <c r="E112" s="1186"/>
      <c r="F112" s="1186"/>
      <c r="G112"/>
    </row>
    <row r="113" spans="1:7">
      <c r="A113" s="279"/>
      <c r="B113" s="279"/>
      <c r="C113"/>
      <c r="D113" s="229"/>
      <c r="E113"/>
      <c r="F113"/>
      <c r="G113"/>
    </row>
    <row r="114" spans="1:7">
      <c r="A114" s="124"/>
      <c r="B114" s="362" t="s">
        <v>294</v>
      </c>
      <c r="C114"/>
      <c r="D114" s="1187" t="s">
        <v>326</v>
      </c>
      <c r="E114" s="1187"/>
      <c r="F114" s="1187"/>
      <c r="G114"/>
    </row>
    <row r="115" spans="1:7">
      <c r="A115" s="124"/>
      <c r="B115" s="124"/>
      <c r="C115"/>
      <c r="D115" s="1187"/>
      <c r="E115" s="1187"/>
      <c r="F115" s="1187"/>
      <c r="G115"/>
    </row>
    <row r="116" spans="1:7">
      <c r="A116" s="279"/>
      <c r="B116" s="279"/>
      <c r="C116" s="279"/>
      <c r="D116" s="3"/>
      <c r="E116" s="3"/>
      <c r="F116" s="3"/>
      <c r="G116" s="3"/>
    </row>
    <row r="117" spans="1:7">
      <c r="A117" s="124"/>
      <c r="B117" s="362" t="s">
        <v>294</v>
      </c>
      <c r="C117" s="279"/>
      <c r="D117" s="1149" t="s">
        <v>327</v>
      </c>
      <c r="E117" s="1149"/>
      <c r="F117" s="1149"/>
      <c r="G117" s="3"/>
    </row>
    <row r="118" spans="1:7">
      <c r="A118" s="279"/>
      <c r="B118" s="279"/>
      <c r="C118" s="279"/>
      <c r="D118" s="1149"/>
      <c r="E118" s="1149"/>
      <c r="F118" s="1149"/>
      <c r="G118" s="3"/>
    </row>
    <row r="119" spans="1:7">
      <c r="A119" s="279"/>
      <c r="B119" s="279"/>
      <c r="C119" s="279"/>
      <c r="D119" s="1149"/>
      <c r="E119" s="1149"/>
      <c r="F119" s="1149"/>
      <c r="G119" s="3"/>
    </row>
    <row r="120" spans="1:7">
      <c r="A120" s="279"/>
      <c r="B120" s="279"/>
      <c r="C120" s="279"/>
      <c r="D120" s="1149"/>
      <c r="E120" s="1149"/>
      <c r="F120" s="1149"/>
      <c r="G120" s="3"/>
    </row>
    <row r="121" spans="1:7">
      <c r="A121" s="279"/>
      <c r="B121" s="279"/>
      <c r="C121" s="279"/>
      <c r="D121" s="1149"/>
      <c r="E121" s="1149"/>
      <c r="F121" s="1149"/>
      <c r="G121" s="3"/>
    </row>
    <row r="122" spans="1:7">
      <c r="A122" s="279"/>
      <c r="B122" s="279"/>
      <c r="C122" s="279"/>
      <c r="D122" s="3"/>
      <c r="E122" s="3"/>
      <c r="F122" s="3"/>
      <c r="G122" s="3"/>
    </row>
    <row r="123" spans="1:7">
      <c r="A123" s="124"/>
      <c r="B123" s="362" t="s">
        <v>294</v>
      </c>
      <c r="C123" s="279"/>
      <c r="D123" s="1149" t="s">
        <v>328</v>
      </c>
      <c r="E123" s="1149"/>
      <c r="F123" s="1149"/>
      <c r="G123" s="3"/>
    </row>
    <row r="124" spans="1:7" s="134" customFormat="1" ht="13.7" customHeight="1">
      <c r="A124" s="2404"/>
      <c r="B124" s="2404"/>
      <c r="C124" s="2404"/>
      <c r="D124" s="1149"/>
      <c r="E124" s="1149"/>
      <c r="F124" s="1149"/>
      <c r="G124" s="452"/>
    </row>
    <row r="125" spans="1:7" ht="13.7" customHeight="1">
      <c r="A125" s="279"/>
      <c r="B125" s="279"/>
      <c r="C125" s="279"/>
      <c r="D125" s="1149"/>
      <c r="E125" s="1149"/>
      <c r="F125" s="1149"/>
      <c r="G125" s="3"/>
    </row>
    <row r="126" spans="1:7" ht="13.7" customHeight="1">
      <c r="A126" s="279"/>
      <c r="B126" s="279"/>
      <c r="C126" s="279"/>
      <c r="D126" s="1149"/>
      <c r="E126" s="1149"/>
      <c r="F126" s="1149"/>
      <c r="G126" s="3"/>
    </row>
    <row r="127" spans="1:7" ht="13.7" customHeight="1">
      <c r="A127" s="279"/>
      <c r="B127" s="279"/>
      <c r="C127" s="279"/>
      <c r="D127" s="1149"/>
      <c r="E127" s="1149"/>
      <c r="F127" s="1149"/>
      <c r="G127" s="3"/>
    </row>
    <row r="128" spans="1:7" ht="13.7" customHeight="1">
      <c r="A128" s="175"/>
      <c r="B128" s="175"/>
      <c r="C128" s="279"/>
      <c r="D128" s="1149"/>
      <c r="E128" s="1149"/>
      <c r="F128" s="1149"/>
      <c r="G128" s="3"/>
    </row>
    <row r="129" spans="2:6" ht="13.7" customHeight="1">
      <c r="B129" s="279"/>
      <c r="C129" s="279"/>
      <c r="D129" s="1149"/>
      <c r="E129" s="1149"/>
      <c r="F129" s="1149"/>
    </row>
    <row r="130" spans="2:6" ht="13.7" customHeight="1">
      <c r="B130" s="279"/>
      <c r="C130" s="279"/>
      <c r="D130" s="1149"/>
      <c r="E130" s="1149"/>
      <c r="F130" s="1149"/>
    </row>
    <row r="131" spans="2:6" ht="13.7" customHeight="1">
      <c r="B131" s="279"/>
      <c r="C131" s="279"/>
      <c r="D131" s="1149"/>
      <c r="E131" s="1149"/>
      <c r="F131" s="1149"/>
    </row>
    <row r="132" spans="2:6" ht="13.7" customHeight="1">
      <c r="B132" s="279"/>
      <c r="C132" s="279"/>
      <c r="D132" s="1149"/>
      <c r="E132" s="1149"/>
      <c r="F132" s="1149"/>
    </row>
    <row r="133" spans="2:6" ht="13.7" customHeight="1">
      <c r="B133" s="279"/>
      <c r="C133" s="279"/>
      <c r="D133" s="1149"/>
      <c r="E133" s="1149"/>
      <c r="F133" s="1149"/>
    </row>
    <row r="134" spans="2:6" ht="13.7" customHeight="1">
      <c r="B134" s="279"/>
      <c r="C134" s="279"/>
      <c r="D134" s="1149"/>
      <c r="E134" s="1149"/>
      <c r="F134" s="1149"/>
    </row>
    <row r="135" spans="2:6" ht="13.7" customHeight="1">
      <c r="B135" s="279"/>
      <c r="C135" s="279"/>
      <c r="D135" s="143"/>
      <c r="E135" s="85"/>
      <c r="F135" s="85"/>
    </row>
    <row r="136" spans="2:6" ht="13.7" customHeight="1">
      <c r="B136" s="362" t="s">
        <v>294</v>
      </c>
      <c r="C136" s="279"/>
      <c r="D136" s="1149" t="s">
        <v>329</v>
      </c>
      <c r="E136" s="1149"/>
      <c r="F136" s="1149"/>
    </row>
    <row r="137" spans="2:6" ht="13.7" customHeight="1">
      <c r="B137" s="279"/>
      <c r="C137" s="279"/>
      <c r="D137" s="1149"/>
      <c r="E137" s="1149"/>
      <c r="F137" s="1149"/>
    </row>
    <row r="138" spans="2:6" ht="13.7" customHeight="1">
      <c r="B138" s="279"/>
      <c r="C138" s="279"/>
      <c r="D138" s="1149"/>
      <c r="E138" s="1149"/>
      <c r="F138" s="1149"/>
    </row>
    <row r="139" spans="2:6" ht="13.7" customHeight="1">
      <c r="B139" s="279"/>
      <c r="C139" s="279"/>
      <c r="D139" s="1149"/>
      <c r="E139" s="1149"/>
      <c r="F139" s="1149"/>
    </row>
    <row r="140" spans="2:6" ht="13.7" customHeight="1">
      <c r="B140" s="279"/>
      <c r="C140" s="279"/>
      <c r="D140" s="1149"/>
      <c r="E140" s="1149"/>
      <c r="F140" s="1149"/>
    </row>
    <row r="141" spans="2:6" ht="13.7" customHeight="1">
      <c r="B141" s="279"/>
      <c r="C141" s="279"/>
      <c r="D141" s="1149"/>
      <c r="E141" s="1149"/>
      <c r="F141" s="1149"/>
    </row>
    <row r="142" spans="2:6" ht="13.7" customHeight="1">
      <c r="B142" s="279"/>
      <c r="C142" s="279"/>
      <c r="D142" s="1149"/>
      <c r="E142" s="1149"/>
      <c r="F142" s="1149"/>
    </row>
    <row r="143" spans="2:6" ht="13.7" customHeight="1">
      <c r="B143" s="279"/>
      <c r="C143" s="279"/>
      <c r="D143" s="1149"/>
      <c r="E143" s="1149"/>
      <c r="F143" s="1149"/>
    </row>
    <row r="144" spans="2:6" ht="13.7" customHeight="1">
      <c r="B144" s="279"/>
      <c r="C144" s="279"/>
      <c r="D144" s="1149"/>
      <c r="E144" s="1149"/>
      <c r="F144" s="1149"/>
    </row>
    <row r="145" spans="1:7" ht="13.7" customHeight="1">
      <c r="A145" s="279"/>
      <c r="B145" s="279"/>
      <c r="C145" s="279"/>
      <c r="D145" s="1149"/>
      <c r="E145" s="1149"/>
      <c r="F145" s="1149"/>
      <c r="G145" s="3"/>
    </row>
    <row r="146" spans="1:7" ht="13.7" customHeight="1">
      <c r="A146" s="279"/>
      <c r="B146" s="279"/>
      <c r="C146" s="279"/>
      <c r="D146" s="1149"/>
      <c r="E146" s="1149"/>
      <c r="F146" s="1149"/>
      <c r="G146" s="3"/>
    </row>
    <row r="147" spans="1:7" ht="13.7" customHeight="1">
      <c r="A147" s="279"/>
      <c r="B147" s="279"/>
      <c r="C147" s="279"/>
      <c r="D147" s="1149"/>
      <c r="E147" s="1149"/>
      <c r="F147" s="1149"/>
      <c r="G147" s="3"/>
    </row>
    <row r="148" spans="1:7" ht="13.7" customHeight="1">
      <c r="A148" s="279"/>
      <c r="B148" s="279"/>
      <c r="C148" s="279"/>
      <c r="D148" s="1149"/>
      <c r="E148" s="1149"/>
      <c r="F148" s="1149"/>
      <c r="G148" s="3"/>
    </row>
    <row r="149" spans="1:7" ht="13.7" customHeight="1">
      <c r="A149" s="279"/>
      <c r="B149" s="279"/>
      <c r="C149" s="279"/>
      <c r="D149" s="1149"/>
      <c r="E149" s="1149"/>
      <c r="F149" s="1149"/>
      <c r="G149" s="3"/>
    </row>
    <row r="150" spans="1:7" ht="13.7" customHeight="1">
      <c r="A150" s="279"/>
      <c r="B150" s="279"/>
      <c r="C150" s="279"/>
      <c r="D150" s="1149"/>
      <c r="E150" s="1149"/>
      <c r="F150" s="1149"/>
      <c r="G150" s="3"/>
    </row>
    <row r="151" spans="1:7" ht="13.7" customHeight="1">
      <c r="A151" s="279"/>
      <c r="B151" s="279"/>
      <c r="C151" s="279"/>
      <c r="D151" s="1149"/>
      <c r="E151" s="1149"/>
      <c r="F151" s="1149"/>
      <c r="G151" s="3"/>
    </row>
    <row r="152" spans="1:7" ht="13.7" customHeight="1">
      <c r="A152" s="279"/>
      <c r="B152" s="279"/>
      <c r="C152" s="279"/>
      <c r="D152" s="1149"/>
      <c r="E152" s="1149"/>
      <c r="F152" s="1149"/>
      <c r="G152" s="3"/>
    </row>
    <row r="153" spans="1:7" ht="13.7" customHeight="1">
      <c r="A153" s="279"/>
      <c r="B153" s="279"/>
      <c r="C153" s="279"/>
      <c r="D153" s="1149"/>
      <c r="E153" s="1149"/>
      <c r="F153" s="1149"/>
      <c r="G153" s="3"/>
    </row>
    <row r="154" spans="1:7" ht="13.7" customHeight="1">
      <c r="A154" s="279"/>
      <c r="B154" s="279"/>
      <c r="C154" s="279"/>
      <c r="D154" s="1149"/>
      <c r="E154" s="1149"/>
      <c r="F154" s="1149"/>
      <c r="G154" s="3"/>
    </row>
    <row r="155" spans="1:7" ht="13.7" customHeight="1">
      <c r="A155" s="279"/>
      <c r="B155" s="279"/>
      <c r="C155" s="279"/>
      <c r="D155" s="143"/>
      <c r="E155" s="85"/>
      <c r="F155" s="85"/>
      <c r="G155" s="3"/>
    </row>
    <row r="156" spans="1:7" ht="13.7" customHeight="1">
      <c r="A156" s="175"/>
      <c r="B156" s="362" t="s">
        <v>294</v>
      </c>
      <c r="C156" s="143"/>
      <c r="D156" s="1150" t="s">
        <v>330</v>
      </c>
      <c r="E156" s="1150"/>
      <c r="F156" s="1150"/>
      <c r="G156" s="143"/>
    </row>
    <row r="157" spans="1:7" ht="13.7" customHeight="1">
      <c r="A157" s="175"/>
      <c r="B157" s="175"/>
      <c r="C157" s="143"/>
      <c r="D157" s="1150"/>
      <c r="E157" s="1150"/>
      <c r="F157" s="1150"/>
      <c r="G157" s="143"/>
    </row>
    <row r="158" spans="1:7" ht="13.7" customHeight="1">
      <c r="A158" s="175"/>
      <c r="B158" s="175"/>
      <c r="C158" s="143"/>
      <c r="D158" s="143"/>
      <c r="E158" s="143"/>
      <c r="F158" s="143"/>
      <c r="G158" s="143"/>
    </row>
    <row r="159" spans="1:7" ht="13.7" customHeight="1">
      <c r="A159" s="175"/>
      <c r="B159" s="362" t="s">
        <v>294</v>
      </c>
      <c r="C159" s="143"/>
      <c r="D159" s="1150" t="s">
        <v>331</v>
      </c>
      <c r="E159" s="1150"/>
      <c r="F159" s="1150"/>
      <c r="G159" s="143"/>
    </row>
    <row r="160" spans="1:7" ht="13.7" customHeight="1">
      <c r="A160" s="175"/>
      <c r="B160" s="175"/>
      <c r="C160" s="143"/>
      <c r="D160" s="1150"/>
      <c r="E160" s="1150"/>
      <c r="F160" s="1150"/>
      <c r="G160" s="143"/>
    </row>
    <row r="161" spans="1:7" ht="13.7" customHeight="1">
      <c r="A161" s="175"/>
      <c r="B161" s="175"/>
      <c r="C161" s="143"/>
      <c r="D161" s="1150"/>
      <c r="E161" s="1150"/>
      <c r="F161" s="1150"/>
      <c r="G161" s="143"/>
    </row>
    <row r="162" spans="1:7" ht="13.7" customHeight="1">
      <c r="A162" s="175"/>
      <c r="B162" s="175"/>
      <c r="C162" s="143"/>
      <c r="D162" s="1150"/>
      <c r="E162" s="1150"/>
      <c r="F162" s="1150"/>
      <c r="G162" s="143"/>
    </row>
    <row r="163" spans="1:7" ht="13.7" customHeight="1">
      <c r="A163" s="279"/>
      <c r="B163" s="279"/>
      <c r="C163" s="279"/>
      <c r="D163" s="85"/>
      <c r="E163" s="85"/>
      <c r="F163" s="85"/>
      <c r="G163" s="3"/>
    </row>
    <row r="164" spans="1:7" ht="13.7" customHeight="1">
      <c r="A164" s="279"/>
      <c r="B164" s="362" t="s">
        <v>294</v>
      </c>
      <c r="C164" s="279"/>
      <c r="D164" s="1182" t="s">
        <v>332</v>
      </c>
      <c r="E164" s="1182"/>
      <c r="F164" s="1182"/>
      <c r="G164" s="3"/>
    </row>
    <row r="165" spans="1:7" ht="13.7" customHeight="1">
      <c r="A165" s="279"/>
      <c r="B165" s="279"/>
      <c r="C165" s="279"/>
      <c r="D165" s="1182"/>
      <c r="E165" s="1182"/>
      <c r="F165" s="1182"/>
      <c r="G165" s="3"/>
    </row>
    <row r="166" spans="1:7" ht="13.7" customHeight="1">
      <c r="A166" s="279"/>
      <c r="B166" s="279"/>
      <c r="C166" s="279"/>
      <c r="D166" s="1182"/>
      <c r="E166" s="1182"/>
      <c r="F166" s="1182"/>
      <c r="G166" s="3"/>
    </row>
    <row r="167" spans="1:7" ht="13.7" customHeight="1">
      <c r="A167" s="13"/>
      <c r="B167" s="13"/>
      <c r="C167" s="279"/>
      <c r="D167" s="3"/>
      <c r="E167" s="85"/>
      <c r="F167" s="85"/>
      <c r="G167" s="3"/>
    </row>
    <row r="168" spans="1:7">
      <c r="A168" s="1167" t="s">
        <v>333</v>
      </c>
      <c r="B168" s="1167"/>
      <c r="C168" s="1167"/>
      <c r="D168" s="1167"/>
      <c r="E168" s="1167"/>
      <c r="F168" s="1167"/>
      <c r="G168" s="1167"/>
    </row>
    <row r="169" spans="1:7" ht="12" customHeight="1">
      <c r="A169" s="279"/>
      <c r="B169" s="279"/>
      <c r="C169" s="279"/>
      <c r="D169" s="85"/>
      <c r="E169" s="85"/>
      <c r="F169" s="85"/>
      <c r="G169" s="3"/>
    </row>
    <row r="170" spans="1:7">
      <c r="A170" s="279"/>
      <c r="B170" s="1170" t="s">
        <v>334</v>
      </c>
      <c r="C170" s="1170"/>
      <c r="D170" s="1170"/>
      <c r="E170" s="1170"/>
      <c r="F170" s="1170"/>
      <c r="G170" s="3"/>
    </row>
    <row r="171" spans="1:7" ht="12" customHeight="1">
      <c r="A171" s="120"/>
      <c r="B171" s="120"/>
      <c r="C171" s="120"/>
      <c r="D171" s="3"/>
      <c r="E171" s="3"/>
      <c r="F171" s="3"/>
      <c r="G171" s="3"/>
    </row>
    <row r="172" spans="1:7">
      <c r="A172" s="1167" t="s">
        <v>335</v>
      </c>
      <c r="B172" s="1167"/>
      <c r="C172" s="1167"/>
      <c r="D172" s="1167"/>
      <c r="E172" s="1167"/>
      <c r="F172" s="1167"/>
      <c r="G172" s="1167"/>
    </row>
    <row r="173" spans="1:7" ht="12" customHeight="1">
      <c r="A173" s="2"/>
      <c r="B173" s="2"/>
      <c r="C173" s="279"/>
      <c r="D173" s="3"/>
      <c r="E173" s="2"/>
      <c r="F173" s="3"/>
      <c r="G173" s="3"/>
    </row>
    <row r="174" spans="1:7" ht="13.35" customHeight="1">
      <c r="A174" s="2"/>
      <c r="B174" s="2"/>
      <c r="C174" s="279"/>
      <c r="D174" s="1188" t="s">
        <v>336</v>
      </c>
      <c r="E174" s="1188"/>
      <c r="F174" s="1188"/>
      <c r="G174" s="3"/>
    </row>
    <row r="175" spans="1:7">
      <c r="A175" s="2"/>
      <c r="B175" s="2"/>
      <c r="C175" s="279"/>
      <c r="D175" s="1188"/>
      <c r="E175" s="1188"/>
      <c r="F175" s="1188"/>
      <c r="G175" s="3"/>
    </row>
    <row r="176" spans="1:7">
      <c r="A176" s="2"/>
      <c r="B176" s="2"/>
      <c r="C176" s="279"/>
      <c r="D176" s="1175" t="s">
        <v>337</v>
      </c>
      <c r="E176" s="1175"/>
      <c r="F176" s="1175"/>
      <c r="G176" s="3"/>
    </row>
    <row r="177" spans="1:7" ht="12" customHeight="1">
      <c r="A177" s="2"/>
      <c r="B177" s="2"/>
      <c r="C177" s="279"/>
      <c r="D177" s="3"/>
      <c r="E177" s="2"/>
      <c r="F177" s="3"/>
      <c r="G177" s="3"/>
    </row>
    <row r="178" spans="1:7">
      <c r="A178" s="124"/>
      <c r="B178" s="362" t="s">
        <v>294</v>
      </c>
      <c r="C178" s="279"/>
      <c r="D178" s="1162" t="s">
        <v>338</v>
      </c>
      <c r="E178" s="1162"/>
      <c r="F178" s="1162"/>
      <c r="G178" s="3"/>
    </row>
    <row r="179" spans="1:7">
      <c r="A179" s="124"/>
      <c r="B179" s="124"/>
      <c r="C179" s="279"/>
      <c r="D179" s="1162"/>
      <c r="E179" s="1162"/>
      <c r="F179" s="1162"/>
      <c r="G179" s="3"/>
    </row>
    <row r="180" spans="1:7">
      <c r="A180" s="124"/>
      <c r="B180" s="124"/>
      <c r="C180" s="279"/>
      <c r="D180" s="1162"/>
      <c r="E180" s="1162"/>
      <c r="F180" s="1162"/>
      <c r="G180" s="3"/>
    </row>
    <row r="181" spans="1:7">
      <c r="A181" s="279"/>
      <c r="B181" s="279"/>
      <c r="C181" s="279"/>
      <c r="D181" s="1162"/>
      <c r="E181" s="1162"/>
      <c r="F181" s="1162"/>
      <c r="G181" s="3"/>
    </row>
    <row r="182" spans="1:7">
      <c r="A182" s="279"/>
      <c r="B182" s="279"/>
      <c r="C182" s="279"/>
      <c r="D182" s="145"/>
      <c r="E182" s="3"/>
      <c r="F182" s="3"/>
      <c r="G182" s="3"/>
    </row>
    <row r="183" spans="1:7">
      <c r="A183" s="279"/>
      <c r="B183" s="279"/>
      <c r="C183" s="279"/>
      <c r="D183" s="1181" t="s">
        <v>339</v>
      </c>
      <c r="E183" s="1181"/>
      <c r="F183" s="1181"/>
      <c r="G183" s="3"/>
    </row>
    <row r="184" spans="1:7">
      <c r="A184" s="279"/>
      <c r="B184" s="279"/>
      <c r="C184" s="279"/>
      <c r="D184" s="1181"/>
      <c r="E184" s="1181"/>
      <c r="F184" s="1181"/>
      <c r="G184" s="3"/>
    </row>
    <row r="185" spans="1:7">
      <c r="A185" s="279"/>
      <c r="B185" s="279"/>
      <c r="C185" s="279"/>
      <c r="D185" s="369"/>
      <c r="E185" s="369"/>
      <c r="F185" s="369"/>
      <c r="G185" s="3"/>
    </row>
    <row r="186" spans="1:7">
      <c r="A186" s="124"/>
      <c r="B186" s="362" t="s">
        <v>294</v>
      </c>
      <c r="C186" s="279"/>
      <c r="D186" s="1149" t="s">
        <v>340</v>
      </c>
      <c r="E186" s="1149"/>
      <c r="F186" s="1149"/>
      <c r="G186" s="3"/>
    </row>
    <row r="187" spans="1:7" ht="14.45" customHeight="1">
      <c r="A187" s="124"/>
      <c r="B187"/>
      <c r="C187" s="279"/>
      <c r="D187" s="1149"/>
      <c r="E187" s="1149"/>
      <c r="F187" s="1149"/>
      <c r="G187" s="3"/>
    </row>
    <row r="188" spans="1:7">
      <c r="A188" s="124"/>
      <c r="B188" s="279"/>
      <c r="C188" s="279"/>
      <c r="D188" s="1149"/>
      <c r="E188" s="1149"/>
      <c r="F188" s="1149"/>
      <c r="G188" s="3"/>
    </row>
    <row r="189" spans="1:7">
      <c r="A189" s="124"/>
      <c r="B189" s="279"/>
      <c r="C189" s="279"/>
      <c r="D189" s="1149"/>
      <c r="E189" s="1149"/>
      <c r="F189" s="1149"/>
      <c r="G189" s="3"/>
    </row>
    <row r="190" spans="1:7">
      <c r="A190" s="279"/>
      <c r="B190" s="279"/>
      <c r="C190" s="279"/>
      <c r="D190" s="369"/>
      <c r="E190" s="369"/>
      <c r="F190" s="369"/>
      <c r="G190" s="3"/>
    </row>
    <row r="191" spans="1:7">
      <c r="A191" s="1167" t="s">
        <v>341</v>
      </c>
      <c r="B191" s="1167"/>
      <c r="C191" s="1167"/>
      <c r="D191" s="1167"/>
      <c r="E191" s="1167"/>
      <c r="F191" s="1167"/>
      <c r="G191" s="1167"/>
    </row>
    <row r="192" spans="1:7" ht="12" customHeight="1">
      <c r="A192" s="279"/>
      <c r="B192" s="279"/>
      <c r="C192" s="279"/>
      <c r="D192" s="85"/>
      <c r="E192" s="85"/>
      <c r="F192" s="85"/>
      <c r="G192" s="3"/>
    </row>
    <row r="193" spans="1:6">
      <c r="A193" s="279"/>
      <c r="B193" s="279"/>
      <c r="C193" s="2403"/>
      <c r="D193" s="1165" t="s">
        <v>342</v>
      </c>
      <c r="E193" s="1165"/>
      <c r="F193" s="1165"/>
    </row>
    <row r="194" spans="1:6">
      <c r="A194" s="120"/>
      <c r="B194" s="120"/>
      <c r="C194" s="120"/>
      <c r="D194" s="1166" t="s">
        <v>343</v>
      </c>
      <c r="E194" s="1166"/>
      <c r="F194" s="1166"/>
    </row>
    <row r="195" spans="1:6" ht="12" customHeight="1">
      <c r="A195" s="13"/>
      <c r="B195" s="13"/>
      <c r="C195" s="13"/>
      <c r="D195" s="3"/>
      <c r="E195" s="3"/>
      <c r="F195" s="3"/>
    </row>
    <row r="196" spans="1:6" ht="13.35" customHeight="1">
      <c r="A196" s="13"/>
      <c r="B196" s="279"/>
      <c r="C196" s="13"/>
      <c r="D196" s="1165" t="s">
        <v>344</v>
      </c>
      <c r="E196" s="1165"/>
      <c r="F196" s="1165"/>
    </row>
    <row r="197" spans="1:6">
      <c r="A197" s="124"/>
      <c r="B197" s="362" t="s">
        <v>294</v>
      </c>
      <c r="C197" s="279"/>
      <c r="D197" s="1149" t="s">
        <v>345</v>
      </c>
      <c r="E197" s="1149"/>
      <c r="F197" s="1149"/>
    </row>
    <row r="198" spans="1:6">
      <c r="A198" s="124"/>
      <c r="B198" s="124"/>
      <c r="C198" s="279"/>
      <c r="D198" s="1149"/>
      <c r="E198" s="1149"/>
      <c r="F198" s="1149"/>
    </row>
    <row r="199" spans="1:6">
      <c r="A199" s="279"/>
      <c r="B199" s="279"/>
      <c r="C199" s="279"/>
      <c r="D199" s="3"/>
      <c r="E199" s="3"/>
      <c r="F199" s="3"/>
    </row>
    <row r="200" spans="1:6">
      <c r="A200" s="124"/>
      <c r="B200" s="362" t="s">
        <v>294</v>
      </c>
      <c r="C200" s="279"/>
      <c r="D200" s="1149" t="s">
        <v>346</v>
      </c>
      <c r="E200" s="1149"/>
      <c r="F200" s="1149"/>
    </row>
    <row r="201" spans="1:6">
      <c r="A201" s="124"/>
      <c r="B201" s="124"/>
      <c r="C201" s="279"/>
      <c r="D201" s="1149"/>
      <c r="E201" s="1149"/>
      <c r="F201" s="1149"/>
    </row>
    <row r="202" spans="1:6">
      <c r="A202" s="124"/>
      <c r="B202" s="124"/>
      <c r="C202" s="279"/>
      <c r="D202" s="1149"/>
      <c r="E202" s="1149"/>
      <c r="F202" s="1149"/>
    </row>
    <row r="203" spans="1:6" ht="5.25" customHeight="1">
      <c r="A203" s="124"/>
      <c r="B203" s="124"/>
      <c r="C203" s="279"/>
      <c r="D203" s="85"/>
      <c r="E203" s="85"/>
      <c r="F203" s="85"/>
    </row>
    <row r="204" spans="1:6">
      <c r="A204" s="124"/>
      <c r="B204" s="124"/>
      <c r="C204" s="279"/>
      <c r="D204" s="1149" t="s">
        <v>347</v>
      </c>
      <c r="E204" s="1149"/>
      <c r="F204" s="1149"/>
    </row>
    <row r="205" spans="1:6">
      <c r="A205" s="124"/>
      <c r="B205" s="124"/>
      <c r="C205" s="279"/>
      <c r="D205" s="1149"/>
      <c r="E205" s="1149"/>
      <c r="F205" s="1149"/>
    </row>
    <row r="206" spans="1:6">
      <c r="A206" s="124"/>
      <c r="B206" s="124"/>
      <c r="C206" s="279"/>
      <c r="D206" s="1149"/>
      <c r="E206" s="1149"/>
      <c r="F206" s="1149"/>
    </row>
    <row r="207" spans="1:6">
      <c r="A207" s="124"/>
      <c r="B207" s="124"/>
      <c r="C207" s="279"/>
      <c r="D207" s="1149"/>
      <c r="E207" s="1149"/>
      <c r="F207" s="1149"/>
    </row>
    <row r="208" spans="1:6">
      <c r="A208" s="124"/>
      <c r="B208" s="124"/>
      <c r="C208" s="279"/>
      <c r="D208" s="1149"/>
      <c r="E208" s="1149"/>
      <c r="F208" s="1149"/>
    </row>
    <row r="209" spans="1:7">
      <c r="A209" s="124"/>
      <c r="B209" s="124"/>
      <c r="C209" s="279"/>
      <c r="D209" s="85"/>
      <c r="E209" s="85"/>
      <c r="F209" s="85"/>
      <c r="G209" s="3"/>
    </row>
    <row r="210" spans="1:7">
      <c r="A210" s="124"/>
      <c r="B210" s="362" t="s">
        <v>294</v>
      </c>
      <c r="C210" s="279"/>
      <c r="D210" s="1149" t="s">
        <v>348</v>
      </c>
      <c r="E210" s="1149"/>
      <c r="F210" s="1149"/>
      <c r="G210" s="3"/>
    </row>
    <row r="211" spans="1:7">
      <c r="A211" s="124"/>
      <c r="B211" s="124"/>
      <c r="C211" s="279"/>
      <c r="D211" s="1149"/>
      <c r="E211" s="1149"/>
      <c r="F211" s="1149"/>
      <c r="G211" s="3"/>
    </row>
    <row r="212" spans="1:7">
      <c r="A212" s="124"/>
      <c r="B212" s="124"/>
      <c r="C212" s="279"/>
      <c r="D212" s="1170" t="s">
        <v>349</v>
      </c>
      <c r="E212" s="1170"/>
      <c r="F212" s="1170"/>
      <c r="G212" s="3"/>
    </row>
    <row r="213" spans="1:7">
      <c r="A213" s="124"/>
      <c r="B213" s="124"/>
      <c r="C213" s="279"/>
      <c r="D213" s="85"/>
      <c r="E213" s="85"/>
      <c r="F213" s="85"/>
      <c r="G213" s="3"/>
    </row>
    <row r="214" spans="1:7" ht="14.45" customHeight="1">
      <c r="A214" s="124"/>
      <c r="B214" s="362" t="s">
        <v>294</v>
      </c>
      <c r="C214" s="279"/>
      <c r="D214" s="1149" t="s">
        <v>350</v>
      </c>
      <c r="E214" s="1149"/>
      <c r="F214" s="1149"/>
      <c r="G214" s="3"/>
    </row>
    <row r="215" spans="1:7">
      <c r="A215" s="124"/>
      <c r="B215" s="124"/>
      <c r="C215" s="279"/>
      <c r="D215" s="1149"/>
      <c r="E215" s="1149"/>
      <c r="F215" s="1149"/>
      <c r="G215" s="3"/>
    </row>
    <row r="216" spans="1:7">
      <c r="A216" s="124"/>
      <c r="B216" s="124"/>
      <c r="C216" s="279"/>
      <c r="D216" s="1149"/>
      <c r="E216" s="1149"/>
      <c r="F216" s="1149"/>
      <c r="G216" s="3"/>
    </row>
    <row r="217" spans="1:7">
      <c r="A217" s="124"/>
      <c r="B217" s="124"/>
      <c r="C217" s="279"/>
      <c r="D217" s="1149"/>
      <c r="E217" s="1149"/>
      <c r="F217" s="1149"/>
      <c r="G217" s="3"/>
    </row>
    <row r="218" spans="1:7">
      <c r="A218" s="124"/>
      <c r="B218" s="124"/>
      <c r="C218" s="279"/>
      <c r="D218" s="1149"/>
      <c r="E218" s="1149"/>
      <c r="F218" s="1149"/>
      <c r="G218" s="3"/>
    </row>
    <row r="219" spans="1:7">
      <c r="A219" s="279"/>
      <c r="B219" s="279"/>
      <c r="C219" s="279"/>
      <c r="D219" s="85"/>
      <c r="E219" s="85"/>
      <c r="F219" s="85"/>
      <c r="G219" s="3"/>
    </row>
    <row r="220" spans="1:7">
      <c r="A220" s="124"/>
      <c r="B220" s="362" t="s">
        <v>294</v>
      </c>
      <c r="C220" s="279"/>
      <c r="D220" s="1149" t="s">
        <v>351</v>
      </c>
      <c r="E220" s="1149"/>
      <c r="F220" s="1149"/>
      <c r="G220" s="3"/>
    </row>
    <row r="221" spans="1:7">
      <c r="A221" s="124"/>
      <c r="B221" s="124"/>
      <c r="C221" s="279"/>
      <c r="D221" s="1149"/>
      <c r="E221" s="1149"/>
      <c r="F221" s="1149"/>
      <c r="G221" s="3"/>
    </row>
    <row r="222" spans="1:7">
      <c r="A222" s="279"/>
      <c r="B222" s="279"/>
      <c r="C222" s="279"/>
      <c r="D222" s="2405"/>
      <c r="E222" s="3"/>
      <c r="F222" s="3"/>
      <c r="G222" s="3"/>
    </row>
    <row r="223" spans="1:7">
      <c r="A223" s="1167" t="s">
        <v>352</v>
      </c>
      <c r="B223" s="1167"/>
      <c r="C223" s="1167"/>
      <c r="D223" s="1167"/>
      <c r="E223" s="1167"/>
      <c r="F223" s="1167"/>
      <c r="G223" s="1167"/>
    </row>
    <row r="224" spans="1:7">
      <c r="A224" s="279"/>
      <c r="B224" s="279"/>
      <c r="C224" s="279"/>
      <c r="D224" s="2405"/>
      <c r="E224" s="3"/>
      <c r="F224" s="3"/>
      <c r="G224" s="3"/>
    </row>
    <row r="225" spans="1:6">
      <c r="A225" s="279"/>
      <c r="B225" s="279"/>
      <c r="C225" s="2403"/>
      <c r="D225" s="1165" t="s">
        <v>353</v>
      </c>
      <c r="E225" s="1165"/>
      <c r="F225" s="1165"/>
    </row>
    <row r="226" spans="1:6">
      <c r="A226" s="120"/>
      <c r="B226" s="120"/>
      <c r="C226" s="120"/>
      <c r="D226" s="85"/>
      <c r="E226" s="85"/>
      <c r="F226" s="85"/>
    </row>
    <row r="227" spans="1:6">
      <c r="A227" s="123"/>
      <c r="B227" s="123"/>
      <c r="C227" s="123"/>
      <c r="D227" s="1165" t="s">
        <v>354</v>
      </c>
      <c r="E227" s="1165"/>
      <c r="F227" s="1165"/>
    </row>
    <row r="228" spans="1:6">
      <c r="A228" s="124"/>
      <c r="B228" s="362" t="s">
        <v>294</v>
      </c>
      <c r="C228" s="279"/>
      <c r="D228" s="1194" t="s">
        <v>355</v>
      </c>
      <c r="E228" s="1194"/>
      <c r="F228" s="1194"/>
    </row>
    <row r="229" spans="1:6">
      <c r="A229" s="124"/>
      <c r="B229" s="124"/>
      <c r="C229" s="279"/>
      <c r="D229" s="1194"/>
      <c r="E229" s="1194"/>
      <c r="F229" s="1194"/>
    </row>
    <row r="230" spans="1:6">
      <c r="A230" s="279"/>
      <c r="B230" s="279"/>
      <c r="C230" s="279"/>
      <c r="D230" s="85"/>
      <c r="E230" s="85"/>
      <c r="F230" s="85"/>
    </row>
    <row r="231" spans="1:6" ht="14.45" customHeight="1">
      <c r="A231" s="124"/>
      <c r="B231" s="362" t="s">
        <v>294</v>
      </c>
      <c r="C231" s="279"/>
      <c r="D231" s="1149" t="s">
        <v>356</v>
      </c>
      <c r="E231" s="1149"/>
      <c r="F231" s="1149"/>
    </row>
    <row r="232" spans="1:6">
      <c r="A232" s="279"/>
      <c r="B232" s="279"/>
      <c r="C232" s="279"/>
      <c r="D232" s="1149"/>
      <c r="E232" s="1149"/>
      <c r="F232" s="1149"/>
    </row>
    <row r="233" spans="1:6">
      <c r="A233" s="279"/>
      <c r="B233" s="279"/>
      <c r="C233" s="279"/>
      <c r="D233" s="1166" t="s">
        <v>357</v>
      </c>
      <c r="E233" s="1166"/>
      <c r="F233" s="1166"/>
    </row>
    <row r="234" spans="1:6">
      <c r="A234" s="279"/>
      <c r="B234" s="279"/>
      <c r="C234" s="279"/>
      <c r="D234" s="85"/>
      <c r="E234" s="85"/>
      <c r="F234" s="85"/>
    </row>
    <row r="235" spans="1:6" ht="14.45" customHeight="1">
      <c r="A235" s="124"/>
      <c r="B235" s="362" t="s">
        <v>294</v>
      </c>
      <c r="C235" s="279"/>
      <c r="D235" s="1149" t="s">
        <v>358</v>
      </c>
      <c r="E235" s="1149"/>
      <c r="F235" s="1149"/>
    </row>
    <row r="236" spans="1:6">
      <c r="A236" s="279"/>
      <c r="B236" s="279"/>
      <c r="C236" s="279"/>
      <c r="D236" s="1149"/>
      <c r="E236" s="1149"/>
      <c r="F236" s="1149"/>
    </row>
    <row r="237" spans="1:6">
      <c r="A237" s="279"/>
      <c r="B237" s="279"/>
      <c r="C237" s="279"/>
      <c r="D237" s="1149"/>
      <c r="E237" s="1149"/>
      <c r="F237" s="1149"/>
    </row>
    <row r="238" spans="1:6">
      <c r="A238" s="279"/>
      <c r="B238" s="279"/>
      <c r="C238" s="279"/>
      <c r="D238" s="1149"/>
      <c r="E238" s="1149"/>
      <c r="F238" s="1149"/>
    </row>
    <row r="239" spans="1:6">
      <c r="A239" s="279"/>
      <c r="B239" s="279"/>
      <c r="C239" s="279"/>
      <c r="D239" s="1149"/>
      <c r="E239" s="1149"/>
      <c r="F239" s="1149"/>
    </row>
    <row r="240" spans="1:6">
      <c r="A240" s="279"/>
      <c r="B240" s="279"/>
      <c r="C240" s="279"/>
      <c r="D240" s="85"/>
      <c r="E240" s="85"/>
      <c r="F240" s="85"/>
    </row>
    <row r="241" spans="1:7">
      <c r="A241" s="124"/>
      <c r="B241" s="362" t="s">
        <v>294</v>
      </c>
      <c r="C241" s="279"/>
      <c r="D241" s="1149" t="s">
        <v>359</v>
      </c>
      <c r="E241" s="1149"/>
      <c r="F241" s="1149"/>
      <c r="G241" s="3"/>
    </row>
    <row r="242" spans="1:7">
      <c r="A242" s="279"/>
      <c r="B242" s="279"/>
      <c r="C242" s="279"/>
      <c r="D242" s="1149"/>
      <c r="E242" s="1149"/>
      <c r="F242" s="1149"/>
      <c r="G242" s="3"/>
    </row>
    <row r="243" spans="1:7">
      <c r="A243" s="279"/>
      <c r="B243" s="279"/>
      <c r="C243" s="279"/>
      <c r="D243" s="1149"/>
      <c r="E243" s="1149"/>
      <c r="F243" s="1149"/>
      <c r="G243" s="3"/>
    </row>
    <row r="244" spans="1:7">
      <c r="A244" s="279"/>
      <c r="B244" s="279"/>
      <c r="C244" s="279"/>
      <c r="D244" s="914"/>
      <c r="E244" s="85"/>
      <c r="F244" s="85"/>
      <c r="G244" s="3"/>
    </row>
    <row r="245" spans="1:7">
      <c r="A245" s="1167" t="s">
        <v>360</v>
      </c>
      <c r="B245" s="1167"/>
      <c r="C245" s="1167"/>
      <c r="D245" s="1167"/>
      <c r="E245" s="1167"/>
      <c r="F245" s="1167"/>
      <c r="G245" s="1167"/>
    </row>
    <row r="246" spans="1:7">
      <c r="A246" s="279"/>
      <c r="B246" s="279"/>
      <c r="C246" s="279"/>
      <c r="D246" s="914"/>
      <c r="E246" s="85"/>
      <c r="F246" s="85"/>
      <c r="G246" s="3"/>
    </row>
    <row r="247" spans="1:7">
      <c r="A247" s="279"/>
      <c r="B247" s="279"/>
      <c r="C247" s="120"/>
      <c r="D247" s="1177" t="s">
        <v>361</v>
      </c>
      <c r="E247" s="1177"/>
      <c r="F247" s="1177"/>
      <c r="G247" s="3"/>
    </row>
    <row r="248" spans="1:7">
      <c r="A248" s="279"/>
      <c r="B248" s="279"/>
      <c r="C248" s="120"/>
      <c r="D248" s="1177"/>
      <c r="E248" s="1177"/>
      <c r="F248" s="1177"/>
      <c r="G248" s="3"/>
    </row>
    <row r="249" spans="1:7">
      <c r="A249" s="123"/>
      <c r="B249" s="123"/>
      <c r="C249" s="123"/>
      <c r="D249" s="2"/>
      <c r="E249" s="3"/>
      <c r="F249" s="3"/>
      <c r="G249" s="3"/>
    </row>
    <row r="250" spans="1:7">
      <c r="A250" s="279"/>
      <c r="B250" s="279"/>
      <c r="C250" s="123"/>
      <c r="D250" s="1165" t="s">
        <v>362</v>
      </c>
      <c r="E250" s="1165"/>
      <c r="F250" s="1165"/>
      <c r="G250" s="3"/>
    </row>
    <row r="251" spans="1:7" ht="15.75" customHeight="1">
      <c r="A251" s="124"/>
      <c r="B251" s="124"/>
      <c r="C251" s="279"/>
      <c r="D251" s="1171" t="s">
        <v>363</v>
      </c>
      <c r="E251" s="1171"/>
      <c r="F251" s="1171"/>
      <c r="G251" s="3"/>
    </row>
    <row r="252" spans="1:7">
      <c r="A252" s="279"/>
      <c r="B252" s="279"/>
      <c r="C252" s="279"/>
      <c r="D252" s="3"/>
      <c r="E252" s="85"/>
      <c r="F252" s="85"/>
      <c r="G252" s="3"/>
    </row>
    <row r="253" spans="1:7">
      <c r="A253" s="124"/>
      <c r="B253" s="362" t="s">
        <v>294</v>
      </c>
      <c r="C253" s="279"/>
      <c r="D253" s="1149" t="s">
        <v>364</v>
      </c>
      <c r="E253" s="1149"/>
      <c r="F253" s="1149"/>
      <c r="G253" s="3"/>
    </row>
    <row r="254" spans="1:7">
      <c r="A254" s="124"/>
      <c r="B254" s="124"/>
      <c r="C254" s="279"/>
      <c r="D254" s="1149"/>
      <c r="E254" s="1149"/>
      <c r="F254" s="1149"/>
      <c r="G254" s="3"/>
    </row>
    <row r="255" spans="1:7">
      <c r="A255" s="279"/>
      <c r="B255" s="279"/>
      <c r="C255" s="279"/>
      <c r="D255" s="85"/>
      <c r="E255" s="85"/>
      <c r="F255" s="85"/>
      <c r="G255" s="3"/>
    </row>
    <row r="256" spans="1:7">
      <c r="A256" s="124"/>
      <c r="B256" s="362" t="s">
        <v>294</v>
      </c>
      <c r="C256" s="279"/>
      <c r="D256" s="1149" t="s">
        <v>365</v>
      </c>
      <c r="E256" s="1149"/>
      <c r="F256" s="1149"/>
      <c r="G256" s="3"/>
    </row>
    <row r="257" spans="1:7">
      <c r="A257" s="124"/>
      <c r="B257" s="124"/>
      <c r="C257" s="279"/>
      <c r="D257" s="1149"/>
      <c r="E257" s="1149"/>
      <c r="F257" s="1149"/>
      <c r="G257" s="3"/>
    </row>
    <row r="258" spans="1:7">
      <c r="A258" s="124"/>
      <c r="B258" s="124"/>
      <c r="C258" s="279"/>
      <c r="D258" s="1149"/>
      <c r="E258" s="1149"/>
      <c r="F258" s="1149"/>
      <c r="G258" s="3"/>
    </row>
    <row r="259" spans="1:7">
      <c r="A259" s="279"/>
      <c r="B259" s="279"/>
      <c r="C259" s="279"/>
      <c r="D259" s="85"/>
      <c r="E259" s="85"/>
      <c r="F259" s="85"/>
      <c r="G259" s="3"/>
    </row>
    <row r="260" spans="1:7">
      <c r="A260" s="124"/>
      <c r="B260" s="362" t="s">
        <v>294</v>
      </c>
      <c r="C260" s="279"/>
      <c r="D260" s="1149" t="s">
        <v>366</v>
      </c>
      <c r="E260" s="1149"/>
      <c r="F260" s="1149"/>
      <c r="G260" s="3"/>
    </row>
    <row r="261" spans="1:7">
      <c r="A261" s="124"/>
      <c r="B261" s="124"/>
      <c r="C261" s="279"/>
      <c r="D261" s="1149"/>
      <c r="E261" s="1149"/>
      <c r="F261" s="1149"/>
      <c r="G261" s="3"/>
    </row>
    <row r="262" spans="1:7">
      <c r="A262" s="13"/>
      <c r="B262" s="13"/>
      <c r="C262" s="279"/>
      <c r="D262" s="3"/>
      <c r="E262" s="85"/>
      <c r="F262" s="85"/>
      <c r="G262" s="3"/>
    </row>
    <row r="263" spans="1:7">
      <c r="A263" s="1167" t="s">
        <v>367</v>
      </c>
      <c r="B263" s="1167"/>
      <c r="C263" s="1167"/>
      <c r="D263" s="1167"/>
      <c r="E263" s="1167"/>
      <c r="F263" s="1167"/>
      <c r="G263" s="1167"/>
    </row>
    <row r="264" spans="1:7">
      <c r="A264" s="13"/>
      <c r="B264" s="13"/>
      <c r="C264" s="279"/>
      <c r="D264" s="85"/>
      <c r="E264" s="85"/>
      <c r="F264" s="85"/>
      <c r="G264" s="3"/>
    </row>
    <row r="265" spans="1:7">
      <c r="A265" s="279"/>
      <c r="B265" s="279"/>
      <c r="C265" s="13"/>
      <c r="D265" s="1165" t="s">
        <v>368</v>
      </c>
      <c r="E265" s="1165"/>
      <c r="F265" s="1165"/>
      <c r="G265" s="3"/>
    </row>
    <row r="266" spans="1:7">
      <c r="A266" s="279"/>
      <c r="B266" s="279"/>
      <c r="C266" s="13"/>
      <c r="D266" s="1166" t="s">
        <v>369</v>
      </c>
      <c r="E266" s="1166"/>
      <c r="F266" s="1166"/>
      <c r="G266" s="3"/>
    </row>
    <row r="267" spans="1:7">
      <c r="A267" s="279"/>
      <c r="B267" s="279"/>
      <c r="C267" s="13"/>
      <c r="D267" s="121"/>
      <c r="E267" s="3"/>
      <c r="F267" s="3"/>
      <c r="G267" s="3"/>
    </row>
    <row r="268" spans="1:7">
      <c r="A268" s="279"/>
      <c r="B268" s="362" t="s">
        <v>294</v>
      </c>
      <c r="C268" s="279"/>
      <c r="D268" s="1166" t="s">
        <v>370</v>
      </c>
      <c r="E268" s="1166"/>
      <c r="F268" s="1166"/>
      <c r="G268" s="3"/>
    </row>
    <row r="269" spans="1:7">
      <c r="A269" s="124"/>
      <c r="B269" s="124"/>
      <c r="C269" s="279"/>
      <c r="D269" s="239"/>
      <c r="E269" s="1148"/>
      <c r="F269" s="1148"/>
      <c r="G269" s="3"/>
    </row>
    <row r="270" spans="1:7" ht="13.35" customHeight="1">
      <c r="A270" s="279"/>
      <c r="B270" s="362" t="s">
        <v>294</v>
      </c>
      <c r="C270" s="279"/>
      <c r="D270" s="1195" t="s">
        <v>371</v>
      </c>
      <c r="E270" s="1195"/>
      <c r="F270" s="1195"/>
      <c r="G270" s="3"/>
    </row>
    <row r="271" spans="1:7">
      <c r="A271" s="124"/>
      <c r="B271" s="124"/>
      <c r="C271" s="279"/>
      <c r="D271" s="1195"/>
      <c r="E271" s="1195"/>
      <c r="F271" s="1195"/>
      <c r="G271" s="3"/>
    </row>
    <row r="272" spans="1:7">
      <c r="A272" s="124"/>
      <c r="B272" s="124"/>
      <c r="C272" s="279"/>
      <c r="D272" s="1195"/>
      <c r="E272" s="1195"/>
      <c r="F272" s="1195"/>
      <c r="G272" s="3"/>
    </row>
    <row r="273" spans="1:6">
      <c r="A273" s="124"/>
      <c r="B273" s="124"/>
      <c r="C273" s="279"/>
      <c r="D273" s="1195"/>
      <c r="E273" s="1195"/>
      <c r="F273" s="1195"/>
    </row>
    <row r="274" spans="1:6">
      <c r="A274" s="124"/>
      <c r="B274" s="124"/>
      <c r="C274" s="279"/>
      <c r="D274" s="1195"/>
      <c r="E274" s="1195"/>
      <c r="F274" s="1195"/>
    </row>
    <row r="275" spans="1:6">
      <c r="A275" s="124"/>
      <c r="B275" s="124"/>
      <c r="C275" s="279"/>
      <c r="D275" s="239"/>
      <c r="E275" s="1148"/>
      <c r="F275" s="1148"/>
    </row>
    <row r="276" spans="1:6" ht="13.35" customHeight="1">
      <c r="A276" s="279"/>
      <c r="B276" s="362" t="s">
        <v>294</v>
      </c>
      <c r="C276" s="279"/>
      <c r="D276" s="1195" t="s">
        <v>372</v>
      </c>
      <c r="E276" s="1195"/>
      <c r="F276" s="1195"/>
    </row>
    <row r="277" spans="1:6">
      <c r="A277" s="279"/>
      <c r="B277" s="279"/>
      <c r="C277" s="279"/>
      <c r="D277" s="1195"/>
      <c r="E277" s="1195"/>
      <c r="F277" s="1195"/>
    </row>
    <row r="278" spans="1:6">
      <c r="A278" s="124"/>
      <c r="B278" s="124"/>
      <c r="C278" s="279"/>
      <c r="D278" s="239"/>
      <c r="E278" s="1148"/>
      <c r="F278" s="1148"/>
    </row>
    <row r="279" spans="1:6">
      <c r="A279" s="279"/>
      <c r="B279" s="362" t="s">
        <v>294</v>
      </c>
      <c r="C279" s="279"/>
      <c r="D279" s="1166" t="s">
        <v>373</v>
      </c>
      <c r="E279" s="1166"/>
      <c r="F279" s="1166"/>
    </row>
    <row r="280" spans="1:6">
      <c r="A280" s="279"/>
      <c r="B280" s="279"/>
      <c r="C280" s="279"/>
      <c r="D280" s="3"/>
      <c r="E280" s="85"/>
      <c r="F280" s="85"/>
    </row>
    <row r="281" spans="1:6">
      <c r="A281" s="124"/>
      <c r="B281" s="362" t="s">
        <v>294</v>
      </c>
      <c r="C281" s="279"/>
      <c r="D281" s="1149" t="s">
        <v>374</v>
      </c>
      <c r="E281" s="1149"/>
      <c r="F281" s="1149"/>
    </row>
    <row r="282" spans="1:6">
      <c r="A282" s="124"/>
      <c r="B282" s="124"/>
      <c r="C282" s="279"/>
      <c r="D282" s="1149"/>
      <c r="E282" s="1149"/>
      <c r="F282" s="1149"/>
    </row>
    <row r="283" spans="1:6">
      <c r="A283" s="124"/>
      <c r="B283" s="124"/>
      <c r="C283" s="279"/>
      <c r="D283" s="1149"/>
      <c r="E283" s="1149"/>
      <c r="F283" s="1149"/>
    </row>
    <row r="284" spans="1:6">
      <c r="A284" s="124"/>
      <c r="B284" s="124"/>
      <c r="C284" s="279"/>
      <c r="D284" s="1149"/>
      <c r="E284" s="1149"/>
      <c r="F284" s="1149"/>
    </row>
    <row r="285" spans="1:6">
      <c r="A285" s="124"/>
      <c r="B285" s="124"/>
      <c r="C285" s="279"/>
      <c r="D285" s="1149"/>
      <c r="E285" s="1149"/>
      <c r="F285" s="1149"/>
    </row>
    <row r="286" spans="1:6">
      <c r="A286" s="124"/>
      <c r="B286" s="124"/>
      <c r="C286" s="279"/>
      <c r="D286" s="1149"/>
      <c r="E286" s="1149"/>
      <c r="F286" s="1149"/>
    </row>
    <row r="287" spans="1:6">
      <c r="A287" s="124"/>
      <c r="B287" s="124"/>
      <c r="C287" s="279"/>
      <c r="D287" s="1149"/>
      <c r="E287" s="1149"/>
      <c r="F287" s="1149"/>
    </row>
    <row r="288" spans="1:6">
      <c r="A288" s="124"/>
      <c r="B288" s="124"/>
      <c r="C288" s="279"/>
      <c r="D288" s="1149"/>
      <c r="E288" s="1149"/>
      <c r="F288" s="1149"/>
    </row>
    <row r="289" spans="1:6">
      <c r="A289" s="124"/>
      <c r="B289" s="124"/>
      <c r="C289" s="279"/>
      <c r="D289" s="1149"/>
      <c r="E289" s="1149"/>
      <c r="F289" s="1149"/>
    </row>
    <row r="290" spans="1:6">
      <c r="A290" s="124"/>
      <c r="B290" s="124"/>
      <c r="C290" s="279"/>
      <c r="D290" s="1149"/>
      <c r="E290" s="1149"/>
      <c r="F290" s="1149"/>
    </row>
    <row r="291" spans="1:6">
      <c r="A291" s="124"/>
      <c r="B291" s="124"/>
      <c r="C291" s="279"/>
      <c r="D291" s="1149"/>
      <c r="E291" s="1149"/>
      <c r="F291" s="1149"/>
    </row>
    <row r="292" spans="1:6">
      <c r="A292" s="124"/>
      <c r="B292" s="124"/>
      <c r="C292" s="279"/>
      <c r="D292" s="1149"/>
      <c r="E292" s="1149"/>
      <c r="F292" s="1149"/>
    </row>
    <row r="293" spans="1:6">
      <c r="A293" s="124"/>
      <c r="B293" s="124"/>
      <c r="C293" s="279"/>
      <c r="D293" s="1149"/>
      <c r="E293" s="1149"/>
      <c r="F293" s="1149"/>
    </row>
    <row r="294" spans="1:6">
      <c r="A294" s="124"/>
      <c r="B294" s="124"/>
      <c r="C294" s="279"/>
      <c r="D294" s="1149"/>
      <c r="E294" s="1149"/>
      <c r="F294" s="1149"/>
    </row>
    <row r="295" spans="1:6">
      <c r="A295" s="124"/>
      <c r="B295" s="124"/>
      <c r="C295" s="279"/>
      <c r="D295" s="1149"/>
      <c r="E295" s="1149"/>
      <c r="F295" s="1149"/>
    </row>
    <row r="296" spans="1:6">
      <c r="A296" s="279"/>
      <c r="B296" s="279"/>
      <c r="C296" s="279"/>
      <c r="D296" s="85"/>
      <c r="E296" s="85"/>
      <c r="F296" s="85"/>
    </row>
    <row r="297" spans="1:6">
      <c r="A297" s="124"/>
      <c r="B297" s="362" t="s">
        <v>294</v>
      </c>
      <c r="C297" s="279"/>
      <c r="D297" s="1149" t="s">
        <v>375</v>
      </c>
      <c r="E297" s="1149"/>
      <c r="F297" s="1149"/>
    </row>
    <row r="298" spans="1:6">
      <c r="A298" s="279"/>
      <c r="B298" s="279"/>
      <c r="C298" s="279"/>
      <c r="D298" s="1149"/>
      <c r="E298" s="1149"/>
      <c r="F298" s="1149"/>
    </row>
    <row r="299" spans="1:6">
      <c r="A299" s="279"/>
      <c r="B299" s="279"/>
      <c r="C299" s="279"/>
      <c r="D299" s="1149"/>
      <c r="E299" s="1149"/>
      <c r="F299" s="1149"/>
    </row>
    <row r="300" spans="1:6">
      <c r="A300" s="279"/>
      <c r="B300" s="279"/>
      <c r="C300" s="279"/>
      <c r="D300" s="1149"/>
      <c r="E300" s="1149"/>
      <c r="F300" s="1149"/>
    </row>
    <row r="301" spans="1:6">
      <c r="A301" s="279"/>
      <c r="B301" s="279"/>
      <c r="C301" s="279"/>
      <c r="D301" s="1149"/>
      <c r="E301" s="1149"/>
      <c r="F301" s="1149"/>
    </row>
    <row r="302" spans="1:6">
      <c r="A302" s="279"/>
      <c r="B302" s="279"/>
      <c r="C302" s="279"/>
      <c r="D302" s="1149"/>
      <c r="E302" s="1149"/>
      <c r="F302" s="1149"/>
    </row>
    <row r="303" spans="1:6">
      <c r="A303" s="279"/>
      <c r="B303" s="279"/>
      <c r="C303" s="279"/>
      <c r="D303" s="1149"/>
      <c r="E303" s="1149"/>
      <c r="F303" s="1149"/>
    </row>
    <row r="304" spans="1:6">
      <c r="A304" s="279"/>
      <c r="B304" s="279"/>
      <c r="C304" s="279"/>
      <c r="D304" s="1149"/>
      <c r="E304" s="1149"/>
      <c r="F304" s="1149"/>
    </row>
    <row r="305" spans="1:7">
      <c r="A305" s="279"/>
      <c r="B305" s="279"/>
      <c r="C305" s="279"/>
      <c r="D305" s="1149"/>
      <c r="E305" s="1149"/>
      <c r="F305" s="1149"/>
      <c r="G305" s="3"/>
    </row>
    <row r="306" spans="1:7">
      <c r="A306" s="279"/>
      <c r="B306" s="279"/>
      <c r="C306" s="279"/>
      <c r="D306" s="85"/>
      <c r="E306" s="85"/>
      <c r="F306" s="85"/>
      <c r="G306" s="3"/>
    </row>
    <row r="307" spans="1:7">
      <c r="A307" s="124"/>
      <c r="B307" s="362" t="s">
        <v>294</v>
      </c>
      <c r="C307" s="279"/>
      <c r="D307" s="1149" t="s">
        <v>376</v>
      </c>
      <c r="E307" s="1149"/>
      <c r="F307" s="1149"/>
      <c r="G307" s="3"/>
    </row>
    <row r="308" spans="1:7">
      <c r="A308" s="279"/>
      <c r="B308" s="279"/>
      <c r="C308" s="279"/>
      <c r="D308" s="1149"/>
      <c r="E308" s="1149"/>
      <c r="F308" s="1149"/>
      <c r="G308"/>
    </row>
    <row r="309" spans="1:7">
      <c r="A309" s="279"/>
      <c r="B309" s="279"/>
      <c r="C309" s="279"/>
      <c r="D309" s="1149"/>
      <c r="E309" s="1149"/>
      <c r="F309" s="1149"/>
      <c r="G309"/>
    </row>
    <row r="310" spans="1:7">
      <c r="A310" s="279"/>
      <c r="B310" s="279"/>
      <c r="C310" s="279"/>
      <c r="D310" s="1149"/>
      <c r="E310" s="1149"/>
      <c r="F310" s="1149"/>
      <c r="G310"/>
    </row>
    <row r="311" spans="1:7">
      <c r="A311" s="279"/>
      <c r="B311" s="279"/>
      <c r="C311" s="279"/>
      <c r="D311" s="1149"/>
      <c r="E311" s="1149"/>
      <c r="F311" s="1149"/>
      <c r="G311"/>
    </row>
    <row r="312" spans="1:7">
      <c r="A312" s="279"/>
      <c r="B312" s="279"/>
      <c r="C312" s="279"/>
      <c r="D312" s="1149"/>
      <c r="E312" s="1149"/>
      <c r="F312" s="1149"/>
      <c r="G312"/>
    </row>
    <row r="313" spans="1:7">
      <c r="A313" s="279"/>
      <c r="B313" s="279"/>
      <c r="C313" s="279"/>
      <c r="D313" s="368"/>
      <c r="E313" s="368"/>
      <c r="F313" s="368"/>
      <c r="G313"/>
    </row>
    <row r="314" spans="1:7" ht="14.1" thickBot="1">
      <c r="A314" s="279"/>
      <c r="B314" s="279"/>
      <c r="C314" s="279"/>
      <c r="D314" s="1191" t="s">
        <v>377</v>
      </c>
      <c r="E314" s="1191"/>
      <c r="F314" s="1191"/>
      <c r="G314"/>
    </row>
    <row r="315" spans="1:7" ht="14.1" thickTop="1">
      <c r="A315" s="279"/>
      <c r="B315" s="279"/>
      <c r="C315" s="279"/>
      <c r="D315" s="1192" t="s">
        <v>378</v>
      </c>
      <c r="E315" s="1192"/>
      <c r="F315" s="1192"/>
      <c r="G315"/>
    </row>
    <row r="316" spans="1:7">
      <c r="A316" s="143"/>
      <c r="B316" s="143"/>
      <c r="C316" s="143"/>
      <c r="D316" s="145"/>
      <c r="E316" s="145"/>
      <c r="F316" s="85"/>
      <c r="G316"/>
    </row>
    <row r="317" spans="1:7">
      <c r="A317" s="124"/>
      <c r="B317" s="362" t="s">
        <v>294</v>
      </c>
      <c r="C317" s="143"/>
      <c r="D317" s="1193" t="s">
        <v>379</v>
      </c>
      <c r="E317" s="1193"/>
      <c r="F317" s="1193"/>
      <c r="G317"/>
    </row>
    <row r="318" spans="1:7">
      <c r="A318" s="143"/>
      <c r="B318" s="143"/>
      <c r="C318" s="143"/>
      <c r="D318" s="145"/>
      <c r="E318" s="145"/>
      <c r="F318" s="85"/>
      <c r="G318"/>
    </row>
    <row r="319" spans="1:7">
      <c r="A319" s="143"/>
      <c r="B319" s="362" t="s">
        <v>294</v>
      </c>
      <c r="C319" s="143"/>
      <c r="D319" s="1150" t="s">
        <v>380</v>
      </c>
      <c r="E319" s="1150"/>
      <c r="F319" s="1150"/>
      <c r="G319"/>
    </row>
    <row r="320" spans="1:7">
      <c r="A320" s="143"/>
      <c r="B320" s="143"/>
      <c r="C320" s="143"/>
      <c r="D320" s="1150"/>
      <c r="E320" s="1150"/>
      <c r="F320" s="1150"/>
      <c r="G320"/>
    </row>
    <row r="321" spans="1:7">
      <c r="A321" s="143"/>
      <c r="B321" s="143"/>
      <c r="C321" s="143"/>
      <c r="D321" s="1150"/>
      <c r="E321" s="1150"/>
      <c r="F321" s="1150"/>
      <c r="G321"/>
    </row>
    <row r="322" spans="1:7">
      <c r="A322" s="143"/>
      <c r="B322" s="143"/>
      <c r="C322" s="143"/>
      <c r="D322" s="1150"/>
      <c r="E322" s="1150"/>
      <c r="F322" s="1150"/>
      <c r="G322"/>
    </row>
    <row r="323" spans="1:7">
      <c r="A323" s="143"/>
      <c r="B323" s="143"/>
      <c r="C323" s="143"/>
      <c r="D323" s="1150"/>
      <c r="E323" s="1150"/>
      <c r="F323" s="1150"/>
      <c r="G323"/>
    </row>
    <row r="324" spans="1:7">
      <c r="A324" s="143"/>
      <c r="B324" s="143"/>
      <c r="C324" s="143"/>
      <c r="D324" s="1150"/>
      <c r="E324" s="1150"/>
      <c r="F324" s="1150"/>
      <c r="G324"/>
    </row>
    <row r="325" spans="1:7">
      <c r="A325" s="143"/>
      <c r="B325" s="143"/>
      <c r="C325" s="143"/>
      <c r="D325" s="1150"/>
      <c r="E325" s="1150"/>
      <c r="F325" s="1150"/>
      <c r="G325"/>
    </row>
    <row r="326" spans="1:7">
      <c r="A326" s="143"/>
      <c r="B326" s="143"/>
      <c r="C326" s="143"/>
      <c r="D326" s="1150"/>
      <c r="E326" s="1150"/>
      <c r="F326" s="1150"/>
      <c r="G326"/>
    </row>
    <row r="327" spans="1:7">
      <c r="A327" s="143"/>
      <c r="B327" s="143"/>
      <c r="C327" s="143"/>
      <c r="D327" s="1150"/>
      <c r="E327" s="1150"/>
      <c r="F327" s="1150"/>
      <c r="G327"/>
    </row>
    <row r="328" spans="1:7">
      <c r="A328" s="143"/>
      <c r="B328" s="143"/>
      <c r="C328" s="143"/>
      <c r="D328" s="1150"/>
      <c r="E328" s="1150"/>
      <c r="F328" s="1150"/>
      <c r="G328"/>
    </row>
    <row r="329" spans="1:7">
      <c r="A329" s="143"/>
      <c r="B329" s="143"/>
      <c r="C329" s="143"/>
      <c r="D329" s="1150"/>
      <c r="E329" s="1150"/>
      <c r="F329" s="1150"/>
      <c r="G329"/>
    </row>
    <row r="330" spans="1:7">
      <c r="A330" s="143"/>
      <c r="B330" s="143"/>
      <c r="C330" s="143"/>
      <c r="D330"/>
      <c r="E330" s="145"/>
      <c r="F330" s="85"/>
      <c r="G330"/>
    </row>
    <row r="331" spans="1:7">
      <c r="A331" s="124"/>
      <c r="B331" s="362" t="s">
        <v>294</v>
      </c>
      <c r="C331" s="143"/>
      <c r="D331" s="1150" t="s">
        <v>381</v>
      </c>
      <c r="E331" s="1150"/>
      <c r="F331" s="1150"/>
      <c r="G331"/>
    </row>
    <row r="332" spans="1:7">
      <c r="A332" s="143"/>
      <c r="B332" s="143"/>
      <c r="C332" s="143"/>
      <c r="D332" s="1150"/>
      <c r="E332" s="1150"/>
      <c r="F332" s="1150"/>
      <c r="G332"/>
    </row>
    <row r="333" spans="1:7">
      <c r="A333" s="143"/>
      <c r="B333" s="143"/>
      <c r="C333" s="143"/>
      <c r="D333" s="1150"/>
      <c r="E333" s="1150"/>
      <c r="F333" s="1150"/>
      <c r="G333"/>
    </row>
    <row r="334" spans="1:7">
      <c r="A334" s="143"/>
      <c r="B334" s="143"/>
      <c r="C334" s="143"/>
      <c r="D334" s="1150"/>
      <c r="E334" s="1150"/>
      <c r="F334" s="1150"/>
      <c r="G334"/>
    </row>
    <row r="335" spans="1:7">
      <c r="A335" s="143"/>
      <c r="B335" s="143"/>
      <c r="C335" s="143"/>
      <c r="D335" s="145"/>
      <c r="E335" s="145"/>
      <c r="F335" s="85"/>
      <c r="G335"/>
    </row>
    <row r="336" spans="1:7">
      <c r="A336" s="143"/>
      <c r="B336" s="143"/>
      <c r="C336" s="143"/>
      <c r="D336" s="1150" t="s">
        <v>382</v>
      </c>
      <c r="E336" s="1150"/>
      <c r="F336" s="1150"/>
      <c r="G336"/>
    </row>
    <row r="337" spans="1:7">
      <c r="A337" s="143"/>
      <c r="B337" s="143"/>
      <c r="C337" s="143"/>
      <c r="D337" s="1150"/>
      <c r="E337" s="1150"/>
      <c r="F337" s="1150"/>
      <c r="G337"/>
    </row>
    <row r="338" spans="1:7">
      <c r="A338" s="143"/>
      <c r="B338" s="143"/>
      <c r="C338" s="143"/>
      <c r="D338" s="1150"/>
      <c r="E338" s="1150"/>
      <c r="F338" s="1150"/>
      <c r="G338"/>
    </row>
    <row r="339" spans="1:7">
      <c r="A339" s="143"/>
      <c r="B339" s="143"/>
      <c r="C339" s="143"/>
      <c r="D339" s="1150"/>
      <c r="E339" s="1150"/>
      <c r="F339" s="1150"/>
      <c r="G339"/>
    </row>
    <row r="340" spans="1:7" ht="18" customHeight="1">
      <c r="A340" s="143"/>
      <c r="B340" s="143"/>
      <c r="C340" s="143"/>
      <c r="D340" s="1150"/>
      <c r="E340" s="1150"/>
      <c r="F340" s="1150"/>
      <c r="G340"/>
    </row>
    <row r="341" spans="1:7">
      <c r="A341" s="143"/>
      <c r="B341" s="143"/>
      <c r="C341" s="143"/>
      <c r="D341" s="1150"/>
      <c r="E341" s="1150"/>
      <c r="F341" s="1150"/>
      <c r="G341"/>
    </row>
    <row r="342" spans="1:7">
      <c r="A342" s="143"/>
      <c r="B342" s="143"/>
      <c r="C342" s="143"/>
      <c r="D342" s="1150"/>
      <c r="E342" s="1150"/>
      <c r="F342" s="1150"/>
      <c r="G342"/>
    </row>
    <row r="343" spans="1:7">
      <c r="A343" s="143"/>
      <c r="B343" s="143"/>
      <c r="C343" s="143"/>
      <c r="D343" s="1150"/>
      <c r="E343" s="1150"/>
      <c r="F343" s="1150"/>
      <c r="G343"/>
    </row>
    <row r="344" spans="1:7" ht="8.25" customHeight="1">
      <c r="A344" s="143"/>
      <c r="B344" s="143"/>
      <c r="C344" s="143"/>
      <c r="D344" s="1150"/>
      <c r="E344" s="1150"/>
      <c r="F344" s="1150"/>
      <c r="G344"/>
    </row>
    <row r="345" spans="1:7" ht="13.35" customHeight="1">
      <c r="A345" s="143"/>
      <c r="B345" s="143"/>
      <c r="C345" s="143"/>
      <c r="D345" s="1150" t="s">
        <v>383</v>
      </c>
      <c r="E345" s="1150"/>
      <c r="F345" s="1150"/>
      <c r="G345"/>
    </row>
    <row r="346" spans="1:7">
      <c r="A346" s="143"/>
      <c r="B346" s="143"/>
      <c r="C346" s="143"/>
      <c r="D346" s="1150"/>
      <c r="E346" s="1150"/>
      <c r="F346" s="1150"/>
      <c r="G346"/>
    </row>
    <row r="347" spans="1:7">
      <c r="A347" s="143"/>
      <c r="B347" s="143"/>
      <c r="C347" s="143"/>
      <c r="D347" s="1150"/>
      <c r="E347" s="1150"/>
      <c r="F347" s="1150"/>
      <c r="G347"/>
    </row>
    <row r="348" spans="1:7">
      <c r="A348" s="143"/>
      <c r="B348" s="143"/>
      <c r="C348" s="143"/>
      <c r="D348" s="1150"/>
      <c r="E348" s="1150"/>
      <c r="F348" s="1150"/>
      <c r="G348"/>
    </row>
    <row r="349" spans="1:7">
      <c r="A349" s="143"/>
      <c r="B349" s="143"/>
      <c r="C349" s="143"/>
      <c r="D349" s="1150"/>
      <c r="E349" s="1150"/>
      <c r="F349" s="1150"/>
      <c r="G349"/>
    </row>
    <row r="350" spans="1:7">
      <c r="A350" s="143"/>
      <c r="B350" s="143"/>
      <c r="C350" s="143"/>
      <c r="D350" s="1150"/>
      <c r="E350" s="1150"/>
      <c r="F350" s="1150"/>
      <c r="G350"/>
    </row>
    <row r="351" spans="1:7">
      <c r="A351" s="143"/>
      <c r="B351" s="143"/>
      <c r="C351" s="143"/>
      <c r="D351" s="1150"/>
      <c r="E351" s="1150"/>
      <c r="F351" s="1150"/>
      <c r="G351"/>
    </row>
    <row r="352" spans="1:7">
      <c r="A352" s="143"/>
      <c r="B352" s="143"/>
      <c r="C352" s="143"/>
      <c r="D352" s="1150"/>
      <c r="E352" s="1150"/>
      <c r="F352" s="1150"/>
      <c r="G352"/>
    </row>
    <row r="353" spans="1:7">
      <c r="A353" s="143"/>
      <c r="B353" s="143"/>
      <c r="C353" s="143"/>
      <c r="D353" s="1150"/>
      <c r="E353" s="1150"/>
      <c r="F353" s="1150"/>
      <c r="G353"/>
    </row>
    <row r="354" spans="1:7">
      <c r="A354" s="143"/>
      <c r="B354" s="143"/>
      <c r="C354" s="143"/>
      <c r="D354" s="1150"/>
      <c r="E354" s="1150"/>
      <c r="F354" s="1150"/>
      <c r="G354"/>
    </row>
    <row r="355" spans="1:7">
      <c r="A355" s="143"/>
      <c r="B355" s="143"/>
      <c r="C355" s="143"/>
      <c r="D355" s="1150"/>
      <c r="E355" s="1150"/>
      <c r="F355" s="1150"/>
      <c r="G355"/>
    </row>
    <row r="356" spans="1:7">
      <c r="A356" s="143"/>
      <c r="B356" s="143"/>
      <c r="C356" s="143"/>
      <c r="D356" s="1150"/>
      <c r="E356" s="1150"/>
      <c r="F356" s="1150"/>
      <c r="G356"/>
    </row>
    <row r="357" spans="1:7">
      <c r="A357" s="143"/>
      <c r="B357" s="143"/>
      <c r="C357" s="243"/>
      <c r="D357" s="1150"/>
      <c r="E357" s="1150"/>
      <c r="F357" s="1150"/>
      <c r="G357"/>
    </row>
    <row r="358" spans="1:7">
      <c r="A358" s="143"/>
      <c r="B358" s="143"/>
      <c r="C358" s="243"/>
      <c r="D358" s="1150"/>
      <c r="E358" s="1150"/>
      <c r="F358" s="1150"/>
      <c r="G358"/>
    </row>
    <row r="359" spans="1:7">
      <c r="A359" s="143"/>
      <c r="B359" s="143"/>
      <c r="C359" s="143"/>
      <c r="D359" s="1150"/>
      <c r="E359" s="1150"/>
      <c r="F359" s="1150"/>
      <c r="G359"/>
    </row>
    <row r="360" spans="1:7">
      <c r="A360" s="143"/>
      <c r="B360" s="143"/>
      <c r="C360" s="243"/>
      <c r="D360" s="1150"/>
      <c r="E360" s="1150"/>
      <c r="F360" s="1150"/>
      <c r="G360"/>
    </row>
    <row r="361" spans="1:7">
      <c r="A361" s="143"/>
      <c r="B361" s="143"/>
      <c r="C361" s="243"/>
      <c r="D361" s="1150"/>
      <c r="E361" s="1150"/>
      <c r="F361" s="1150"/>
      <c r="G361"/>
    </row>
    <row r="362" spans="1:7">
      <c r="A362" s="143"/>
      <c r="B362" s="143"/>
      <c r="C362" s="243"/>
      <c r="D362" s="1150"/>
      <c r="E362" s="1150"/>
      <c r="F362" s="1150"/>
      <c r="G362"/>
    </row>
    <row r="363" spans="1:7">
      <c r="A363" s="143"/>
      <c r="B363" s="143"/>
      <c r="C363" s="143"/>
      <c r="D363" s="145"/>
      <c r="E363" s="145"/>
      <c r="F363" s="85"/>
      <c r="G363"/>
    </row>
    <row r="364" spans="1:7">
      <c r="A364" s="143"/>
      <c r="B364" s="362" t="s">
        <v>294</v>
      </c>
      <c r="C364" s="143"/>
      <c r="D364" s="1150" t="s">
        <v>384</v>
      </c>
      <c r="E364" s="1150"/>
      <c r="F364" s="1150"/>
      <c r="G364"/>
    </row>
    <row r="365" spans="1:7">
      <c r="A365" s="143"/>
      <c r="B365" s="143"/>
      <c r="C365" s="143"/>
      <c r="D365" s="1150"/>
      <c r="E365" s="1150"/>
      <c r="F365" s="1150"/>
      <c r="G365"/>
    </row>
    <row r="366" spans="1:7">
      <c r="A366" s="143"/>
      <c r="B366" s="143"/>
      <c r="C366" s="143"/>
      <c r="D366" s="145"/>
      <c r="E366" s="145"/>
      <c r="F366" s="85"/>
      <c r="G366"/>
    </row>
    <row r="367" spans="1:7">
      <c r="A367" s="124"/>
      <c r="B367" s="362" t="s">
        <v>294</v>
      </c>
      <c r="C367" s="143"/>
      <c r="D367" s="1150" t="s">
        <v>385</v>
      </c>
      <c r="E367" s="1150"/>
      <c r="F367" s="1150"/>
      <c r="G367"/>
    </row>
    <row r="368" spans="1:7">
      <c r="A368" s="242"/>
      <c r="B368" s="242"/>
      <c r="C368" s="143"/>
      <c r="D368" s="1150"/>
      <c r="E368" s="1150"/>
      <c r="F368" s="1150"/>
      <c r="G368"/>
    </row>
    <row r="369" spans="1:7">
      <c r="A369" s="242"/>
      <c r="B369" s="242"/>
      <c r="C369" s="143"/>
      <c r="D369" s="1150"/>
      <c r="E369" s="1150"/>
      <c r="F369" s="1150"/>
      <c r="G369"/>
    </row>
    <row r="370" spans="1:7">
      <c r="A370" s="242"/>
      <c r="B370" s="242"/>
      <c r="C370" s="143"/>
      <c r="D370" s="1150"/>
      <c r="E370" s="1150"/>
      <c r="F370" s="1150"/>
      <c r="G370"/>
    </row>
    <row r="371" spans="1:7">
      <c r="A371" s="242"/>
      <c r="B371" s="242"/>
      <c r="C371" s="143"/>
      <c r="D371" s="1150"/>
      <c r="E371" s="1150"/>
      <c r="F371" s="1150"/>
      <c r="G371"/>
    </row>
    <row r="372" spans="1:7">
      <c r="A372" s="279"/>
      <c r="B372" s="279"/>
      <c r="C372" s="279"/>
      <c r="D372" s="85"/>
      <c r="E372" s="85"/>
      <c r="F372" s="85"/>
      <c r="G372"/>
    </row>
    <row r="373" spans="1:7">
      <c r="A373" s="124"/>
      <c r="B373" s="362" t="s">
        <v>294</v>
      </c>
      <c r="C373" s="909"/>
      <c r="D373" s="1149" t="s">
        <v>386</v>
      </c>
      <c r="E373" s="1149"/>
      <c r="F373" s="1149"/>
      <c r="G373"/>
    </row>
    <row r="374" spans="1:7">
      <c r="A374" s="124"/>
      <c r="B374" s="124"/>
      <c r="C374" s="279"/>
      <c r="D374" s="1149"/>
      <c r="E374" s="1149"/>
      <c r="F374" s="1149"/>
      <c r="G374"/>
    </row>
    <row r="375" spans="1:7">
      <c r="A375" s="279"/>
      <c r="B375" s="279"/>
      <c r="C375" s="279"/>
      <c r="D375" s="1149"/>
      <c r="E375" s="1149"/>
      <c r="F375" s="1149"/>
      <c r="G375"/>
    </row>
    <row r="376" spans="1:7">
      <c r="A376" s="279"/>
      <c r="B376" s="279"/>
      <c r="C376" s="279"/>
      <c r="D376" s="1149"/>
      <c r="E376" s="1149"/>
      <c r="F376" s="1149"/>
      <c r="G376"/>
    </row>
    <row r="377" spans="1:7">
      <c r="A377" s="279"/>
      <c r="B377" s="279"/>
      <c r="C377" s="279"/>
      <c r="D377" s="1149"/>
      <c r="E377" s="1149"/>
      <c r="F377" s="1149"/>
      <c r="G377"/>
    </row>
    <row r="378" spans="1:7">
      <c r="A378" s="279"/>
      <c r="B378" s="279"/>
      <c r="C378" s="279"/>
      <c r="D378" s="1149"/>
      <c r="E378" s="1149"/>
      <c r="F378" s="1149"/>
      <c r="G378"/>
    </row>
    <row r="379" spans="1:7">
      <c r="A379" s="279"/>
      <c r="B379" s="279"/>
      <c r="C379" s="279"/>
      <c r="D379" s="1149"/>
      <c r="E379" s="1149"/>
      <c r="F379" s="1149"/>
      <c r="G379"/>
    </row>
    <row r="380" spans="1:7">
      <c r="A380" s="279"/>
      <c r="B380" s="279"/>
      <c r="C380" s="279"/>
      <c r="D380" s="1149"/>
      <c r="E380" s="1149"/>
      <c r="F380" s="1149"/>
      <c r="G380"/>
    </row>
    <row r="381" spans="1:7">
      <c r="A381" s="279"/>
      <c r="B381" s="279"/>
      <c r="C381" s="279"/>
      <c r="D381" s="1149"/>
      <c r="E381" s="1149"/>
      <c r="F381" s="1149"/>
      <c r="G381"/>
    </row>
    <row r="382" spans="1:7">
      <c r="A382" s="279"/>
      <c r="B382" s="279"/>
      <c r="C382" s="279"/>
      <c r="D382" s="1149"/>
      <c r="E382" s="1149"/>
      <c r="F382" s="1149"/>
      <c r="G382"/>
    </row>
    <row r="383" spans="1:7">
      <c r="A383" s="279"/>
      <c r="B383" s="279"/>
      <c r="C383" s="279"/>
      <c r="D383" s="1149"/>
      <c r="E383" s="1149"/>
      <c r="F383" s="1149"/>
      <c r="G383"/>
    </row>
    <row r="384" spans="1:7">
      <c r="A384" s="279"/>
      <c r="B384" s="279"/>
      <c r="C384" s="279"/>
      <c r="D384" s="1149"/>
      <c r="E384" s="1149"/>
      <c r="F384" s="1149"/>
      <c r="G384"/>
    </row>
    <row r="385" spans="1:7">
      <c r="A385" s="279"/>
      <c r="B385" s="279"/>
      <c r="C385" s="279"/>
      <c r="D385" s="1149"/>
      <c r="E385" s="1149"/>
      <c r="F385" s="1149"/>
      <c r="G385"/>
    </row>
    <row r="386" spans="1:7">
      <c r="A386"/>
      <c r="B386"/>
      <c r="C386"/>
      <c r="D386" s="1149"/>
      <c r="E386" s="1149"/>
      <c r="F386" s="1149"/>
      <c r="G386"/>
    </row>
    <row r="387" spans="1:7">
      <c r="A387"/>
      <c r="B387"/>
      <c r="C387"/>
      <c r="D387" s="1149"/>
      <c r="E387" s="1149"/>
      <c r="F387" s="1149"/>
      <c r="G387"/>
    </row>
    <row r="388" spans="1:7">
      <c r="A388"/>
      <c r="B388"/>
      <c r="C388"/>
      <c r="D388" s="1149"/>
      <c r="E388" s="1149"/>
      <c r="F388" s="1149"/>
      <c r="G388"/>
    </row>
    <row r="389" spans="1:7">
      <c r="A389"/>
      <c r="B389"/>
      <c r="C389"/>
      <c r="D389" s="1149"/>
      <c r="E389" s="1149"/>
      <c r="F389" s="1149"/>
      <c r="G389"/>
    </row>
    <row r="390" spans="1:7">
      <c r="A390"/>
      <c r="B390"/>
      <c r="C390"/>
      <c r="D390" s="1149"/>
      <c r="E390" s="1149"/>
      <c r="F390" s="1149"/>
      <c r="G390"/>
    </row>
    <row r="391" spans="1:7">
      <c r="A391"/>
      <c r="B391"/>
      <c r="C391"/>
      <c r="D391" s="1149"/>
      <c r="E391" s="1149"/>
      <c r="F391" s="1149"/>
      <c r="G391"/>
    </row>
    <row r="392" spans="1:7">
      <c r="A392"/>
      <c r="B392"/>
      <c r="C392"/>
      <c r="D392" s="1149"/>
      <c r="E392" s="1149"/>
      <c r="F392" s="1149"/>
      <c r="G392"/>
    </row>
    <row r="393" spans="1:7">
      <c r="A393"/>
      <c r="B393"/>
      <c r="C393"/>
      <c r="D393" s="1149"/>
      <c r="E393" s="1149"/>
      <c r="F393" s="1149"/>
      <c r="G393"/>
    </row>
    <row r="394" spans="1:7">
      <c r="A394"/>
      <c r="B394"/>
      <c r="C394"/>
      <c r="D394" s="1149"/>
      <c r="E394" s="1149"/>
      <c r="F394" s="1149"/>
      <c r="G394"/>
    </row>
    <row r="395" spans="1:7">
      <c r="A395"/>
      <c r="B395"/>
      <c r="C395"/>
      <c r="D395" s="1149"/>
      <c r="E395" s="1149"/>
      <c r="F395" s="1149"/>
      <c r="G395"/>
    </row>
    <row r="396" spans="1:7">
      <c r="A396"/>
      <c r="B396"/>
      <c r="C396"/>
      <c r="D396" s="1149"/>
      <c r="E396" s="1149"/>
      <c r="F396" s="1149"/>
      <c r="G396"/>
    </row>
    <row r="397" spans="1:7">
      <c r="A397"/>
      <c r="B397"/>
      <c r="C397"/>
      <c r="D397" s="1149"/>
      <c r="E397" s="1149"/>
      <c r="F397" s="1149"/>
      <c r="G397"/>
    </row>
    <row r="398" spans="1:7">
      <c r="A398"/>
      <c r="B398"/>
      <c r="C398"/>
      <c r="D398" s="1149"/>
      <c r="E398" s="1149"/>
      <c r="F398" s="1149"/>
      <c r="G398"/>
    </row>
    <row r="399" spans="1:7">
      <c r="A399"/>
      <c r="B399"/>
      <c r="C399"/>
      <c r="D399" s="1149"/>
      <c r="E399" s="1149"/>
      <c r="F399" s="1149"/>
      <c r="G399"/>
    </row>
    <row r="400" spans="1:7">
      <c r="A400"/>
      <c r="B400"/>
      <c r="C400"/>
      <c r="D400" s="1149"/>
      <c r="E400" s="1149"/>
      <c r="F400" s="1149"/>
      <c r="G400"/>
    </row>
    <row r="401" spans="1:7">
      <c r="A401"/>
      <c r="B401"/>
      <c r="C401"/>
      <c r="D401" s="1149"/>
      <c r="E401" s="1149"/>
      <c r="F401" s="1149"/>
      <c r="G401"/>
    </row>
    <row r="402" spans="1:7">
      <c r="A402" s="279"/>
      <c r="B402" s="279"/>
      <c r="C402" s="279"/>
      <c r="D402" s="1149"/>
      <c r="E402" s="1149"/>
      <c r="F402" s="1149"/>
      <c r="G402" s="3"/>
    </row>
    <row r="403" spans="1:7" ht="40.700000000000003" customHeight="1">
      <c r="A403" s="279"/>
      <c r="B403" s="279"/>
      <c r="C403" s="279"/>
      <c r="D403" s="1149"/>
      <c r="E403" s="1149"/>
      <c r="F403" s="1149"/>
      <c r="G403" s="3"/>
    </row>
    <row r="404" spans="1:7">
      <c r="A404" s="279"/>
      <c r="B404" s="279"/>
      <c r="C404" s="279"/>
      <c r="D404" s="85"/>
      <c r="E404" s="85"/>
      <c r="F404" s="85"/>
      <c r="G404" s="3"/>
    </row>
    <row r="405" spans="1:7">
      <c r="A405" s="124"/>
      <c r="B405" s="362" t="s">
        <v>294</v>
      </c>
      <c r="C405" s="909"/>
      <c r="D405" s="1166" t="s">
        <v>387</v>
      </c>
      <c r="E405" s="1166"/>
      <c r="F405" s="1166"/>
      <c r="G405" s="3"/>
    </row>
    <row r="406" spans="1:7">
      <c r="A406" s="279"/>
      <c r="B406" s="279"/>
      <c r="C406" s="279"/>
      <c r="D406" s="1190" t="s">
        <v>388</v>
      </c>
      <c r="E406" s="1190"/>
      <c r="F406" s="1190"/>
      <c r="G406" s="3"/>
    </row>
    <row r="407" spans="1:7">
      <c r="A407" s="279"/>
      <c r="B407" s="279"/>
      <c r="C407" s="279"/>
      <c r="D407" s="1149" t="s">
        <v>389</v>
      </c>
      <c r="E407" s="1149"/>
      <c r="F407" s="1149"/>
      <c r="G407" s="3"/>
    </row>
    <row r="408" spans="1:7">
      <c r="A408" s="279"/>
      <c r="B408" s="279"/>
      <c r="C408" s="279"/>
      <c r="D408" s="1149"/>
      <c r="E408" s="1149"/>
      <c r="F408" s="1149"/>
      <c r="G408" s="3"/>
    </row>
    <row r="409" spans="1:7">
      <c r="A409" s="279"/>
      <c r="B409" s="279"/>
      <c r="C409" s="279"/>
      <c r="D409" s="1149"/>
      <c r="E409" s="1149"/>
      <c r="F409" s="1149"/>
      <c r="G409" s="3"/>
    </row>
    <row r="410" spans="1:7">
      <c r="A410" s="279"/>
      <c r="B410" s="279"/>
      <c r="C410" s="279"/>
      <c r="D410" s="1149"/>
      <c r="E410" s="1149"/>
      <c r="F410" s="1149"/>
      <c r="G410" s="3"/>
    </row>
    <row r="411" spans="1:7">
      <c r="A411" s="279"/>
      <c r="B411" s="279"/>
      <c r="C411" s="279"/>
      <c r="D411" s="85"/>
      <c r="E411" s="85"/>
      <c r="F411" s="85"/>
      <c r="G411"/>
    </row>
    <row r="412" spans="1:7">
      <c r="A412" s="124"/>
      <c r="B412" s="362" t="s">
        <v>294</v>
      </c>
      <c r="C412" s="909"/>
      <c r="D412" s="1149" t="s">
        <v>390</v>
      </c>
      <c r="E412" s="1149"/>
      <c r="F412" s="1149"/>
      <c r="G412"/>
    </row>
    <row r="413" spans="1:7">
      <c r="A413" s="279"/>
      <c r="B413" s="279"/>
      <c r="C413" s="279"/>
      <c r="D413" s="1149"/>
      <c r="E413" s="1149"/>
      <c r="F413" s="1149"/>
      <c r="G413"/>
    </row>
    <row r="414" spans="1:7">
      <c r="A414" s="279"/>
      <c r="B414" s="279"/>
      <c r="C414" s="279"/>
      <c r="D414" s="1149"/>
      <c r="E414" s="1149"/>
      <c r="F414" s="1149"/>
      <c r="G414"/>
    </row>
    <row r="415" spans="1:7">
      <c r="A415" s="279"/>
      <c r="B415" s="279"/>
      <c r="C415" s="279"/>
      <c r="D415" s="368"/>
      <c r="E415" s="368"/>
      <c r="F415" s="368"/>
      <c r="G415"/>
    </row>
    <row r="416" spans="1:7">
      <c r="A416" s="279"/>
      <c r="B416" s="362" t="s">
        <v>294</v>
      </c>
      <c r="C416" s="124"/>
      <c r="D416" s="1149" t="s">
        <v>391</v>
      </c>
      <c r="E416" s="1149"/>
      <c r="F416" s="1149"/>
      <c r="G416"/>
    </row>
    <row r="417" spans="1:7">
      <c r="A417" s="279"/>
      <c r="B417" s="279"/>
      <c r="C417" s="279"/>
      <c r="D417" s="1149"/>
      <c r="E417" s="1149"/>
      <c r="F417" s="1149"/>
      <c r="G417"/>
    </row>
    <row r="418" spans="1:7">
      <c r="A418" s="279"/>
      <c r="B418" s="279"/>
      <c r="C418" s="279"/>
      <c r="D418" s="85"/>
      <c r="E418" s="85"/>
      <c r="F418" s="85"/>
      <c r="G418"/>
    </row>
    <row r="419" spans="1:7">
      <c r="A419" s="279"/>
      <c r="B419" s="362" t="s">
        <v>294</v>
      </c>
      <c r="C419" s="124"/>
      <c r="D419" s="1149" t="s">
        <v>392</v>
      </c>
      <c r="E419" s="1149"/>
      <c r="F419" s="1149"/>
      <c r="G419"/>
    </row>
    <row r="420" spans="1:7">
      <c r="A420" s="279"/>
      <c r="B420" s="279"/>
      <c r="C420" s="279"/>
      <c r="D420" s="1149"/>
      <c r="E420" s="1149"/>
      <c r="F420" s="1149"/>
      <c r="G420"/>
    </row>
    <row r="421" spans="1:7">
      <c r="A421" s="279"/>
      <c r="B421" s="279"/>
      <c r="C421" s="279"/>
      <c r="D421" s="1149"/>
      <c r="E421" s="1149"/>
      <c r="F421" s="1149"/>
      <c r="G421"/>
    </row>
    <row r="422" spans="1:7">
      <c r="A422" s="279"/>
      <c r="B422" s="279"/>
      <c r="C422" s="279"/>
      <c r="D422" s="1149"/>
      <c r="E422" s="1149"/>
      <c r="F422" s="1149"/>
      <c r="G422"/>
    </row>
    <row r="423" spans="1:7">
      <c r="A423" s="279"/>
      <c r="B423" s="362" t="s">
        <v>294</v>
      </c>
      <c r="C423" s="279"/>
      <c r="D423" s="1149"/>
      <c r="E423" s="1149"/>
      <c r="F423" s="1149"/>
      <c r="G423"/>
    </row>
    <row r="424" spans="1:7">
      <c r="A424"/>
      <c r="B424"/>
      <c r="C424"/>
      <c r="D424" s="1149"/>
      <c r="E424" s="1149"/>
      <c r="F424" s="1149"/>
      <c r="G424"/>
    </row>
    <row r="425" spans="1:7">
      <c r="A425"/>
      <c r="B425" s="279"/>
      <c r="C425"/>
      <c r="D425" s="1149"/>
      <c r="E425" s="1149"/>
      <c r="F425" s="1149"/>
      <c r="G425"/>
    </row>
    <row r="426" spans="1:7">
      <c r="A426"/>
      <c r="B426" s="362" t="s">
        <v>294</v>
      </c>
      <c r="C426"/>
      <c r="D426" s="1149"/>
      <c r="E426" s="1149"/>
      <c r="F426" s="1149"/>
      <c r="G426"/>
    </row>
    <row r="427" spans="1:7">
      <c r="A427"/>
      <c r="B427"/>
      <c r="C427"/>
      <c r="D427" s="1149"/>
      <c r="E427" s="1149"/>
      <c r="F427" s="1149"/>
      <c r="G427"/>
    </row>
    <row r="428" spans="1:7">
      <c r="A428"/>
      <c r="B428" s="279"/>
      <c r="C428"/>
      <c r="D428" s="1149"/>
      <c r="E428" s="1149"/>
      <c r="F428" s="1149"/>
      <c r="G428"/>
    </row>
    <row r="429" spans="1:7">
      <c r="A429"/>
      <c r="B429" s="279"/>
      <c r="C429"/>
      <c r="D429" s="1149"/>
      <c r="E429" s="1149"/>
      <c r="F429" s="1149"/>
      <c r="G429"/>
    </row>
    <row r="430" spans="1:7">
      <c r="A430"/>
      <c r="B430" s="362" t="s">
        <v>294</v>
      </c>
      <c r="C430"/>
      <c r="D430" s="1149"/>
      <c r="E430" s="1149"/>
      <c r="F430" s="1149"/>
      <c r="G430"/>
    </row>
    <row r="431" spans="1:7">
      <c r="A431"/>
      <c r="B431"/>
      <c r="C431"/>
      <c r="D431" s="1149"/>
      <c r="E431" s="1149"/>
      <c r="F431" s="1149"/>
      <c r="G431"/>
    </row>
    <row r="432" spans="1:7">
      <c r="A432"/>
      <c r="B432" s="362" t="s">
        <v>294</v>
      </c>
      <c r="C432"/>
      <c r="D432" s="1149"/>
      <c r="E432" s="1149"/>
      <c r="F432" s="1149"/>
      <c r="G432"/>
    </row>
    <row r="433" spans="1:7">
      <c r="A433"/>
      <c r="B433"/>
      <c r="C433"/>
      <c r="D433" s="368"/>
      <c r="E433" s="368"/>
      <c r="F433" s="368"/>
      <c r="G433"/>
    </row>
    <row r="434" spans="1:7">
      <c r="A434"/>
      <c r="B434" s="362" t="s">
        <v>294</v>
      </c>
      <c r="C434"/>
      <c r="D434" s="1149" t="s">
        <v>393</v>
      </c>
      <c r="E434" s="1149"/>
      <c r="F434" s="1149"/>
      <c r="G434"/>
    </row>
    <row r="435" spans="1:7">
      <c r="A435"/>
      <c r="B435"/>
      <c r="C435"/>
      <c r="D435" s="1149"/>
      <c r="E435" s="1149"/>
      <c r="F435" s="1149"/>
      <c r="G435"/>
    </row>
    <row r="436" spans="1:7">
      <c r="A436"/>
      <c r="B436"/>
      <c r="C436"/>
      <c r="D436" s="1149"/>
      <c r="E436" s="1149"/>
      <c r="F436" s="1149"/>
      <c r="G436"/>
    </row>
    <row r="437" spans="1:7">
      <c r="A437"/>
      <c r="B437"/>
      <c r="C437"/>
      <c r="D437" s="1149"/>
      <c r="E437" s="1149"/>
      <c r="F437" s="1149"/>
      <c r="G437"/>
    </row>
    <row r="438" spans="1:7">
      <c r="A438" s="279"/>
      <c r="B438" s="279"/>
      <c r="C438" s="279"/>
      <c r="D438" s="1149"/>
      <c r="E438" s="1149"/>
      <c r="F438" s="1149"/>
      <c r="G438" s="3"/>
    </row>
    <row r="439" spans="1:7">
      <c r="A439" s="279"/>
      <c r="B439" s="279"/>
      <c r="C439" s="279"/>
      <c r="D439" s="85"/>
      <c r="E439" s="85"/>
      <c r="F439" s="85"/>
      <c r="G439" s="3"/>
    </row>
    <row r="440" spans="1:7">
      <c r="A440" s="279"/>
      <c r="B440" s="362" t="s">
        <v>294</v>
      </c>
      <c r="C440" s="279"/>
      <c r="D440" s="1166" t="s">
        <v>394</v>
      </c>
      <c r="E440" s="1166"/>
      <c r="F440" s="1166"/>
      <c r="G440" s="3"/>
    </row>
    <row r="441" spans="1:7">
      <c r="A441" s="85"/>
      <c r="B441" s="85"/>
      <c r="C441" s="279"/>
      <c r="D441" s="3"/>
      <c r="E441" s="3"/>
      <c r="F441" s="3"/>
      <c r="G441" s="3"/>
    </row>
    <row r="442" spans="1:7">
      <c r="A442" s="1167" t="s">
        <v>395</v>
      </c>
      <c r="B442" s="1167"/>
      <c r="C442" s="1167"/>
      <c r="D442" s="1167"/>
      <c r="E442" s="1167"/>
      <c r="F442" s="1167"/>
      <c r="G442" s="1167"/>
    </row>
    <row r="443" spans="1:7">
      <c r="A443" s="85"/>
      <c r="B443" s="85"/>
      <c r="C443" s="279"/>
      <c r="D443" s="3"/>
      <c r="E443" s="3"/>
      <c r="F443" s="3"/>
      <c r="G443" s="3"/>
    </row>
    <row r="444" spans="1:7">
      <c r="A444" s="279"/>
      <c r="B444" s="279"/>
      <c r="C444" s="279"/>
      <c r="D444" s="1196" t="s">
        <v>396</v>
      </c>
      <c r="E444" s="1196"/>
      <c r="F444" s="1196"/>
      <c r="G444" s="3"/>
    </row>
    <row r="445" spans="1:7">
      <c r="A445" s="124"/>
      <c r="B445" s="124"/>
      <c r="C445" s="279"/>
      <c r="D445" s="1193" t="s">
        <v>397</v>
      </c>
      <c r="E445" s="1193"/>
      <c r="F445" s="1193"/>
      <c r="G445" s="3"/>
    </row>
    <row r="446" spans="1:7">
      <c r="A446" s="124"/>
      <c r="B446" s="124"/>
      <c r="C446" s="279"/>
      <c r="D446" s="374"/>
      <c r="E446" s="3"/>
      <c r="F446" s="3"/>
      <c r="G446" s="3"/>
    </row>
    <row r="447" spans="1:7">
      <c r="A447" s="124"/>
      <c r="B447" s="362" t="s">
        <v>294</v>
      </c>
      <c r="C447" s="279"/>
      <c r="D447" s="1150" t="s">
        <v>398</v>
      </c>
      <c r="E447" s="1150"/>
      <c r="F447" s="1150"/>
      <c r="G447" s="3"/>
    </row>
    <row r="448" spans="1:7">
      <c r="A448" s="124"/>
      <c r="B448" s="124"/>
      <c r="C448" s="279"/>
      <c r="D448" s="1150"/>
      <c r="E448" s="1150"/>
      <c r="F448" s="1150"/>
      <c r="G448" s="3"/>
    </row>
    <row r="449" spans="1:7">
      <c r="A449" s="124"/>
      <c r="B449" s="124"/>
      <c r="C449" s="279"/>
      <c r="D449" s="85"/>
      <c r="E449" s="3"/>
      <c r="F449" s="3"/>
      <c r="G449" s="3"/>
    </row>
    <row r="450" spans="1:7">
      <c r="A450" s="279"/>
      <c r="B450" s="362" t="s">
        <v>294</v>
      </c>
      <c r="C450" s="279"/>
      <c r="D450" s="1182" t="s">
        <v>399</v>
      </c>
      <c r="E450" s="1182"/>
      <c r="F450" s="1182"/>
      <c r="G450" s="3"/>
    </row>
    <row r="451" spans="1:7">
      <c r="A451" s="124"/>
      <c r="B451" s="279"/>
      <c r="C451" s="279"/>
      <c r="D451" s="1182"/>
      <c r="E451" s="1182"/>
      <c r="F451" s="1182"/>
      <c r="G451" s="3"/>
    </row>
    <row r="452" spans="1:7">
      <c r="A452" s="124"/>
      <c r="B452" s="124"/>
      <c r="C452" s="279"/>
      <c r="D452" s="1182"/>
      <c r="E452" s="1182"/>
      <c r="F452" s="1182"/>
      <c r="G452" s="3"/>
    </row>
    <row r="453" spans="1:7">
      <c r="A453" s="124"/>
      <c r="B453" s="124"/>
      <c r="C453" s="279"/>
      <c r="D453" s="1182"/>
      <c r="E453" s="1182"/>
      <c r="F453" s="1182"/>
      <c r="G453" s="3"/>
    </row>
    <row r="454" spans="1:7">
      <c r="A454" s="279"/>
      <c r="B454" s="279"/>
      <c r="C454" s="279"/>
      <c r="D454" s="3"/>
      <c r="E454" s="3"/>
      <c r="F454" s="3"/>
      <c r="G454"/>
    </row>
    <row r="455" spans="1:7">
      <c r="A455" s="124"/>
      <c r="B455" s="362" t="s">
        <v>294</v>
      </c>
      <c r="C455" s="279"/>
      <c r="D455" s="1149" t="s">
        <v>400</v>
      </c>
      <c r="E455" s="1149"/>
      <c r="F455" s="1149"/>
      <c r="G455"/>
    </row>
    <row r="456" spans="1:7">
      <c r="A456" s="124"/>
      <c r="B456" s="124"/>
      <c r="C456" s="279"/>
      <c r="D456" s="1149"/>
      <c r="E456" s="1149"/>
      <c r="F456" s="1149"/>
      <c r="G456"/>
    </row>
    <row r="457" spans="1:7">
      <c r="A457" s="124"/>
      <c r="B457" s="279"/>
      <c r="C457" s="279"/>
      <c r="D457" s="1149"/>
      <c r="E457" s="1149"/>
      <c r="F457" s="1149"/>
      <c r="G457"/>
    </row>
    <row r="458" spans="1:7">
      <c r="A458" s="124"/>
      <c r="B458" s="124"/>
      <c r="C458" s="279"/>
      <c r="D458" s="3"/>
      <c r="E458" s="3"/>
      <c r="F458" s="3"/>
      <c r="G458"/>
    </row>
    <row r="459" spans="1:7">
      <c r="A459" s="124"/>
      <c r="B459" s="362" t="s">
        <v>294</v>
      </c>
      <c r="C459" s="279"/>
      <c r="D459" s="1166" t="s">
        <v>401</v>
      </c>
      <c r="E459" s="1166"/>
      <c r="F459" s="1166"/>
      <c r="G459"/>
    </row>
    <row r="460" spans="1:7">
      <c r="A460" s="124"/>
      <c r="B460" s="124"/>
      <c r="C460" s="279"/>
      <c r="D460" s="85"/>
      <c r="E460" s="3"/>
      <c r="F460" s="3"/>
      <c r="G460"/>
    </row>
    <row r="461" spans="1:7">
      <c r="A461" s="124"/>
      <c r="B461" s="362" t="s">
        <v>294</v>
      </c>
      <c r="C461" s="279"/>
      <c r="D461" s="1149" t="s">
        <v>402</v>
      </c>
      <c r="E461" s="1149"/>
      <c r="F461" s="1149"/>
      <c r="G461"/>
    </row>
    <row r="462" spans="1:7">
      <c r="A462" s="124"/>
      <c r="B462" s="279"/>
      <c r="C462" s="279"/>
      <c r="D462" s="1149"/>
      <c r="E462" s="1149"/>
      <c r="F462" s="1149"/>
      <c r="G462"/>
    </row>
    <row r="463" spans="1:7">
      <c r="A463" s="13"/>
      <c r="B463" s="13"/>
      <c r="C463" s="279"/>
      <c r="D463" s="374"/>
      <c r="E463" s="3"/>
      <c r="F463" s="3"/>
      <c r="G463"/>
    </row>
    <row r="464" spans="1:7">
      <c r="A464" s="13"/>
      <c r="B464" s="362" t="s">
        <v>294</v>
      </c>
      <c r="C464" s="279"/>
      <c r="D464" s="1166" t="s">
        <v>403</v>
      </c>
      <c r="E464" s="1166"/>
      <c r="F464" s="1166"/>
      <c r="G464"/>
    </row>
    <row r="465" spans="1:7">
      <c r="A465" s="124"/>
      <c r="B465" s="124"/>
      <c r="C465" s="279"/>
      <c r="D465" s="85"/>
      <c r="E465" s="3"/>
      <c r="F465" s="3"/>
      <c r="G465" s="3"/>
    </row>
    <row r="466" spans="1:7">
      <c r="A466" s="1167" t="s">
        <v>404</v>
      </c>
      <c r="B466" s="1167"/>
      <c r="C466" s="1167"/>
      <c r="D466" s="1167"/>
      <c r="E466" s="1167"/>
      <c r="F466" s="1167"/>
      <c r="G466" s="1167"/>
    </row>
    <row r="467" spans="1:7" ht="12" customHeight="1">
      <c r="A467" s="124"/>
      <c r="B467" s="124"/>
      <c r="C467" s="279"/>
      <c r="D467" s="85"/>
      <c r="E467" s="3"/>
      <c r="F467" s="3"/>
      <c r="G467" s="3"/>
    </row>
    <row r="468" spans="1:7">
      <c r="A468" s="279"/>
      <c r="B468" s="279"/>
      <c r="C468" s="120"/>
      <c r="D468" s="1165" t="s">
        <v>405</v>
      </c>
      <c r="E468" s="1165"/>
      <c r="F468" s="1165"/>
      <c r="G468" s="3"/>
    </row>
    <row r="469" spans="1:7" ht="13.35" customHeight="1">
      <c r="A469" s="123"/>
      <c r="B469" s="123"/>
      <c r="C469" s="123"/>
      <c r="D469" s="1197" t="s">
        <v>406</v>
      </c>
      <c r="E469" s="1197"/>
      <c r="F469" s="1197"/>
      <c r="G469" s="3"/>
    </row>
    <row r="470" spans="1:7">
      <c r="A470" s="123"/>
      <c r="B470" s="123"/>
      <c r="C470" s="123"/>
      <c r="D470" s="1197"/>
      <c r="E470" s="1197"/>
      <c r="F470" s="1197"/>
      <c r="G470" s="3"/>
    </row>
    <row r="471" spans="1:7">
      <c r="A471" s="123"/>
      <c r="B471" s="123"/>
      <c r="C471" s="123"/>
      <c r="D471" s="1197"/>
      <c r="E471" s="1197"/>
      <c r="F471" s="1197"/>
      <c r="G471" s="3"/>
    </row>
    <row r="472" spans="1:7">
      <c r="A472" s="123"/>
      <c r="B472" s="123"/>
      <c r="C472" s="123"/>
      <c r="D472" s="1197"/>
      <c r="E472" s="1197"/>
      <c r="F472" s="1197"/>
      <c r="G472" s="3"/>
    </row>
    <row r="473" spans="1:7">
      <c r="A473" s="123"/>
      <c r="B473" s="123"/>
      <c r="C473" s="123"/>
      <c r="D473" s="1197"/>
      <c r="E473" s="1197"/>
      <c r="F473" s="1197"/>
      <c r="G473" s="3"/>
    </row>
    <row r="474" spans="1:7">
      <c r="A474" s="123"/>
      <c r="B474" s="123"/>
      <c r="C474" s="123"/>
      <c r="D474" s="225"/>
      <c r="E474" s="3"/>
      <c r="F474" s="85"/>
      <c r="G474" s="3"/>
    </row>
    <row r="475" spans="1:7" ht="14.45" customHeight="1">
      <c r="A475" s="124"/>
      <c r="B475" s="362" t="s">
        <v>294</v>
      </c>
      <c r="C475" s="123"/>
      <c r="D475" s="1181" t="s">
        <v>407</v>
      </c>
      <c r="E475" s="1181"/>
      <c r="F475" s="1181"/>
      <c r="G475" s="3"/>
    </row>
    <row r="476" spans="1:7">
      <c r="A476" s="123"/>
      <c r="B476" s="123"/>
      <c r="C476" s="123"/>
      <c r="D476" s="1181"/>
      <c r="E476" s="1181"/>
      <c r="F476" s="1181"/>
      <c r="G476" s="3"/>
    </row>
    <row r="477" spans="1:7">
      <c r="A477" s="123"/>
      <c r="B477" s="123"/>
      <c r="C477" s="123"/>
      <c r="D477" s="1181"/>
      <c r="E477" s="1181"/>
      <c r="F477" s="1181"/>
      <c r="G477" s="3"/>
    </row>
    <row r="478" spans="1:7">
      <c r="A478" s="123"/>
      <c r="B478" s="123"/>
      <c r="C478" s="123"/>
      <c r="D478" s="1181"/>
      <c r="E478" s="1181"/>
      <c r="F478" s="1181"/>
      <c r="G478" s="3"/>
    </row>
    <row r="479" spans="1:7">
      <c r="A479" s="123"/>
      <c r="B479" s="123"/>
      <c r="C479" s="123"/>
      <c r="D479" s="1181"/>
      <c r="E479" s="1181"/>
      <c r="F479" s="1181"/>
      <c r="G479" s="3"/>
    </row>
    <row r="480" spans="1:7">
      <c r="A480" s="123"/>
      <c r="B480" s="123"/>
      <c r="C480" s="123"/>
      <c r="D480" s="145"/>
      <c r="E480" s="3"/>
      <c r="F480" s="85"/>
      <c r="G480" s="3"/>
    </row>
    <row r="481" spans="1:6" ht="14.45" customHeight="1">
      <c r="A481" s="124"/>
      <c r="B481" s="362" t="s">
        <v>294</v>
      </c>
      <c r="C481" s="123"/>
      <c r="D481" s="1181" t="s">
        <v>408</v>
      </c>
      <c r="E481" s="1181"/>
      <c r="F481" s="1181"/>
    </row>
    <row r="482" spans="1:6">
      <c r="A482" s="123"/>
      <c r="B482" s="123"/>
      <c r="C482" s="123"/>
      <c r="D482" s="1181"/>
      <c r="E482" s="1181"/>
      <c r="F482" s="1181"/>
    </row>
    <row r="483" spans="1:6">
      <c r="A483" s="123"/>
      <c r="B483" s="123"/>
      <c r="C483" s="123"/>
      <c r="D483" s="1181"/>
      <c r="E483" s="1181"/>
      <c r="F483" s="1181"/>
    </row>
    <row r="484" spans="1:6">
      <c r="A484" s="123"/>
      <c r="B484" s="123"/>
      <c r="C484" s="123"/>
      <c r="D484" s="1181"/>
      <c r="E484" s="1181"/>
      <c r="F484" s="1181"/>
    </row>
    <row r="485" spans="1:6" ht="9.9499999999999993" customHeight="1">
      <c r="A485" s="123"/>
      <c r="B485" s="123"/>
      <c r="C485" s="123"/>
      <c r="D485" s="145"/>
      <c r="E485" s="3"/>
      <c r="F485" s="85"/>
    </row>
    <row r="486" spans="1:6" ht="14.45" customHeight="1">
      <c r="A486" s="124"/>
      <c r="B486" s="362" t="s">
        <v>294</v>
      </c>
      <c r="C486" s="123"/>
      <c r="D486" s="1181" t="s">
        <v>409</v>
      </c>
      <c r="E486" s="1181"/>
      <c r="F486" s="1181"/>
    </row>
    <row r="487" spans="1:6">
      <c r="A487" s="123"/>
      <c r="B487" s="123"/>
      <c r="C487" s="123"/>
      <c r="D487" s="1181"/>
      <c r="E487" s="1181"/>
      <c r="F487" s="1181"/>
    </row>
    <row r="488" spans="1:6">
      <c r="A488" s="123"/>
      <c r="B488" s="123"/>
      <c r="C488" s="123"/>
      <c r="D488" s="1181"/>
      <c r="E488" s="1181"/>
      <c r="F488" s="1181"/>
    </row>
    <row r="489" spans="1:6">
      <c r="A489" s="123"/>
      <c r="B489" s="123"/>
      <c r="C489" s="123"/>
      <c r="D489" s="369"/>
      <c r="E489" s="369"/>
      <c r="F489" s="369"/>
    </row>
    <row r="490" spans="1:6" ht="14.45" customHeight="1">
      <c r="A490" s="124"/>
      <c r="B490" s="362" t="s">
        <v>294</v>
      </c>
      <c r="C490" s="123"/>
      <c r="D490" s="1181" t="s">
        <v>410</v>
      </c>
      <c r="E490" s="1181"/>
      <c r="F490" s="1181"/>
    </row>
    <row r="491" spans="1:6">
      <c r="A491" s="123"/>
      <c r="B491" s="123"/>
      <c r="C491" s="123"/>
      <c r="D491" s="1181"/>
      <c r="E491" s="1181"/>
      <c r="F491" s="1181"/>
    </row>
    <row r="492" spans="1:6">
      <c r="A492" s="123"/>
      <c r="B492" s="123"/>
      <c r="C492" s="123"/>
      <c r="D492" s="1181"/>
      <c r="E492" s="1181"/>
      <c r="F492" s="1181"/>
    </row>
    <row r="493" spans="1:6">
      <c r="A493" s="123"/>
      <c r="B493" s="123"/>
      <c r="C493" s="123"/>
      <c r="D493" s="1181"/>
      <c r="E493" s="1181"/>
      <c r="F493" s="1181"/>
    </row>
    <row r="494" spans="1:6">
      <c r="A494" s="123"/>
      <c r="B494" s="123"/>
      <c r="C494" s="123"/>
      <c r="D494" s="1181"/>
      <c r="E494" s="1181"/>
      <c r="F494" s="1181"/>
    </row>
    <row r="495" spans="1:6">
      <c r="A495" s="123"/>
      <c r="B495" s="123"/>
      <c r="C495" s="123"/>
      <c r="D495" s="1181"/>
      <c r="E495" s="1181"/>
      <c r="F495" s="1181"/>
    </row>
    <row r="496" spans="1:6">
      <c r="A496" s="123"/>
      <c r="B496" s="123"/>
      <c r="C496" s="123"/>
      <c r="D496" s="1181"/>
      <c r="E496" s="1181"/>
      <c r="F496" s="1181"/>
    </row>
    <row r="497" spans="1:7">
      <c r="A497" s="123"/>
      <c r="B497" s="123"/>
      <c r="C497" s="123"/>
      <c r="D497" s="1181"/>
      <c r="E497" s="1181"/>
      <c r="F497" s="1181"/>
      <c r="G497" s="3"/>
    </row>
    <row r="498" spans="1:7">
      <c r="A498" s="123"/>
      <c r="B498" s="123"/>
      <c r="C498" s="123"/>
      <c r="D498" s="1181"/>
      <c r="E498" s="1181"/>
      <c r="F498" s="1181"/>
      <c r="G498" s="3"/>
    </row>
    <row r="499" spans="1:7">
      <c r="A499" s="123"/>
      <c r="B499" s="123"/>
      <c r="C499" s="123"/>
      <c r="D499" s="145"/>
      <c r="E499" s="3"/>
      <c r="F499" s="85"/>
      <c r="G499" s="3"/>
    </row>
    <row r="500" spans="1:7" ht="13.35" customHeight="1">
      <c r="A500" s="123"/>
      <c r="B500" s="362" t="s">
        <v>294</v>
      </c>
      <c r="C500" s="123"/>
      <c r="D500" s="1150" t="s">
        <v>411</v>
      </c>
      <c r="E500" s="1150"/>
      <c r="F500" s="1150"/>
      <c r="G500" s="3"/>
    </row>
    <row r="501" spans="1:7">
      <c r="A501" s="123"/>
      <c r="B501" s="123"/>
      <c r="C501" s="123"/>
      <c r="D501" s="1150"/>
      <c r="E501" s="1150"/>
      <c r="F501" s="1150"/>
      <c r="G501" s="3"/>
    </row>
    <row r="502" spans="1:7">
      <c r="A502" s="123"/>
      <c r="B502" s="123"/>
      <c r="C502" s="123"/>
      <c r="D502" s="1150"/>
      <c r="E502" s="1150"/>
      <c r="F502" s="1150"/>
      <c r="G502" s="3"/>
    </row>
    <row r="503" spans="1:7">
      <c r="A503" s="123"/>
      <c r="B503" s="123"/>
      <c r="C503" s="123"/>
      <c r="D503" s="1150"/>
      <c r="E503" s="1150"/>
      <c r="F503" s="1150"/>
      <c r="G503" s="3"/>
    </row>
    <row r="504" spans="1:7">
      <c r="A504" s="123"/>
      <c r="B504" s="123"/>
      <c r="C504" s="123"/>
      <c r="D504" s="1150"/>
      <c r="E504" s="1150"/>
      <c r="F504" s="1150"/>
      <c r="G504" s="3"/>
    </row>
    <row r="505" spans="1:7">
      <c r="A505" s="123"/>
      <c r="B505" s="123"/>
      <c r="C505" s="123"/>
      <c r="D505" s="378"/>
      <c r="E505" s="378"/>
      <c r="F505" s="378"/>
      <c r="G505" s="3"/>
    </row>
    <row r="506" spans="1:7" ht="14.45" customHeight="1">
      <c r="A506" s="124"/>
      <c r="B506" s="362" t="s">
        <v>294</v>
      </c>
      <c r="C506" s="279"/>
      <c r="D506" s="1181" t="s">
        <v>412</v>
      </c>
      <c r="E506" s="1181"/>
      <c r="F506" s="1181"/>
      <c r="G506" s="3"/>
    </row>
    <row r="507" spans="1:7">
      <c r="A507" s="279"/>
      <c r="B507" s="279"/>
      <c r="C507" s="279"/>
      <c r="D507" s="1181"/>
      <c r="E507" s="1181"/>
      <c r="F507" s="1181"/>
      <c r="G507" s="3"/>
    </row>
    <row r="508" spans="1:7">
      <c r="A508" s="279"/>
      <c r="B508" s="279"/>
      <c r="C508" s="279"/>
      <c r="D508" s="1181"/>
      <c r="E508" s="1181"/>
      <c r="F508" s="1181"/>
      <c r="G508" s="3"/>
    </row>
    <row r="509" spans="1:7" ht="12" customHeight="1">
      <c r="A509" s="85"/>
      <c r="B509" s="85"/>
      <c r="C509" s="909"/>
      <c r="D509" s="85"/>
      <c r="E509" s="3"/>
      <c r="F509" s="50"/>
      <c r="G509" s="3"/>
    </row>
    <row r="510" spans="1:7">
      <c r="A510" s="1167" t="s">
        <v>413</v>
      </c>
      <c r="B510" s="1167"/>
      <c r="C510" s="1167"/>
      <c r="D510" s="1167"/>
      <c r="E510" s="1167"/>
      <c r="F510" s="1167"/>
      <c r="G510" s="1167"/>
    </row>
    <row r="511" spans="1:7">
      <c r="A511" s="85"/>
      <c r="B511" s="85"/>
      <c r="C511" s="909"/>
      <c r="D511" s="3"/>
      <c r="E511" s="3"/>
      <c r="F511" s="50"/>
      <c r="G511" s="3"/>
    </row>
    <row r="512" spans="1:7">
      <c r="A512" s="279"/>
      <c r="B512" s="1170" t="s">
        <v>334</v>
      </c>
      <c r="C512" s="1170"/>
      <c r="D512" s="1170"/>
      <c r="E512" s="1170"/>
      <c r="F512" s="1170"/>
      <c r="G512" s="3"/>
    </row>
    <row r="513" spans="1:7">
      <c r="A513" s="85"/>
      <c r="B513" s="85"/>
      <c r="C513" s="909"/>
      <c r="D513" s="85"/>
      <c r="E513" s="3"/>
      <c r="F513" s="85"/>
      <c r="G513" s="3"/>
    </row>
    <row r="514" spans="1:7">
      <c r="A514" s="1168" t="s">
        <v>414</v>
      </c>
      <c r="B514" s="1168"/>
      <c r="C514" s="1168"/>
      <c r="D514" s="1168"/>
      <c r="E514" s="1168"/>
      <c r="F514" s="1168"/>
      <c r="G514" s="1168"/>
    </row>
    <row r="515" spans="1:7">
      <c r="A515" s="85"/>
      <c r="B515" s="85"/>
      <c r="C515" s="909"/>
      <c r="D515" s="85"/>
      <c r="E515" s="3"/>
      <c r="F515" s="85"/>
      <c r="G515" s="3"/>
    </row>
    <row r="516" spans="1:7">
      <c r="A516" s="279"/>
      <c r="B516" s="279"/>
      <c r="C516" s="909"/>
      <c r="D516" s="1165" t="s">
        <v>415</v>
      </c>
      <c r="E516" s="1165"/>
      <c r="F516" s="1165"/>
      <c r="G516" s="3"/>
    </row>
    <row r="517" spans="1:7">
      <c r="A517" s="279"/>
      <c r="B517" s="279"/>
      <c r="C517" s="909"/>
      <c r="D517" s="1166" t="s">
        <v>416</v>
      </c>
      <c r="E517" s="1166"/>
      <c r="F517" s="1166"/>
      <c r="G517" s="3"/>
    </row>
    <row r="518" spans="1:7">
      <c r="A518" s="279"/>
      <c r="B518" s="279"/>
      <c r="C518" s="909"/>
      <c r="D518" s="85"/>
      <c r="E518" s="85"/>
      <c r="F518" s="85"/>
      <c r="G518" s="3"/>
    </row>
    <row r="519" spans="1:7" ht="13.35" customHeight="1">
      <c r="A519" s="124"/>
      <c r="B519" s="362" t="s">
        <v>294</v>
      </c>
      <c r="C519" s="909"/>
      <c r="D519" s="1166" t="s">
        <v>417</v>
      </c>
      <c r="E519" s="1166"/>
      <c r="F519" s="1166"/>
      <c r="G519"/>
    </row>
    <row r="520" spans="1:7" ht="13.35" customHeight="1">
      <c r="A520" s="909"/>
      <c r="B520" s="909"/>
      <c r="C520" s="909"/>
      <c r="D520" s="85"/>
      <c r="E520"/>
      <c r="F520"/>
      <c r="G520"/>
    </row>
    <row r="521" spans="1:7">
      <c r="A521" s="124"/>
      <c r="B521" s="362" t="s">
        <v>294</v>
      </c>
      <c r="C521" s="909"/>
      <c r="D521" s="1149" t="s">
        <v>418</v>
      </c>
      <c r="E521" s="1149"/>
      <c r="F521" s="1149"/>
      <c r="G521"/>
    </row>
    <row r="522" spans="1:7">
      <c r="A522" s="909"/>
      <c r="B522" s="909"/>
      <c r="C522" s="909"/>
      <c r="D522" s="1149"/>
      <c r="E522" s="1149"/>
      <c r="F522" s="1149"/>
      <c r="G522"/>
    </row>
    <row r="523" spans="1:7">
      <c r="A523" s="909"/>
      <c r="B523" s="909"/>
      <c r="C523" s="909"/>
      <c r="D523" s="85"/>
      <c r="E523" s="85"/>
      <c r="F523" s="85"/>
      <c r="G523"/>
    </row>
    <row r="524" spans="1:7">
      <c r="A524" s="124"/>
      <c r="B524" s="362" t="s">
        <v>294</v>
      </c>
      <c r="C524" s="909"/>
      <c r="D524" s="1149" t="s">
        <v>419</v>
      </c>
      <c r="E524" s="1149"/>
      <c r="F524" s="1149"/>
      <c r="G524"/>
    </row>
    <row r="525" spans="1:7">
      <c r="A525" s="909"/>
      <c r="B525" s="909"/>
      <c r="C525" s="909"/>
      <c r="D525" s="1149"/>
      <c r="E525" s="1149"/>
      <c r="F525" s="1149"/>
      <c r="G525"/>
    </row>
    <row r="526" spans="1:7">
      <c r="A526" s="909"/>
      <c r="B526" s="909"/>
      <c r="C526" s="909"/>
      <c r="D526" s="85"/>
      <c r="E526" s="85"/>
      <c r="F526" s="85"/>
      <c r="G526"/>
    </row>
    <row r="527" spans="1:7">
      <c r="A527" s="124"/>
      <c r="B527" s="362" t="s">
        <v>294</v>
      </c>
      <c r="C527" s="909"/>
      <c r="D527" s="1149" t="s">
        <v>420</v>
      </c>
      <c r="E527" s="1149"/>
      <c r="F527" s="1149"/>
      <c r="G527"/>
    </row>
    <row r="528" spans="1:7">
      <c r="A528" s="909"/>
      <c r="B528" s="909"/>
      <c r="C528" s="909"/>
      <c r="D528" s="1149"/>
      <c r="E528" s="1149"/>
      <c r="F528" s="1149"/>
      <c r="G528"/>
    </row>
    <row r="529" spans="1:7">
      <c r="A529" s="909"/>
      <c r="B529" s="909"/>
      <c r="C529" s="909"/>
      <c r="D529" s="85"/>
      <c r="E529" s="85"/>
      <c r="F529" s="85"/>
      <c r="G529"/>
    </row>
    <row r="530" spans="1:7">
      <c r="A530" s="124"/>
      <c r="B530" s="362" t="s">
        <v>294</v>
      </c>
      <c r="C530" s="909"/>
      <c r="D530" s="1149" t="s">
        <v>421</v>
      </c>
      <c r="E530" s="1149"/>
      <c r="F530" s="1149"/>
      <c r="G530"/>
    </row>
    <row r="531" spans="1:7">
      <c r="A531" s="909"/>
      <c r="B531" s="909"/>
      <c r="C531" s="909"/>
      <c r="D531" s="1149"/>
      <c r="E531" s="1149"/>
      <c r="F531" s="1149"/>
      <c r="G531"/>
    </row>
    <row r="532" spans="1:7">
      <c r="A532" s="909"/>
      <c r="B532" s="909"/>
      <c r="C532" s="909"/>
      <c r="D532" s="1149"/>
      <c r="E532" s="1149"/>
      <c r="F532" s="1149"/>
      <c r="G532"/>
    </row>
    <row r="533" spans="1:7">
      <c r="A533" s="909"/>
      <c r="B533" s="909"/>
      <c r="C533" s="909"/>
      <c r="D533" s="85"/>
      <c r="E533" s="85"/>
      <c r="F533" s="85"/>
      <c r="G533" s="3"/>
    </row>
    <row r="534" spans="1:7">
      <c r="A534" s="124"/>
      <c r="B534" s="362" t="s">
        <v>294</v>
      </c>
      <c r="C534" s="909"/>
      <c r="D534" s="1149" t="s">
        <v>422</v>
      </c>
      <c r="E534" s="1149"/>
      <c r="F534" s="1149"/>
      <c r="G534" s="3"/>
    </row>
    <row r="535" spans="1:7">
      <c r="A535" s="909"/>
      <c r="B535" s="909"/>
      <c r="C535" s="909"/>
      <c r="D535" s="1149"/>
      <c r="E535" s="1149"/>
      <c r="F535" s="1149"/>
      <c r="G535" s="3"/>
    </row>
    <row r="536" spans="1:7">
      <c r="A536" s="909"/>
      <c r="B536" s="909"/>
      <c r="C536" s="909"/>
      <c r="D536" s="85"/>
      <c r="E536" s="85"/>
      <c r="F536" s="85"/>
      <c r="G536" s="3"/>
    </row>
    <row r="537" spans="1:7">
      <c r="A537" s="124"/>
      <c r="B537" s="362" t="s">
        <v>294</v>
      </c>
      <c r="C537" s="909"/>
      <c r="D537" s="1149" t="s">
        <v>423</v>
      </c>
      <c r="E537" s="1149"/>
      <c r="F537" s="1149"/>
      <c r="G537" s="3"/>
    </row>
    <row r="538" spans="1:7">
      <c r="A538" s="909"/>
      <c r="B538" s="909"/>
      <c r="C538" s="909"/>
      <c r="D538" s="1149"/>
      <c r="E538" s="1149"/>
      <c r="F538" s="1149"/>
      <c r="G538" s="3"/>
    </row>
    <row r="539" spans="1:7">
      <c r="A539" s="909"/>
      <c r="B539" s="909"/>
      <c r="C539" s="909"/>
      <c r="D539" s="85"/>
      <c r="E539" s="85"/>
      <c r="F539" s="85"/>
      <c r="G539" s="3"/>
    </row>
    <row r="540" spans="1:7">
      <c r="A540" s="124"/>
      <c r="B540" s="362" t="s">
        <v>294</v>
      </c>
      <c r="C540" s="909"/>
      <c r="D540" s="1149" t="s">
        <v>424</v>
      </c>
      <c r="E540" s="1149"/>
      <c r="F540" s="1149"/>
      <c r="G540" s="3"/>
    </row>
    <row r="541" spans="1:7">
      <c r="A541" s="909"/>
      <c r="B541" s="909"/>
      <c r="C541" s="909"/>
      <c r="D541" s="1149"/>
      <c r="E541" s="1149"/>
      <c r="F541" s="1149"/>
      <c r="G541" s="3"/>
    </row>
    <row r="542" spans="1:7">
      <c r="A542" s="909"/>
      <c r="B542" s="909"/>
      <c r="C542" s="909"/>
      <c r="D542" s="85"/>
      <c r="E542" s="85"/>
      <c r="F542" s="85"/>
      <c r="G542" s="3"/>
    </row>
    <row r="543" spans="1:7">
      <c r="A543" s="124"/>
      <c r="B543" s="362" t="s">
        <v>294</v>
      </c>
      <c r="C543" s="909"/>
      <c r="D543" s="1166" t="s">
        <v>425</v>
      </c>
      <c r="E543" s="1166"/>
      <c r="F543" s="1166"/>
      <c r="G543" s="3"/>
    </row>
    <row r="544" spans="1:7">
      <c r="A544" s="13"/>
      <c r="B544" s="13"/>
      <c r="C544" s="909"/>
      <c r="D544" s="1166" t="s">
        <v>426</v>
      </c>
      <c r="E544" s="1166"/>
      <c r="F544" s="1166"/>
      <c r="G544" s="3"/>
    </row>
    <row r="545" spans="1:7">
      <c r="A545" s="13"/>
      <c r="B545" s="13"/>
      <c r="C545" s="909"/>
      <c r="D545" s="3"/>
      <c r="E545" s="1171" t="s">
        <v>427</v>
      </c>
      <c r="F545" s="1171"/>
      <c r="G545" s="3"/>
    </row>
    <row r="546" spans="1:7">
      <c r="A546" s="124"/>
      <c r="B546" s="124"/>
      <c r="C546" s="909"/>
      <c r="D546" s="3"/>
      <c r="E546" s="85"/>
      <c r="F546" s="85"/>
      <c r="G546" s="3"/>
    </row>
    <row r="547" spans="1:7">
      <c r="A547" s="124"/>
      <c r="B547" s="362" t="s">
        <v>294</v>
      </c>
      <c r="C547" s="909"/>
      <c r="D547" s="1166" t="s">
        <v>428</v>
      </c>
      <c r="E547" s="1166"/>
      <c r="F547" s="1166"/>
      <c r="G547" s="3"/>
    </row>
    <row r="548" spans="1:7">
      <c r="A548" s="279"/>
      <c r="B548" s="279"/>
      <c r="C548" s="909"/>
      <c r="D548" s="1149" t="s">
        <v>429</v>
      </c>
      <c r="E548" s="1149"/>
      <c r="F548" s="1149"/>
      <c r="G548" s="3"/>
    </row>
    <row r="549" spans="1:7">
      <c r="A549" s="909"/>
      <c r="B549" s="909"/>
      <c r="C549" s="909"/>
      <c r="D549" s="1149"/>
      <c r="E549" s="1149"/>
      <c r="F549" s="1149"/>
      <c r="G549" s="3"/>
    </row>
    <row r="550" spans="1:7">
      <c r="A550" s="909"/>
      <c r="B550" s="909"/>
      <c r="C550" s="909"/>
      <c r="D550" s="1149"/>
      <c r="E550" s="1149"/>
      <c r="F550" s="1149"/>
      <c r="G550" s="3"/>
    </row>
    <row r="551" spans="1:7">
      <c r="A551" s="909"/>
      <c r="B551" s="909"/>
      <c r="C551" s="909"/>
      <c r="D551" s="85"/>
      <c r="E551" s="85"/>
      <c r="F551" s="85"/>
      <c r="G551" s="3"/>
    </row>
    <row r="552" spans="1:7">
      <c r="A552" s="124"/>
      <c r="B552" s="362" t="s">
        <v>294</v>
      </c>
      <c r="C552" s="909"/>
      <c r="D552" s="1149" t="s">
        <v>430</v>
      </c>
      <c r="E552" s="1149"/>
      <c r="F552" s="1149"/>
      <c r="G552" s="3"/>
    </row>
    <row r="553" spans="1:7">
      <c r="A553" s="124"/>
      <c r="B553" s="124"/>
      <c r="C553" s="909"/>
      <c r="D553" s="1149"/>
      <c r="E553" s="1149"/>
      <c r="F553" s="1149"/>
      <c r="G553" s="3"/>
    </row>
    <row r="554" spans="1:7">
      <c r="A554" s="124"/>
      <c r="B554" s="124"/>
      <c r="C554" s="909"/>
      <c r="D554" s="1149"/>
      <c r="E554" s="1149"/>
      <c r="F554" s="1149"/>
      <c r="G554" s="3"/>
    </row>
    <row r="555" spans="1:7">
      <c r="A555" s="124"/>
      <c r="B555" s="124"/>
      <c r="C555" s="909"/>
      <c r="D555" s="1149"/>
      <c r="E555" s="1149"/>
      <c r="F555" s="1149"/>
      <c r="G555" s="3"/>
    </row>
    <row r="556" spans="1:7">
      <c r="A556" s="124"/>
      <c r="B556" s="124"/>
      <c r="C556" s="909"/>
      <c r="D556" s="85"/>
      <c r="E556" s="85"/>
      <c r="F556" s="85"/>
      <c r="G556" s="3"/>
    </row>
    <row r="557" spans="1:7">
      <c r="A557" s="1167" t="s">
        <v>431</v>
      </c>
      <c r="B557" s="1167"/>
      <c r="C557" s="1167"/>
      <c r="D557" s="1167"/>
      <c r="E557" s="1167"/>
      <c r="F557" s="1167"/>
      <c r="G557" s="1167"/>
    </row>
    <row r="558" spans="1:7">
      <c r="A558" s="909"/>
      <c r="B558" s="909"/>
      <c r="C558" s="909"/>
      <c r="D558" s="3"/>
      <c r="E558" s="85"/>
      <c r="F558" s="85"/>
      <c r="G558" s="3"/>
    </row>
    <row r="559" spans="1:7" ht="12.75" customHeight="1">
      <c r="A559" s="279"/>
      <c r="B559" s="279"/>
      <c r="C559" s="120"/>
      <c r="D559" s="1177" t="s">
        <v>432</v>
      </c>
      <c r="E559" s="1177"/>
      <c r="F559" s="1177"/>
      <c r="G559" s="3"/>
    </row>
    <row r="560" spans="1:7">
      <c r="A560" s="123"/>
      <c r="B560" s="123"/>
      <c r="C560" s="123"/>
      <c r="D560" s="1182" t="s">
        <v>433</v>
      </c>
      <c r="E560" s="1182"/>
      <c r="F560" s="1182"/>
      <c r="G560" s="3"/>
    </row>
    <row r="561" spans="1:6">
      <c r="A561"/>
      <c r="B561"/>
      <c r="C561" s="123"/>
      <c r="D561" s="174"/>
      <c r="E561" s="3"/>
      <c r="F561" s="3"/>
    </row>
    <row r="562" spans="1:6">
      <c r="A562" s="123"/>
      <c r="B562" s="362" t="s">
        <v>294</v>
      </c>
      <c r="C562" s="279"/>
      <c r="D562" s="1182" t="s">
        <v>434</v>
      </c>
      <c r="E562" s="1182"/>
      <c r="F562" s="1182"/>
    </row>
    <row r="563" spans="1:6">
      <c r="A563" s="13"/>
      <c r="B563" s="13"/>
      <c r="C563" s="279"/>
      <c r="D563" s="143"/>
      <c r="E563" s="3"/>
      <c r="F563" s="3"/>
    </row>
    <row r="564" spans="1:6">
      <c r="A564" s="13"/>
      <c r="B564" s="362" t="s">
        <v>294</v>
      </c>
      <c r="C564" s="279"/>
      <c r="D564" s="1182" t="s">
        <v>435</v>
      </c>
      <c r="E564" s="1182"/>
      <c r="F564" s="1182"/>
    </row>
    <row r="565" spans="1:6">
      <c r="A565" s="13"/>
      <c r="B565" s="13"/>
      <c r="C565" s="279"/>
      <c r="D565" s="1182"/>
      <c r="E565" s="1182"/>
      <c r="F565" s="1182"/>
    </row>
    <row r="566" spans="1:6">
      <c r="A566" s="13"/>
      <c r="B566" s="13"/>
      <c r="C566" s="279"/>
      <c r="D566" s="1182"/>
      <c r="E566" s="1182"/>
      <c r="F566" s="1182"/>
    </row>
    <row r="567" spans="1:6">
      <c r="A567" s="13"/>
      <c r="B567" s="13"/>
      <c r="C567" s="279"/>
      <c r="D567" s="174"/>
      <c r="E567" s="3"/>
      <c r="F567" s="3"/>
    </row>
    <row r="568" spans="1:6">
      <c r="A568" s="13"/>
      <c r="B568" s="362" t="s">
        <v>294</v>
      </c>
      <c r="C568" s="279"/>
      <c r="D568" s="1182" t="s">
        <v>436</v>
      </c>
      <c r="E568" s="1182"/>
      <c r="F568" s="1182"/>
    </row>
    <row r="569" spans="1:6">
      <c r="A569" s="13"/>
      <c r="B569" s="13"/>
      <c r="C569" s="279"/>
      <c r="D569" s="1182"/>
      <c r="E569" s="1182"/>
      <c r="F569" s="1182"/>
    </row>
    <row r="570" spans="1:6">
      <c r="A570" s="13"/>
      <c r="B570" s="13"/>
      <c r="C570" s="279"/>
      <c r="D570" s="1182"/>
      <c r="E570" s="1182"/>
      <c r="F570" s="1182"/>
    </row>
    <row r="571" spans="1:6">
      <c r="A571" s="13"/>
      <c r="B571" s="13"/>
      <c r="C571" s="279"/>
      <c r="D571" s="1182"/>
      <c r="E571" s="1182"/>
      <c r="F571" s="1182"/>
    </row>
    <row r="572" spans="1:6">
      <c r="A572" s="13"/>
      <c r="B572" s="13"/>
      <c r="C572" s="279"/>
      <c r="D572" s="367"/>
      <c r="E572" s="367"/>
      <c r="F572" s="367"/>
    </row>
    <row r="573" spans="1:6">
      <c r="A573" s="13"/>
      <c r="B573" s="362" t="s">
        <v>294</v>
      </c>
      <c r="C573" s="279"/>
      <c r="D573" s="1182" t="s">
        <v>437</v>
      </c>
      <c r="E573" s="1182"/>
      <c r="F573" s="1182"/>
    </row>
    <row r="574" spans="1:6">
      <c r="A574" s="13"/>
      <c r="B574" s="13"/>
      <c r="C574" s="279"/>
      <c r="D574" s="1182"/>
      <c r="E574" s="1182"/>
      <c r="F574" s="1182"/>
    </row>
    <row r="575" spans="1:6">
      <c r="A575" s="13"/>
      <c r="B575" s="13"/>
      <c r="C575" s="279"/>
      <c r="D575" s="174"/>
      <c r="E575" s="3"/>
      <c r="F575" s="3"/>
    </row>
    <row r="576" spans="1:6">
      <c r="A576" s="13"/>
      <c r="B576" s="362" t="s">
        <v>294</v>
      </c>
      <c r="C576" s="279"/>
      <c r="D576" s="1182" t="s">
        <v>438</v>
      </c>
      <c r="E576" s="1182"/>
      <c r="F576" s="1182"/>
    </row>
    <row r="577" spans="1:7">
      <c r="A577" s="13"/>
      <c r="B577" s="13"/>
      <c r="C577" s="279"/>
      <c r="D577" s="1182"/>
      <c r="E577" s="1182"/>
      <c r="F577" s="1182"/>
      <c r="G577" s="3"/>
    </row>
    <row r="578" spans="1:7">
      <c r="A578" s="13"/>
      <c r="B578" s="13"/>
      <c r="C578" s="279"/>
      <c r="D578" s="174"/>
      <c r="E578" s="3"/>
      <c r="F578" s="3"/>
      <c r="G578" s="3"/>
    </row>
    <row r="579" spans="1:7">
      <c r="A579" s="124"/>
      <c r="B579" s="362" t="s">
        <v>294</v>
      </c>
      <c r="C579" s="279"/>
      <c r="D579" s="1182" t="s">
        <v>439</v>
      </c>
      <c r="E579" s="1182"/>
      <c r="F579" s="1182"/>
      <c r="G579" s="3"/>
    </row>
    <row r="580" spans="1:7">
      <c r="A580" s="124"/>
      <c r="B580" s="124"/>
      <c r="C580" s="279"/>
      <c r="D580" s="174"/>
      <c r="E580" s="3"/>
      <c r="F580" s="3"/>
      <c r="G580" s="3"/>
    </row>
    <row r="581" spans="1:7">
      <c r="A581" s="124"/>
      <c r="B581" s="362" t="s">
        <v>294</v>
      </c>
      <c r="C581" s="279"/>
      <c r="D581" s="1182" t="s">
        <v>440</v>
      </c>
      <c r="E581" s="1182"/>
      <c r="F581" s="1182"/>
      <c r="G581" s="3"/>
    </row>
    <row r="582" spans="1:7">
      <c r="A582" s="124"/>
      <c r="B582" s="124"/>
      <c r="C582" s="279"/>
      <c r="D582" s="1182"/>
      <c r="E582" s="1182"/>
      <c r="F582" s="1182"/>
      <c r="G582" s="3"/>
    </row>
    <row r="583" spans="1:7">
      <c r="A583" s="279"/>
      <c r="B583" s="279"/>
      <c r="C583" s="279"/>
      <c r="D583" s="1182"/>
      <c r="E583" s="1182"/>
      <c r="F583" s="1182"/>
      <c r="G583" s="3"/>
    </row>
    <row r="584" spans="1:7">
      <c r="A584" s="279"/>
      <c r="B584" s="279"/>
      <c r="C584" s="279"/>
      <c r="D584" s="1182"/>
      <c r="E584" s="1182"/>
      <c r="F584" s="1182"/>
      <c r="G584" s="3"/>
    </row>
    <row r="585" spans="1:7">
      <c r="A585" s="279"/>
      <c r="B585" s="279"/>
      <c r="C585" s="279"/>
      <c r="D585" s="1182"/>
      <c r="E585" s="1182"/>
      <c r="F585" s="1182"/>
      <c r="G585" s="3"/>
    </row>
    <row r="586" spans="1:7">
      <c r="A586" s="279"/>
      <c r="B586" s="279"/>
      <c r="C586" s="279"/>
      <c r="D586" s="1182"/>
      <c r="E586" s="1182"/>
      <c r="F586" s="1182"/>
      <c r="G586" s="3"/>
    </row>
    <row r="587" spans="1:7">
      <c r="A587" s="279"/>
      <c r="B587" s="279"/>
      <c r="C587" s="279"/>
      <c r="D587" s="3"/>
      <c r="E587" s="3"/>
      <c r="F587" s="3"/>
      <c r="G587" s="3"/>
    </row>
    <row r="588" spans="1:7">
      <c r="A588" s="1167" t="s">
        <v>441</v>
      </c>
      <c r="B588" s="1167"/>
      <c r="C588" s="1167"/>
      <c r="D588" s="1167"/>
      <c r="E588" s="1167"/>
      <c r="F588" s="1167"/>
      <c r="G588" s="1167"/>
    </row>
    <row r="589" spans="1:7">
      <c r="A589" s="279"/>
      <c r="B589" s="279"/>
      <c r="C589" s="279"/>
      <c r="D589" s="3"/>
      <c r="E589" s="3"/>
      <c r="F589" s="3"/>
      <c r="G589" s="3"/>
    </row>
    <row r="590" spans="1:7">
      <c r="A590" s="279"/>
      <c r="B590" s="279"/>
      <c r="C590" s="279"/>
      <c r="D590" s="1160" t="s">
        <v>442</v>
      </c>
      <c r="E590" s="1160"/>
      <c r="F590" s="1160"/>
      <c r="G590" s="3"/>
    </row>
    <row r="591" spans="1:7">
      <c r="A591" s="279"/>
      <c r="B591" s="279"/>
      <c r="C591" s="279"/>
      <c r="D591" s="1161" t="s">
        <v>443</v>
      </c>
      <c r="E591" s="1161"/>
      <c r="F591" s="1161"/>
      <c r="G591" s="3"/>
    </row>
    <row r="592" spans="1:7">
      <c r="A592" s="279"/>
      <c r="B592" s="279"/>
      <c r="C592" s="279"/>
      <c r="D592" s="371"/>
      <c r="E592" s="327"/>
      <c r="F592" s="327"/>
      <c r="G592" s="3"/>
    </row>
    <row r="593" spans="1:7">
      <c r="A593" s="124"/>
      <c r="B593" s="362" t="s">
        <v>294</v>
      </c>
      <c r="C593" s="279"/>
      <c r="D593" s="1162" t="s">
        <v>444</v>
      </c>
      <c r="E593" s="1162"/>
      <c r="F593" s="1162"/>
      <c r="G593" s="3"/>
    </row>
    <row r="594" spans="1:7">
      <c r="A594" s="279"/>
      <c r="B594" s="279"/>
      <c r="C594" s="279"/>
      <c r="D594" s="1162"/>
      <c r="E594" s="1162"/>
      <c r="F594" s="1162"/>
      <c r="G594" s="3"/>
    </row>
    <row r="595" spans="1:7">
      <c r="A595" s="279"/>
      <c r="B595" s="279"/>
      <c r="C595" s="279"/>
      <c r="D595" s="1162"/>
      <c r="E595" s="1162"/>
      <c r="F595" s="1162"/>
      <c r="G595" s="3"/>
    </row>
    <row r="596" spans="1:7">
      <c r="A596" s="279"/>
      <c r="B596" s="279"/>
      <c r="C596" s="279"/>
      <c r="D596" s="3"/>
      <c r="E596" s="3"/>
      <c r="F596" s="3"/>
      <c r="G596" s="3"/>
    </row>
    <row r="597" spans="1:7">
      <c r="A597" s="1167" t="s">
        <v>445</v>
      </c>
      <c r="B597" s="1167"/>
      <c r="C597" s="1167"/>
      <c r="D597" s="1167"/>
      <c r="E597" s="1167"/>
      <c r="F597" s="1167"/>
      <c r="G597" s="1167"/>
    </row>
    <row r="598" spans="1:7">
      <c r="A598" s="85"/>
      <c r="B598" s="85"/>
      <c r="C598" s="279"/>
      <c r="D598" s="3"/>
      <c r="E598" s="3"/>
      <c r="F598" s="3"/>
      <c r="G598" s="3"/>
    </row>
    <row r="599" spans="1:7">
      <c r="A599" s="120"/>
      <c r="B599" s="120"/>
      <c r="C599" s="120"/>
      <c r="D599" s="1163" t="s">
        <v>446</v>
      </c>
      <c r="E599" s="1163"/>
      <c r="F599" s="1163"/>
      <c r="G599" s="3"/>
    </row>
    <row r="600" spans="1:7">
      <c r="A600" s="120"/>
      <c r="B600" s="120"/>
      <c r="C600" s="120"/>
      <c r="D600" s="1163"/>
      <c r="E600" s="1163"/>
      <c r="F600" s="1163"/>
      <c r="G600" s="3"/>
    </row>
    <row r="601" spans="1:7">
      <c r="A601" s="279"/>
      <c r="B601" s="279"/>
      <c r="C601" s="123"/>
      <c r="D601" s="1161" t="s">
        <v>447</v>
      </c>
      <c r="E601" s="1161"/>
      <c r="F601" s="1161"/>
      <c r="G601" s="3"/>
    </row>
    <row r="602" spans="1:7">
      <c r="A602" s="279"/>
      <c r="B602" s="279"/>
      <c r="C602" s="123"/>
      <c r="D602" s="371"/>
      <c r="E602" s="371"/>
      <c r="F602" s="371"/>
      <c r="G602" s="3"/>
    </row>
    <row r="603" spans="1:7">
      <c r="A603" s="13"/>
      <c r="B603" s="362" t="s">
        <v>294</v>
      </c>
      <c r="C603" s="279"/>
      <c r="D603" s="1161" t="s">
        <v>448</v>
      </c>
      <c r="E603" s="1161"/>
      <c r="F603" s="1161"/>
      <c r="G603" s="3"/>
    </row>
    <row r="604" spans="1:7">
      <c r="A604" s="279"/>
      <c r="B604" s="279"/>
      <c r="C604" s="125"/>
      <c r="D604" s="3"/>
      <c r="E604"/>
      <c r="F604" s="3"/>
      <c r="G604" s="3"/>
    </row>
    <row r="605" spans="1:7">
      <c r="A605" s="13"/>
      <c r="B605" s="362" t="s">
        <v>294</v>
      </c>
      <c r="C605" s="279"/>
      <c r="D605" s="1164" t="s">
        <v>449</v>
      </c>
      <c r="E605" s="1164"/>
      <c r="F605" s="1164"/>
      <c r="G605" s="3"/>
    </row>
    <row r="606" spans="1:7">
      <c r="A606" s="279"/>
      <c r="B606" s="279"/>
      <c r="C606" s="279"/>
      <c r="D606" s="1164"/>
      <c r="E606" s="1164"/>
      <c r="F606" s="1164"/>
      <c r="G606" s="3"/>
    </row>
    <row r="607" spans="1:7">
      <c r="A607" s="279"/>
      <c r="B607" s="279"/>
      <c r="C607" s="279"/>
      <c r="D607"/>
      <c r="E607" s="3"/>
      <c r="F607" s="3"/>
      <c r="G607" s="3"/>
    </row>
    <row r="608" spans="1:7">
      <c r="A608" s="279"/>
      <c r="B608" s="362" t="s">
        <v>294</v>
      </c>
      <c r="C608" s="279"/>
      <c r="D608" s="1164" t="s">
        <v>450</v>
      </c>
      <c r="E608" s="1164"/>
      <c r="F608" s="1164"/>
      <c r="G608" s="3"/>
    </row>
    <row r="609" spans="1:7">
      <c r="A609" s="279"/>
      <c r="B609" s="279"/>
      <c r="C609" s="125"/>
      <c r="D609" s="1164"/>
      <c r="E609" s="1164"/>
      <c r="F609" s="1164"/>
      <c r="G609" s="3"/>
    </row>
    <row r="610" spans="1:7">
      <c r="A610" s="279"/>
      <c r="B610" s="279"/>
      <c r="C610" s="125"/>
      <c r="D610" s="3"/>
      <c r="E610" s="3"/>
      <c r="F610" s="3"/>
      <c r="G610" s="3"/>
    </row>
    <row r="611" spans="1:7">
      <c r="A611" s="279"/>
      <c r="B611" s="362" t="s">
        <v>294</v>
      </c>
      <c r="C611" s="125"/>
      <c r="D611" s="1164" t="s">
        <v>451</v>
      </c>
      <c r="E611" s="1164"/>
      <c r="F611" s="1164"/>
      <c r="G611" s="3"/>
    </row>
    <row r="612" spans="1:7">
      <c r="A612" s="279"/>
      <c r="B612" s="279"/>
      <c r="C612" s="125"/>
      <c r="D612" s="1164"/>
      <c r="E612" s="1164"/>
      <c r="F612" s="1164"/>
      <c r="G612" s="3"/>
    </row>
    <row r="613" spans="1:7">
      <c r="A613" s="279"/>
      <c r="B613" s="279"/>
      <c r="C613" s="125"/>
      <c r="D613" s="3"/>
      <c r="E613" s="3"/>
      <c r="F613" s="3"/>
      <c r="G613" s="3"/>
    </row>
    <row r="614" spans="1:7">
      <c r="A614" s="1167" t="s">
        <v>452</v>
      </c>
      <c r="B614" s="1167"/>
      <c r="C614" s="1167"/>
      <c r="D614" s="1167"/>
      <c r="E614" s="1167"/>
      <c r="F614" s="1167"/>
      <c r="G614" s="1167"/>
    </row>
    <row r="615" spans="1:7">
      <c r="A615" s="120"/>
      <c r="B615" s="120"/>
      <c r="C615" s="120"/>
      <c r="D615" s="3"/>
      <c r="E615" s="3"/>
      <c r="F615" s="3"/>
      <c r="G615" s="3"/>
    </row>
    <row r="616" spans="1:7">
      <c r="A616" s="279"/>
      <c r="B616" s="279"/>
      <c r="C616" s="13"/>
      <c r="D616" s="1160" t="s">
        <v>453</v>
      </c>
      <c r="E616" s="1160"/>
      <c r="F616" s="1160"/>
      <c r="G616" s="3"/>
    </row>
    <row r="617" spans="1:7">
      <c r="A617" s="13"/>
      <c r="B617" s="13"/>
      <c r="C617" s="279"/>
      <c r="D617" s="2"/>
      <c r="E617" s="3"/>
      <c r="F617" s="3"/>
      <c r="G617" s="3"/>
    </row>
    <row r="618" spans="1:7">
      <c r="A618" s="124"/>
      <c r="B618" s="362" t="s">
        <v>294</v>
      </c>
      <c r="C618" s="279"/>
      <c r="D618" s="1162" t="s">
        <v>454</v>
      </c>
      <c r="E618" s="1162"/>
      <c r="F618" s="1162"/>
      <c r="G618" s="3"/>
    </row>
    <row r="619" spans="1:7">
      <c r="A619" s="279"/>
      <c r="B619" s="279"/>
      <c r="C619" s="279"/>
      <c r="D619" s="1162"/>
      <c r="E619" s="1162"/>
      <c r="F619" s="1162"/>
      <c r="G619" s="3"/>
    </row>
    <row r="620" spans="1:7">
      <c r="A620" s="279"/>
      <c r="B620" s="279"/>
      <c r="C620" s="279"/>
      <c r="D620" s="1162"/>
      <c r="E620" s="1162"/>
      <c r="F620" s="1162"/>
      <c r="G620" s="3"/>
    </row>
    <row r="621" spans="1:7">
      <c r="A621" s="279"/>
      <c r="B621" s="279"/>
      <c r="C621" s="279"/>
      <c r="D621" s="1162"/>
      <c r="E621" s="1162"/>
      <c r="F621" s="1162"/>
      <c r="G621" s="3"/>
    </row>
    <row r="622" spans="1:7">
      <c r="A622" s="279"/>
      <c r="B622" s="279"/>
      <c r="C622" s="279"/>
      <c r="D622" s="1162"/>
      <c r="E622" s="1162"/>
      <c r="F622" s="1162"/>
      <c r="G622" s="3"/>
    </row>
    <row r="623" spans="1:7">
      <c r="A623" s="279"/>
      <c r="B623" s="279"/>
      <c r="C623" s="279"/>
      <c r="D623" s="1162"/>
      <c r="E623" s="1162"/>
      <c r="F623" s="1162"/>
      <c r="G623" s="3"/>
    </row>
    <row r="624" spans="1:7">
      <c r="A624" s="279"/>
      <c r="B624" s="279"/>
      <c r="C624" s="279"/>
      <c r="D624" s="372"/>
      <c r="E624" s="372"/>
      <c r="F624" s="372"/>
      <c r="G624" s="3"/>
    </row>
    <row r="625" spans="1:7">
      <c r="A625" s="124"/>
      <c r="B625" s="362" t="s">
        <v>294</v>
      </c>
      <c r="C625" s="279"/>
      <c r="D625" s="1162" t="s">
        <v>455</v>
      </c>
      <c r="E625" s="1162"/>
      <c r="F625" s="1162"/>
      <c r="G625" s="3"/>
    </row>
    <row r="626" spans="1:7">
      <c r="A626" s="909"/>
      <c r="B626" s="909"/>
      <c r="C626" s="909"/>
      <c r="D626" s="1162"/>
      <c r="E626" s="1162"/>
      <c r="F626" s="1162"/>
      <c r="G626" s="3"/>
    </row>
    <row r="627" spans="1:7">
      <c r="A627" s="909"/>
      <c r="B627" s="909"/>
      <c r="C627" s="909"/>
      <c r="D627" s="85"/>
      <c r="E627" s="85"/>
      <c r="F627" s="85"/>
      <c r="G627" s="3"/>
    </row>
    <row r="628" spans="1:7">
      <c r="A628" s="124"/>
      <c r="B628" s="362" t="s">
        <v>294</v>
      </c>
      <c r="C628" s="909"/>
      <c r="D628" s="1162" t="s">
        <v>456</v>
      </c>
      <c r="E628" s="1162"/>
      <c r="F628" s="1162"/>
      <c r="G628" s="3"/>
    </row>
    <row r="629" spans="1:7">
      <c r="A629" s="124"/>
      <c r="B629" s="124"/>
      <c r="C629" s="909"/>
      <c r="D629" s="1162"/>
      <c r="E629" s="1162"/>
      <c r="F629" s="1162"/>
      <c r="G629" s="3"/>
    </row>
    <row r="630" spans="1:7">
      <c r="A630" s="124"/>
      <c r="B630" s="124"/>
      <c r="C630" s="909"/>
      <c r="D630" s="1162"/>
      <c r="E630" s="1162"/>
      <c r="F630" s="1162"/>
      <c r="G630" s="3"/>
    </row>
    <row r="631" spans="1:7">
      <c r="A631" s="909"/>
      <c r="B631" s="909"/>
      <c r="C631" s="909"/>
      <c r="D631" s="1162"/>
      <c r="E631" s="1162"/>
      <c r="F631" s="1162"/>
      <c r="G631" s="3"/>
    </row>
    <row r="632" spans="1:7">
      <c r="A632" s="909"/>
      <c r="B632" s="909"/>
      <c r="C632" s="909"/>
      <c r="D632" s="372"/>
      <c r="E632" s="372"/>
      <c r="F632" s="372"/>
      <c r="G632" s="3"/>
    </row>
    <row r="633" spans="1:7">
      <c r="A633" s="909"/>
      <c r="B633" s="362" t="s">
        <v>294</v>
      </c>
      <c r="C633" s="909"/>
      <c r="D633" s="1189" t="s">
        <v>457</v>
      </c>
      <c r="E633" s="1189"/>
      <c r="F633" s="1189"/>
      <c r="G633" s="3"/>
    </row>
    <row r="634" spans="1:7">
      <c r="A634" s="909"/>
      <c r="B634" s="909"/>
      <c r="C634" s="909"/>
      <c r="D634" s="373"/>
      <c r="E634" s="373"/>
      <c r="F634" s="373"/>
      <c r="G634" s="3"/>
    </row>
    <row r="635" spans="1:7">
      <c r="A635" s="1167" t="s">
        <v>458</v>
      </c>
      <c r="B635" s="1167"/>
      <c r="C635" s="1167"/>
      <c r="D635" s="1167"/>
      <c r="E635" s="1167"/>
      <c r="F635" s="1167"/>
      <c r="G635" s="1167"/>
    </row>
    <row r="636" spans="1:7">
      <c r="A636" s="85"/>
      <c r="B636" s="85"/>
      <c r="C636" s="909"/>
      <c r="D636" s="85"/>
      <c r="E636" s="85"/>
      <c r="F636" s="85"/>
      <c r="G636" s="3"/>
    </row>
    <row r="637" spans="1:7">
      <c r="A637" s="279"/>
      <c r="B637" s="279"/>
      <c r="C637" s="120"/>
      <c r="D637" s="1165" t="s">
        <v>459</v>
      </c>
      <c r="E637" s="1165"/>
      <c r="F637" s="1165"/>
      <c r="G637" s="3"/>
    </row>
    <row r="638" spans="1:7">
      <c r="A638" s="123"/>
      <c r="B638" s="123"/>
      <c r="C638" s="123"/>
      <c r="D638" s="1166" t="s">
        <v>460</v>
      </c>
      <c r="E638" s="1166"/>
      <c r="F638" s="1166"/>
      <c r="G638" s="3"/>
    </row>
    <row r="639" spans="1:7">
      <c r="A639" s="123"/>
      <c r="B639" s="123"/>
      <c r="C639" s="123"/>
      <c r="D639" s="85"/>
      <c r="E639" s="85"/>
      <c r="F639" s="85"/>
      <c r="G639" s="3"/>
    </row>
    <row r="640" spans="1:7" ht="14.45" customHeight="1">
      <c r="A640" s="124"/>
      <c r="B640" s="362" t="s">
        <v>294</v>
      </c>
      <c r="C640" s="909"/>
      <c r="D640" s="1149" t="s">
        <v>461</v>
      </c>
      <c r="E640" s="1149"/>
      <c r="F640" s="1149"/>
      <c r="G640" s="3"/>
    </row>
    <row r="641" spans="1:11">
      <c r="A641" s="124"/>
      <c r="B641" s="124"/>
      <c r="C641" s="909"/>
      <c r="D641" s="1149"/>
      <c r="E641" s="1149"/>
      <c r="F641" s="1149"/>
      <c r="G641" s="3"/>
    </row>
    <row r="642" spans="1:11">
      <c r="A642" s="124"/>
      <c r="B642" s="124"/>
      <c r="C642" s="909"/>
      <c r="D642" s="1149"/>
      <c r="E642" s="1149"/>
      <c r="F642" s="1149"/>
      <c r="G642" s="3"/>
    </row>
    <row r="643" spans="1:11">
      <c r="A643" s="124"/>
      <c r="B643" s="124"/>
      <c r="C643" s="909"/>
      <c r="D643" s="1149"/>
      <c r="E643" s="1149"/>
      <c r="F643" s="1149"/>
      <c r="G643" s="3"/>
    </row>
    <row r="644" spans="1:11">
      <c r="A644" s="124"/>
      <c r="B644" s="124"/>
      <c r="C644" s="909"/>
      <c r="D644" s="1149"/>
      <c r="E644" s="1149"/>
      <c r="F644" s="1149"/>
      <c r="G644" s="3"/>
    </row>
    <row r="645" spans="1:11">
      <c r="A645" s="124"/>
      <c r="B645" s="124"/>
      <c r="C645" s="909"/>
      <c r="D645" s="368"/>
      <c r="E645" s="368"/>
      <c r="F645" s="368"/>
      <c r="G645" s="3"/>
    </row>
    <row r="646" spans="1:11">
      <c r="A646" s="124"/>
      <c r="B646" s="362" t="s">
        <v>294</v>
      </c>
      <c r="C646" s="909"/>
      <c r="D646" s="1179" t="s">
        <v>462</v>
      </c>
      <c r="E646" s="1179"/>
      <c r="F646" s="1179"/>
      <c r="G646" s="3"/>
    </row>
    <row r="647" spans="1:11">
      <c r="A647" s="124"/>
      <c r="B647" s="124"/>
      <c r="C647" s="909"/>
      <c r="D647" s="1178" t="s">
        <v>463</v>
      </c>
      <c r="E647" s="1178"/>
      <c r="F647" s="1178"/>
      <c r="G647" s="3"/>
    </row>
    <row r="648" spans="1:11">
      <c r="A648" s="124"/>
      <c r="B648" s="124"/>
      <c r="C648" s="909"/>
      <c r="D648" s="1178"/>
      <c r="E648" s="1178"/>
      <c r="F648" s="1178"/>
      <c r="G648" s="3"/>
    </row>
    <row r="649" spans="1:11">
      <c r="A649" s="124"/>
      <c r="B649" s="124"/>
      <c r="C649" s="909"/>
      <c r="D649" s="1178"/>
      <c r="E649" s="1178"/>
      <c r="F649" s="1178"/>
      <c r="G649" s="3"/>
    </row>
    <row r="650" spans="1:11">
      <c r="A650" s="124"/>
      <c r="B650" s="124"/>
      <c r="C650" s="909"/>
      <c r="D650" s="1178"/>
      <c r="E650" s="1178"/>
      <c r="F650" s="1178"/>
      <c r="G650" s="3"/>
    </row>
    <row r="651" spans="1:11">
      <c r="A651" s="124"/>
      <c r="B651" s="124"/>
      <c r="C651" s="909"/>
      <c r="D651" s="1178"/>
      <c r="E651" s="1178"/>
      <c r="F651" s="1178"/>
      <c r="G651" s="3"/>
    </row>
    <row r="652" spans="1:11">
      <c r="A652" s="124"/>
      <c r="B652" s="124"/>
      <c r="C652" s="909"/>
      <c r="D652" s="1180" t="s">
        <v>464</v>
      </c>
      <c r="E652" s="1180"/>
      <c r="F652" s="1180"/>
      <c r="G652" s="3"/>
    </row>
    <row r="653" spans="1:11">
      <c r="A653" s="909"/>
      <c r="B653" s="909"/>
      <c r="C653" s="909"/>
      <c r="D653" s="85"/>
      <c r="E653" s="85"/>
      <c r="F653" s="85"/>
      <c r="G653" s="3"/>
    </row>
    <row r="654" spans="1:11">
      <c r="A654" s="1167" t="s">
        <v>465</v>
      </c>
      <c r="B654" s="1167"/>
      <c r="C654" s="1167"/>
      <c r="D654" s="1167"/>
      <c r="E654" s="1167"/>
      <c r="F654" s="1167"/>
      <c r="G654" s="1167"/>
      <c r="H654" s="126"/>
      <c r="I654" s="126"/>
      <c r="J654" s="126"/>
      <c r="K654" s="126"/>
    </row>
    <row r="655" spans="1:11">
      <c r="A655" s="375"/>
      <c r="B655" s="375"/>
      <c r="C655" s="375"/>
      <c r="D655" s="375"/>
      <c r="E655" s="375"/>
      <c r="F655" s="375"/>
      <c r="G655" s="375"/>
      <c r="H655" s="126"/>
      <c r="I655" s="126"/>
      <c r="J655" s="126"/>
      <c r="K655" s="126"/>
    </row>
    <row r="656" spans="1:11">
      <c r="A656" s="279"/>
      <c r="B656" s="279"/>
      <c r="C656" s="120"/>
      <c r="D656" s="1165" t="s">
        <v>466</v>
      </c>
      <c r="E656" s="1165"/>
      <c r="F656" s="1165"/>
      <c r="G656" s="3"/>
      <c r="H656" s="126"/>
      <c r="I656" s="126"/>
      <c r="J656" s="126"/>
      <c r="K656" s="126"/>
    </row>
    <row r="657" spans="1:11">
      <c r="A657" s="120"/>
      <c r="B657" s="120"/>
      <c r="C657" s="120"/>
      <c r="D657" s="1165" t="s">
        <v>467</v>
      </c>
      <c r="E657" s="1165"/>
      <c r="F657" s="1165"/>
      <c r="G657" s="3"/>
      <c r="H657" s="126"/>
      <c r="I657" s="126"/>
      <c r="J657" s="126"/>
      <c r="K657" s="126"/>
    </row>
    <row r="658" spans="1:11">
      <c r="A658" s="123"/>
      <c r="B658" s="123"/>
      <c r="C658" s="123"/>
      <c r="D658" s="1166" t="s">
        <v>468</v>
      </c>
      <c r="E658" s="1166"/>
      <c r="F658" s="1166"/>
      <c r="G658" s="3"/>
      <c r="H658" s="126"/>
      <c r="I658" s="126"/>
      <c r="J658" s="126"/>
      <c r="K658" s="126"/>
    </row>
    <row r="659" spans="1:11">
      <c r="A659" s="123"/>
      <c r="B659" s="123"/>
      <c r="C659" s="123"/>
      <c r="D659" s="3"/>
      <c r="E659" s="3"/>
      <c r="F659" s="3"/>
      <c r="G659" s="3"/>
      <c r="H659" s="126"/>
      <c r="I659" s="126"/>
      <c r="J659" s="126"/>
      <c r="K659" s="126"/>
    </row>
    <row r="660" spans="1:11">
      <c r="A660" s="124"/>
      <c r="B660" s="362" t="s">
        <v>294</v>
      </c>
      <c r="C660" s="123"/>
      <c r="D660" s="1166" t="s">
        <v>469</v>
      </c>
      <c r="E660" s="1166"/>
      <c r="F660" s="1166"/>
      <c r="G660" s="3"/>
      <c r="H660" s="126"/>
      <c r="I660" s="126"/>
      <c r="J660" s="126"/>
      <c r="K660" s="126"/>
    </row>
    <row r="661" spans="1:11">
      <c r="A661" s="123"/>
      <c r="B661" s="123"/>
      <c r="C661" s="123"/>
      <c r="D661" s="1166" t="s">
        <v>470</v>
      </c>
      <c r="E661" s="1166"/>
      <c r="F661" s="1166"/>
      <c r="G661" s="3"/>
      <c r="H661" s="126"/>
      <c r="I661" s="126"/>
      <c r="J661" s="126"/>
      <c r="K661" s="126"/>
    </row>
    <row r="662" spans="1:11">
      <c r="A662" s="123"/>
      <c r="B662" s="123"/>
      <c r="C662" s="123"/>
      <c r="D662" s="3"/>
      <c r="E662" s="1151" t="s">
        <v>471</v>
      </c>
      <c r="F662" s="1151"/>
      <c r="G662" s="3"/>
      <c r="H662" s="126"/>
      <c r="I662" s="126"/>
      <c r="J662" s="126"/>
      <c r="K662" s="126"/>
    </row>
    <row r="663" spans="1:11">
      <c r="A663" s="123"/>
      <c r="B663" s="123"/>
      <c r="C663" s="123"/>
      <c r="D663" s="3"/>
      <c r="E663" s="1151"/>
      <c r="F663" s="1151"/>
      <c r="G663" s="3"/>
      <c r="H663" s="126"/>
      <c r="I663" s="126"/>
      <c r="J663" s="126"/>
      <c r="K663" s="126"/>
    </row>
    <row r="664" spans="1:11">
      <c r="A664" s="123"/>
      <c r="B664" s="123"/>
      <c r="C664" s="123"/>
      <c r="D664" s="127"/>
      <c r="E664" s="85"/>
      <c r="F664" s="3"/>
      <c r="G664" s="3"/>
      <c r="H664" s="126"/>
      <c r="I664" s="126"/>
      <c r="J664" s="126"/>
      <c r="K664" s="126"/>
    </row>
    <row r="665" spans="1:11">
      <c r="A665" s="124"/>
      <c r="B665" s="362" t="s">
        <v>294</v>
      </c>
      <c r="C665" s="123"/>
      <c r="D665" s="1149" t="s">
        <v>472</v>
      </c>
      <c r="E665" s="1149"/>
      <c r="F665" s="1149"/>
      <c r="G665" s="3"/>
      <c r="H665" s="126"/>
      <c r="I665" s="126"/>
      <c r="J665" s="126"/>
      <c r="K665" s="126"/>
    </row>
    <row r="666" spans="1:11">
      <c r="A666" s="13"/>
      <c r="B666" s="13"/>
      <c r="C666" s="123"/>
      <c r="D666" s="1149"/>
      <c r="E666" s="1149"/>
      <c r="F666" s="1149"/>
      <c r="G666" s="3"/>
      <c r="H666" s="126"/>
      <c r="I666" s="126"/>
      <c r="J666" s="126"/>
      <c r="K666" s="126"/>
    </row>
    <row r="667" spans="1:11">
      <c r="A667" s="123"/>
      <c r="B667" s="123"/>
      <c r="C667" s="123"/>
      <c r="D667" s="1149"/>
      <c r="E667" s="1149"/>
      <c r="F667" s="1149"/>
      <c r="G667" s="3"/>
      <c r="H667" s="126"/>
      <c r="I667" s="126"/>
      <c r="J667" s="126"/>
      <c r="K667" s="126"/>
    </row>
    <row r="668" spans="1:11">
      <c r="A668" s="123"/>
      <c r="B668" s="123"/>
      <c r="C668" s="123"/>
      <c r="D668" s="3"/>
      <c r="E668" s="3"/>
      <c r="F668" s="3"/>
      <c r="G668" s="3"/>
      <c r="H668" s="126"/>
      <c r="I668" s="126"/>
      <c r="J668" s="126"/>
      <c r="K668" s="126"/>
    </row>
    <row r="669" spans="1:11">
      <c r="A669" s="124"/>
      <c r="B669" s="362" t="s">
        <v>294</v>
      </c>
      <c r="C669" s="123"/>
      <c r="D669" s="1166" t="s">
        <v>473</v>
      </c>
      <c r="E669" s="1166"/>
      <c r="F669" s="1166"/>
      <c r="G669" s="3"/>
      <c r="H669" s="126"/>
      <c r="I669" s="126"/>
      <c r="J669" s="126"/>
      <c r="K669" s="126"/>
    </row>
    <row r="670" spans="1:11">
      <c r="A670" s="124"/>
      <c r="B670" s="124"/>
      <c r="C670" s="123"/>
      <c r="D670" s="1166" t="s">
        <v>470</v>
      </c>
      <c r="E670" s="1166"/>
      <c r="F670" s="1166"/>
      <c r="G670" s="3"/>
      <c r="H670" s="126"/>
      <c r="I670" s="126"/>
      <c r="J670" s="126"/>
      <c r="K670" s="126"/>
    </row>
    <row r="671" spans="1:11">
      <c r="A671" s="123"/>
      <c r="B671" s="123"/>
      <c r="C671" s="123"/>
      <c r="D671" s="3"/>
      <c r="E671" s="1171" t="s">
        <v>474</v>
      </c>
      <c r="F671" s="1171"/>
      <c r="G671" s="3"/>
      <c r="H671" s="126"/>
      <c r="I671" s="126"/>
      <c r="J671" s="126"/>
      <c r="K671" s="126"/>
    </row>
    <row r="672" spans="1:11">
      <c r="A672" s="123"/>
      <c r="B672" s="123"/>
      <c r="C672" s="123"/>
      <c r="D672" s="2"/>
      <c r="E672" s="3"/>
      <c r="F672" s="3"/>
      <c r="G672" s="3"/>
      <c r="H672" s="126"/>
      <c r="I672" s="126"/>
      <c r="J672" s="126"/>
      <c r="K672" s="126"/>
    </row>
    <row r="673" spans="1:11">
      <c r="A673" s="124"/>
      <c r="B673" s="362" t="s">
        <v>294</v>
      </c>
      <c r="C673" s="123"/>
      <c r="D673" s="1149" t="s">
        <v>475</v>
      </c>
      <c r="E673" s="1149"/>
      <c r="F673" s="1149"/>
      <c r="G673" s="3"/>
      <c r="H673" s="126"/>
      <c r="I673" s="126"/>
      <c r="J673" s="126"/>
      <c r="K673" s="126"/>
    </row>
    <row r="674" spans="1:11">
      <c r="A674" s="123"/>
      <c r="B674" s="123"/>
      <c r="C674" s="123"/>
      <c r="D674" s="1149"/>
      <c r="E674" s="1149"/>
      <c r="F674" s="1149"/>
      <c r="G674" s="3"/>
      <c r="H674" s="126"/>
      <c r="I674" s="126"/>
      <c r="J674" s="126"/>
      <c r="K674" s="126"/>
    </row>
    <row r="675" spans="1:11">
      <c r="A675" s="123"/>
      <c r="B675" s="123"/>
      <c r="C675" s="123"/>
      <c r="D675" s="1149"/>
      <c r="E675" s="1149"/>
      <c r="F675" s="1149"/>
      <c r="G675" s="3"/>
      <c r="H675" s="126"/>
      <c r="I675" s="126"/>
      <c r="J675" s="126"/>
      <c r="K675" s="126"/>
    </row>
    <row r="676" spans="1:11">
      <c r="A676" s="123"/>
      <c r="B676" s="123"/>
      <c r="C676" s="123"/>
      <c r="D676" s="1149"/>
      <c r="E676" s="1149"/>
      <c r="F676" s="1149"/>
      <c r="G676" s="3"/>
      <c r="H676" s="126"/>
      <c r="I676" s="126"/>
      <c r="J676" s="126"/>
      <c r="K676" s="126"/>
    </row>
    <row r="677" spans="1:11">
      <c r="A677" s="123"/>
      <c r="B677" s="123"/>
      <c r="C677" s="123"/>
      <c r="D677" s="1149"/>
      <c r="E677" s="1149"/>
      <c r="F677" s="1149"/>
      <c r="G677" s="3"/>
      <c r="H677" s="126"/>
      <c r="I677" s="126"/>
      <c r="J677" s="126"/>
      <c r="K677" s="126"/>
    </row>
    <row r="678" spans="1:11">
      <c r="A678" s="123"/>
      <c r="B678" s="123"/>
      <c r="C678" s="123"/>
      <c r="D678" s="1149"/>
      <c r="E678" s="1149"/>
      <c r="F678" s="1149"/>
      <c r="G678" s="3"/>
      <c r="H678" s="126"/>
      <c r="I678" s="126"/>
      <c r="J678" s="126"/>
      <c r="K678" s="126"/>
    </row>
    <row r="679" spans="1:11">
      <c r="A679" s="123"/>
      <c r="B679" s="123"/>
      <c r="C679" s="123"/>
      <c r="D679" s="368"/>
      <c r="E679" s="368"/>
      <c r="F679" s="368"/>
      <c r="G679" s="3"/>
      <c r="H679" s="126"/>
      <c r="I679" s="126"/>
      <c r="J679" s="126"/>
      <c r="K679" s="126"/>
    </row>
    <row r="680" spans="1:11">
      <c r="A680" s="124"/>
      <c r="B680" s="362" t="s">
        <v>294</v>
      </c>
      <c r="C680" s="123"/>
      <c r="D680" s="1149" t="s">
        <v>476</v>
      </c>
      <c r="E680" s="1149"/>
      <c r="F680" s="1149"/>
      <c r="G680" s="3"/>
      <c r="H680" s="126"/>
      <c r="I680" s="126"/>
      <c r="J680" s="126"/>
      <c r="K680" s="126"/>
    </row>
    <row r="681" spans="1:11">
      <c r="A681" s="123"/>
      <c r="B681" s="123"/>
      <c r="C681" s="123"/>
      <c r="D681" s="1149"/>
      <c r="E681" s="1149"/>
      <c r="F681" s="1149"/>
      <c r="G681" s="3"/>
      <c r="H681" s="126"/>
      <c r="I681" s="126"/>
      <c r="J681" s="126"/>
      <c r="K681" s="126"/>
    </row>
    <row r="682" spans="1:11">
      <c r="A682" s="123"/>
      <c r="B682" s="123"/>
      <c r="C682" s="123"/>
      <c r="D682" s="1149"/>
      <c r="E682" s="1149"/>
      <c r="F682" s="1149"/>
      <c r="G682" s="3"/>
      <c r="H682" s="126"/>
      <c r="I682" s="126"/>
      <c r="J682" s="126"/>
      <c r="K682" s="126"/>
    </row>
    <row r="683" spans="1:11" ht="15" customHeight="1">
      <c r="A683" s="123"/>
      <c r="B683" s="123"/>
      <c r="C683" s="123"/>
      <c r="D683" s="1149"/>
      <c r="E683" s="1149"/>
      <c r="F683" s="1149"/>
      <c r="G683" s="3"/>
      <c r="H683" s="126"/>
      <c r="I683" s="126"/>
      <c r="J683" s="126"/>
      <c r="K683" s="126"/>
    </row>
    <row r="684" spans="1:11" ht="15" customHeight="1">
      <c r="A684" s="123"/>
      <c r="B684" s="123"/>
      <c r="C684" s="123"/>
      <c r="D684" s="1149"/>
      <c r="E684" s="1149"/>
      <c r="F684" s="1149"/>
      <c r="G684" s="3"/>
      <c r="H684" s="126"/>
      <c r="I684" s="126"/>
      <c r="J684" s="126"/>
      <c r="K684" s="126"/>
    </row>
    <row r="685" spans="1:11">
      <c r="A685" s="123"/>
      <c r="B685" s="123"/>
      <c r="C685" s="123"/>
      <c r="D685" s="1149"/>
      <c r="E685" s="1149"/>
      <c r="F685" s="1149"/>
      <c r="G685" s="3"/>
      <c r="H685" s="126"/>
      <c r="I685" s="126"/>
      <c r="J685" s="126"/>
      <c r="K685" s="126"/>
    </row>
    <row r="686" spans="1:11">
      <c r="A686" s="123"/>
      <c r="B686" s="123"/>
      <c r="C686" s="123"/>
      <c r="D686" s="1149"/>
      <c r="E686" s="1149"/>
      <c r="F686" s="1149"/>
      <c r="G686" s="3"/>
      <c r="H686" s="126"/>
      <c r="I686" s="126"/>
      <c r="J686" s="126"/>
      <c r="K686" s="126"/>
    </row>
    <row r="687" spans="1:11">
      <c r="A687" s="123"/>
      <c r="B687" s="123"/>
      <c r="C687" s="123"/>
      <c r="D687" s="1149"/>
      <c r="E687" s="1149"/>
      <c r="F687" s="1149"/>
      <c r="G687" s="3"/>
      <c r="H687" s="126"/>
      <c r="I687" s="126"/>
      <c r="J687" s="126"/>
      <c r="K687" s="126"/>
    </row>
    <row r="688" spans="1:11" ht="15" customHeight="1">
      <c r="A688" s="123"/>
      <c r="B688" s="123"/>
      <c r="C688" s="123"/>
      <c r="D688" s="1149"/>
      <c r="E688" s="1149"/>
      <c r="F688" s="1149"/>
      <c r="G688" s="3"/>
      <c r="H688" s="126"/>
      <c r="I688" s="126"/>
      <c r="J688" s="126"/>
      <c r="K688" s="126"/>
    </row>
    <row r="689" spans="1:11">
      <c r="A689" s="123"/>
      <c r="B689" s="123"/>
      <c r="C689" s="123"/>
      <c r="D689" s="1149"/>
      <c r="E689" s="1149"/>
      <c r="F689" s="1149"/>
      <c r="G689" s="3"/>
      <c r="H689" s="126"/>
      <c r="I689" s="126"/>
      <c r="J689" s="126"/>
      <c r="K689" s="126"/>
    </row>
    <row r="690" spans="1:11">
      <c r="A690" s="123"/>
      <c r="B690" s="123"/>
      <c r="C690" s="123"/>
      <c r="D690" s="1149"/>
      <c r="E690" s="1149"/>
      <c r="F690" s="1149"/>
      <c r="G690" s="3"/>
      <c r="H690" s="126"/>
      <c r="I690" s="126"/>
      <c r="J690" s="126"/>
      <c r="K690" s="126"/>
    </row>
    <row r="691" spans="1:11">
      <c r="A691" s="123"/>
      <c r="B691" s="123"/>
      <c r="C691" s="123"/>
      <c r="D691" s="1149"/>
      <c r="E691" s="1149"/>
      <c r="F691" s="1149"/>
      <c r="G691" s="3"/>
      <c r="H691" s="126"/>
      <c r="I691" s="126"/>
      <c r="J691" s="126"/>
      <c r="K691" s="126"/>
    </row>
    <row r="692" spans="1:11">
      <c r="A692" s="123"/>
      <c r="B692" s="123"/>
      <c r="C692" s="123"/>
      <c r="D692" s="368"/>
      <c r="E692" s="368"/>
      <c r="F692" s="368"/>
      <c r="G692" s="3"/>
      <c r="H692" s="126"/>
      <c r="I692" s="126"/>
      <c r="J692" s="126"/>
      <c r="K692" s="126"/>
    </row>
    <row r="693" spans="1:11">
      <c r="A693" s="124"/>
      <c r="B693" s="362" t="s">
        <v>294</v>
      </c>
      <c r="C693" s="123"/>
      <c r="D693" s="1149" t="s">
        <v>477</v>
      </c>
      <c r="E693" s="1149"/>
      <c r="F693" s="1149"/>
      <c r="G693" s="3"/>
      <c r="H693" s="126"/>
      <c r="I693" s="126"/>
      <c r="J693" s="126"/>
      <c r="K693" s="126"/>
    </row>
    <row r="694" spans="1:11">
      <c r="A694" s="123"/>
      <c r="B694" s="123"/>
      <c r="C694" s="123"/>
      <c r="D694" s="1149"/>
      <c r="E694" s="1149"/>
      <c r="F694" s="1149"/>
      <c r="G694" s="3"/>
      <c r="H694" s="126"/>
      <c r="I694" s="126"/>
      <c r="J694" s="126"/>
      <c r="K694" s="126"/>
    </row>
    <row r="695" spans="1:11">
      <c r="A695" s="123"/>
      <c r="B695" s="123"/>
      <c r="C695" s="123"/>
      <c r="D695" s="1149"/>
      <c r="E695" s="1149"/>
      <c r="F695" s="1149"/>
      <c r="G695" s="3"/>
      <c r="H695" s="126"/>
      <c r="I695" s="126"/>
      <c r="J695" s="126"/>
      <c r="K695" s="126"/>
    </row>
    <row r="696" spans="1:11">
      <c r="A696" s="123"/>
      <c r="B696" s="123"/>
      <c r="C696" s="123"/>
      <c r="D696" s="368"/>
      <c r="E696" s="368"/>
      <c r="F696" s="368"/>
      <c r="G696" s="3"/>
      <c r="H696" s="126"/>
      <c r="I696" s="126"/>
      <c r="J696" s="126"/>
      <c r="K696" s="126"/>
    </row>
    <row r="697" spans="1:11">
      <c r="A697" s="123"/>
      <c r="B697" s="362" t="s">
        <v>294</v>
      </c>
      <c r="C697" s="123"/>
      <c r="D697" s="1149" t="s">
        <v>478</v>
      </c>
      <c r="E697" s="1149"/>
      <c r="F697" s="1149"/>
      <c r="G697" s="3"/>
      <c r="H697" s="126"/>
      <c r="I697" s="126"/>
      <c r="J697" s="126"/>
      <c r="K697" s="126"/>
    </row>
    <row r="698" spans="1:11">
      <c r="A698" s="123"/>
      <c r="B698" s="123"/>
      <c r="C698" s="123"/>
      <c r="D698" s="1149"/>
      <c r="E698" s="1149"/>
      <c r="F698" s="1149"/>
      <c r="G698" s="3"/>
      <c r="H698" s="126"/>
      <c r="I698" s="126"/>
      <c r="J698" s="126"/>
      <c r="K698" s="126"/>
    </row>
    <row r="699" spans="1:11">
      <c r="A699" s="123"/>
      <c r="B699" s="123"/>
      <c r="C699" s="123"/>
      <c r="D699" s="368"/>
      <c r="E699" s="368"/>
      <c r="F699" s="368"/>
      <c r="G699" s="3"/>
      <c r="H699" s="126"/>
      <c r="I699" s="126"/>
      <c r="J699" s="126"/>
      <c r="K699" s="126"/>
    </row>
    <row r="700" spans="1:11">
      <c r="A700" s="123"/>
      <c r="B700" s="362" t="s">
        <v>294</v>
      </c>
      <c r="C700" s="123"/>
      <c r="D700" s="1149" t="s">
        <v>479</v>
      </c>
      <c r="E700" s="1149"/>
      <c r="F700" s="1149"/>
      <c r="G700" s="3"/>
      <c r="H700" s="126"/>
      <c r="I700" s="126"/>
      <c r="J700" s="126"/>
      <c r="K700" s="126"/>
    </row>
    <row r="701" spans="1:11">
      <c r="A701" s="123"/>
      <c r="B701" s="123"/>
      <c r="C701" s="123"/>
      <c r="D701" s="1149"/>
      <c r="E701" s="1149"/>
      <c r="F701" s="1149"/>
      <c r="G701" s="3"/>
      <c r="H701" s="126"/>
      <c r="I701" s="126"/>
      <c r="J701" s="126"/>
      <c r="K701" s="126"/>
    </row>
    <row r="702" spans="1:11">
      <c r="A702" s="123"/>
      <c r="B702" s="123"/>
      <c r="C702" s="123"/>
      <c r="D702" s="1149"/>
      <c r="E702" s="1149"/>
      <c r="F702" s="1149"/>
      <c r="G702" s="3"/>
      <c r="H702" s="126"/>
      <c r="I702" s="126"/>
      <c r="J702" s="126"/>
      <c r="K702" s="126"/>
    </row>
    <row r="703" spans="1:11">
      <c r="A703" s="123"/>
      <c r="B703" s="123"/>
      <c r="C703" s="123"/>
      <c r="D703" s="368"/>
      <c r="E703" s="368"/>
      <c r="F703" s="368"/>
      <c r="G703" s="3"/>
      <c r="H703" s="126"/>
      <c r="I703" s="126"/>
      <c r="J703" s="126"/>
      <c r="K703" s="126"/>
    </row>
    <row r="704" spans="1:11">
      <c r="A704" s="123"/>
      <c r="B704" s="362" t="s">
        <v>294</v>
      </c>
      <c r="C704" s="123"/>
      <c r="D704" s="1149" t="s">
        <v>480</v>
      </c>
      <c r="E704" s="1149"/>
      <c r="F704" s="1149"/>
      <c r="G704" s="3"/>
      <c r="H704" s="126"/>
      <c r="I704" s="126"/>
      <c r="J704" s="126"/>
      <c r="K704" s="126"/>
    </row>
    <row r="705" spans="1:11">
      <c r="A705" s="123"/>
      <c r="B705" s="123"/>
      <c r="C705" s="123"/>
      <c r="D705" s="1149"/>
      <c r="E705" s="1149"/>
      <c r="F705" s="1149"/>
      <c r="G705" s="3"/>
      <c r="H705" s="126"/>
      <c r="I705" s="126"/>
      <c r="J705" s="126"/>
      <c r="K705" s="126"/>
    </row>
    <row r="706" spans="1:11">
      <c r="A706" s="123"/>
      <c r="B706" s="123"/>
      <c r="C706" s="123"/>
      <c r="D706" s="1149"/>
      <c r="E706" s="1149"/>
      <c r="F706" s="1149"/>
      <c r="G706" s="3"/>
      <c r="H706" s="126"/>
      <c r="I706" s="126"/>
      <c r="J706" s="126"/>
      <c r="K706" s="126"/>
    </row>
    <row r="707" spans="1:11">
      <c r="A707" s="123"/>
      <c r="B707" s="123"/>
      <c r="C707" s="123"/>
      <c r="D707" s="3"/>
      <c r="E707" s="3"/>
      <c r="F707" s="3"/>
      <c r="G707" s="3"/>
      <c r="H707" s="126"/>
      <c r="I707" s="126"/>
      <c r="J707" s="126"/>
      <c r="K707" s="126"/>
    </row>
    <row r="708" spans="1:11">
      <c r="A708" s="123"/>
      <c r="B708" s="362" t="s">
        <v>294</v>
      </c>
      <c r="C708" s="123"/>
      <c r="D708" s="1149" t="s">
        <v>481</v>
      </c>
      <c r="E708" s="1149"/>
      <c r="F708" s="1149"/>
      <c r="G708" s="3"/>
      <c r="H708" s="126"/>
      <c r="I708" s="126"/>
      <c r="J708" s="126"/>
      <c r="K708" s="126"/>
    </row>
    <row r="709" spans="1:11">
      <c r="A709" s="123"/>
      <c r="B709" s="123"/>
      <c r="C709" s="123"/>
      <c r="D709" s="1149"/>
      <c r="E709" s="1149"/>
      <c r="F709" s="1149"/>
      <c r="G709" s="3"/>
      <c r="H709" s="126"/>
      <c r="I709" s="126"/>
      <c r="J709" s="126"/>
      <c r="K709" s="126"/>
    </row>
    <row r="710" spans="1:11">
      <c r="A710" s="123"/>
      <c r="B710" s="123"/>
      <c r="C710" s="123"/>
      <c r="D710" s="1149"/>
      <c r="E710" s="1149"/>
      <c r="F710" s="1149"/>
      <c r="G710" s="3"/>
      <c r="H710" s="126"/>
      <c r="I710" s="126"/>
      <c r="J710" s="126"/>
      <c r="K710" s="126"/>
    </row>
    <row r="711" spans="1:11">
      <c r="A711" s="123"/>
      <c r="B711" s="123"/>
      <c r="C711" s="123"/>
      <c r="D711"/>
      <c r="E711" s="3"/>
      <c r="F711" s="3"/>
      <c r="G711" s="3"/>
      <c r="H711" s="126"/>
      <c r="I711" s="126"/>
      <c r="J711" s="126"/>
      <c r="K711" s="126"/>
    </row>
    <row r="712" spans="1:11">
      <c r="A712" s="124"/>
      <c r="B712" s="362" t="s">
        <v>294</v>
      </c>
      <c r="C712" s="123"/>
      <c r="D712" s="1149" t="s">
        <v>482</v>
      </c>
      <c r="E712" s="1149"/>
      <c r="F712" s="1149"/>
      <c r="G712" s="3"/>
      <c r="H712" s="126"/>
      <c r="I712" s="126"/>
      <c r="J712" s="126"/>
      <c r="K712" s="126"/>
    </row>
    <row r="713" spans="1:11">
      <c r="A713" s="123"/>
      <c r="B713" s="123"/>
      <c r="C713" s="123"/>
      <c r="D713" s="1149"/>
      <c r="E713" s="1149"/>
      <c r="F713" s="1149"/>
      <c r="G713" s="3"/>
      <c r="H713" s="126"/>
      <c r="I713" s="126"/>
      <c r="J713" s="126"/>
      <c r="K713" s="126"/>
    </row>
    <row r="714" spans="1:11">
      <c r="A714" s="123"/>
      <c r="B714" s="123"/>
      <c r="C714" s="123"/>
      <c r="D714" s="1149"/>
      <c r="E714" s="1149"/>
      <c r="F714" s="1149"/>
      <c r="G714" s="3"/>
      <c r="H714" s="126"/>
      <c r="I714" s="126"/>
      <c r="J714" s="126"/>
      <c r="K714" s="126"/>
    </row>
    <row r="715" spans="1:11">
      <c r="A715" s="123"/>
      <c r="B715" s="123"/>
      <c r="C715" s="123"/>
      <c r="D715" s="1149"/>
      <c r="E715" s="1149"/>
      <c r="F715" s="1149"/>
      <c r="G715" s="3"/>
      <c r="H715" s="126"/>
      <c r="I715" s="126"/>
      <c r="J715" s="126"/>
      <c r="K715" s="126"/>
    </row>
    <row r="716" spans="1:11">
      <c r="A716" s="123"/>
      <c r="B716" s="123"/>
      <c r="C716" s="123"/>
      <c r="D716" s="914"/>
      <c r="E716" s="3"/>
      <c r="F716" s="3"/>
      <c r="G716" s="3"/>
      <c r="H716" s="126"/>
      <c r="I716" s="126"/>
      <c r="J716" s="126"/>
      <c r="K716" s="126"/>
    </row>
    <row r="717" spans="1:11">
      <c r="A717" s="124"/>
      <c r="B717" s="362" t="s">
        <v>294</v>
      </c>
      <c r="C717" s="123"/>
      <c r="D717" s="1149" t="s">
        <v>483</v>
      </c>
      <c r="E717" s="1149"/>
      <c r="F717" s="1149"/>
      <c r="G717" s="3"/>
      <c r="H717" s="126"/>
      <c r="I717" s="126"/>
      <c r="J717" s="126"/>
      <c r="K717" s="126"/>
    </row>
    <row r="718" spans="1:11">
      <c r="A718" s="123"/>
      <c r="B718" s="123"/>
      <c r="C718" s="123"/>
      <c r="D718" s="1149"/>
      <c r="E718" s="1149"/>
      <c r="F718" s="1149"/>
      <c r="G718" s="3"/>
      <c r="H718" s="126"/>
      <c r="I718" s="126"/>
      <c r="J718" s="126"/>
      <c r="K718" s="126"/>
    </row>
    <row r="719" spans="1:11">
      <c r="A719" s="123"/>
      <c r="B719" s="123"/>
      <c r="C719" s="123"/>
      <c r="D719" s="1149"/>
      <c r="E719" s="1149"/>
      <c r="F719" s="1149"/>
      <c r="G719" s="3"/>
      <c r="H719" s="126"/>
      <c r="I719" s="126"/>
      <c r="J719" s="126"/>
      <c r="K719" s="126"/>
    </row>
    <row r="720" spans="1:11">
      <c r="A720" s="123"/>
      <c r="B720" s="123"/>
      <c r="C720" s="123"/>
      <c r="D720" s="1149"/>
      <c r="E720" s="1149"/>
      <c r="F720" s="1149"/>
      <c r="G720" s="3"/>
      <c r="H720" s="126"/>
      <c r="I720" s="126"/>
      <c r="J720" s="126"/>
      <c r="K720" s="126"/>
    </row>
    <row r="721" spans="1:11">
      <c r="A721" s="123"/>
      <c r="B721" s="123"/>
      <c r="C721" s="123"/>
      <c r="D721" s="1149"/>
      <c r="E721" s="1149"/>
      <c r="F721" s="1149"/>
      <c r="G721" s="3"/>
      <c r="H721" s="126"/>
      <c r="I721" s="126"/>
      <c r="J721" s="126"/>
      <c r="K721" s="126"/>
    </row>
    <row r="722" spans="1:11">
      <c r="A722" s="123"/>
      <c r="B722" s="123"/>
      <c r="C722" s="123"/>
      <c r="D722" s="1149"/>
      <c r="E722" s="1149"/>
      <c r="F722" s="1149"/>
      <c r="G722" s="3"/>
      <c r="H722" s="126"/>
      <c r="I722" s="126"/>
      <c r="J722" s="126"/>
      <c r="K722" s="126"/>
    </row>
    <row r="723" spans="1:11">
      <c r="A723" s="123"/>
      <c r="B723" s="123"/>
      <c r="C723" s="123"/>
      <c r="D723" s="1149"/>
      <c r="E723" s="1149"/>
      <c r="F723" s="1149"/>
      <c r="G723" s="3"/>
      <c r="H723" s="126"/>
      <c r="I723" s="126"/>
      <c r="J723" s="126"/>
      <c r="K723" s="126"/>
    </row>
    <row r="724" spans="1:11">
      <c r="A724" s="123"/>
      <c r="B724" s="123"/>
      <c r="C724" s="123"/>
      <c r="D724" s="1172" t="s">
        <v>484</v>
      </c>
      <c r="E724" s="1172"/>
      <c r="F724" s="1172"/>
      <c r="G724" s="3"/>
      <c r="H724" s="126"/>
      <c r="I724" s="126"/>
      <c r="J724" s="126"/>
      <c r="K724" s="126"/>
    </row>
    <row r="725" spans="1:11">
      <c r="A725" s="123"/>
      <c r="B725" s="123"/>
      <c r="C725" s="123"/>
      <c r="D725" s="263"/>
      <c r="E725" s="3"/>
      <c r="F725" s="3"/>
      <c r="G725" s="3"/>
      <c r="H725" s="126"/>
      <c r="I725" s="126"/>
      <c r="J725" s="126"/>
      <c r="K725" s="126"/>
    </row>
    <row r="726" spans="1:11">
      <c r="A726" s="1168" t="s">
        <v>485</v>
      </c>
      <c r="B726" s="1168"/>
      <c r="C726" s="1168"/>
      <c r="D726" s="1168"/>
      <c r="E726" s="1168"/>
      <c r="F726" s="1168"/>
      <c r="G726" s="1168"/>
      <c r="H726" s="126"/>
      <c r="I726" s="126"/>
      <c r="J726" s="126"/>
      <c r="K726" s="126"/>
    </row>
    <row r="727" spans="1:11">
      <c r="A727" s="123"/>
      <c r="B727" s="123"/>
      <c r="C727" s="123"/>
      <c r="D727" s="914"/>
      <c r="E727" s="3"/>
      <c r="F727" s="3"/>
      <c r="G727" s="908"/>
      <c r="H727" s="126"/>
      <c r="I727" s="126"/>
      <c r="J727" s="126"/>
      <c r="K727" s="126"/>
    </row>
    <row r="728" spans="1:11" ht="13.35" customHeight="1">
      <c r="A728" s="279"/>
      <c r="B728" s="279"/>
      <c r="C728" s="123"/>
      <c r="D728" s="1177" t="s">
        <v>486</v>
      </c>
      <c r="E728" s="1177"/>
      <c r="F728" s="1177"/>
      <c r="G728" s="908"/>
      <c r="H728" s="126"/>
      <c r="I728" s="126"/>
      <c r="J728" s="126"/>
      <c r="K728" s="126"/>
    </row>
    <row r="729" spans="1:11">
      <c r="A729" s="123"/>
      <c r="B729" s="123"/>
      <c r="C729" s="123"/>
      <c r="D729" s="1170" t="s">
        <v>487</v>
      </c>
      <c r="E729" s="1170"/>
      <c r="F729" s="1170"/>
      <c r="G729" s="908"/>
      <c r="H729" s="126"/>
      <c r="I729" s="126"/>
      <c r="J729" s="126"/>
      <c r="K729" s="126"/>
    </row>
    <row r="730" spans="1:11">
      <c r="A730" s="123"/>
      <c r="B730" s="123"/>
      <c r="C730" s="123"/>
      <c r="D730" s="3"/>
      <c r="E730" s="3"/>
      <c r="F730" s="3"/>
      <c r="G730" s="908"/>
      <c r="H730" s="126"/>
      <c r="I730" s="126"/>
      <c r="J730" s="126"/>
      <c r="K730" s="126"/>
    </row>
    <row r="731" spans="1:11">
      <c r="A731" s="124"/>
      <c r="B731" s="362" t="s">
        <v>294</v>
      </c>
      <c r="C731" s="279"/>
      <c r="D731" s="1149" t="s">
        <v>488</v>
      </c>
      <c r="E731" s="1149"/>
      <c r="F731" s="1149"/>
      <c r="G731" s="908"/>
      <c r="H731" s="126"/>
      <c r="I731" s="126"/>
      <c r="J731" s="126"/>
      <c r="K731" s="126"/>
    </row>
    <row r="732" spans="1:11" ht="10.5" customHeight="1">
      <c r="A732" s="279"/>
      <c r="B732" s="279"/>
      <c r="C732" s="279"/>
      <c r="D732" s="1149"/>
      <c r="E732" s="1149"/>
      <c r="F732" s="1149"/>
      <c r="G732" s="908"/>
      <c r="H732" s="126"/>
      <c r="I732" s="126"/>
      <c r="J732" s="126"/>
      <c r="K732" s="126"/>
    </row>
    <row r="733" spans="1:11">
      <c r="A733" s="279"/>
      <c r="B733" s="279"/>
      <c r="C733" s="279"/>
      <c r="D733" s="1149"/>
      <c r="E733" s="1149"/>
      <c r="F733" s="1149"/>
      <c r="G733" s="908"/>
      <c r="H733" s="126"/>
      <c r="I733" s="126"/>
      <c r="J733" s="126"/>
      <c r="K733" s="126"/>
    </row>
    <row r="734" spans="1:11">
      <c r="A734" s="279"/>
      <c r="B734" s="279"/>
      <c r="C734" s="279"/>
      <c r="D734" s="1149"/>
      <c r="E734" s="1149"/>
      <c r="F734" s="1149"/>
      <c r="G734" s="908"/>
      <c r="H734" s="126"/>
      <c r="I734" s="126"/>
      <c r="J734" s="126"/>
      <c r="K734" s="126"/>
    </row>
    <row r="735" spans="1:11">
      <c r="A735" s="279"/>
      <c r="B735" s="279"/>
      <c r="C735" s="279"/>
      <c r="D735" s="1149"/>
      <c r="E735" s="1149"/>
      <c r="F735" s="1149"/>
      <c r="G735" s="908"/>
      <c r="H735" s="126"/>
      <c r="I735" s="126"/>
      <c r="J735" s="126"/>
      <c r="K735" s="126"/>
    </row>
    <row r="736" spans="1:11" ht="15.75" customHeight="1">
      <c r="A736" s="279"/>
      <c r="B736" s="279"/>
      <c r="C736" s="279"/>
      <c r="D736" s="1149"/>
      <c r="E736" s="1149"/>
      <c r="F736" s="1149"/>
      <c r="G736" s="908"/>
      <c r="H736" s="126"/>
      <c r="I736" s="126"/>
      <c r="J736" s="126"/>
      <c r="K736" s="126"/>
    </row>
    <row r="737" spans="1:11">
      <c r="A737" s="279"/>
      <c r="B737" s="279"/>
      <c r="C737" s="279"/>
      <c r="D737" s="174"/>
      <c r="E737" s="85"/>
      <c r="F737" s="85"/>
      <c r="G737" s="908"/>
      <c r="H737" s="126"/>
      <c r="I737" s="126"/>
      <c r="J737" s="126"/>
      <c r="K737" s="126"/>
    </row>
    <row r="738" spans="1:11" s="181" customFormat="1">
      <c r="A738" s="180"/>
      <c r="B738" s="362" t="s">
        <v>294</v>
      </c>
      <c r="C738" s="920"/>
      <c r="D738" s="1149" t="s">
        <v>489</v>
      </c>
      <c r="E738" s="1149"/>
      <c r="F738" s="1149"/>
      <c r="G738" s="921"/>
    </row>
    <row r="739" spans="1:11" s="181" customFormat="1">
      <c r="A739" s="920"/>
      <c r="B739" s="920"/>
      <c r="C739" s="920"/>
      <c r="D739" s="1149"/>
      <c r="E739" s="1149"/>
      <c r="F739" s="1149"/>
      <c r="G739" s="921"/>
    </row>
    <row r="740" spans="1:11" s="181" customFormat="1">
      <c r="A740" s="920"/>
      <c r="B740" s="920"/>
      <c r="C740" s="920"/>
      <c r="D740" s="1149"/>
      <c r="E740" s="1149"/>
      <c r="F740" s="1149"/>
      <c r="G740" s="921"/>
    </row>
    <row r="741" spans="1:11" s="181" customFormat="1">
      <c r="A741" s="920"/>
      <c r="B741" s="920"/>
      <c r="C741" s="920"/>
      <c r="D741" s="1149"/>
      <c r="E741" s="1149"/>
      <c r="F741" s="1149"/>
      <c r="G741" s="921"/>
    </row>
    <row r="742" spans="1:11" s="181" customFormat="1">
      <c r="A742" s="920"/>
      <c r="B742" s="920"/>
      <c r="C742" s="920"/>
      <c r="D742" s="174"/>
      <c r="E742" s="921"/>
      <c r="F742" s="921"/>
      <c r="G742" s="921"/>
    </row>
    <row r="743" spans="1:11" s="181" customFormat="1">
      <c r="A743" s="124"/>
      <c r="B743" s="362" t="s">
        <v>294</v>
      </c>
      <c r="C743" s="920"/>
      <c r="D743" s="1178" t="s">
        <v>490</v>
      </c>
      <c r="E743" s="1178"/>
      <c r="F743" s="1178"/>
      <c r="G743" s="921"/>
    </row>
    <row r="744" spans="1:11" s="181" customFormat="1">
      <c r="A744" s="920"/>
      <c r="B744" s="920"/>
      <c r="C744" s="920"/>
      <c r="D744" s="1178"/>
      <c r="E744" s="1178"/>
      <c r="F744" s="1178"/>
      <c r="G744" s="921"/>
    </row>
    <row r="745" spans="1:11" s="181" customFormat="1">
      <c r="A745" s="920"/>
      <c r="B745" s="920"/>
      <c r="C745" s="920"/>
      <c r="D745" s="1178"/>
      <c r="E745" s="1178"/>
      <c r="F745" s="1178"/>
      <c r="G745" s="921"/>
    </row>
    <row r="746" spans="1:11">
      <c r="A746" s="279"/>
      <c r="B746" s="279"/>
      <c r="C746" s="279"/>
      <c r="D746" s="174"/>
      <c r="E746" s="85"/>
      <c r="F746" s="85"/>
      <c r="G746" s="908"/>
      <c r="H746" s="126"/>
      <c r="I746" s="126"/>
      <c r="J746" s="126"/>
      <c r="K746" s="126"/>
    </row>
    <row r="747" spans="1:11">
      <c r="A747" s="124"/>
      <c r="B747" s="362" t="s">
        <v>294</v>
      </c>
      <c r="C747" s="279"/>
      <c r="D747" s="1149" t="s">
        <v>491</v>
      </c>
      <c r="E747" s="1149"/>
      <c r="F747" s="1149"/>
      <c r="G747" s="908"/>
      <c r="H747" s="126"/>
      <c r="I747" s="126"/>
      <c r="J747" s="126"/>
      <c r="K747" s="126"/>
    </row>
    <row r="748" spans="1:11">
      <c r="A748" s="279"/>
      <c r="B748" s="279"/>
      <c r="C748" s="279"/>
      <c r="D748" s="1149"/>
      <c r="E748" s="1149"/>
      <c r="F748" s="1149"/>
      <c r="G748" s="908"/>
      <c r="H748" s="126"/>
      <c r="I748" s="126"/>
      <c r="J748" s="126"/>
      <c r="K748" s="126"/>
    </row>
    <row r="749" spans="1:11">
      <c r="A749" s="279"/>
      <c r="B749" s="279"/>
      <c r="C749" s="279"/>
      <c r="D749" s="368"/>
      <c r="E749" s="368"/>
      <c r="F749" s="368"/>
      <c r="G749" s="908"/>
      <c r="H749" s="126"/>
      <c r="I749" s="126"/>
      <c r="J749" s="126"/>
      <c r="K749" s="126"/>
    </row>
    <row r="750" spans="1:11">
      <c r="A750" s="279"/>
      <c r="B750" s="362" t="s">
        <v>294</v>
      </c>
      <c r="C750" s="279"/>
      <c r="D750" s="1149" t="s">
        <v>492</v>
      </c>
      <c r="E750" s="1149"/>
      <c r="F750" s="1149"/>
      <c r="G750" s="908"/>
      <c r="H750" s="126"/>
      <c r="I750" s="126"/>
      <c r="J750" s="126"/>
      <c r="K750" s="126"/>
    </row>
    <row r="751" spans="1:11">
      <c r="A751" s="279"/>
      <c r="B751" s="279"/>
      <c r="C751" s="279"/>
      <c r="D751" s="1149"/>
      <c r="E751" s="1149"/>
      <c r="F751" s="1149"/>
      <c r="G751" s="908"/>
      <c r="H751" s="126"/>
      <c r="I751" s="126"/>
      <c r="J751" s="126"/>
      <c r="K751" s="126"/>
    </row>
    <row r="752" spans="1:11">
      <c r="A752" s="279"/>
      <c r="B752" s="279"/>
      <c r="C752" s="279"/>
      <c r="D752" s="1149"/>
      <c r="E752" s="1149"/>
      <c r="F752" s="1149"/>
      <c r="G752" s="908"/>
      <c r="H752" s="126"/>
      <c r="I752" s="126"/>
      <c r="J752" s="126"/>
      <c r="K752" s="126"/>
    </row>
    <row r="753" spans="1:11">
      <c r="A753" s="279"/>
      <c r="B753" s="279"/>
      <c r="C753" s="279"/>
      <c r="D753" s="368"/>
      <c r="E753" s="368"/>
      <c r="F753" s="368"/>
      <c r="G753" s="908"/>
      <c r="H753" s="126"/>
      <c r="I753" s="126"/>
      <c r="J753" s="126"/>
      <c r="K753" s="126"/>
    </row>
    <row r="754" spans="1:11">
      <c r="A754" s="1167" t="s">
        <v>493</v>
      </c>
      <c r="B754" s="1167"/>
      <c r="C754" s="1167"/>
      <c r="D754" s="1167"/>
      <c r="E754" s="1167"/>
      <c r="F754" s="1167"/>
      <c r="G754" s="1167"/>
    </row>
    <row r="755" spans="1:11">
      <c r="A755" s="123"/>
      <c r="B755" s="123"/>
      <c r="C755" s="123"/>
      <c r="D755" s="128"/>
      <c r="E755" s="3"/>
      <c r="F755" s="85"/>
      <c r="G755" s="908"/>
    </row>
    <row r="756" spans="1:11">
      <c r="A756" s="279"/>
      <c r="B756" s="279"/>
      <c r="C756" s="279"/>
      <c r="D756" s="1174" t="s">
        <v>494</v>
      </c>
      <c r="E756" s="1174"/>
      <c r="F756" s="1174"/>
      <c r="G756" s="908"/>
    </row>
    <row r="757" spans="1:11">
      <c r="A757" s="241"/>
      <c r="B757" s="241"/>
      <c r="C757" s="241"/>
      <c r="D757" s="1175" t="s">
        <v>495</v>
      </c>
      <c r="E757" s="1175"/>
      <c r="F757" s="1175"/>
      <c r="G757" s="908"/>
    </row>
    <row r="758" spans="1:11">
      <c r="A758" s="279"/>
      <c r="B758" s="279"/>
      <c r="C758" s="279"/>
      <c r="D758" s="327"/>
      <c r="E758" s="327"/>
      <c r="F758" s="327"/>
      <c r="G758" s="908"/>
    </row>
    <row r="759" spans="1:11">
      <c r="A759" s="124"/>
      <c r="B759" s="362" t="s">
        <v>294</v>
      </c>
      <c r="C759" s="279"/>
      <c r="D759" s="1175" t="s">
        <v>496</v>
      </c>
      <c r="E759" s="1175"/>
      <c r="F759" s="1175"/>
      <c r="G759" s="908"/>
    </row>
    <row r="760" spans="1:11">
      <c r="A760" s="279"/>
      <c r="B760" s="279"/>
      <c r="C760" s="279"/>
      <c r="D760" s="327"/>
      <c r="E760" s="1176" t="s">
        <v>497</v>
      </c>
      <c r="F760" s="1176"/>
      <c r="G760" s="908"/>
    </row>
    <row r="761" spans="1:11">
      <c r="A761" s="120"/>
      <c r="B761" s="120"/>
      <c r="C761" s="120"/>
      <c r="D761" s="85"/>
      <c r="E761" s="3"/>
      <c r="F761" s="3"/>
      <c r="G761" s="908"/>
    </row>
    <row r="762" spans="1:11">
      <c r="A762" s="1173" t="s">
        <v>498</v>
      </c>
      <c r="B762" s="1173"/>
      <c r="C762" s="1173"/>
      <c r="D762" s="1173"/>
      <c r="E762" s="1173"/>
      <c r="F762" s="1173"/>
      <c r="G762" s="1173"/>
    </row>
    <row r="763" spans="1:11">
      <c r="A763" s="120"/>
      <c r="B763" s="120"/>
      <c r="C763" s="909"/>
      <c r="D763" s="908"/>
      <c r="E763" s="908"/>
      <c r="F763" s="908"/>
      <c r="G763" s="908"/>
    </row>
    <row r="764" spans="1:11">
      <c r="A764" s="85"/>
      <c r="B764" s="1170" t="s">
        <v>499</v>
      </c>
      <c r="C764" s="1170"/>
      <c r="D764" s="1170"/>
      <c r="E764" s="1170"/>
      <c r="F764" s="1170"/>
      <c r="G764" s="908"/>
    </row>
    <row r="765" spans="1:11">
      <c r="A765" s="13"/>
      <c r="B765" s="13"/>
      <c r="C765" s="279"/>
      <c r="D765" s="3"/>
      <c r="E765" s="3"/>
      <c r="F765" s="3"/>
      <c r="G765" s="908"/>
    </row>
    <row r="766" spans="1:11">
      <c r="A766" s="1173" t="s">
        <v>500</v>
      </c>
      <c r="B766" s="1173"/>
      <c r="C766" s="1173"/>
      <c r="D766" s="1173"/>
      <c r="E766" s="1173"/>
      <c r="F766" s="1173"/>
      <c r="G766" s="1173"/>
    </row>
    <row r="767" spans="1:11">
      <c r="A767" s="120"/>
      <c r="B767" s="120"/>
      <c r="C767" s="120"/>
      <c r="D767" s="914"/>
      <c r="E767" s="3"/>
      <c r="F767" s="3"/>
      <c r="G767" s="908"/>
    </row>
    <row r="768" spans="1:11">
      <c r="A768" s="85"/>
      <c r="B768" s="1166" t="s">
        <v>334</v>
      </c>
      <c r="C768" s="1166"/>
      <c r="D768" s="1166"/>
      <c r="E768" s="1166"/>
      <c r="F768" s="1166"/>
      <c r="G768" s="908"/>
    </row>
    <row r="769" spans="1:7">
      <c r="A769" s="124"/>
      <c r="B769" s="124"/>
      <c r="C769" s="279"/>
      <c r="D769" s="85"/>
      <c r="E769" s="85"/>
      <c r="F769" s="908"/>
      <c r="G769" s="908"/>
    </row>
    <row r="770" spans="1:7">
      <c r="A770" s="1173" t="s">
        <v>501</v>
      </c>
      <c r="B770" s="1173"/>
      <c r="C770" s="1173"/>
      <c r="D770" s="1173"/>
      <c r="E770" s="1173"/>
      <c r="F770" s="1173"/>
      <c r="G770" s="1173"/>
    </row>
    <row r="771" spans="1:7">
      <c r="A771" s="279"/>
      <c r="B771" s="279"/>
      <c r="C771" s="123"/>
      <c r="D771" s="121"/>
      <c r="E771" s="85"/>
      <c r="F771" s="908"/>
      <c r="G771" s="908"/>
    </row>
    <row r="772" spans="1:7">
      <c r="A772" s="85"/>
      <c r="B772" s="1166" t="s">
        <v>334</v>
      </c>
      <c r="C772" s="1166"/>
      <c r="D772" s="1166"/>
      <c r="E772" s="1166"/>
      <c r="F772" s="1166"/>
      <c r="G772" s="908"/>
    </row>
    <row r="773" spans="1:7">
      <c r="A773" s="85"/>
      <c r="B773" s="85"/>
      <c r="C773" s="909"/>
      <c r="D773" s="908"/>
      <c r="E773" s="908"/>
      <c r="F773" s="908"/>
      <c r="G773" s="908"/>
    </row>
    <row r="774" spans="1:7">
      <c r="A774" s="1173" t="s">
        <v>502</v>
      </c>
      <c r="B774" s="1173"/>
      <c r="C774" s="1173"/>
      <c r="D774" s="1173"/>
      <c r="E774" s="1173"/>
      <c r="F774" s="1173"/>
      <c r="G774" s="1173"/>
    </row>
    <row r="775" spans="1:7">
      <c r="A775" s="85"/>
      <c r="B775" s="85"/>
      <c r="C775" s="279"/>
      <c r="D775" s="3"/>
      <c r="E775" s="3"/>
      <c r="F775" s="3"/>
      <c r="G775" s="3"/>
    </row>
    <row r="776" spans="1:7">
      <c r="A776" s="85"/>
      <c r="B776" s="1166" t="s">
        <v>334</v>
      </c>
      <c r="C776" s="1166"/>
      <c r="D776" s="1166"/>
      <c r="E776" s="1166"/>
      <c r="F776" s="1166"/>
      <c r="G776" s="3"/>
    </row>
    <row r="777" spans="1:7">
      <c r="A777" s="909"/>
      <c r="B777" s="909"/>
      <c r="C777" s="909"/>
      <c r="D777" s="122"/>
      <c r="E777" s="3"/>
      <c r="F777" s="908"/>
      <c r="G777" s="3"/>
    </row>
    <row r="778" spans="1:7">
      <c r="A778" s="1173" t="s">
        <v>503</v>
      </c>
      <c r="B778" s="1173"/>
      <c r="C778" s="1173"/>
      <c r="D778" s="1173"/>
      <c r="E778" s="1173"/>
      <c r="F778" s="1173"/>
      <c r="G778" s="1173"/>
    </row>
    <row r="779" spans="1:7">
      <c r="A779" s="85"/>
      <c r="B779" s="85"/>
      <c r="C779" s="279"/>
      <c r="D779" s="3"/>
      <c r="E779" s="3"/>
      <c r="F779" s="3"/>
      <c r="G779" s="3"/>
    </row>
    <row r="780" spans="1:7">
      <c r="A780" s="85"/>
      <c r="B780" s="1166" t="s">
        <v>334</v>
      </c>
      <c r="C780" s="1166"/>
      <c r="D780" s="1166"/>
      <c r="E780" s="1166"/>
      <c r="F780" s="1166"/>
      <c r="G780" s="3"/>
    </row>
    <row r="781" spans="1:7">
      <c r="A781" s="909"/>
      <c r="B781" s="909"/>
      <c r="C781" s="909"/>
      <c r="D781" s="122"/>
      <c r="E781" s="3"/>
      <c r="F781" s="908"/>
      <c r="G781" s="3"/>
    </row>
    <row r="782" spans="1:7">
      <c r="A782" s="1173" t="s">
        <v>504</v>
      </c>
      <c r="B782" s="1173"/>
      <c r="C782" s="1173"/>
      <c r="D782" s="1173"/>
      <c r="E782" s="1173"/>
      <c r="F782" s="1173"/>
      <c r="G782" s="1173"/>
    </row>
    <row r="783" spans="1:7">
      <c r="A783" s="85"/>
      <c r="B783" s="85"/>
      <c r="C783" s="279"/>
      <c r="D783" s="3"/>
      <c r="E783" s="3"/>
      <c r="F783" s="3"/>
      <c r="G783" s="3"/>
    </row>
    <row r="784" spans="1:7">
      <c r="A784" s="85"/>
      <c r="B784" s="1166" t="s">
        <v>334</v>
      </c>
      <c r="C784" s="1166"/>
      <c r="D784" s="1166"/>
      <c r="E784" s="1166"/>
      <c r="F784" s="1166"/>
      <c r="G784" s="3"/>
    </row>
    <row r="785" spans="1:7">
      <c r="A785" s="279"/>
      <c r="B785" s="279"/>
      <c r="C785" s="279"/>
      <c r="D785" s="122"/>
      <c r="E785" s="3"/>
      <c r="F785" s="3"/>
      <c r="G785" s="3"/>
    </row>
    <row r="786" spans="1:7">
      <c r="A786" s="1173" t="s">
        <v>505</v>
      </c>
      <c r="B786" s="1173"/>
      <c r="C786" s="1173"/>
      <c r="D786" s="1173"/>
      <c r="E786" s="1173"/>
      <c r="F786" s="1173"/>
      <c r="G786" s="1173"/>
    </row>
    <row r="787" spans="1:7">
      <c r="A787" s="85"/>
      <c r="B787" s="85"/>
      <c r="C787" s="279"/>
      <c r="D787" s="3"/>
      <c r="E787" s="3"/>
      <c r="F787" s="3"/>
      <c r="G787" s="3"/>
    </row>
    <row r="788" spans="1:7">
      <c r="A788" s="85"/>
      <c r="B788" s="1166" t="s">
        <v>334</v>
      </c>
      <c r="C788" s="1166"/>
      <c r="D788" s="1166"/>
      <c r="E788" s="1166"/>
      <c r="F788" s="1166"/>
      <c r="G788" s="3"/>
    </row>
    <row r="789" spans="1:7">
      <c r="A789" s="85"/>
      <c r="B789" s="85"/>
      <c r="C789" s="279"/>
      <c r="D789" s="122"/>
      <c r="E789" s="3"/>
      <c r="F789" s="3"/>
      <c r="G789" s="3"/>
    </row>
    <row r="790" spans="1:7">
      <c r="A790" s="1173" t="s">
        <v>506</v>
      </c>
      <c r="B790" s="1173"/>
      <c r="C790" s="1173"/>
      <c r="D790" s="1173"/>
      <c r="E790" s="1173"/>
      <c r="F790" s="1173"/>
      <c r="G790" s="1173"/>
    </row>
    <row r="791" spans="1:7">
      <c r="A791" s="85"/>
      <c r="B791" s="85"/>
      <c r="C791" s="279"/>
      <c r="D791" s="3"/>
      <c r="E791" s="3"/>
      <c r="F791" s="3"/>
      <c r="G791" s="3"/>
    </row>
    <row r="792" spans="1:7">
      <c r="A792" s="85"/>
      <c r="B792" s="1166" t="s">
        <v>334</v>
      </c>
      <c r="C792" s="1166"/>
      <c r="D792" s="1166"/>
      <c r="E792" s="1166"/>
      <c r="F792" s="1166"/>
      <c r="G792"/>
    </row>
    <row r="793" spans="1:7">
      <c r="A793" s="120"/>
      <c r="B793" s="120"/>
      <c r="C793" s="120"/>
      <c r="D793" s="3"/>
      <c r="E793"/>
      <c r="F793"/>
      <c r="G793"/>
    </row>
    <row r="794" spans="1:7">
      <c r="A794" s="124"/>
      <c r="B794" s="124"/>
      <c r="C794" s="123"/>
      <c r="D794" s="122"/>
      <c r="E794"/>
      <c r="F794"/>
      <c r="G794"/>
    </row>
    <row r="795" spans="1:7" ht="12.75" hidden="1" customHeight="1">
      <c r="A795" s="279"/>
      <c r="B795" s="279"/>
      <c r="C795" s="279"/>
      <c r="D795" s="85"/>
      <c r="E795"/>
      <c r="F795"/>
      <c r="G795"/>
    </row>
    <row r="796" spans="1:7" ht="12.75" hidden="1" customHeight="1">
      <c r="A796" s="279"/>
      <c r="B796" s="279"/>
      <c r="C796" s="279"/>
      <c r="D796" s="3"/>
      <c r="E796"/>
      <c r="F796"/>
      <c r="G796"/>
    </row>
    <row r="797" spans="1:7" ht="12.75" hidden="1" customHeight="1">
      <c r="A797" s="279"/>
      <c r="B797" s="279"/>
      <c r="C797" s="279"/>
      <c r="D797" s="3"/>
      <c r="E797"/>
      <c r="F797"/>
      <c r="G797"/>
    </row>
    <row r="798" spans="1:7" ht="12.75" hidden="1" customHeight="1">
      <c r="A798" s="279"/>
      <c r="B798" s="279"/>
      <c r="C798" s="279"/>
      <c r="D798" s="2"/>
      <c r="E798"/>
      <c r="F798"/>
      <c r="G798"/>
    </row>
    <row r="799" spans="1:7" ht="12.75" hidden="1" customHeight="1">
      <c r="A799" s="279"/>
      <c r="B799" s="279"/>
      <c r="C799" s="279"/>
      <c r="D799" s="2"/>
      <c r="E799"/>
      <c r="F799"/>
      <c r="G799"/>
    </row>
    <row r="800" spans="1:7" ht="12.75" hidden="1" customHeight="1">
      <c r="A800" s="279"/>
      <c r="B800" s="279"/>
      <c r="C800" s="279"/>
      <c r="D800" s="2"/>
      <c r="E800"/>
      <c r="F800"/>
      <c r="G800"/>
    </row>
    <row r="801" spans="1:7" ht="12.75" hidden="1" customHeight="1">
      <c r="A801" s="279"/>
      <c r="B801" s="279"/>
      <c r="C801" s="279"/>
      <c r="D801" s="3"/>
      <c r="E801"/>
      <c r="F801"/>
      <c r="G801"/>
    </row>
    <row r="802" spans="1:7" ht="14.25" hidden="1" customHeight="1">
      <c r="A802" s="124"/>
      <c r="B802" s="124"/>
      <c r="C802" s="279"/>
      <c r="D802" s="85"/>
      <c r="E802"/>
      <c r="F802"/>
      <c r="G802"/>
    </row>
    <row r="803" spans="1:7" ht="12.75" hidden="1" customHeight="1">
      <c r="A803" s="279"/>
      <c r="B803" s="279"/>
      <c r="C803" s="279"/>
      <c r="D803" s="3"/>
      <c r="E803"/>
      <c r="F803"/>
      <c r="G803"/>
    </row>
    <row r="804" spans="1:7" ht="12.75" hidden="1" customHeight="1">
      <c r="A804" s="279"/>
      <c r="B804" s="279"/>
      <c r="C804" s="279"/>
      <c r="D804" s="3"/>
      <c r="E804"/>
      <c r="F804"/>
      <c r="G804"/>
    </row>
    <row r="805" spans="1:7" ht="12.75" hidden="1" customHeight="1">
      <c r="A805" s="279"/>
      <c r="B805" s="279"/>
      <c r="C805" s="279"/>
      <c r="D805" s="2"/>
      <c r="E805"/>
      <c r="F805"/>
      <c r="G805"/>
    </row>
    <row r="806" spans="1:7" ht="12.75" hidden="1" customHeight="1">
      <c r="A806" s="279"/>
      <c r="B806" s="279"/>
      <c r="C806" s="279"/>
      <c r="D806" s="2"/>
      <c r="E806"/>
      <c r="F806"/>
      <c r="G806"/>
    </row>
    <row r="807" spans="1:7" ht="14.25" hidden="1" customHeight="1">
      <c r="A807" s="124"/>
      <c r="B807" s="124"/>
      <c r="C807" s="279"/>
      <c r="D807" s="85"/>
      <c r="E807"/>
      <c r="F807"/>
      <c r="G807"/>
    </row>
    <row r="808" spans="1:7" ht="12.75" hidden="1" customHeight="1">
      <c r="A808" s="279"/>
      <c r="B808" s="279"/>
      <c r="C808" s="279"/>
      <c r="D808" s="3"/>
      <c r="E808"/>
      <c r="F808"/>
      <c r="G808"/>
    </row>
    <row r="809" spans="1:7" ht="12.75" hidden="1" customHeight="1">
      <c r="A809" s="279"/>
      <c r="B809" s="279"/>
      <c r="C809" s="279"/>
      <c r="D809" s="3"/>
      <c r="E809"/>
      <c r="F809"/>
      <c r="G809"/>
    </row>
    <row r="810" spans="1:7" ht="14.25" hidden="1" customHeight="1">
      <c r="A810" s="124"/>
      <c r="B810" s="124"/>
      <c r="C810" s="279"/>
      <c r="D810" s="85"/>
      <c r="E810"/>
      <c r="F810"/>
      <c r="G810"/>
    </row>
    <row r="811" spans="1:7" ht="12.75" hidden="1" customHeight="1">
      <c r="A811" s="279"/>
      <c r="B811" s="279"/>
      <c r="C811" s="279"/>
      <c r="D811" s="3"/>
      <c r="E811"/>
      <c r="F811"/>
      <c r="G811"/>
    </row>
    <row r="812" spans="1:7" ht="14.25" hidden="1" customHeight="1">
      <c r="A812" s="124"/>
      <c r="B812" s="124"/>
      <c r="C812" s="279"/>
      <c r="D812" s="85"/>
      <c r="E812"/>
      <c r="F812"/>
      <c r="G812"/>
    </row>
    <row r="813" spans="1:7" ht="12.75" hidden="1" customHeight="1">
      <c r="A813" s="120"/>
      <c r="B813" s="120"/>
      <c r="C813" s="120"/>
      <c r="D813" s="3"/>
      <c r="E813"/>
      <c r="F813"/>
      <c r="G813"/>
    </row>
    <row r="814" spans="1:7" ht="12.75" hidden="1" customHeight="1">
      <c r="A814" s="279"/>
      <c r="B814" s="279"/>
      <c r="C814" s="279"/>
      <c r="D814" s="3"/>
      <c r="E814"/>
      <c r="F814"/>
      <c r="G814"/>
    </row>
    <row r="815" spans="1:7" ht="12.75" hidden="1" customHeight="1">
      <c r="A815" s="279"/>
      <c r="B815" s="279"/>
      <c r="C815" s="279"/>
      <c r="D815" s="3"/>
      <c r="E815"/>
      <c r="F815"/>
      <c r="G815"/>
    </row>
    <row r="816" spans="1:7" ht="12.75" hidden="1" customHeight="1">
      <c r="A816" s="279"/>
      <c r="B816" s="279"/>
      <c r="C816" s="279"/>
      <c r="D816" s="3"/>
      <c r="E816"/>
      <c r="F816"/>
      <c r="G816"/>
    </row>
    <row r="817" spans="1:7" ht="12.75" hidden="1" customHeight="1">
      <c r="A817" s="279"/>
      <c r="B817" s="279"/>
      <c r="C817" s="279"/>
      <c r="D817" s="3"/>
      <c r="E817"/>
      <c r="F817"/>
      <c r="G817"/>
    </row>
    <row r="818" spans="1:7" ht="12.75" hidden="1" customHeight="1">
      <c r="A818" s="279"/>
      <c r="B818" s="279"/>
      <c r="C818" s="279"/>
      <c r="D818" s="3"/>
      <c r="E818"/>
      <c r="F818"/>
      <c r="G818"/>
    </row>
    <row r="819" spans="1:7" ht="12.75" hidden="1" customHeight="1">
      <c r="A819" s="279"/>
      <c r="B819" s="279"/>
      <c r="C819" s="279"/>
      <c r="D819" s="3"/>
      <c r="E819"/>
      <c r="F819"/>
      <c r="G819"/>
    </row>
    <row r="820" spans="1:7" ht="12.75" hidden="1" customHeight="1">
      <c r="A820" s="279"/>
      <c r="B820" s="279"/>
      <c r="C820" s="279"/>
      <c r="D820" s="3"/>
      <c r="E820"/>
      <c r="F820"/>
      <c r="G820"/>
    </row>
    <row r="821" spans="1:7" ht="12.75" hidden="1" customHeight="1">
      <c r="A821" s="279"/>
      <c r="B821" s="279"/>
      <c r="C821" s="279"/>
      <c r="D821" s="3"/>
      <c r="E821"/>
      <c r="F821"/>
      <c r="G821"/>
    </row>
    <row r="822" spans="1:7" ht="12.75" hidden="1" customHeight="1">
      <c r="A822" s="279"/>
      <c r="B822" s="279"/>
      <c r="C822" s="279"/>
      <c r="D822" s="3"/>
      <c r="E822"/>
      <c r="F822"/>
      <c r="G822"/>
    </row>
    <row r="823" spans="1:7" ht="12.75" hidden="1" customHeight="1">
      <c r="A823" s="279"/>
      <c r="B823" s="279"/>
      <c r="C823" s="279"/>
      <c r="D823" s="3"/>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 right="0" top="0" bottom="0" header="0" footer="0"/>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3"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6" customHeight="1" zeroHeight="1"/>
  <cols>
    <col min="1" max="10" width="10.7109375" style="327" customWidth="1"/>
    <col min="11" max="16384" width="8.85546875" style="327" hidden="1"/>
  </cols>
  <sheetData>
    <row r="1" spans="1:10" ht="14.25" customHeight="1"/>
    <row r="2" spans="1:10" ht="15.95">
      <c r="A2" s="1198" t="s">
        <v>507</v>
      </c>
      <c r="B2" s="2406"/>
      <c r="C2" s="2406"/>
      <c r="D2" s="2406"/>
      <c r="E2" s="2406"/>
      <c r="F2" s="2406"/>
      <c r="G2" s="2406"/>
      <c r="H2" s="2406"/>
      <c r="I2" s="2406"/>
      <c r="J2" s="2406"/>
    </row>
    <row r="3" spans="1:10" ht="15.95">
      <c r="A3" s="1201" t="s">
        <v>508</v>
      </c>
      <c r="B3" s="2407"/>
      <c r="C3" s="2407"/>
      <c r="D3" s="2407"/>
      <c r="E3" s="2407"/>
      <c r="F3" s="2407"/>
      <c r="G3" s="2407"/>
      <c r="H3" s="2407"/>
      <c r="I3" s="2407"/>
      <c r="J3" s="2407"/>
    </row>
    <row r="4" spans="1:10" ht="12.95"/>
    <row r="5" spans="1:10" ht="12.75" customHeight="1">
      <c r="A5" s="1199" t="s">
        <v>509</v>
      </c>
      <c r="B5" s="1199"/>
      <c r="C5" s="1199"/>
      <c r="D5" s="1199"/>
      <c r="E5" s="1199"/>
      <c r="F5" s="1199"/>
      <c r="G5" s="1199"/>
      <c r="H5" s="1199"/>
      <c r="I5" s="1199"/>
      <c r="J5" s="1199"/>
    </row>
    <row r="6" spans="1:10" ht="12.95">
      <c r="A6" s="1199"/>
      <c r="B6" s="1199"/>
      <c r="C6" s="1199"/>
      <c r="D6" s="1199"/>
      <c r="E6" s="1199"/>
      <c r="F6" s="1199"/>
      <c r="G6" s="1199"/>
      <c r="H6" s="1199"/>
      <c r="I6" s="1199"/>
      <c r="J6" s="1199"/>
    </row>
    <row r="7" spans="1:10" ht="30" customHeight="1">
      <c r="A7" s="1199"/>
      <c r="B7" s="1199"/>
      <c r="C7" s="1199"/>
      <c r="D7" s="1199"/>
      <c r="E7" s="1199"/>
      <c r="F7" s="1199"/>
      <c r="G7" s="1199"/>
      <c r="H7" s="1199"/>
      <c r="I7" s="1199"/>
      <c r="J7" s="1199"/>
    </row>
    <row r="8" spans="1:10" ht="12.95">
      <c r="A8" s="341"/>
      <c r="B8" s="341"/>
      <c r="C8" s="341"/>
      <c r="D8" s="341"/>
      <c r="E8" s="341"/>
      <c r="F8" s="341"/>
      <c r="G8" s="341"/>
      <c r="H8" s="341"/>
      <c r="I8" s="341"/>
      <c r="J8" s="341"/>
    </row>
    <row r="9" spans="1:10" ht="12.75" customHeight="1">
      <c r="A9" s="327" t="s">
        <v>510</v>
      </c>
      <c r="B9" s="341"/>
      <c r="C9" s="341"/>
      <c r="D9" s="341"/>
      <c r="E9" s="341"/>
      <c r="F9" s="341"/>
      <c r="G9" s="341"/>
      <c r="H9" s="341"/>
      <c r="I9" s="341"/>
      <c r="J9" s="341"/>
    </row>
    <row r="10" spans="1:10" ht="12.95"/>
    <row r="11" spans="1:10" ht="12.75" customHeight="1">
      <c r="A11" s="1202" t="s">
        <v>511</v>
      </c>
      <c r="B11" s="1202"/>
      <c r="C11" s="1202"/>
      <c r="D11" s="1202"/>
      <c r="E11" s="1202"/>
      <c r="F11" s="1202"/>
      <c r="G11" s="1202"/>
      <c r="H11" s="1202"/>
      <c r="I11" s="1202"/>
      <c r="J11" s="1202"/>
    </row>
    <row r="12" spans="1:10" ht="12.95">
      <c r="A12" s="1202"/>
      <c r="B12" s="1202"/>
      <c r="C12" s="1202"/>
      <c r="D12" s="1202"/>
      <c r="E12" s="1202"/>
      <c r="F12" s="1202"/>
      <c r="G12" s="1202"/>
      <c r="H12" s="1202"/>
      <c r="I12" s="1202"/>
      <c r="J12" s="1202"/>
    </row>
    <row r="13" spans="1:10" ht="12.95">
      <c r="A13" s="1202"/>
      <c r="B13" s="1202"/>
      <c r="C13" s="1202"/>
      <c r="D13" s="1202"/>
      <c r="E13" s="1202"/>
      <c r="F13" s="1202"/>
      <c r="G13" s="1202"/>
      <c r="H13" s="1202"/>
      <c r="I13" s="1202"/>
      <c r="J13" s="1202"/>
    </row>
    <row r="14" spans="1:10" ht="12.95">
      <c r="A14" s="1202"/>
      <c r="B14" s="1202"/>
      <c r="C14" s="1202"/>
      <c r="D14" s="1202"/>
      <c r="E14" s="1202"/>
      <c r="F14" s="1202"/>
      <c r="G14" s="1202"/>
      <c r="H14" s="1202"/>
      <c r="I14" s="1202"/>
      <c r="J14" s="1202"/>
    </row>
    <row r="15" spans="1:10" ht="12.95">
      <c r="A15" s="1202"/>
      <c r="B15" s="1202"/>
      <c r="C15" s="1202"/>
      <c r="D15" s="1202"/>
      <c r="E15" s="1202"/>
      <c r="F15" s="1202"/>
      <c r="G15" s="1202"/>
      <c r="H15" s="1202"/>
      <c r="I15" s="1202"/>
      <c r="J15" s="1202"/>
    </row>
    <row r="16" spans="1:10" ht="12.95">
      <c r="A16" s="1202"/>
      <c r="B16" s="1202"/>
      <c r="C16" s="1202"/>
      <c r="D16" s="1202"/>
      <c r="E16" s="1202"/>
      <c r="F16" s="1202"/>
      <c r="G16" s="1202"/>
      <c r="H16" s="1202"/>
      <c r="I16" s="1202"/>
      <c r="J16" s="1202"/>
    </row>
    <row r="17" spans="1:10" ht="12.95">
      <c r="A17" s="449"/>
      <c r="B17" s="449"/>
      <c r="C17" s="449"/>
      <c r="D17" s="449"/>
      <c r="E17" s="449"/>
      <c r="F17" s="449"/>
      <c r="G17" s="449"/>
      <c r="H17" s="449"/>
      <c r="I17" s="449"/>
      <c r="J17" s="449"/>
    </row>
    <row r="18" spans="1:10" ht="12.95">
      <c r="A18" s="402" t="s">
        <v>512</v>
      </c>
      <c r="B18" s="341"/>
      <c r="C18" s="341"/>
      <c r="D18" s="341"/>
      <c r="E18" s="341"/>
      <c r="F18" s="341"/>
      <c r="G18" s="341"/>
      <c r="H18" s="341"/>
      <c r="I18" s="341"/>
      <c r="J18" s="341"/>
    </row>
    <row r="19" spans="1:10" ht="14.1">
      <c r="A19" s="341" t="s">
        <v>253</v>
      </c>
      <c r="B19" s="341"/>
      <c r="C19" s="341"/>
      <c r="D19" s="341"/>
      <c r="E19" s="341"/>
      <c r="F19" s="341"/>
      <c r="G19" s="341"/>
      <c r="H19" s="341"/>
      <c r="I19" s="341"/>
      <c r="J19" s="341"/>
    </row>
    <row r="20" spans="1:10" ht="12.95">
      <c r="A20" s="2407" t="s">
        <v>513</v>
      </c>
      <c r="B20" s="2407"/>
      <c r="C20" s="2407"/>
      <c r="D20" s="2407"/>
      <c r="E20" s="2407"/>
    </row>
    <row r="21" spans="1:10" ht="12.95"/>
    <row r="22" spans="1:10" ht="12.95"/>
    <row r="23" spans="1:10" ht="12.95"/>
    <row r="24" spans="1:10" ht="12.95"/>
    <row r="25" spans="1:10" ht="12.95"/>
    <row r="26" spans="1:10" ht="12.95"/>
    <row r="27" spans="1:10" ht="12.95"/>
    <row r="28" spans="1:10" ht="12.95"/>
    <row r="29" spans="1:10" ht="12.95"/>
    <row r="30" spans="1:10" ht="12.95"/>
    <row r="31" spans="1:10" ht="12.95"/>
    <row r="32" spans="1:10" ht="12.95"/>
    <row r="33" ht="12.95"/>
    <row r="34" ht="12.95"/>
    <row r="35" ht="12.95"/>
    <row r="36" ht="12.95"/>
    <row r="37" ht="12.95"/>
    <row r="38" ht="12.95"/>
    <row r="39" ht="12.95"/>
    <row r="40" ht="12.95"/>
    <row r="41" ht="12.95"/>
    <row r="42" ht="12.95"/>
    <row r="43" ht="12.95"/>
    <row r="44" ht="12.95"/>
    <row r="45" ht="12.95"/>
    <row r="46" ht="12.95"/>
    <row r="47" ht="12.95"/>
    <row r="48" ht="12.95"/>
    <row r="49" spans="1:10" ht="12.95"/>
    <row r="50" spans="1:10" ht="12.95"/>
    <row r="51" spans="1:10" ht="12.95"/>
    <row r="52" spans="1:10" ht="12.95"/>
    <row r="53" spans="1:10" ht="12.95"/>
    <row r="54" spans="1:10" ht="12.95"/>
    <row r="55" spans="1:10" ht="12.95"/>
    <row r="56" spans="1:10" ht="12.95"/>
    <row r="57" spans="1:10" ht="12.95">
      <c r="A57" s="1199" t="s">
        <v>514</v>
      </c>
      <c r="B57" s="1199"/>
      <c r="C57" s="1199"/>
      <c r="D57" s="1199"/>
      <c r="E57" s="1199"/>
      <c r="F57" s="1199"/>
      <c r="G57" s="1199"/>
      <c r="H57" s="1199"/>
      <c r="I57" s="1199"/>
      <c r="J57" s="1199"/>
    </row>
    <row r="58" spans="1:10" ht="12.95">
      <c r="A58" s="1199"/>
      <c r="B58" s="1199"/>
      <c r="C58" s="1199"/>
      <c r="D58" s="1199"/>
      <c r="E58" s="1199"/>
      <c r="F58" s="1199"/>
      <c r="G58" s="1199"/>
      <c r="H58" s="1199"/>
      <c r="I58" s="1199"/>
      <c r="J58" s="1199"/>
    </row>
    <row r="59" spans="1:10" ht="12.95">
      <c r="A59" s="1199"/>
      <c r="B59" s="1199"/>
      <c r="C59" s="1199"/>
      <c r="D59" s="1199"/>
      <c r="E59" s="1199"/>
      <c r="F59" s="1199"/>
      <c r="G59" s="1199"/>
      <c r="H59" s="1199"/>
      <c r="I59" s="1199"/>
      <c r="J59" s="1199"/>
    </row>
    <row r="60" spans="1:10" ht="12.95"/>
    <row r="61" spans="1:10" ht="12.95">
      <c r="A61" s="327" t="s">
        <v>513</v>
      </c>
    </row>
    <row r="62" spans="1:10" ht="12.95"/>
    <row r="63" spans="1:10" ht="12.95"/>
    <row r="64" spans="1:10" ht="12.95"/>
    <row r="65" spans="1:9" ht="12.95"/>
    <row r="66" spans="1:9" ht="12.95"/>
    <row r="67" spans="1:9" ht="12.95"/>
    <row r="68" spans="1:9" ht="12.95"/>
    <row r="69" spans="1:9" ht="12.95"/>
    <row r="70" spans="1:9" ht="12.95"/>
    <row r="71" spans="1:9" ht="12.95"/>
    <row r="72" spans="1:9" ht="12.95">
      <c r="A72" s="1200" t="s">
        <v>515</v>
      </c>
      <c r="B72" s="1200"/>
      <c r="C72" s="1200"/>
      <c r="D72" s="1200"/>
      <c r="E72" s="1200"/>
      <c r="F72" s="1200"/>
      <c r="G72" s="1200"/>
      <c r="H72" s="1200"/>
      <c r="I72" s="1200"/>
    </row>
    <row r="73" spans="1:9" ht="12.95">
      <c r="A73" s="1154" t="s">
        <v>13</v>
      </c>
      <c r="B73" s="1154"/>
      <c r="C73" s="1154"/>
      <c r="D73" s="1154"/>
      <c r="E73" s="1154"/>
    </row>
    <row r="74" spans="1:9" ht="12.95">
      <c r="A74" s="1154" t="s">
        <v>14</v>
      </c>
      <c r="B74" s="1154"/>
      <c r="C74" s="1154"/>
      <c r="D74" s="1154"/>
      <c r="E74" s="1154"/>
    </row>
    <row r="75" spans="1:9" ht="12.95">
      <c r="A75" s="1154" t="s">
        <v>516</v>
      </c>
      <c r="B75" s="1154"/>
      <c r="C75" s="1154"/>
      <c r="D75" s="1154"/>
      <c r="E75" s="1154"/>
    </row>
    <row r="76" spans="1:9" ht="12.95"/>
    <row r="77" spans="1:9" ht="12.95"/>
    <row r="78" spans="1:9" ht="12.95"/>
    <row r="79" spans="1:9" ht="12.6" customHeight="1"/>
    <row r="80" spans="1:9" ht="12.6" customHeight="1"/>
    <row r="81" ht="12.6" customHeight="1"/>
    <row r="82" ht="12.6" customHeight="1"/>
    <row r="83" ht="12.6" customHeight="1"/>
    <row r="84" ht="12.6" customHeight="1"/>
    <row r="85" ht="12.6"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101600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1096" workbookViewId="0">
      <selection activeCell="B1112" sqref="B1112"/>
    </sheetView>
  </sheetViews>
  <sheetFormatPr defaultColWidth="0" defaultRowHeight="12.95" zeroHeight="1"/>
  <cols>
    <col min="1" max="1" width="3.7109375" style="406" customWidth="1"/>
    <col min="2" max="2" width="13.7109375" style="406" customWidth="1"/>
    <col min="3" max="3" width="2.7109375" style="406" customWidth="1"/>
    <col min="4" max="5" width="3.7109375" style="327" customWidth="1"/>
    <col min="6" max="6" width="65.7109375" style="327" customWidth="1"/>
    <col min="7" max="7" width="1.7109375" style="327" customWidth="1"/>
    <col min="8" max="8" width="3.7109375" style="327" customWidth="1"/>
    <col min="9" max="9" width="24.28515625" style="329" customWidth="1"/>
    <col min="10" max="10" width="8.85546875" style="327" customWidth="1"/>
    <col min="11" max="16384" width="8.85546875" style="327" hidden="1"/>
  </cols>
  <sheetData>
    <row r="1" spans="1:13"/>
    <row r="2" spans="1:13">
      <c r="A2" s="1203" t="s">
        <v>517</v>
      </c>
      <c r="B2" s="1203"/>
      <c r="C2" s="1203"/>
      <c r="D2" s="1203"/>
      <c r="E2" s="1203"/>
      <c r="F2" s="1203"/>
      <c r="G2" s="1203"/>
      <c r="H2" s="1203"/>
      <c r="I2" s="1203"/>
    </row>
    <row r="3" spans="1:13">
      <c r="A3" s="1204" t="s">
        <v>518</v>
      </c>
      <c r="B3" s="1204"/>
      <c r="C3" s="1204"/>
      <c r="D3" s="1204"/>
      <c r="E3" s="1204"/>
      <c r="F3" s="1204"/>
      <c r="G3" s="1204"/>
      <c r="H3" s="1204"/>
      <c r="I3" s="1204"/>
    </row>
    <row r="4" spans="1:13">
      <c r="A4" s="1204"/>
      <c r="B4" s="1204"/>
      <c r="C4" s="2407"/>
      <c r="D4" s="2407"/>
      <c r="E4" s="2407"/>
      <c r="F4" s="2407"/>
      <c r="G4" s="2407"/>
    </row>
    <row r="5" spans="1:13">
      <c r="A5" s="1204"/>
      <c r="B5" s="1204"/>
      <c r="C5" s="2407"/>
      <c r="D5" s="2407"/>
      <c r="E5" s="2407"/>
      <c r="F5" s="2407"/>
      <c r="G5" s="2407"/>
    </row>
    <row r="6" spans="1:13" ht="12.75" customHeight="1">
      <c r="A6" s="1218" t="s">
        <v>519</v>
      </c>
      <c r="B6" s="1218"/>
      <c r="C6" s="1218"/>
      <c r="D6" s="1218"/>
      <c r="E6" s="1218"/>
      <c r="F6" s="1218"/>
      <c r="G6" s="1218"/>
      <c r="I6" s="416" t="s">
        <v>520</v>
      </c>
    </row>
    <row r="7" spans="1:13">
      <c r="A7" s="1218"/>
      <c r="B7" s="1218"/>
      <c r="C7" s="1218"/>
      <c r="D7" s="1218"/>
      <c r="E7" s="1218"/>
      <c r="F7" s="1218"/>
      <c r="G7" s="1218"/>
      <c r="I7" s="416" t="s">
        <v>521</v>
      </c>
    </row>
    <row r="8" spans="1:13">
      <c r="A8" s="407"/>
      <c r="B8" s="407"/>
      <c r="C8" s="408"/>
      <c r="D8" s="408"/>
      <c r="E8" s="408"/>
      <c r="F8" s="408"/>
    </row>
    <row r="9" spans="1:13">
      <c r="A9" s="1167" t="s">
        <v>302</v>
      </c>
      <c r="B9" s="1167"/>
      <c r="C9" s="1167"/>
      <c r="D9" s="1167"/>
      <c r="E9" s="1167"/>
      <c r="F9" s="1167"/>
      <c r="G9" s="1167"/>
      <c r="H9" s="945"/>
      <c r="I9" s="946"/>
    </row>
    <row r="10" spans="1:13">
      <c r="A10" s="408"/>
      <c r="B10" s="408"/>
      <c r="E10" s="329"/>
    </row>
    <row r="11" spans="1:13" ht="13.7" customHeight="1">
      <c r="C11" s="408"/>
      <c r="D11" s="1217" t="s">
        <v>303</v>
      </c>
      <c r="E11" s="1217"/>
      <c r="F11" s="1217"/>
    </row>
    <row r="12" spans="1:13">
      <c r="C12" s="408"/>
      <c r="D12" s="1217"/>
      <c r="E12" s="1217"/>
      <c r="F12" s="1217"/>
    </row>
    <row r="13" spans="1:13">
      <c r="A13" s="409"/>
      <c r="B13" s="409"/>
      <c r="C13" s="409"/>
      <c r="D13" s="1189" t="s">
        <v>304</v>
      </c>
      <c r="E13" s="1189"/>
      <c r="F13" s="1189"/>
      <c r="M13" s="72"/>
    </row>
    <row r="14" spans="1:13">
      <c r="A14" s="409"/>
      <c r="B14" s="409"/>
      <c r="C14" s="409"/>
      <c r="D14" s="402"/>
      <c r="L14" s="235"/>
    </row>
    <row r="15" spans="1:13">
      <c r="A15" s="410"/>
      <c r="B15" s="411" t="s">
        <v>522</v>
      </c>
      <c r="C15" s="409"/>
      <c r="D15" s="1162" t="s">
        <v>523</v>
      </c>
      <c r="E15" s="1162"/>
      <c r="F15" s="1162"/>
      <c r="I15" s="416" t="s">
        <v>524</v>
      </c>
    </row>
    <row r="16" spans="1:13">
      <c r="A16" s="409"/>
      <c r="B16" s="409"/>
      <c r="C16" s="409"/>
      <c r="D16" s="1162"/>
      <c r="E16" s="1162"/>
      <c r="F16" s="1162"/>
      <c r="I16" s="416"/>
    </row>
    <row r="17" spans="1:9">
      <c r="A17" s="409"/>
      <c r="B17" s="409"/>
      <c r="C17" s="409"/>
      <c r="D17" s="1162"/>
      <c r="E17" s="1162"/>
      <c r="F17" s="1162"/>
      <c r="I17" s="416"/>
    </row>
    <row r="18" spans="1:9">
      <c r="A18" s="409"/>
      <c r="B18" s="409"/>
      <c r="C18" s="409"/>
      <c r="D18" s="372"/>
      <c r="E18" s="235" t="s">
        <v>525</v>
      </c>
      <c r="F18" s="372"/>
      <c r="I18" s="416"/>
    </row>
    <row r="19" spans="1:9">
      <c r="A19" s="409"/>
      <c r="B19" s="409"/>
      <c r="C19" s="409"/>
      <c r="I19" s="416"/>
    </row>
    <row r="20" spans="1:9">
      <c r="A20" s="410"/>
      <c r="B20" s="411" t="s">
        <v>522</v>
      </c>
      <c r="D20" s="1162" t="s">
        <v>526</v>
      </c>
      <c r="E20" s="1162"/>
      <c r="F20" s="1162"/>
      <c r="I20" s="416" t="s">
        <v>527</v>
      </c>
    </row>
    <row r="21" spans="1:9">
      <c r="A21" s="410"/>
      <c r="D21" s="1162"/>
      <c r="E21" s="1162"/>
      <c r="F21" s="1162"/>
      <c r="I21" s="416"/>
    </row>
    <row r="22" spans="1:9">
      <c r="A22" s="410"/>
      <c r="D22" s="317"/>
      <c r="E22" s="72" t="s">
        <v>528</v>
      </c>
      <c r="F22" s="317"/>
      <c r="I22" s="416"/>
    </row>
    <row r="23" spans="1:9">
      <c r="A23" s="410"/>
      <c r="B23" s="410"/>
      <c r="D23" s="373"/>
      <c r="I23" s="416"/>
    </row>
    <row r="24" spans="1:9">
      <c r="A24" s="410"/>
      <c r="B24" s="411" t="s">
        <v>529</v>
      </c>
      <c r="D24" s="1162" t="s">
        <v>307</v>
      </c>
      <c r="E24" s="1162"/>
      <c r="F24" s="1162"/>
      <c r="I24" s="416" t="s">
        <v>527</v>
      </c>
    </row>
    <row r="25" spans="1:9">
      <c r="A25" s="410"/>
      <c r="B25" s="410"/>
      <c r="D25" s="1162"/>
      <c r="E25" s="1162"/>
      <c r="F25" s="1162"/>
      <c r="I25" s="416"/>
    </row>
    <row r="26" spans="1:9">
      <c r="I26" s="416"/>
    </row>
    <row r="27" spans="1:9">
      <c r="A27" s="410"/>
      <c r="B27" s="411" t="s">
        <v>522</v>
      </c>
      <c r="D27" s="1162" t="s">
        <v>530</v>
      </c>
      <c r="E27" s="1162"/>
      <c r="F27" s="1162"/>
      <c r="I27" s="416" t="s">
        <v>531</v>
      </c>
    </row>
    <row r="28" spans="1:9">
      <c r="D28" s="1162"/>
      <c r="E28" s="1162"/>
      <c r="F28" s="1162"/>
      <c r="I28" s="416"/>
    </row>
    <row r="29" spans="1:9">
      <c r="D29" s="1162"/>
      <c r="E29" s="1162"/>
      <c r="F29" s="1162"/>
      <c r="I29" s="416"/>
    </row>
    <row r="30" spans="1:9">
      <c r="D30" s="1162"/>
      <c r="E30" s="1162"/>
      <c r="F30" s="1162"/>
      <c r="I30" s="416"/>
    </row>
    <row r="31" spans="1:9">
      <c r="D31" s="1162"/>
      <c r="E31" s="1162"/>
      <c r="F31" s="1162"/>
      <c r="I31" s="416"/>
    </row>
    <row r="32" spans="1:9">
      <c r="D32" s="374"/>
      <c r="I32" s="416"/>
    </row>
    <row r="33" spans="1:9">
      <c r="B33" s="411" t="s">
        <v>529</v>
      </c>
      <c r="D33" s="1162" t="s">
        <v>532</v>
      </c>
      <c r="E33" s="1162"/>
      <c r="F33" s="1162"/>
      <c r="I33" s="416" t="s">
        <v>524</v>
      </c>
    </row>
    <row r="34" spans="1:9">
      <c r="D34" s="1162"/>
      <c r="E34" s="1162"/>
      <c r="F34" s="1162"/>
      <c r="I34" s="416"/>
    </row>
    <row r="35" spans="1:9">
      <c r="A35" s="410"/>
      <c r="B35" s="410"/>
      <c r="D35" s="374"/>
      <c r="I35" s="416"/>
    </row>
    <row r="36" spans="1:9" ht="14.45" customHeight="1">
      <c r="A36" s="410"/>
      <c r="B36" s="411" t="s">
        <v>529</v>
      </c>
      <c r="D36" s="1162" t="s">
        <v>533</v>
      </c>
      <c r="E36" s="1162"/>
      <c r="F36" s="1162"/>
      <c r="I36" s="416" t="s">
        <v>534</v>
      </c>
    </row>
    <row r="37" spans="1:9">
      <c r="A37" s="410"/>
      <c r="B37" s="410"/>
      <c r="D37" s="1162"/>
      <c r="E37" s="1162"/>
      <c r="F37" s="1162"/>
      <c r="I37" s="416"/>
    </row>
    <row r="38" spans="1:9">
      <c r="A38" s="410"/>
      <c r="B38" s="410"/>
      <c r="D38" s="1162"/>
      <c r="E38" s="1162"/>
      <c r="F38" s="1162"/>
      <c r="I38" s="416"/>
    </row>
    <row r="39" spans="1:9">
      <c r="A39" s="410"/>
      <c r="B39" s="410"/>
      <c r="D39" s="1162"/>
      <c r="E39" s="1162"/>
      <c r="F39" s="1162"/>
      <c r="I39" s="416"/>
    </row>
    <row r="40" spans="1:9">
      <c r="A40" s="410"/>
      <c r="B40" s="410"/>
      <c r="I40" s="416"/>
    </row>
    <row r="41" spans="1:9">
      <c r="A41" s="410"/>
      <c r="B41" s="411" t="s">
        <v>529</v>
      </c>
      <c r="D41" s="1162" t="s">
        <v>311</v>
      </c>
      <c r="E41" s="1162"/>
      <c r="F41" s="1162"/>
      <c r="I41" s="416"/>
    </row>
    <row r="42" spans="1:9">
      <c r="A42" s="410"/>
      <c r="B42" s="410"/>
      <c r="D42" s="1162"/>
      <c r="E42" s="1162"/>
      <c r="F42" s="1162"/>
      <c r="I42" s="416"/>
    </row>
    <row r="43" spans="1:9">
      <c r="A43" s="410"/>
      <c r="B43" s="410"/>
      <c r="D43" s="1162"/>
      <c r="E43" s="1162"/>
      <c r="F43" s="1162"/>
      <c r="I43" s="416"/>
    </row>
    <row r="44" spans="1:9">
      <c r="A44" s="410"/>
      <c r="B44" s="410"/>
      <c r="D44" s="1162"/>
      <c r="E44" s="1162"/>
      <c r="F44" s="1162"/>
      <c r="I44" s="416"/>
    </row>
    <row r="45" spans="1:9">
      <c r="A45" s="410"/>
      <c r="B45" s="410"/>
      <c r="D45" s="1162"/>
      <c r="E45" s="1162"/>
      <c r="F45" s="1162"/>
      <c r="I45" s="416"/>
    </row>
    <row r="46" spans="1:9">
      <c r="A46" s="410"/>
      <c r="B46" s="410"/>
      <c r="D46" s="372"/>
      <c r="E46" s="372"/>
      <c r="F46" s="372"/>
      <c r="I46" s="416"/>
    </row>
    <row r="47" spans="1:9">
      <c r="A47" s="410"/>
      <c r="B47" s="411" t="s">
        <v>522</v>
      </c>
      <c r="D47" s="1162" t="s">
        <v>312</v>
      </c>
      <c r="E47" s="1162"/>
      <c r="F47" s="1162"/>
      <c r="I47" s="416" t="s">
        <v>534</v>
      </c>
    </row>
    <row r="48" spans="1:9">
      <c r="A48" s="410"/>
      <c r="B48" s="410"/>
      <c r="D48" s="1162"/>
      <c r="E48" s="1162"/>
      <c r="F48" s="1162"/>
      <c r="I48" s="416"/>
    </row>
    <row r="49" spans="1:9">
      <c r="A49" s="410"/>
      <c r="B49" s="410"/>
      <c r="D49" s="1162"/>
      <c r="E49" s="1162"/>
      <c r="F49" s="1162"/>
      <c r="I49" s="416"/>
    </row>
    <row r="50" spans="1:9" ht="23.25" customHeight="1">
      <c r="A50" s="410"/>
      <c r="B50" s="410"/>
      <c r="D50" s="1162"/>
      <c r="E50" s="1162"/>
      <c r="F50" s="1162"/>
      <c r="I50" s="416"/>
    </row>
    <row r="51" spans="1:9">
      <c r="A51" s="410"/>
      <c r="B51" s="410"/>
      <c r="D51" s="373"/>
      <c r="I51" s="416"/>
    </row>
    <row r="52" spans="1:9" ht="14.45" customHeight="1">
      <c r="A52" s="410"/>
      <c r="B52" s="411" t="s">
        <v>529</v>
      </c>
      <c r="D52" s="1162" t="s">
        <v>313</v>
      </c>
      <c r="E52" s="1162"/>
      <c r="F52" s="1162"/>
      <c r="I52" s="416" t="s">
        <v>534</v>
      </c>
    </row>
    <row r="53" spans="1:9">
      <c r="A53" s="410"/>
      <c r="B53" s="410"/>
      <c r="D53" s="1162"/>
      <c r="E53" s="1162"/>
      <c r="F53" s="1162"/>
      <c r="I53" s="416"/>
    </row>
    <row r="54" spans="1:9">
      <c r="A54" s="410"/>
      <c r="B54" s="410"/>
      <c r="D54" s="1162"/>
      <c r="E54" s="1162"/>
      <c r="F54" s="1162"/>
      <c r="I54" s="416"/>
    </row>
    <row r="55" spans="1:9">
      <c r="A55" s="410"/>
      <c r="B55" s="410"/>
      <c r="I55" s="416"/>
    </row>
    <row r="56" spans="1:9">
      <c r="A56" s="410"/>
      <c r="B56" s="411" t="s">
        <v>522</v>
      </c>
      <c r="D56" s="1214" t="s">
        <v>314</v>
      </c>
      <c r="E56" s="1214"/>
      <c r="F56" s="1214"/>
      <c r="I56" s="416"/>
    </row>
    <row r="57" spans="1:9">
      <c r="A57" s="410"/>
      <c r="B57" s="410"/>
      <c r="D57" s="1214"/>
      <c r="E57" s="1214"/>
      <c r="F57" s="1214"/>
      <c r="I57" s="416"/>
    </row>
    <row r="58" spans="1:9">
      <c r="A58" s="410"/>
      <c r="B58" s="410"/>
      <c r="D58" s="317" t="s">
        <v>535</v>
      </c>
      <c r="E58" s="372"/>
      <c r="F58" s="372"/>
      <c r="I58" s="416"/>
    </row>
    <row r="59" spans="1:9">
      <c r="A59" s="410"/>
      <c r="B59" s="410"/>
      <c r="D59" s="372"/>
      <c r="E59" s="235" t="s">
        <v>525</v>
      </c>
      <c r="F59" s="372"/>
      <c r="I59" s="416"/>
    </row>
    <row r="60" spans="1:9">
      <c r="D60" s="374"/>
      <c r="I60" s="416"/>
    </row>
    <row r="61" spans="1:9">
      <c r="A61" s="410"/>
      <c r="B61" s="411" t="s">
        <v>529</v>
      </c>
      <c r="D61" s="1162" t="s">
        <v>315</v>
      </c>
      <c r="E61" s="1162"/>
      <c r="F61" s="1162"/>
      <c r="I61" s="416" t="s">
        <v>536</v>
      </c>
    </row>
    <row r="62" spans="1:9">
      <c r="D62" s="1162"/>
      <c r="E62" s="1162"/>
      <c r="F62" s="1162"/>
      <c r="I62" s="416"/>
    </row>
    <row r="63" spans="1:9">
      <c r="D63" s="1162"/>
      <c r="E63" s="1162"/>
      <c r="F63" s="1162"/>
      <c r="I63" s="416"/>
    </row>
    <row r="64" spans="1:9">
      <c r="I64" s="416"/>
    </row>
    <row r="65" spans="1:9">
      <c r="A65" s="410"/>
      <c r="B65" s="411" t="s">
        <v>529</v>
      </c>
      <c r="D65" s="1162" t="s">
        <v>316</v>
      </c>
      <c r="E65" s="1162"/>
      <c r="F65" s="1162"/>
      <c r="I65" s="416" t="s">
        <v>537</v>
      </c>
    </row>
    <row r="66" spans="1:9">
      <c r="D66" s="1162"/>
      <c r="E66" s="1162"/>
      <c r="F66" s="1162"/>
      <c r="I66" s="416"/>
    </row>
    <row r="67" spans="1:9">
      <c r="I67" s="416"/>
    </row>
    <row r="68" spans="1:9">
      <c r="A68" s="410"/>
      <c r="B68" s="411" t="s">
        <v>522</v>
      </c>
      <c r="D68" s="1162" t="s">
        <v>317</v>
      </c>
      <c r="E68" s="1162"/>
      <c r="F68" s="1162"/>
      <c r="I68" s="416"/>
    </row>
    <row r="69" spans="1:9">
      <c r="D69" s="1162"/>
      <c r="E69" s="1162"/>
      <c r="F69" s="1162"/>
      <c r="I69" s="416" t="s">
        <v>531</v>
      </c>
    </row>
    <row r="70" spans="1:9">
      <c r="D70" s="1162"/>
      <c r="E70" s="1162"/>
      <c r="F70" s="1162"/>
      <c r="I70" s="416"/>
    </row>
    <row r="71" spans="1:9">
      <c r="I71" s="416"/>
    </row>
    <row r="72" spans="1:9">
      <c r="A72" s="410"/>
      <c r="B72" s="411" t="s">
        <v>522</v>
      </c>
      <c r="D72" s="1162" t="s">
        <v>318</v>
      </c>
      <c r="E72" s="1162"/>
      <c r="F72" s="1162"/>
      <c r="I72" s="416" t="s">
        <v>531</v>
      </c>
    </row>
    <row r="73" spans="1:9">
      <c r="D73" s="1162"/>
      <c r="E73" s="1162"/>
      <c r="F73" s="1162"/>
      <c r="I73" s="416"/>
    </row>
    <row r="74" spans="1:9">
      <c r="A74" s="410"/>
      <c r="B74" s="410"/>
      <c r="D74" s="373"/>
      <c r="I74" s="416"/>
    </row>
    <row r="75" spans="1:9">
      <c r="A75" s="1167" t="s">
        <v>319</v>
      </c>
      <c r="B75" s="1167"/>
      <c r="C75" s="1167"/>
      <c r="D75" s="1167"/>
      <c r="E75" s="1167"/>
      <c r="F75" s="1167"/>
      <c r="G75" s="1167"/>
      <c r="H75" s="945"/>
      <c r="I75" s="1136"/>
    </row>
    <row r="76" spans="1:9">
      <c r="I76" s="416"/>
    </row>
    <row r="77" spans="1:9">
      <c r="C77" s="412"/>
      <c r="D77" s="1188" t="s">
        <v>320</v>
      </c>
      <c r="E77" s="1188"/>
      <c r="F77" s="1188"/>
      <c r="I77" s="416"/>
    </row>
    <row r="78" spans="1:9">
      <c r="A78" s="373"/>
      <c r="B78" s="373"/>
      <c r="D78" s="1162" t="s">
        <v>321</v>
      </c>
      <c r="E78" s="1162"/>
      <c r="F78" s="1162"/>
      <c r="I78" s="416"/>
    </row>
    <row r="79" spans="1:9">
      <c r="A79" s="373"/>
      <c r="B79" s="373"/>
      <c r="I79" s="416"/>
    </row>
    <row r="80" spans="1:9" ht="13.7" customHeight="1">
      <c r="A80" s="410"/>
      <c r="B80" s="411" t="s">
        <v>522</v>
      </c>
      <c r="D80" s="1162" t="s">
        <v>538</v>
      </c>
      <c r="E80" s="1162"/>
      <c r="F80" s="1162"/>
      <c r="I80" s="416" t="s">
        <v>539</v>
      </c>
    </row>
    <row r="81" spans="1:9">
      <c r="A81" s="410"/>
      <c r="B81" s="410"/>
      <c r="D81" s="1162"/>
      <c r="E81" s="1162"/>
      <c r="F81" s="1162"/>
      <c r="I81" s="416"/>
    </row>
    <row r="82" spans="1:9">
      <c r="A82" s="410"/>
      <c r="B82" s="410"/>
      <c r="D82" s="1162"/>
      <c r="E82" s="1162"/>
      <c r="F82" s="1162"/>
      <c r="I82" s="416"/>
    </row>
    <row r="83" spans="1:9">
      <c r="A83" s="410"/>
      <c r="B83" s="410"/>
      <c r="D83" s="1162"/>
      <c r="E83" s="1162"/>
      <c r="F83" s="1162"/>
      <c r="I83" s="416"/>
    </row>
    <row r="84" spans="1:9">
      <c r="A84" s="410"/>
      <c r="B84" s="410"/>
      <c r="D84" s="1162"/>
      <c r="E84" s="1162"/>
      <c r="F84" s="1162"/>
      <c r="I84" s="416"/>
    </row>
    <row r="85" spans="1:9">
      <c r="A85" s="410"/>
      <c r="B85" s="410"/>
      <c r="D85" s="1162"/>
      <c r="E85" s="1162"/>
      <c r="F85" s="1162"/>
      <c r="I85" s="416"/>
    </row>
    <row r="86" spans="1:9">
      <c r="A86" s="410"/>
      <c r="B86" s="410"/>
      <c r="D86" s="1162"/>
      <c r="E86" s="1162"/>
      <c r="F86" s="1162"/>
      <c r="I86" s="416"/>
    </row>
    <row r="87" spans="1:9">
      <c r="A87" s="410"/>
      <c r="B87" s="410"/>
      <c r="D87" s="1162"/>
      <c r="E87" s="1162"/>
      <c r="F87" s="1162"/>
      <c r="I87" s="416"/>
    </row>
    <row r="88" spans="1:9">
      <c r="A88" s="410"/>
      <c r="B88" s="410"/>
      <c r="D88" s="310"/>
      <c r="E88" s="310"/>
      <c r="F88" s="310"/>
      <c r="I88" s="416"/>
    </row>
    <row r="89" spans="1:9" ht="15" customHeight="1">
      <c r="A89" s="410"/>
      <c r="B89" s="411" t="s">
        <v>522</v>
      </c>
      <c r="D89" s="1162" t="s">
        <v>540</v>
      </c>
      <c r="E89" s="1162"/>
      <c r="F89" s="1162"/>
      <c r="I89" s="416" t="s">
        <v>541</v>
      </c>
    </row>
    <row r="90" spans="1:9">
      <c r="A90" s="410"/>
      <c r="B90" s="410"/>
      <c r="D90" s="1162"/>
      <c r="E90" s="1162"/>
      <c r="F90" s="1162"/>
      <c r="I90" s="416"/>
    </row>
    <row r="91" spans="1:9">
      <c r="A91" s="410"/>
      <c r="B91" s="410"/>
      <c r="D91" s="372"/>
      <c r="E91" s="372"/>
      <c r="F91" s="372"/>
      <c r="I91" s="416"/>
    </row>
    <row r="92" spans="1:9">
      <c r="A92" s="410"/>
      <c r="B92" s="411" t="s">
        <v>522</v>
      </c>
      <c r="D92" s="1162" t="s">
        <v>542</v>
      </c>
      <c r="E92" s="1162"/>
      <c r="F92" s="1162"/>
      <c r="I92" s="416" t="s">
        <v>543</v>
      </c>
    </row>
    <row r="93" spans="1:9">
      <c r="A93" s="410"/>
      <c r="B93" s="410"/>
      <c r="D93" s="1162"/>
      <c r="E93" s="1162"/>
      <c r="F93" s="1162"/>
      <c r="I93" s="416"/>
    </row>
    <row r="94" spans="1:9">
      <c r="A94" s="410"/>
      <c r="B94" s="410"/>
      <c r="D94" s="1162"/>
      <c r="E94" s="1162"/>
      <c r="F94" s="1162"/>
      <c r="I94" s="416"/>
    </row>
    <row r="95" spans="1:9">
      <c r="A95" s="410"/>
      <c r="B95" s="410"/>
      <c r="D95" s="372"/>
      <c r="E95" s="372"/>
      <c r="F95" s="372"/>
      <c r="I95" s="416"/>
    </row>
    <row r="96" spans="1:9">
      <c r="A96" s="410"/>
      <c r="B96" s="411" t="s">
        <v>522</v>
      </c>
      <c r="D96" s="1162" t="s">
        <v>544</v>
      </c>
      <c r="E96" s="1162"/>
      <c r="F96" s="1162"/>
      <c r="I96" s="416" t="s">
        <v>545</v>
      </c>
    </row>
    <row r="97" spans="1:9" s="907" customFormat="1">
      <c r="A97" s="905"/>
      <c r="B97" s="905"/>
      <c r="C97" s="906"/>
      <c r="D97" s="1162"/>
      <c r="E97" s="1162"/>
      <c r="F97" s="1162"/>
      <c r="I97" s="1137"/>
    </row>
    <row r="98" spans="1:9">
      <c r="A98" s="410"/>
      <c r="B98" s="410"/>
      <c r="D98" s="317"/>
      <c r="E98" s="235" t="s">
        <v>546</v>
      </c>
      <c r="F98" s="372"/>
      <c r="I98" s="416"/>
    </row>
    <row r="99" spans="1:9">
      <c r="A99" s="410"/>
      <c r="B99" s="410"/>
      <c r="D99" s="310"/>
      <c r="E99" s="310"/>
      <c r="F99" s="310"/>
      <c r="I99" s="416"/>
    </row>
    <row r="100" spans="1:9">
      <c r="A100" s="410"/>
      <c r="B100" s="411" t="s">
        <v>529</v>
      </c>
      <c r="D100" s="1162" t="s">
        <v>547</v>
      </c>
      <c r="E100" s="1162"/>
      <c r="F100" s="1162"/>
      <c r="I100" s="416" t="s">
        <v>548</v>
      </c>
    </row>
    <row r="101" spans="1:9">
      <c r="A101" s="410"/>
      <c r="B101" s="410"/>
      <c r="D101" s="1162"/>
      <c r="E101" s="1162"/>
      <c r="F101" s="1162"/>
      <c r="I101" s="416"/>
    </row>
    <row r="102" spans="1:9">
      <c r="A102" s="410"/>
      <c r="B102" s="410"/>
      <c r="D102" s="372"/>
      <c r="E102" s="372"/>
      <c r="F102" s="372"/>
      <c r="I102" s="416"/>
    </row>
    <row r="103" spans="1:9" ht="14.45" customHeight="1">
      <c r="A103" s="410"/>
      <c r="B103" s="411" t="s">
        <v>529</v>
      </c>
      <c r="D103" s="1162" t="s">
        <v>549</v>
      </c>
      <c r="E103" s="1162"/>
      <c r="F103" s="1162"/>
      <c r="I103" s="416" t="s">
        <v>550</v>
      </c>
    </row>
    <row r="104" spans="1:9">
      <c r="A104" s="410"/>
      <c r="B104" s="410"/>
      <c r="D104" s="1162"/>
      <c r="E104" s="1162"/>
      <c r="F104" s="1162"/>
      <c r="I104" s="416"/>
    </row>
    <row r="105" spans="1:9">
      <c r="A105" s="410"/>
      <c r="B105" s="410"/>
      <c r="D105" s="1162"/>
      <c r="E105" s="1162"/>
      <c r="F105" s="1162"/>
      <c r="I105" s="416"/>
    </row>
    <row r="106" spans="1:9">
      <c r="A106" s="410"/>
      <c r="B106" s="410"/>
      <c r="D106" s="1162"/>
      <c r="E106" s="1162"/>
      <c r="F106" s="1162"/>
      <c r="I106" s="416"/>
    </row>
    <row r="107" spans="1:9">
      <c r="A107" s="410"/>
      <c r="B107" s="410"/>
      <c r="D107" s="1162"/>
      <c r="E107" s="1162"/>
      <c r="F107" s="1162"/>
      <c r="I107" s="416"/>
    </row>
    <row r="108" spans="1:9">
      <c r="A108" s="410"/>
      <c r="B108" s="410"/>
      <c r="D108" s="1162"/>
      <c r="E108" s="1162"/>
      <c r="F108" s="1162"/>
      <c r="I108" s="416"/>
    </row>
    <row r="109" spans="1:9">
      <c r="A109" s="410"/>
      <c r="B109" s="410"/>
      <c r="D109" s="1162"/>
      <c r="E109" s="1162"/>
      <c r="F109" s="1162"/>
      <c r="I109" s="416"/>
    </row>
    <row r="110" spans="1:9">
      <c r="A110" s="410"/>
      <c r="B110" s="410"/>
      <c r="D110" s="1162"/>
      <c r="E110" s="1162"/>
      <c r="F110" s="1162"/>
      <c r="I110" s="416"/>
    </row>
    <row r="111" spans="1:9">
      <c r="A111" s="410"/>
      <c r="B111" s="410"/>
      <c r="D111" s="1162"/>
      <c r="E111" s="1162"/>
      <c r="F111" s="1162"/>
      <c r="I111" s="416"/>
    </row>
    <row r="112" spans="1:9">
      <c r="A112" s="410"/>
      <c r="B112" s="410"/>
      <c r="D112" s="1162"/>
      <c r="E112" s="1162"/>
      <c r="F112" s="1162"/>
      <c r="I112" s="416"/>
    </row>
    <row r="113" spans="1:9">
      <c r="A113" s="410"/>
      <c r="B113" s="410"/>
      <c r="D113" s="1162"/>
      <c r="E113" s="1162"/>
      <c r="F113" s="1162"/>
      <c r="I113" s="416"/>
    </row>
    <row r="114" spans="1:9">
      <c r="A114" s="410"/>
      <c r="B114" s="410"/>
      <c r="D114" s="1162"/>
      <c r="E114" s="1162"/>
      <c r="F114" s="1162"/>
      <c r="I114" s="416"/>
    </row>
    <row r="115" spans="1:9">
      <c r="A115" s="410"/>
      <c r="B115" s="410"/>
      <c r="D115" s="1162"/>
      <c r="E115" s="1162"/>
      <c r="F115" s="1162"/>
      <c r="I115" s="416"/>
    </row>
    <row r="116" spans="1:9">
      <c r="A116" s="410"/>
      <c r="B116" s="410"/>
      <c r="D116" s="1162"/>
      <c r="E116" s="1162"/>
      <c r="F116" s="1162"/>
      <c r="I116" s="416"/>
    </row>
    <row r="117" spans="1:9">
      <c r="A117" s="410"/>
      <c r="B117" s="410"/>
      <c r="D117" s="1162"/>
      <c r="E117" s="1162"/>
      <c r="F117" s="1162"/>
      <c r="I117" s="416"/>
    </row>
    <row r="118" spans="1:9">
      <c r="A118" s="410"/>
      <c r="B118" s="410"/>
      <c r="D118" s="449"/>
      <c r="E118" s="449"/>
      <c r="F118" s="449"/>
      <c r="I118" s="416"/>
    </row>
    <row r="119" spans="1:9" ht="14.25" customHeight="1">
      <c r="A119" s="410"/>
      <c r="B119" s="411" t="s">
        <v>529</v>
      </c>
      <c r="D119" s="1187" t="s">
        <v>324</v>
      </c>
      <c r="E119" s="1187"/>
      <c r="F119" s="1187"/>
      <c r="I119" s="416"/>
    </row>
    <row r="120" spans="1:9">
      <c r="A120" s="410"/>
      <c r="B120" s="410"/>
      <c r="D120" s="1187"/>
      <c r="E120" s="1187"/>
      <c r="F120" s="1187"/>
      <c r="I120" s="416"/>
    </row>
    <row r="121" spans="1:9">
      <c r="A121" s="410"/>
      <c r="B121" s="410"/>
      <c r="D121" s="1187"/>
      <c r="E121" s="1187"/>
      <c r="F121" s="1187"/>
      <c r="I121" s="416"/>
    </row>
    <row r="122" spans="1:9">
      <c r="A122" s="410"/>
      <c r="B122" s="410"/>
      <c r="D122" s="1187"/>
      <c r="E122" s="1187"/>
      <c r="F122" s="1187"/>
      <c r="I122" s="416"/>
    </row>
    <row r="123" spans="1:9">
      <c r="A123" s="410"/>
      <c r="B123" s="410"/>
      <c r="D123" s="1187"/>
      <c r="E123" s="1187"/>
      <c r="F123" s="1187"/>
      <c r="I123" s="416"/>
    </row>
    <row r="124" spans="1:9">
      <c r="A124" s="410"/>
      <c r="B124" s="410"/>
      <c r="D124" s="1187"/>
      <c r="E124" s="1187"/>
      <c r="F124" s="1187"/>
      <c r="I124" s="416"/>
    </row>
    <row r="125" spans="1:9">
      <c r="A125" s="410"/>
      <c r="B125" s="410"/>
      <c r="D125" s="1187"/>
      <c r="E125" s="1187"/>
      <c r="F125" s="1187"/>
      <c r="I125" s="416"/>
    </row>
    <row r="126" spans="1:9">
      <c r="A126" s="410"/>
      <c r="B126" s="410"/>
      <c r="D126" s="1187"/>
      <c r="E126" s="1187"/>
      <c r="F126" s="1187"/>
      <c r="I126" s="416"/>
    </row>
    <row r="127" spans="1:9">
      <c r="C127" s="327"/>
      <c r="D127" s="450"/>
      <c r="E127" s="450"/>
      <c r="F127" s="450"/>
      <c r="I127" s="416"/>
    </row>
    <row r="128" spans="1:9">
      <c r="A128" s="410"/>
      <c r="B128" s="411" t="s">
        <v>522</v>
      </c>
      <c r="C128" s="327"/>
      <c r="D128" s="1187" t="s">
        <v>551</v>
      </c>
      <c r="E128" s="1187"/>
      <c r="F128" s="1187"/>
      <c r="I128" s="416" t="s">
        <v>552</v>
      </c>
    </row>
    <row r="129" spans="1:9">
      <c r="A129" s="410"/>
      <c r="B129" s="410"/>
      <c r="C129" s="327"/>
      <c r="D129" s="1187"/>
      <c r="E129" s="1187"/>
      <c r="F129" s="1187"/>
      <c r="I129" s="416"/>
    </row>
    <row r="130" spans="1:9">
      <c r="I130" s="416"/>
    </row>
    <row r="131" spans="1:9">
      <c r="A131" s="410"/>
      <c r="B131" s="411" t="s">
        <v>522</v>
      </c>
      <c r="D131" s="1162" t="s">
        <v>327</v>
      </c>
      <c r="E131" s="1162"/>
      <c r="F131" s="1162"/>
      <c r="I131" s="416" t="s">
        <v>552</v>
      </c>
    </row>
    <row r="132" spans="1:9">
      <c r="D132" s="1162"/>
      <c r="E132" s="1162"/>
      <c r="F132" s="1162"/>
      <c r="I132" s="416"/>
    </row>
    <row r="133" spans="1:9">
      <c r="D133" s="1162"/>
      <c r="E133" s="1162"/>
      <c r="F133" s="1162"/>
      <c r="I133" s="416"/>
    </row>
    <row r="134" spans="1:9">
      <c r="D134" s="1162"/>
      <c r="E134" s="1162"/>
      <c r="F134" s="1162"/>
      <c r="I134" s="416"/>
    </row>
    <row r="135" spans="1:9">
      <c r="D135" s="1162"/>
      <c r="E135" s="1162"/>
      <c r="F135" s="1162"/>
      <c r="I135" s="416"/>
    </row>
    <row r="136" spans="1:9">
      <c r="I136" s="416"/>
    </row>
    <row r="137" spans="1:9">
      <c r="A137" s="410"/>
      <c r="B137" s="411" t="s">
        <v>522</v>
      </c>
      <c r="D137" s="1162" t="s">
        <v>328</v>
      </c>
      <c r="E137" s="1162"/>
      <c r="F137" s="1162"/>
      <c r="I137" s="416" t="s">
        <v>553</v>
      </c>
    </row>
    <row r="138" spans="1:9" s="342" customFormat="1" ht="13.7" customHeight="1">
      <c r="A138" s="414"/>
      <c r="B138" s="414"/>
      <c r="C138" s="414"/>
      <c r="D138" s="1162"/>
      <c r="E138" s="1162"/>
      <c r="F138" s="1162"/>
      <c r="I138" s="1138"/>
    </row>
    <row r="139" spans="1:9" ht="13.7" customHeight="1">
      <c r="D139" s="1162"/>
      <c r="E139" s="1162"/>
      <c r="F139" s="1162"/>
      <c r="I139" s="416"/>
    </row>
    <row r="140" spans="1:9" ht="13.7" customHeight="1">
      <c r="D140" s="1162"/>
      <c r="E140" s="1162"/>
      <c r="F140" s="1162"/>
      <c r="I140" s="416"/>
    </row>
    <row r="141" spans="1:9" ht="13.7" customHeight="1">
      <c r="D141" s="1162"/>
      <c r="E141" s="1162"/>
      <c r="F141" s="1162"/>
      <c r="I141" s="416"/>
    </row>
    <row r="142" spans="1:9" ht="13.7" customHeight="1">
      <c r="A142" s="415"/>
      <c r="B142" s="415"/>
      <c r="D142" s="1162"/>
      <c r="E142" s="1162"/>
      <c r="F142" s="1162"/>
      <c r="I142" s="416"/>
    </row>
    <row r="143" spans="1:9" ht="13.7" customHeight="1">
      <c r="D143" s="1162"/>
      <c r="E143" s="1162"/>
      <c r="F143" s="1162"/>
      <c r="I143" s="416"/>
    </row>
    <row r="144" spans="1:9" ht="13.7" customHeight="1">
      <c r="D144" s="1162"/>
      <c r="E144" s="1162"/>
      <c r="F144" s="1162"/>
      <c r="I144" s="416"/>
    </row>
    <row r="145" spans="2:9" ht="13.7" customHeight="1">
      <c r="D145" s="1162"/>
      <c r="E145" s="1162"/>
      <c r="F145" s="1162"/>
      <c r="I145" s="416"/>
    </row>
    <row r="146" spans="2:9" ht="13.7" customHeight="1">
      <c r="D146" s="1162"/>
      <c r="E146" s="1162"/>
      <c r="F146" s="1162"/>
      <c r="I146" s="416"/>
    </row>
    <row r="147" spans="2:9" ht="13.7" customHeight="1">
      <c r="D147" s="1162"/>
      <c r="E147" s="1162"/>
      <c r="F147" s="1162"/>
      <c r="I147" s="416"/>
    </row>
    <row r="148" spans="2:9" ht="13.7" customHeight="1">
      <c r="D148" s="1162"/>
      <c r="E148" s="1162"/>
      <c r="F148" s="1162"/>
      <c r="I148" s="416"/>
    </row>
    <row r="149" spans="2:9" ht="13.7" customHeight="1">
      <c r="D149" s="1162"/>
      <c r="E149" s="1162"/>
      <c r="F149" s="1162"/>
      <c r="I149" s="416"/>
    </row>
    <row r="150" spans="2:9" ht="13.7" customHeight="1">
      <c r="D150" s="402"/>
      <c r="E150" s="373"/>
      <c r="F150" s="373"/>
      <c r="I150" s="416"/>
    </row>
    <row r="151" spans="2:9" ht="13.7" customHeight="1">
      <c r="B151" s="411" t="s">
        <v>529</v>
      </c>
      <c r="D151" s="1162" t="s">
        <v>329</v>
      </c>
      <c r="E151" s="1162"/>
      <c r="F151" s="1162"/>
      <c r="I151" s="416" t="s">
        <v>554</v>
      </c>
    </row>
    <row r="152" spans="2:9" ht="13.7" customHeight="1">
      <c r="D152" s="1162"/>
      <c r="E152" s="1162"/>
      <c r="F152" s="1162"/>
      <c r="I152" s="416"/>
    </row>
    <row r="153" spans="2:9" ht="13.7" customHeight="1">
      <c r="D153" s="1162"/>
      <c r="E153" s="1162"/>
      <c r="F153" s="1162"/>
      <c r="I153" s="416"/>
    </row>
    <row r="154" spans="2:9" ht="13.7" customHeight="1">
      <c r="D154" s="1162"/>
      <c r="E154" s="1162"/>
      <c r="F154" s="1162"/>
      <c r="I154" s="416"/>
    </row>
    <row r="155" spans="2:9" ht="13.7" customHeight="1">
      <c r="D155" s="1162"/>
      <c r="E155" s="1162"/>
      <c r="F155" s="1162"/>
      <c r="I155" s="416"/>
    </row>
    <row r="156" spans="2:9" ht="13.7" customHeight="1">
      <c r="D156" s="1162"/>
      <c r="E156" s="1162"/>
      <c r="F156" s="1162"/>
      <c r="I156" s="416"/>
    </row>
    <row r="157" spans="2:9" ht="13.7" customHeight="1">
      <c r="D157" s="1162"/>
      <c r="E157" s="1162"/>
      <c r="F157" s="1162"/>
      <c r="I157" s="416"/>
    </row>
    <row r="158" spans="2:9" ht="13.7" customHeight="1">
      <c r="D158" s="1162"/>
      <c r="E158" s="1162"/>
      <c r="F158" s="1162"/>
      <c r="I158" s="416"/>
    </row>
    <row r="159" spans="2:9" ht="13.7" customHeight="1">
      <c r="D159" s="1162"/>
      <c r="E159" s="1162"/>
      <c r="F159" s="1162"/>
      <c r="I159" s="416"/>
    </row>
    <row r="160" spans="2:9" ht="13.7" customHeight="1">
      <c r="D160" s="1162"/>
      <c r="E160" s="1162"/>
      <c r="F160" s="1162"/>
      <c r="I160" s="416"/>
    </row>
    <row r="161" spans="1:9" ht="13.7" customHeight="1">
      <c r="D161" s="1162"/>
      <c r="E161" s="1162"/>
      <c r="F161" s="1162"/>
      <c r="I161" s="416"/>
    </row>
    <row r="162" spans="1:9" ht="13.7" customHeight="1">
      <c r="D162" s="1162"/>
      <c r="E162" s="1162"/>
      <c r="F162" s="1162"/>
      <c r="I162" s="416"/>
    </row>
    <row r="163" spans="1:9" ht="13.7" customHeight="1">
      <c r="D163" s="1162"/>
      <c r="E163" s="1162"/>
      <c r="F163" s="1162"/>
      <c r="I163" s="416"/>
    </row>
    <row r="164" spans="1:9" ht="13.7" customHeight="1">
      <c r="D164" s="1162"/>
      <c r="E164" s="1162"/>
      <c r="F164" s="1162"/>
      <c r="I164" s="416"/>
    </row>
    <row r="165" spans="1:9" ht="13.7" customHeight="1">
      <c r="D165" s="1162"/>
      <c r="E165" s="1162"/>
      <c r="F165" s="1162"/>
      <c r="I165" s="416"/>
    </row>
    <row r="166" spans="1:9" ht="13.7" customHeight="1">
      <c r="D166" s="1162"/>
      <c r="E166" s="1162"/>
      <c r="F166" s="1162"/>
      <c r="I166" s="416"/>
    </row>
    <row r="167" spans="1:9" ht="13.7" customHeight="1">
      <c r="D167" s="1162"/>
      <c r="E167" s="1162"/>
      <c r="F167" s="1162"/>
      <c r="I167" s="416"/>
    </row>
    <row r="168" spans="1:9" ht="13.7" customHeight="1">
      <c r="D168" s="1162"/>
      <c r="E168" s="1162"/>
      <c r="F168" s="1162"/>
      <c r="I168" s="416"/>
    </row>
    <row r="169" spans="1:9" ht="13.7" customHeight="1">
      <c r="D169" s="1216" t="s">
        <v>555</v>
      </c>
      <c r="E169" s="1216"/>
      <c r="F169" s="1216"/>
      <c r="G169" s="433"/>
      <c r="I169" s="416"/>
    </row>
    <row r="170" spans="1:9" ht="13.7" customHeight="1">
      <c r="D170" s="1193"/>
      <c r="E170" s="1193"/>
      <c r="F170" s="1193"/>
      <c r="G170" s="1193"/>
      <c r="I170" s="416"/>
    </row>
    <row r="171" spans="1:9" ht="14.45" customHeight="1">
      <c r="A171" s="415"/>
      <c r="B171" s="411" t="s">
        <v>529</v>
      </c>
      <c r="C171" s="402"/>
      <c r="D171" s="1150" t="s">
        <v>556</v>
      </c>
      <c r="E171" s="1150"/>
      <c r="F171" s="1150"/>
      <c r="G171" s="402"/>
      <c r="I171" s="416" t="s">
        <v>543</v>
      </c>
    </row>
    <row r="172" spans="1:9" ht="14.45" customHeight="1">
      <c r="A172" s="415"/>
      <c r="B172" s="415"/>
      <c r="C172" s="402"/>
      <c r="D172" s="1150"/>
      <c r="E172" s="1150"/>
      <c r="F172" s="1150"/>
      <c r="G172" s="402"/>
      <c r="I172" s="416"/>
    </row>
    <row r="173" spans="1:9" ht="14.45" customHeight="1">
      <c r="A173" s="415"/>
      <c r="B173" s="415"/>
      <c r="C173" s="402"/>
      <c r="D173" s="1150"/>
      <c r="E173" s="1150"/>
      <c r="F173" s="1150"/>
      <c r="G173" s="402"/>
      <c r="I173" s="416"/>
    </row>
    <row r="174" spans="1:9" ht="14.45" customHeight="1">
      <c r="A174" s="415"/>
      <c r="B174" s="415"/>
      <c r="C174" s="402"/>
      <c r="D174" s="1150"/>
      <c r="E174" s="1150"/>
      <c r="F174" s="1150"/>
      <c r="G174" s="402"/>
      <c r="I174" s="416"/>
    </row>
    <row r="175" spans="1:9" ht="13.7" customHeight="1">
      <c r="A175" s="415"/>
      <c r="B175" s="415"/>
      <c r="C175" s="402"/>
      <c r="D175" s="1150"/>
      <c r="E175" s="1150"/>
      <c r="F175" s="1150"/>
      <c r="G175" s="402"/>
      <c r="I175" s="416"/>
    </row>
    <row r="176" spans="1:9" ht="13.7" customHeight="1">
      <c r="A176" s="415"/>
      <c r="B176" s="415"/>
      <c r="C176" s="402"/>
      <c r="D176" s="402"/>
      <c r="E176" s="402"/>
      <c r="F176" s="402"/>
      <c r="G176" s="402"/>
      <c r="I176" s="416"/>
    </row>
    <row r="177" spans="1:9" ht="13.7" customHeight="1">
      <c r="A177" s="415"/>
      <c r="B177" s="411" t="s">
        <v>522</v>
      </c>
      <c r="C177" s="402"/>
      <c r="D177" s="1150" t="s">
        <v>331</v>
      </c>
      <c r="E177" s="1150"/>
      <c r="F177" s="1150"/>
      <c r="G177" s="402"/>
      <c r="I177" s="416" t="s">
        <v>557</v>
      </c>
    </row>
    <row r="178" spans="1:9" ht="13.7" customHeight="1">
      <c r="A178" s="415"/>
      <c r="B178" s="415"/>
      <c r="C178" s="402"/>
      <c r="D178" s="1150"/>
      <c r="E178" s="1150"/>
      <c r="F178" s="1150"/>
      <c r="G178" s="402"/>
      <c r="I178" s="416"/>
    </row>
    <row r="179" spans="1:9" ht="13.7" customHeight="1">
      <c r="A179" s="415"/>
      <c r="B179" s="415"/>
      <c r="C179" s="402"/>
      <c r="D179" s="1150"/>
      <c r="E179" s="1150"/>
      <c r="F179" s="1150"/>
      <c r="G179" s="402"/>
      <c r="I179" s="416"/>
    </row>
    <row r="180" spans="1:9" ht="13.7" customHeight="1">
      <c r="A180" s="415"/>
      <c r="B180" s="415"/>
      <c r="C180" s="402"/>
      <c r="D180" s="1150"/>
      <c r="E180" s="1150"/>
      <c r="F180" s="1150"/>
      <c r="G180" s="402"/>
      <c r="I180" s="416"/>
    </row>
    <row r="181" spans="1:9" ht="13.7" customHeight="1">
      <c r="D181" s="373"/>
      <c r="E181" s="373"/>
      <c r="F181" s="373"/>
      <c r="I181" s="416"/>
    </row>
    <row r="182" spans="1:9" ht="13.7" customHeight="1">
      <c r="B182" s="411" t="s">
        <v>529</v>
      </c>
      <c r="D182" s="1182" t="s">
        <v>558</v>
      </c>
      <c r="E182" s="1182"/>
      <c r="F182" s="1182"/>
      <c r="I182" s="416" t="s">
        <v>559</v>
      </c>
    </row>
    <row r="183" spans="1:9" ht="13.7" customHeight="1">
      <c r="D183" s="1182"/>
      <c r="E183" s="1182"/>
      <c r="F183" s="1182"/>
      <c r="I183" s="416"/>
    </row>
    <row r="184" spans="1:9" ht="13.7" customHeight="1">
      <c r="D184" s="1182"/>
      <c r="E184" s="1182"/>
      <c r="F184" s="1182"/>
      <c r="I184" s="416"/>
    </row>
    <row r="185" spans="1:9" ht="13.7" customHeight="1">
      <c r="A185" s="416"/>
      <c r="B185" s="416"/>
      <c r="E185" s="373"/>
      <c r="F185" s="373"/>
      <c r="I185" s="416"/>
    </row>
    <row r="186" spans="1:9">
      <c r="A186" s="1167" t="s">
        <v>560</v>
      </c>
      <c r="B186" s="1167"/>
      <c r="C186" s="1167"/>
      <c r="D186" s="1167"/>
      <c r="E186" s="1167"/>
      <c r="F186" s="1167"/>
      <c r="G186" s="1167"/>
      <c r="H186" s="945"/>
      <c r="I186" s="1136"/>
    </row>
    <row r="187" spans="1:9" ht="12" customHeight="1">
      <c r="D187" s="373"/>
      <c r="E187" s="373"/>
      <c r="F187" s="373"/>
      <c r="I187" s="416"/>
    </row>
    <row r="188" spans="1:9">
      <c r="B188" s="1175" t="s">
        <v>334</v>
      </c>
      <c r="C188" s="1175"/>
      <c r="D188" s="1175"/>
      <c r="E188" s="1175"/>
      <c r="F188" s="1175"/>
      <c r="I188" s="416"/>
    </row>
    <row r="189" spans="1:9">
      <c r="B189" s="317" t="s">
        <v>561</v>
      </c>
      <c r="C189" s="317"/>
      <c r="D189" s="317"/>
      <c r="E189" s="317"/>
      <c r="F189" s="317"/>
      <c r="I189" s="416"/>
    </row>
    <row r="190" spans="1:9" ht="12" customHeight="1">
      <c r="A190" s="408"/>
      <c r="B190" s="408"/>
      <c r="C190" s="408"/>
      <c r="I190" s="416"/>
    </row>
    <row r="191" spans="1:9">
      <c r="A191" s="1167" t="s">
        <v>335</v>
      </c>
      <c r="B191" s="1167"/>
      <c r="C191" s="1167"/>
      <c r="D191" s="1167"/>
      <c r="E191" s="1167"/>
      <c r="F191" s="1167"/>
      <c r="G191" s="1167"/>
      <c r="H191" s="945"/>
      <c r="I191" s="1136"/>
    </row>
    <row r="192" spans="1:9" ht="12" customHeight="1">
      <c r="A192" s="329"/>
      <c r="B192" s="329"/>
      <c r="E192" s="329"/>
      <c r="I192" s="416"/>
    </row>
    <row r="193" spans="1:9" ht="13.7" customHeight="1">
      <c r="A193" s="329"/>
      <c r="B193" s="329"/>
      <c r="D193" s="1188" t="s">
        <v>562</v>
      </c>
      <c r="E193" s="1188"/>
      <c r="F193" s="1188"/>
      <c r="I193" s="416"/>
    </row>
    <row r="194" spans="1:9">
      <c r="A194" s="329"/>
      <c r="B194" s="329"/>
      <c r="D194" s="1188"/>
      <c r="E194" s="1188"/>
      <c r="F194" s="1188"/>
      <c r="I194" s="416"/>
    </row>
    <row r="195" spans="1:9">
      <c r="A195" s="329"/>
      <c r="B195" s="329"/>
      <c r="D195" s="1175" t="s">
        <v>563</v>
      </c>
      <c r="E195" s="1175"/>
      <c r="F195" s="1175"/>
      <c r="I195" s="416"/>
    </row>
    <row r="196" spans="1:9">
      <c r="A196" s="329"/>
      <c r="B196" s="329"/>
      <c r="D196" s="317"/>
      <c r="E196" s="317"/>
      <c r="F196" s="317"/>
      <c r="I196" s="416"/>
    </row>
    <row r="197" spans="1:9">
      <c r="A197" s="329"/>
      <c r="B197" s="411" t="s">
        <v>522</v>
      </c>
      <c r="D197" s="1166" t="s">
        <v>564</v>
      </c>
      <c r="E197" s="1166"/>
      <c r="F197" s="1166"/>
      <c r="I197" s="416" t="s">
        <v>565</v>
      </c>
    </row>
    <row r="198" spans="1:9">
      <c r="A198" s="329"/>
      <c r="B198" s="329"/>
      <c r="D198" s="1170" t="s">
        <v>566</v>
      </c>
      <c r="E198" s="1170"/>
      <c r="F198" s="1170"/>
      <c r="I198" s="416"/>
    </row>
    <row r="199" spans="1:9">
      <c r="A199" s="329"/>
      <c r="B199" s="329"/>
      <c r="D199" s="72" t="s">
        <v>567</v>
      </c>
      <c r="E199" s="1215" t="s">
        <v>568</v>
      </c>
      <c r="F199" s="1215"/>
      <c r="I199" s="416"/>
    </row>
    <row r="200" spans="1:9">
      <c r="A200" s="329"/>
      <c r="B200" s="329"/>
      <c r="D200" s="3"/>
      <c r="E200" s="3"/>
      <c r="F200" s="3"/>
      <c r="I200" s="416"/>
    </row>
    <row r="201" spans="1:9">
      <c r="A201" s="329"/>
      <c r="B201" s="411" t="s">
        <v>529</v>
      </c>
      <c r="D201" s="1170" t="s">
        <v>569</v>
      </c>
      <c r="E201" s="1170"/>
      <c r="F201" s="1170"/>
      <c r="I201" s="416" t="s">
        <v>570</v>
      </c>
    </row>
    <row r="202" spans="1:9">
      <c r="A202" s="329"/>
      <c r="B202" s="329"/>
      <c r="D202" s="1166" t="s">
        <v>566</v>
      </c>
      <c r="E202" s="1166"/>
      <c r="F202" s="1166"/>
      <c r="I202" s="416"/>
    </row>
    <row r="203" spans="1:9">
      <c r="A203" s="329"/>
      <c r="B203" s="329"/>
      <c r="D203" s="50" t="s">
        <v>571</v>
      </c>
      <c r="E203" s="1215" t="s">
        <v>572</v>
      </c>
      <c r="F203" s="1215"/>
      <c r="I203" s="416"/>
    </row>
    <row r="204" spans="1:9">
      <c r="A204" s="329"/>
      <c r="B204" s="329"/>
      <c r="D204" s="3"/>
      <c r="E204" s="3"/>
      <c r="F204" s="3"/>
      <c r="I204" s="416"/>
    </row>
    <row r="205" spans="1:9">
      <c r="A205" s="329"/>
      <c r="B205" s="411" t="s">
        <v>529</v>
      </c>
      <c r="D205" s="1170" t="s">
        <v>573</v>
      </c>
      <c r="E205" s="1170"/>
      <c r="F205" s="1170"/>
      <c r="I205" s="416" t="s">
        <v>574</v>
      </c>
    </row>
    <row r="206" spans="1:9">
      <c r="A206" s="329"/>
      <c r="B206" s="329"/>
      <c r="D206" s="1166" t="s">
        <v>566</v>
      </c>
      <c r="E206" s="1166"/>
      <c r="F206" s="1166"/>
      <c r="I206" s="416"/>
    </row>
    <row r="207" spans="1:9">
      <c r="A207" s="329"/>
      <c r="B207" s="329"/>
      <c r="D207" s="50" t="s">
        <v>567</v>
      </c>
      <c r="E207" s="1215" t="s">
        <v>575</v>
      </c>
      <c r="F207" s="1215"/>
      <c r="I207" s="416"/>
    </row>
    <row r="208" spans="1:9">
      <c r="A208" s="329"/>
      <c r="B208" s="329"/>
      <c r="D208" s="317"/>
      <c r="E208" s="317"/>
      <c r="F208" s="317"/>
      <c r="I208" s="416"/>
    </row>
    <row r="209" spans="1:9" ht="14.25" customHeight="1">
      <c r="A209" s="410"/>
      <c r="B209" s="411" t="s">
        <v>529</v>
      </c>
      <c r="D209" s="311" t="s">
        <v>576</v>
      </c>
      <c r="E209" s="310"/>
      <c r="F209" s="310"/>
      <c r="I209" s="416" t="s">
        <v>577</v>
      </c>
    </row>
    <row r="210" spans="1:9">
      <c r="A210" s="410"/>
      <c r="B210" s="410"/>
      <c r="D210" s="1166" t="s">
        <v>566</v>
      </c>
      <c r="E210" s="1166"/>
      <c r="F210" s="1166"/>
      <c r="I210" s="416"/>
    </row>
    <row r="211" spans="1:9">
      <c r="D211" s="310"/>
      <c r="E211" s="1215" t="s">
        <v>578</v>
      </c>
      <c r="F211" s="1215"/>
      <c r="I211" s="416"/>
    </row>
    <row r="212" spans="1:9">
      <c r="D212" s="374"/>
      <c r="I212" s="416"/>
    </row>
    <row r="213" spans="1:9">
      <c r="B213" s="411" t="s">
        <v>529</v>
      </c>
      <c r="D213" s="1170" t="s">
        <v>579</v>
      </c>
      <c r="E213" s="1170"/>
      <c r="F213" s="1170"/>
      <c r="I213" s="416" t="s">
        <v>580</v>
      </c>
    </row>
    <row r="214" spans="1:9">
      <c r="D214" s="1166" t="s">
        <v>566</v>
      </c>
      <c r="E214" s="1166"/>
      <c r="F214" s="1166"/>
      <c r="I214" s="416"/>
    </row>
    <row r="215" spans="1:9">
      <c r="D215" s="50" t="s">
        <v>567</v>
      </c>
      <c r="E215" s="1215" t="s">
        <v>581</v>
      </c>
      <c r="F215" s="1215"/>
      <c r="I215" s="416"/>
    </row>
    <row r="216" spans="1:9">
      <c r="D216" s="378"/>
      <c r="E216" s="378"/>
      <c r="F216" s="378"/>
      <c r="I216" s="416"/>
    </row>
    <row r="217" spans="1:9">
      <c r="A217" s="410"/>
      <c r="B217" s="411" t="s">
        <v>529</v>
      </c>
      <c r="D217" s="1162" t="s">
        <v>582</v>
      </c>
      <c r="E217" s="1162"/>
      <c r="F217" s="1162"/>
      <c r="I217" s="416"/>
    </row>
    <row r="218" spans="1:9" ht="14.45" customHeight="1">
      <c r="A218" s="410"/>
      <c r="B218" s="327"/>
      <c r="D218" s="1162"/>
      <c r="E218" s="1162"/>
      <c r="F218" s="1162"/>
      <c r="I218" s="416"/>
    </row>
    <row r="219" spans="1:9">
      <c r="A219" s="410"/>
      <c r="D219" s="1162"/>
      <c r="E219" s="1162"/>
      <c r="F219" s="1162"/>
      <c r="I219" s="416"/>
    </row>
    <row r="220" spans="1:9">
      <c r="A220" s="410"/>
      <c r="D220" s="1162"/>
      <c r="E220" s="1162"/>
      <c r="F220" s="1162"/>
      <c r="I220" s="416"/>
    </row>
    <row r="221" spans="1:9">
      <c r="D221" s="378"/>
      <c r="E221" s="378"/>
      <c r="F221" s="378"/>
      <c r="I221" s="416"/>
    </row>
    <row r="222" spans="1:9">
      <c r="A222" s="1167" t="s">
        <v>341</v>
      </c>
      <c r="B222" s="1167"/>
      <c r="C222" s="1167"/>
      <c r="D222" s="1167"/>
      <c r="E222" s="1167"/>
      <c r="F222" s="1167"/>
      <c r="G222" s="1167"/>
      <c r="H222" s="945"/>
      <c r="I222" s="1136"/>
    </row>
    <row r="223" spans="1:9" ht="12" customHeight="1">
      <c r="D223" s="373"/>
      <c r="E223" s="373"/>
      <c r="F223" s="373"/>
      <c r="I223" s="416"/>
    </row>
    <row r="224" spans="1:9">
      <c r="C224" s="412"/>
      <c r="D224" s="1160" t="s">
        <v>342</v>
      </c>
      <c r="E224" s="1160"/>
      <c r="F224" s="1160"/>
      <c r="I224" s="416"/>
    </row>
    <row r="225" spans="1:9">
      <c r="A225" s="408"/>
      <c r="B225" s="408"/>
      <c r="C225" s="408"/>
      <c r="D225" s="1189" t="s">
        <v>343</v>
      </c>
      <c r="E225" s="1189"/>
      <c r="F225" s="1189"/>
      <c r="I225" s="416"/>
    </row>
    <row r="226" spans="1:9" ht="12" customHeight="1">
      <c r="A226" s="416"/>
      <c r="B226" s="416"/>
      <c r="C226" s="416"/>
      <c r="I226" s="416"/>
    </row>
    <row r="227" spans="1:9" ht="13.7" customHeight="1">
      <c r="A227" s="416"/>
      <c r="C227" s="416"/>
      <c r="D227" s="1160" t="s">
        <v>344</v>
      </c>
      <c r="E227" s="1160"/>
      <c r="F227" s="1160"/>
      <c r="I227" s="416" t="s">
        <v>583</v>
      </c>
    </row>
    <row r="228" spans="1:9">
      <c r="A228" s="410"/>
      <c r="B228" s="411" t="s">
        <v>522</v>
      </c>
      <c r="D228" s="1162" t="s">
        <v>584</v>
      </c>
      <c r="E228" s="1162"/>
      <c r="F228" s="1162"/>
      <c r="I228" s="416"/>
    </row>
    <row r="229" spans="1:9" ht="14.25" customHeight="1">
      <c r="A229" s="410"/>
      <c r="B229" s="410"/>
      <c r="D229" s="1162"/>
      <c r="E229" s="1162"/>
      <c r="F229" s="1162"/>
      <c r="I229" s="416"/>
    </row>
    <row r="230" spans="1:9" ht="14.25" customHeight="1">
      <c r="A230" s="410"/>
      <c r="B230" s="410"/>
      <c r="D230" s="1162"/>
      <c r="E230" s="1162"/>
      <c r="F230" s="1162"/>
      <c r="I230" s="416"/>
    </row>
    <row r="231" spans="1:9">
      <c r="A231" s="410"/>
      <c r="B231" s="410"/>
      <c r="D231" s="1162"/>
      <c r="E231" s="1162"/>
      <c r="F231" s="1162"/>
      <c r="I231" s="416"/>
    </row>
    <row r="232" spans="1:9">
      <c r="A232" s="410"/>
      <c r="B232" s="410"/>
      <c r="D232" s="372"/>
      <c r="E232" s="372"/>
      <c r="F232" s="372"/>
      <c r="I232" s="416"/>
    </row>
    <row r="233" spans="1:9">
      <c r="A233" s="410"/>
      <c r="B233" s="411" t="s">
        <v>522</v>
      </c>
      <c r="D233" s="1162" t="s">
        <v>585</v>
      </c>
      <c r="E233" s="1162"/>
      <c r="F233" s="1162"/>
      <c r="I233" s="416" t="s">
        <v>586</v>
      </c>
    </row>
    <row r="234" spans="1:9">
      <c r="A234" s="410"/>
      <c r="B234" s="410"/>
      <c r="D234" s="1162"/>
      <c r="E234" s="1162"/>
      <c r="F234" s="1162"/>
      <c r="I234" s="416"/>
    </row>
    <row r="235" spans="1:9">
      <c r="A235" s="410"/>
      <c r="B235" s="410"/>
      <c r="D235" s="1162"/>
      <c r="E235" s="1162"/>
      <c r="F235" s="1162"/>
      <c r="I235" s="416"/>
    </row>
    <row r="236" spans="1:9">
      <c r="A236" s="410"/>
      <c r="B236" s="410"/>
      <c r="D236" s="1162"/>
      <c r="E236" s="1162"/>
      <c r="F236" s="1162"/>
      <c r="I236" s="416"/>
    </row>
    <row r="237" spans="1:9" ht="14.25" customHeight="1">
      <c r="A237" s="410"/>
      <c r="B237" s="410"/>
      <c r="D237" s="1162"/>
      <c r="E237" s="1162"/>
      <c r="F237" s="1162"/>
      <c r="I237" s="416"/>
    </row>
    <row r="238" spans="1:9" ht="14.25" customHeight="1">
      <c r="A238" s="410"/>
      <c r="B238" s="410"/>
      <c r="D238" s="372"/>
      <c r="E238" s="372"/>
      <c r="F238" s="372"/>
      <c r="I238" s="416"/>
    </row>
    <row r="239" spans="1:9">
      <c r="A239" s="410"/>
      <c r="B239" s="410"/>
      <c r="D239" s="1162" t="s">
        <v>347</v>
      </c>
      <c r="E239" s="1162"/>
      <c r="F239" s="1162"/>
      <c r="I239" s="416" t="s">
        <v>583</v>
      </c>
    </row>
    <row r="240" spans="1:9">
      <c r="A240" s="410"/>
      <c r="B240" s="410"/>
      <c r="D240" s="1162"/>
      <c r="E240" s="1162"/>
      <c r="F240" s="1162"/>
      <c r="I240" s="416"/>
    </row>
    <row r="241" spans="1:9">
      <c r="A241" s="410"/>
      <c r="B241" s="410"/>
      <c r="D241" s="1162"/>
      <c r="E241" s="1162"/>
      <c r="F241" s="1162"/>
      <c r="I241" s="416"/>
    </row>
    <row r="242" spans="1:9">
      <c r="A242" s="410"/>
      <c r="B242" s="410"/>
      <c r="D242" s="1162"/>
      <c r="E242" s="1162"/>
      <c r="F242" s="1162"/>
      <c r="I242" s="416"/>
    </row>
    <row r="243" spans="1:9">
      <c r="A243" s="410"/>
      <c r="B243" s="410"/>
      <c r="D243" s="1162"/>
      <c r="E243" s="1162"/>
      <c r="F243" s="1162"/>
      <c r="I243" s="416"/>
    </row>
    <row r="244" spans="1:9">
      <c r="A244" s="410"/>
      <c r="B244" s="410"/>
      <c r="D244" s="373"/>
      <c r="E244" s="373"/>
      <c r="F244" s="373"/>
      <c r="I244" s="416"/>
    </row>
    <row r="245" spans="1:9">
      <c r="A245" s="410"/>
      <c r="B245" s="411" t="s">
        <v>522</v>
      </c>
      <c r="D245" s="1162" t="s">
        <v>587</v>
      </c>
      <c r="E245" s="1162"/>
      <c r="F245" s="1162"/>
      <c r="I245" s="416" t="s">
        <v>588</v>
      </c>
    </row>
    <row r="246" spans="1:9">
      <c r="A246" s="410"/>
      <c r="B246" s="410"/>
      <c r="D246" s="1162"/>
      <c r="E246" s="1162"/>
      <c r="F246" s="1162"/>
      <c r="I246" s="416"/>
    </row>
    <row r="247" spans="1:9">
      <c r="A247" s="410"/>
      <c r="B247" s="410"/>
      <c r="D247" s="1162"/>
      <c r="E247" s="1162"/>
      <c r="F247" s="1162"/>
      <c r="I247" s="416"/>
    </row>
    <row r="248" spans="1:9">
      <c r="A248" s="410"/>
      <c r="B248" s="410"/>
      <c r="E248" s="953" t="s">
        <v>589</v>
      </c>
      <c r="I248" s="416"/>
    </row>
    <row r="249" spans="1:9">
      <c r="A249" s="410"/>
      <c r="B249" s="410"/>
      <c r="D249" s="373"/>
      <c r="E249" s="373"/>
      <c r="F249" s="373"/>
      <c r="I249" s="416"/>
    </row>
    <row r="250" spans="1:9" ht="14.45" customHeight="1">
      <c r="A250" s="410"/>
      <c r="B250" s="411" t="s">
        <v>529</v>
      </c>
      <c r="D250" s="1162" t="s">
        <v>590</v>
      </c>
      <c r="E250" s="1162"/>
      <c r="F250" s="1162"/>
      <c r="I250" s="416" t="s">
        <v>591</v>
      </c>
    </row>
    <row r="251" spans="1:9">
      <c r="A251" s="410"/>
      <c r="B251" s="410"/>
      <c r="D251" s="1162"/>
      <c r="E251" s="1162"/>
      <c r="F251" s="1162"/>
      <c r="I251" s="416"/>
    </row>
    <row r="252" spans="1:9">
      <c r="A252" s="410"/>
      <c r="B252" s="410"/>
      <c r="D252" s="1162"/>
      <c r="E252" s="1162"/>
      <c r="F252" s="1162"/>
      <c r="I252" s="416"/>
    </row>
    <row r="253" spans="1:9">
      <c r="A253" s="410"/>
      <c r="B253" s="410"/>
      <c r="D253" s="1162"/>
      <c r="E253" s="1162"/>
      <c r="F253" s="1162"/>
      <c r="I253" s="416"/>
    </row>
    <row r="254" spans="1:9">
      <c r="A254" s="410"/>
      <c r="B254" s="410"/>
      <c r="D254" s="1162"/>
      <c r="E254" s="1162"/>
      <c r="F254" s="1162"/>
      <c r="I254" s="416"/>
    </row>
    <row r="255" spans="1:9">
      <c r="A255" s="410"/>
      <c r="B255" s="410"/>
      <c r="D255" s="372"/>
      <c r="E255" s="372"/>
      <c r="F255" s="372"/>
      <c r="I255" s="416"/>
    </row>
    <row r="256" spans="1:9">
      <c r="A256" s="410"/>
      <c r="B256" s="411" t="s">
        <v>522</v>
      </c>
      <c r="D256" s="317" t="s">
        <v>592</v>
      </c>
      <c r="E256" s="372"/>
      <c r="F256" s="372"/>
      <c r="I256" s="416" t="s">
        <v>593</v>
      </c>
    </row>
    <row r="257" spans="1:9">
      <c r="A257" s="410"/>
      <c r="B257" s="410"/>
      <c r="E257" s="953" t="s">
        <v>594</v>
      </c>
      <c r="I257" s="416"/>
    </row>
    <row r="258" spans="1:9">
      <c r="D258" s="373"/>
      <c r="E258" s="373"/>
      <c r="F258" s="373"/>
      <c r="I258" s="416"/>
    </row>
    <row r="259" spans="1:9">
      <c r="A259" s="410"/>
      <c r="B259" s="411" t="s">
        <v>522</v>
      </c>
      <c r="D259" s="1162" t="s">
        <v>351</v>
      </c>
      <c r="E259" s="1162"/>
      <c r="F259" s="1162"/>
      <c r="I259" s="416"/>
    </row>
    <row r="260" spans="1:9">
      <c r="A260" s="410"/>
      <c r="B260" s="410"/>
      <c r="D260" s="1162"/>
      <c r="E260" s="1162"/>
      <c r="F260" s="1162"/>
      <c r="I260" s="416"/>
    </row>
    <row r="261" spans="1:9">
      <c r="D261" s="417"/>
      <c r="I261" s="416"/>
    </row>
    <row r="262" spans="1:9">
      <c r="A262" s="1167" t="s">
        <v>352</v>
      </c>
      <c r="B262" s="1167"/>
      <c r="C262" s="1167"/>
      <c r="D262" s="1167"/>
      <c r="E262" s="1167"/>
      <c r="F262" s="1167"/>
      <c r="G262" s="1167"/>
      <c r="H262" s="945"/>
      <c r="I262" s="1136"/>
    </row>
    <row r="263" spans="1:9">
      <c r="D263" s="417"/>
      <c r="I263" s="416"/>
    </row>
    <row r="264" spans="1:9">
      <c r="C264" s="412"/>
      <c r="D264" s="1160" t="s">
        <v>353</v>
      </c>
      <c r="E264" s="1160"/>
      <c r="F264" s="1160"/>
      <c r="I264" s="416"/>
    </row>
    <row r="265" spans="1:9">
      <c r="A265" s="408"/>
      <c r="B265" s="408"/>
      <c r="C265" s="408"/>
      <c r="D265" s="373"/>
      <c r="E265" s="373"/>
      <c r="F265" s="373"/>
      <c r="I265" s="416"/>
    </row>
    <row r="266" spans="1:9">
      <c r="A266" s="409"/>
      <c r="B266" s="409"/>
      <c r="C266" s="409"/>
      <c r="D266" s="1160" t="s">
        <v>354</v>
      </c>
      <c r="E266" s="1160"/>
      <c r="F266" s="1160"/>
      <c r="I266" s="416" t="s">
        <v>595</v>
      </c>
    </row>
    <row r="267" spans="1:9" ht="14.45" customHeight="1">
      <c r="A267" s="410"/>
      <c r="B267" s="411" t="s">
        <v>522</v>
      </c>
      <c r="D267" s="1162" t="s">
        <v>596</v>
      </c>
      <c r="E267" s="1162"/>
      <c r="F267" s="1162"/>
      <c r="I267" s="416"/>
    </row>
    <row r="268" spans="1:9">
      <c r="D268" s="1162"/>
      <c r="E268" s="1162"/>
      <c r="F268" s="1162"/>
      <c r="I268" s="416"/>
    </row>
    <row r="269" spans="1:9">
      <c r="E269" s="953" t="s">
        <v>597</v>
      </c>
      <c r="I269" s="416"/>
    </row>
    <row r="270" spans="1:9">
      <c r="D270" s="373"/>
      <c r="E270" s="373"/>
      <c r="F270" s="373"/>
      <c r="I270" s="416"/>
    </row>
    <row r="271" spans="1:9" ht="14.45" customHeight="1">
      <c r="A271" s="410"/>
      <c r="B271" s="411" t="s">
        <v>529</v>
      </c>
      <c r="D271" s="1162" t="s">
        <v>598</v>
      </c>
      <c r="E271" s="1162"/>
      <c r="F271" s="1162"/>
      <c r="I271" s="416" t="s">
        <v>599</v>
      </c>
    </row>
    <row r="272" spans="1:9">
      <c r="D272" s="1162"/>
      <c r="E272" s="1162"/>
      <c r="F272" s="1162"/>
      <c r="I272" s="416"/>
    </row>
    <row r="273" spans="1:9">
      <c r="D273" s="1162"/>
      <c r="E273" s="1162"/>
      <c r="F273" s="1162"/>
      <c r="I273" s="416"/>
    </row>
    <row r="274" spans="1:9">
      <c r="D274" s="1162"/>
      <c r="E274" s="1162"/>
      <c r="F274" s="1162"/>
      <c r="I274" s="416"/>
    </row>
    <row r="275" spans="1:9">
      <c r="D275" s="1162"/>
      <c r="E275" s="1162"/>
      <c r="F275" s="1162"/>
      <c r="I275" s="416"/>
    </row>
    <row r="276" spans="1:9">
      <c r="D276" s="1162"/>
      <c r="E276" s="1162"/>
      <c r="F276" s="1162"/>
      <c r="I276" s="416"/>
    </row>
    <row r="277" spans="1:9">
      <c r="D277" s="373"/>
      <c r="E277" s="373"/>
      <c r="F277" s="373"/>
      <c r="I277" s="416"/>
    </row>
    <row r="278" spans="1:9">
      <c r="A278" s="410"/>
      <c r="B278" s="411" t="s">
        <v>529</v>
      </c>
      <c r="D278" s="1162" t="s">
        <v>359</v>
      </c>
      <c r="E278" s="1162"/>
      <c r="F278" s="1162"/>
      <c r="I278" s="416"/>
    </row>
    <row r="279" spans="1:9">
      <c r="D279" s="1162"/>
      <c r="E279" s="1162"/>
      <c r="F279" s="1162"/>
      <c r="I279" s="416"/>
    </row>
    <row r="280" spans="1:9">
      <c r="D280" s="1162"/>
      <c r="E280" s="1162"/>
      <c r="F280" s="1162"/>
      <c r="I280" s="416"/>
    </row>
    <row r="281" spans="1:9">
      <c r="D281" s="418"/>
      <c r="E281" s="373"/>
      <c r="F281" s="373"/>
      <c r="I281" s="416"/>
    </row>
    <row r="282" spans="1:9">
      <c r="A282" s="1167" t="s">
        <v>360</v>
      </c>
      <c r="B282" s="1167"/>
      <c r="C282" s="1167"/>
      <c r="D282" s="1167"/>
      <c r="E282" s="1167"/>
      <c r="F282" s="1167"/>
      <c r="G282" s="1167"/>
      <c r="H282" s="945"/>
      <c r="I282" s="1136"/>
    </row>
    <row r="283" spans="1:9">
      <c r="D283" s="418"/>
      <c r="E283" s="373"/>
      <c r="F283" s="373"/>
      <c r="I283" s="416"/>
    </row>
    <row r="284" spans="1:9">
      <c r="C284" s="408"/>
      <c r="D284" s="1188" t="s">
        <v>361</v>
      </c>
      <c r="E284" s="1188"/>
      <c r="F284" s="1188"/>
      <c r="I284" s="416"/>
    </row>
    <row r="285" spans="1:9">
      <c r="C285" s="408"/>
      <c r="D285" s="1188"/>
      <c r="E285" s="1188"/>
      <c r="F285" s="1188"/>
      <c r="I285" s="416"/>
    </row>
    <row r="286" spans="1:9">
      <c r="A286" s="409"/>
      <c r="B286" s="409"/>
      <c r="C286" s="409"/>
      <c r="D286" s="329"/>
      <c r="I286" s="416"/>
    </row>
    <row r="287" spans="1:9">
      <c r="C287" s="409"/>
      <c r="D287" s="1160" t="s">
        <v>362</v>
      </c>
      <c r="E287" s="1160"/>
      <c r="F287" s="1160"/>
      <c r="I287" s="416"/>
    </row>
    <row r="288" spans="1:9" ht="15.75" customHeight="1">
      <c r="A288" s="410"/>
      <c r="B288" s="410"/>
      <c r="D288" s="1211" t="s">
        <v>363</v>
      </c>
      <c r="E288" s="1211"/>
      <c r="F288" s="1211"/>
      <c r="I288" s="416"/>
    </row>
    <row r="289" spans="1:9">
      <c r="E289" s="373"/>
      <c r="F289" s="373"/>
      <c r="I289" s="416"/>
    </row>
    <row r="290" spans="1:9">
      <c r="A290" s="410"/>
      <c r="B290" s="411" t="s">
        <v>529</v>
      </c>
      <c r="D290" s="1162" t="s">
        <v>364</v>
      </c>
      <c r="E290" s="1162"/>
      <c r="F290" s="1162"/>
      <c r="I290" s="416" t="s">
        <v>600</v>
      </c>
    </row>
    <row r="291" spans="1:9">
      <c r="A291" s="410"/>
      <c r="B291" s="410"/>
      <c r="D291" s="1162"/>
      <c r="E291" s="1162"/>
      <c r="F291" s="1162"/>
      <c r="I291" s="416"/>
    </row>
    <row r="292" spans="1:9">
      <c r="D292" s="373"/>
      <c r="E292" s="373"/>
      <c r="F292" s="373"/>
      <c r="I292" s="416"/>
    </row>
    <row r="293" spans="1:9">
      <c r="A293" s="410"/>
      <c r="B293" s="411" t="s">
        <v>529</v>
      </c>
      <c r="D293" s="1162" t="s">
        <v>365</v>
      </c>
      <c r="E293" s="1162"/>
      <c r="F293" s="1162"/>
      <c r="I293" s="416" t="s">
        <v>600</v>
      </c>
    </row>
    <row r="294" spans="1:9">
      <c r="A294" s="410"/>
      <c r="B294" s="410"/>
      <c r="D294" s="1162"/>
      <c r="E294" s="1162"/>
      <c r="F294" s="1162"/>
      <c r="I294" s="416"/>
    </row>
    <row r="295" spans="1:9">
      <c r="A295" s="410"/>
      <c r="B295" s="410"/>
      <c r="D295" s="1162"/>
      <c r="E295" s="1162"/>
      <c r="F295" s="1162"/>
      <c r="I295" s="416"/>
    </row>
    <row r="296" spans="1:9">
      <c r="D296" s="373"/>
      <c r="E296" s="373"/>
      <c r="F296" s="373"/>
      <c r="I296" s="416"/>
    </row>
    <row r="297" spans="1:9">
      <c r="A297" s="410"/>
      <c r="B297" s="411" t="s">
        <v>529</v>
      </c>
      <c r="D297" s="1162" t="s">
        <v>366</v>
      </c>
      <c r="E297" s="1162"/>
      <c r="F297" s="1162"/>
      <c r="I297" s="416" t="s">
        <v>600</v>
      </c>
    </row>
    <row r="298" spans="1:9">
      <c r="A298" s="410"/>
      <c r="B298" s="410"/>
      <c r="D298" s="1162"/>
      <c r="E298" s="1162"/>
      <c r="F298" s="1162"/>
      <c r="I298" s="416"/>
    </row>
    <row r="299" spans="1:9">
      <c r="A299" s="416"/>
      <c r="B299" s="416"/>
      <c r="E299" s="373"/>
      <c r="F299" s="373"/>
      <c r="I299" s="416"/>
    </row>
    <row r="300" spans="1:9">
      <c r="A300" s="1167" t="s">
        <v>367</v>
      </c>
      <c r="B300" s="1167"/>
      <c r="C300" s="1167"/>
      <c r="D300" s="1167"/>
      <c r="E300" s="1167"/>
      <c r="F300" s="1167"/>
      <c r="G300" s="1167"/>
      <c r="H300" s="945"/>
      <c r="I300" s="1136"/>
    </row>
    <row r="301" spans="1:9">
      <c r="A301" s="416"/>
      <c r="B301" s="416"/>
      <c r="D301" s="373"/>
      <c r="E301" s="373"/>
      <c r="F301" s="373"/>
      <c r="I301" s="416"/>
    </row>
    <row r="302" spans="1:9">
      <c r="C302" s="416"/>
      <c r="D302" s="1160" t="s">
        <v>368</v>
      </c>
      <c r="E302" s="1160"/>
      <c r="F302" s="1160"/>
      <c r="I302" s="416"/>
    </row>
    <row r="303" spans="1:9">
      <c r="C303" s="416"/>
      <c r="D303" s="1189" t="s">
        <v>369</v>
      </c>
      <c r="E303" s="1189"/>
      <c r="F303" s="1189"/>
      <c r="I303" s="416"/>
    </row>
    <row r="304" spans="1:9">
      <c r="C304" s="416"/>
      <c r="D304" s="419"/>
      <c r="I304" s="416"/>
    </row>
    <row r="305" spans="1:9">
      <c r="B305" s="411" t="s">
        <v>529</v>
      </c>
      <c r="D305" s="1189" t="s">
        <v>370</v>
      </c>
      <c r="E305" s="1189"/>
      <c r="F305" s="1189"/>
      <c r="I305" s="416" t="s">
        <v>601</v>
      </c>
    </row>
    <row r="306" spans="1:9">
      <c r="A306" s="410"/>
      <c r="B306" s="410"/>
      <c r="D306" s="420"/>
      <c r="E306" s="421"/>
      <c r="F306" s="421"/>
      <c r="I306" s="416"/>
    </row>
    <row r="307" spans="1:9" ht="13.7" customHeight="1">
      <c r="B307" s="411" t="s">
        <v>529</v>
      </c>
      <c r="D307" s="1208" t="s">
        <v>602</v>
      </c>
      <c r="E307" s="1208"/>
      <c r="F307" s="1208"/>
      <c r="I307" s="416" t="s">
        <v>601</v>
      </c>
    </row>
    <row r="308" spans="1:9">
      <c r="A308" s="410"/>
      <c r="B308" s="410"/>
      <c r="D308" s="1208"/>
      <c r="E308" s="1208"/>
      <c r="F308" s="1208"/>
      <c r="I308" s="416"/>
    </row>
    <row r="309" spans="1:9">
      <c r="A309" s="410"/>
      <c r="B309" s="410"/>
      <c r="D309" s="1208"/>
      <c r="E309" s="1208"/>
      <c r="F309" s="1208"/>
      <c r="I309" s="416"/>
    </row>
    <row r="310" spans="1:9">
      <c r="A310" s="410"/>
      <c r="B310" s="410"/>
      <c r="D310" s="1208"/>
      <c r="E310" s="1208"/>
      <c r="F310" s="1208"/>
      <c r="I310" s="416"/>
    </row>
    <row r="311" spans="1:9">
      <c r="A311" s="410"/>
      <c r="B311" s="410"/>
      <c r="D311" s="1208"/>
      <c r="E311" s="1208"/>
      <c r="F311" s="1208"/>
      <c r="I311" s="416"/>
    </row>
    <row r="312" spans="1:9">
      <c r="A312" s="410"/>
      <c r="B312" s="410"/>
      <c r="D312" s="420"/>
      <c r="E312" s="421"/>
      <c r="F312" s="421"/>
      <c r="I312" s="416"/>
    </row>
    <row r="313" spans="1:9" ht="13.7" customHeight="1">
      <c r="B313" s="411" t="s">
        <v>529</v>
      </c>
      <c r="D313" s="1208" t="s">
        <v>372</v>
      </c>
      <c r="E313" s="1208"/>
      <c r="F313" s="1208"/>
      <c r="I313" s="416" t="s">
        <v>601</v>
      </c>
    </row>
    <row r="314" spans="1:9">
      <c r="D314" s="1208"/>
      <c r="E314" s="1208"/>
      <c r="F314" s="1208"/>
      <c r="I314" s="416"/>
    </row>
    <row r="315" spans="1:9">
      <c r="A315" s="410"/>
      <c r="B315" s="410"/>
      <c r="D315" s="420"/>
      <c r="E315" s="421"/>
      <c r="F315" s="421"/>
      <c r="I315" s="416"/>
    </row>
    <row r="316" spans="1:9">
      <c r="B316" s="411" t="s">
        <v>529</v>
      </c>
      <c r="D316" s="1189" t="s">
        <v>373</v>
      </c>
      <c r="E316" s="1189"/>
      <c r="F316" s="1189"/>
      <c r="I316" s="416" t="s">
        <v>531</v>
      </c>
    </row>
    <row r="317" spans="1:9">
      <c r="E317" s="373"/>
      <c r="F317" s="373"/>
      <c r="I317" s="416"/>
    </row>
    <row r="318" spans="1:9">
      <c r="A318" s="410"/>
      <c r="B318" s="411" t="s">
        <v>529</v>
      </c>
      <c r="D318" s="1162" t="s">
        <v>603</v>
      </c>
      <c r="E318" s="1162"/>
      <c r="F318" s="1162"/>
      <c r="I318" s="416" t="s">
        <v>604</v>
      </c>
    </row>
    <row r="319" spans="1:9">
      <c r="A319" s="410"/>
      <c r="B319" s="410"/>
      <c r="D319" s="1162"/>
      <c r="E319" s="1162"/>
      <c r="F319" s="1162"/>
      <c r="I319" s="416"/>
    </row>
    <row r="320" spans="1:9">
      <c r="A320" s="410"/>
      <c r="B320" s="410"/>
      <c r="D320" s="1162"/>
      <c r="E320" s="1162"/>
      <c r="F320" s="1162"/>
      <c r="I320" s="416"/>
    </row>
    <row r="321" spans="1:9">
      <c r="A321" s="410"/>
      <c r="B321" s="410"/>
      <c r="D321" s="1162"/>
      <c r="E321" s="1162"/>
      <c r="F321" s="1162"/>
      <c r="I321" s="416"/>
    </row>
    <row r="322" spans="1:9">
      <c r="A322" s="410"/>
      <c r="B322" s="410"/>
      <c r="D322" s="1162"/>
      <c r="E322" s="1162"/>
      <c r="F322" s="1162"/>
      <c r="I322" s="416"/>
    </row>
    <row r="323" spans="1:9">
      <c r="A323" s="410"/>
      <c r="B323" s="410"/>
      <c r="D323" s="1162"/>
      <c r="E323" s="1162"/>
      <c r="F323" s="1162"/>
      <c r="I323" s="416"/>
    </row>
    <row r="324" spans="1:9">
      <c r="A324" s="410"/>
      <c r="B324" s="410"/>
      <c r="D324" s="1162"/>
      <c r="E324" s="1162"/>
      <c r="F324" s="1162"/>
      <c r="I324" s="416"/>
    </row>
    <row r="325" spans="1:9">
      <c r="A325" s="410"/>
      <c r="B325" s="410"/>
      <c r="D325" s="1162"/>
      <c r="E325" s="1162"/>
      <c r="F325" s="1162"/>
      <c r="I325" s="416"/>
    </row>
    <row r="326" spans="1:9">
      <c r="A326" s="410"/>
      <c r="B326" s="410"/>
      <c r="D326" s="1162"/>
      <c r="E326" s="1162"/>
      <c r="F326" s="1162"/>
      <c r="I326" s="416"/>
    </row>
    <row r="327" spans="1:9">
      <c r="A327" s="410"/>
      <c r="B327" s="410"/>
      <c r="D327" s="1162"/>
      <c r="E327" s="1162"/>
      <c r="F327" s="1162"/>
      <c r="I327" s="416"/>
    </row>
    <row r="328" spans="1:9">
      <c r="A328" s="410"/>
      <c r="B328" s="410"/>
      <c r="D328" s="1162"/>
      <c r="E328" s="1162"/>
      <c r="F328" s="1162"/>
      <c r="I328" s="416"/>
    </row>
    <row r="329" spans="1:9">
      <c r="A329" s="410"/>
      <c r="B329" s="410"/>
      <c r="D329" s="1162"/>
      <c r="E329" s="1162"/>
      <c r="F329" s="1162"/>
      <c r="I329" s="416"/>
    </row>
    <row r="330" spans="1:9">
      <c r="A330" s="410"/>
      <c r="B330" s="410"/>
      <c r="D330" s="1162"/>
      <c r="E330" s="1162"/>
      <c r="F330" s="1162"/>
      <c r="I330" s="416"/>
    </row>
    <row r="331" spans="1:9">
      <c r="A331" s="410"/>
      <c r="B331" s="410"/>
      <c r="D331" s="1162"/>
      <c r="E331" s="1162"/>
      <c r="F331" s="1162"/>
      <c r="I331" s="416"/>
    </row>
    <row r="332" spans="1:9">
      <c r="A332" s="410"/>
      <c r="B332" s="410"/>
      <c r="D332" s="1162"/>
      <c r="E332" s="1162"/>
      <c r="F332" s="1162"/>
      <c r="I332" s="416"/>
    </row>
    <row r="333" spans="1:9">
      <c r="D333" s="373"/>
      <c r="E333" s="373"/>
      <c r="F333" s="373"/>
      <c r="I333" s="416"/>
    </row>
    <row r="334" spans="1:9">
      <c r="A334" s="410"/>
      <c r="B334" s="411" t="s">
        <v>529</v>
      </c>
      <c r="D334" s="1162" t="s">
        <v>375</v>
      </c>
      <c r="E334" s="1162"/>
      <c r="F334" s="1162"/>
      <c r="I334" s="416" t="s">
        <v>604</v>
      </c>
    </row>
    <row r="335" spans="1:9">
      <c r="D335" s="1162"/>
      <c r="E335" s="1162"/>
      <c r="F335" s="1162"/>
      <c r="I335" s="416"/>
    </row>
    <row r="336" spans="1:9">
      <c r="D336" s="1162"/>
      <c r="E336" s="1162"/>
      <c r="F336" s="1162"/>
      <c r="I336" s="416"/>
    </row>
    <row r="337" spans="1:9">
      <c r="D337" s="1162"/>
      <c r="E337" s="1162"/>
      <c r="F337" s="1162"/>
      <c r="I337" s="416"/>
    </row>
    <row r="338" spans="1:9">
      <c r="D338" s="1162"/>
      <c r="E338" s="1162"/>
      <c r="F338" s="1162"/>
      <c r="I338" s="416"/>
    </row>
    <row r="339" spans="1:9">
      <c r="D339" s="1162"/>
      <c r="E339" s="1162"/>
      <c r="F339" s="1162"/>
      <c r="I339" s="416"/>
    </row>
    <row r="340" spans="1:9">
      <c r="D340" s="1162"/>
      <c r="E340" s="1162"/>
      <c r="F340" s="1162"/>
      <c r="I340" s="416"/>
    </row>
    <row r="341" spans="1:9">
      <c r="D341" s="1162"/>
      <c r="E341" s="1162"/>
      <c r="F341" s="1162"/>
      <c r="I341" s="416"/>
    </row>
    <row r="342" spans="1:9">
      <c r="D342" s="1162"/>
      <c r="E342" s="1162"/>
      <c r="F342" s="1162"/>
      <c r="I342" s="416"/>
    </row>
    <row r="343" spans="1:9">
      <c r="D343" s="373"/>
      <c r="E343" s="373"/>
      <c r="F343" s="373"/>
      <c r="I343" s="416"/>
    </row>
    <row r="344" spans="1:9" ht="14.25" customHeight="1">
      <c r="A344" s="410"/>
      <c r="B344" s="411" t="s">
        <v>529</v>
      </c>
      <c r="D344" s="1162" t="s">
        <v>605</v>
      </c>
      <c r="E344" s="1162"/>
      <c r="F344" s="1162"/>
      <c r="I344" s="416" t="s">
        <v>606</v>
      </c>
    </row>
    <row r="345" spans="1:9">
      <c r="D345" s="1162"/>
      <c r="E345" s="1162"/>
      <c r="F345" s="1162"/>
      <c r="I345" s="416"/>
    </row>
    <row r="346" spans="1:9">
      <c r="D346" s="1162"/>
      <c r="E346" s="1162"/>
      <c r="F346" s="1162"/>
      <c r="I346" s="416"/>
    </row>
    <row r="347" spans="1:9">
      <c r="D347" s="1162"/>
      <c r="E347" s="1162"/>
      <c r="F347" s="1162"/>
      <c r="I347" s="416"/>
    </row>
    <row r="348" spans="1:9">
      <c r="D348" s="311" t="s">
        <v>566</v>
      </c>
      <c r="E348" s="310"/>
      <c r="F348" s="310"/>
      <c r="I348" s="416"/>
    </row>
    <row r="349" spans="1:9">
      <c r="D349" s="310"/>
      <c r="E349" s="72" t="s">
        <v>607</v>
      </c>
      <c r="G349" s="72"/>
      <c r="I349" s="416"/>
    </row>
    <row r="350" spans="1:9">
      <c r="D350" s="372"/>
      <c r="E350" s="372"/>
      <c r="F350" s="372"/>
      <c r="I350" s="416"/>
    </row>
    <row r="351" spans="1:9" ht="14.1" thickBot="1">
      <c r="A351" s="939"/>
      <c r="B351" s="939"/>
      <c r="C351" s="939"/>
      <c r="D351" s="1213" t="s">
        <v>377</v>
      </c>
      <c r="E351" s="1213"/>
      <c r="F351" s="1213"/>
      <c r="G351" s="944"/>
      <c r="H351" s="944"/>
      <c r="I351" s="1139"/>
    </row>
    <row r="352" spans="1:9" ht="14.1" thickTop="1">
      <c r="D352" s="1209" t="s">
        <v>378</v>
      </c>
      <c r="E352" s="1209"/>
      <c r="F352" s="1209"/>
      <c r="I352" s="416"/>
    </row>
    <row r="353" spans="1:9">
      <c r="D353" s="373"/>
      <c r="E353" s="373"/>
      <c r="F353" s="373"/>
      <c r="I353" s="416"/>
    </row>
    <row r="354" spans="1:9">
      <c r="A354" s="402"/>
      <c r="B354" s="402"/>
      <c r="C354" s="402"/>
      <c r="D354" s="374"/>
      <c r="E354" s="374"/>
      <c r="F354" s="373"/>
      <c r="I354" s="416" t="s">
        <v>608</v>
      </c>
    </row>
    <row r="355" spans="1:9">
      <c r="A355" s="410"/>
      <c r="B355" s="411" t="s">
        <v>529</v>
      </c>
      <c r="C355" s="413"/>
      <c r="D355" s="1189" t="s">
        <v>609</v>
      </c>
      <c r="E355" s="1189"/>
      <c r="F355" s="1189"/>
      <c r="I355" s="1205" t="s">
        <v>610</v>
      </c>
    </row>
    <row r="356" spans="1:9" ht="12.75" customHeight="1">
      <c r="D356" s="954"/>
      <c r="E356" s="72" t="s">
        <v>611</v>
      </c>
      <c r="F356" s="954"/>
      <c r="I356" s="1206"/>
    </row>
    <row r="357" spans="1:9">
      <c r="D357" s="1162" t="s">
        <v>612</v>
      </c>
      <c r="E357" s="1162"/>
      <c r="F357" s="1162"/>
      <c r="I357" s="1206"/>
    </row>
    <row r="358" spans="1:9">
      <c r="D358" s="1162"/>
      <c r="E358" s="1162"/>
      <c r="F358" s="1162"/>
      <c r="I358" s="1206"/>
    </row>
    <row r="359" spans="1:9">
      <c r="D359" s="1162"/>
      <c r="E359" s="1162"/>
      <c r="F359" s="1162"/>
      <c r="I359" s="1207"/>
    </row>
    <row r="360" spans="1:9">
      <c r="A360" s="410"/>
      <c r="B360" s="411" t="s">
        <v>529</v>
      </c>
      <c r="C360" s="402"/>
      <c r="D360" s="1193" t="s">
        <v>613</v>
      </c>
      <c r="E360" s="1193"/>
      <c r="F360" s="1193"/>
      <c r="I360" s="406"/>
    </row>
    <row r="361" spans="1:9">
      <c r="A361" s="402"/>
      <c r="B361" s="402"/>
      <c r="C361" s="402"/>
      <c r="D361" s="374"/>
      <c r="E361" s="374"/>
      <c r="F361" s="373"/>
      <c r="I361" s="416"/>
    </row>
    <row r="362" spans="1:9">
      <c r="A362" s="402"/>
      <c r="B362" s="411" t="s">
        <v>529</v>
      </c>
      <c r="C362" s="402"/>
      <c r="D362" s="1150" t="s">
        <v>614</v>
      </c>
      <c r="E362" s="1150"/>
      <c r="F362" s="1150"/>
      <c r="I362" s="416"/>
    </row>
    <row r="363" spans="1:9">
      <c r="A363" s="402"/>
      <c r="B363" s="402"/>
      <c r="C363" s="402"/>
      <c r="D363" s="1150"/>
      <c r="E363" s="1150"/>
      <c r="F363" s="1150"/>
      <c r="I363" s="416"/>
    </row>
    <row r="364" spans="1:9">
      <c r="A364" s="402"/>
      <c r="B364" s="402"/>
      <c r="C364" s="402"/>
      <c r="D364" s="1150"/>
      <c r="E364" s="1150"/>
      <c r="F364" s="1150"/>
      <c r="I364" s="416"/>
    </row>
    <row r="365" spans="1:9">
      <c r="A365" s="402"/>
      <c r="B365" s="402"/>
      <c r="C365" s="402"/>
      <c r="D365" s="1150"/>
      <c r="E365" s="1150"/>
      <c r="F365" s="1150"/>
      <c r="I365" s="416"/>
    </row>
    <row r="366" spans="1:9">
      <c r="A366" s="402"/>
      <c r="B366" s="402"/>
      <c r="C366" s="402"/>
      <c r="D366" s="1150"/>
      <c r="E366" s="1150"/>
      <c r="F366" s="1150"/>
      <c r="I366" s="416"/>
    </row>
    <row r="367" spans="1:9">
      <c r="A367" s="402"/>
      <c r="B367" s="402"/>
      <c r="C367" s="402"/>
      <c r="D367" s="1150"/>
      <c r="E367" s="1150"/>
      <c r="F367" s="1150"/>
      <c r="I367" s="416"/>
    </row>
    <row r="368" spans="1:9">
      <c r="A368" s="402"/>
      <c r="B368" s="402"/>
      <c r="C368" s="402"/>
      <c r="D368" s="1150"/>
      <c r="E368" s="1150"/>
      <c r="F368" s="1150"/>
      <c r="I368" s="416"/>
    </row>
    <row r="369" spans="1:9">
      <c r="A369" s="402"/>
      <c r="B369" s="402"/>
      <c r="C369" s="402"/>
      <c r="D369" s="1150"/>
      <c r="E369" s="1150"/>
      <c r="F369" s="1150"/>
      <c r="I369" s="416"/>
    </row>
    <row r="370" spans="1:9">
      <c r="A370" s="402"/>
      <c r="B370" s="402"/>
      <c r="C370" s="402"/>
      <c r="D370" s="1150"/>
      <c r="E370" s="1150"/>
      <c r="F370" s="1150"/>
      <c r="I370" s="416"/>
    </row>
    <row r="371" spans="1:9">
      <c r="A371" s="402"/>
      <c r="B371" s="402"/>
      <c r="C371" s="402"/>
      <c r="D371" s="1150"/>
      <c r="E371" s="1150"/>
      <c r="F371" s="1150"/>
      <c r="I371" s="416"/>
    </row>
    <row r="372" spans="1:9">
      <c r="A372" s="402"/>
      <c r="B372" s="402"/>
      <c r="C372" s="402"/>
      <c r="D372" s="1150"/>
      <c r="E372" s="1150"/>
      <c r="F372" s="1150"/>
      <c r="I372" s="416"/>
    </row>
    <row r="373" spans="1:9">
      <c r="A373" s="402"/>
      <c r="B373" s="402"/>
      <c r="C373" s="402"/>
      <c r="D373" s="1150"/>
      <c r="E373" s="1150"/>
      <c r="F373" s="1150"/>
      <c r="I373" s="416"/>
    </row>
    <row r="374" spans="1:9">
      <c r="A374" s="402"/>
      <c r="B374" s="402"/>
      <c r="C374" s="402"/>
      <c r="D374" s="378"/>
      <c r="E374" s="378"/>
      <c r="F374" s="378"/>
      <c r="I374" s="416"/>
    </row>
    <row r="375" spans="1:9" ht="12.6" customHeight="1">
      <c r="A375" s="402"/>
      <c r="B375" s="411" t="s">
        <v>529</v>
      </c>
      <c r="C375" s="402"/>
      <c r="D375" s="1202" t="s">
        <v>615</v>
      </c>
      <c r="E375" s="1202"/>
      <c r="F375" s="1202"/>
      <c r="I375" s="416"/>
    </row>
    <row r="376" spans="1:9">
      <c r="A376" s="402"/>
      <c r="B376" s="402"/>
      <c r="C376" s="402"/>
      <c r="D376" s="1202"/>
      <c r="E376" s="1202"/>
      <c r="F376" s="1202"/>
      <c r="I376" s="416"/>
    </row>
    <row r="377" spans="1:9">
      <c r="A377" s="402"/>
      <c r="B377" s="402"/>
      <c r="C377" s="402"/>
      <c r="D377" s="1202"/>
      <c r="E377" s="1202"/>
      <c r="F377" s="1202"/>
      <c r="I377" s="416"/>
    </row>
    <row r="378" spans="1:9">
      <c r="A378" s="402"/>
      <c r="B378" s="402"/>
      <c r="C378" s="402"/>
      <c r="D378" s="1202"/>
      <c r="E378" s="1202"/>
      <c r="F378" s="1202"/>
      <c r="I378" s="416"/>
    </row>
    <row r="379" spans="1:9">
      <c r="A379" s="402"/>
      <c r="B379" s="402"/>
      <c r="C379" s="402"/>
      <c r="D379" s="449"/>
      <c r="E379" s="449"/>
      <c r="F379" s="449"/>
      <c r="I379" s="416"/>
    </row>
    <row r="380" spans="1:9">
      <c r="A380" s="402"/>
      <c r="B380" s="411" t="s">
        <v>529</v>
      </c>
      <c r="C380" s="402"/>
      <c r="D380" s="327" t="s">
        <v>616</v>
      </c>
      <c r="E380" s="449"/>
      <c r="F380" s="449"/>
      <c r="I380" s="416"/>
    </row>
    <row r="381" spans="1:9">
      <c r="A381" s="402"/>
      <c r="B381" s="402"/>
      <c r="C381" s="402"/>
      <c r="D381" s="327" t="s">
        <v>617</v>
      </c>
      <c r="E381" s="449"/>
      <c r="F381" s="449"/>
      <c r="I381" s="416"/>
    </row>
    <row r="382" spans="1:9">
      <c r="A382" s="402"/>
      <c r="B382" s="402"/>
      <c r="C382" s="402"/>
      <c r="D382" s="327" t="s">
        <v>618</v>
      </c>
      <c r="E382" s="449"/>
      <c r="F382" s="449"/>
      <c r="I382" s="416"/>
    </row>
    <row r="383" spans="1:9">
      <c r="A383" s="402"/>
      <c r="B383" s="402"/>
      <c r="C383" s="402"/>
      <c r="D383" s="327" t="s">
        <v>619</v>
      </c>
      <c r="E383" s="449"/>
      <c r="F383" s="449"/>
      <c r="I383" s="416"/>
    </row>
    <row r="384" spans="1:9">
      <c r="A384" s="402"/>
      <c r="B384" s="402"/>
      <c r="C384" s="402"/>
      <c r="D384" s="327" t="s">
        <v>620</v>
      </c>
      <c r="E384" s="449"/>
      <c r="F384" s="449"/>
      <c r="I384" s="416"/>
    </row>
    <row r="385" spans="1:9">
      <c r="A385" s="402"/>
      <c r="B385" s="402"/>
      <c r="C385" s="402"/>
      <c r="D385" s="327" t="s">
        <v>621</v>
      </c>
      <c r="E385" s="449"/>
      <c r="F385" s="449"/>
      <c r="I385" s="416"/>
    </row>
    <row r="386" spans="1:9">
      <c r="A386" s="402"/>
      <c r="B386" s="402"/>
      <c r="C386" s="402"/>
      <c r="E386" s="374"/>
      <c r="F386" s="373"/>
      <c r="I386" s="416"/>
    </row>
    <row r="387" spans="1:9">
      <c r="A387" s="410"/>
      <c r="B387" s="411" t="s">
        <v>529</v>
      </c>
      <c r="C387" s="402"/>
      <c r="D387" s="1150" t="s">
        <v>381</v>
      </c>
      <c r="E387" s="1150"/>
      <c r="F387" s="1150"/>
      <c r="I387" s="416"/>
    </row>
    <row r="388" spans="1:9">
      <c r="A388" s="402"/>
      <c r="B388" s="402"/>
      <c r="C388" s="402"/>
      <c r="D388" s="1150"/>
      <c r="E388" s="1150"/>
      <c r="F388" s="1150"/>
      <c r="I388" s="416"/>
    </row>
    <row r="389" spans="1:9">
      <c r="A389" s="402"/>
      <c r="B389" s="402"/>
      <c r="C389" s="402"/>
      <c r="D389" s="1150"/>
      <c r="E389" s="1150"/>
      <c r="F389" s="1150"/>
      <c r="I389" s="416"/>
    </row>
    <row r="390" spans="1:9">
      <c r="A390" s="402"/>
      <c r="B390" s="402"/>
      <c r="C390" s="402"/>
      <c r="D390" s="1150"/>
      <c r="E390" s="1150"/>
      <c r="F390" s="1150"/>
      <c r="I390" s="416"/>
    </row>
    <row r="391" spans="1:9">
      <c r="A391" s="402"/>
      <c r="B391" s="402"/>
      <c r="C391" s="402"/>
      <c r="D391" s="374"/>
      <c r="E391" s="374"/>
      <c r="F391" s="373"/>
      <c r="I391" s="416"/>
    </row>
    <row r="392" spans="1:9">
      <c r="A392" s="402"/>
      <c r="B392" s="402"/>
      <c r="C392" s="402"/>
      <c r="D392" s="1150" t="s">
        <v>382</v>
      </c>
      <c r="E392" s="1150"/>
      <c r="F392" s="1150"/>
      <c r="I392" s="416"/>
    </row>
    <row r="393" spans="1:9">
      <c r="A393" s="402"/>
      <c r="B393" s="402"/>
      <c r="C393" s="402"/>
      <c r="D393" s="1150"/>
      <c r="E393" s="1150"/>
      <c r="F393" s="1150"/>
      <c r="I393" s="416"/>
    </row>
    <row r="394" spans="1:9">
      <c r="A394" s="402"/>
      <c r="B394" s="402"/>
      <c r="C394" s="402"/>
      <c r="D394" s="1150"/>
      <c r="E394" s="1150"/>
      <c r="F394" s="1150"/>
      <c r="I394" s="416"/>
    </row>
    <row r="395" spans="1:9">
      <c r="A395" s="402"/>
      <c r="B395" s="402"/>
      <c r="C395" s="402"/>
      <c r="D395" s="1150"/>
      <c r="E395" s="1150"/>
      <c r="F395" s="1150"/>
      <c r="I395" s="416"/>
    </row>
    <row r="396" spans="1:9" ht="18" customHeight="1">
      <c r="A396" s="402"/>
      <c r="B396" s="402"/>
      <c r="C396" s="402"/>
      <c r="D396" s="1150"/>
      <c r="E396" s="1150"/>
      <c r="F396" s="1150"/>
      <c r="I396" s="416"/>
    </row>
    <row r="397" spans="1:9">
      <c r="A397" s="402"/>
      <c r="B397" s="402"/>
      <c r="C397" s="402"/>
      <c r="D397" s="1150"/>
      <c r="E397" s="1150"/>
      <c r="F397" s="1150"/>
      <c r="I397" s="416"/>
    </row>
    <row r="398" spans="1:9">
      <c r="A398" s="402"/>
      <c r="B398" s="402"/>
      <c r="C398" s="402"/>
      <c r="D398" s="1150"/>
      <c r="E398" s="1150"/>
      <c r="F398" s="1150"/>
      <c r="I398" s="416"/>
    </row>
    <row r="399" spans="1:9">
      <c r="A399" s="402"/>
      <c r="B399" s="402"/>
      <c r="C399" s="402"/>
      <c r="D399" s="1150"/>
      <c r="E399" s="1150"/>
      <c r="F399" s="1150"/>
      <c r="I399" s="416"/>
    </row>
    <row r="400" spans="1:9" ht="8.25" customHeight="1">
      <c r="A400" s="402"/>
      <c r="B400" s="402"/>
      <c r="C400" s="402"/>
      <c r="D400" s="1150"/>
      <c r="E400" s="1150"/>
      <c r="F400" s="1150"/>
      <c r="I400" s="416"/>
    </row>
    <row r="401" spans="1:9" ht="13.7" customHeight="1">
      <c r="A401" s="402"/>
      <c r="B401" s="402"/>
      <c r="C401" s="402"/>
      <c r="D401" s="1150" t="s">
        <v>383</v>
      </c>
      <c r="E401" s="1150"/>
      <c r="F401" s="1150"/>
      <c r="I401" s="416"/>
    </row>
    <row r="402" spans="1:9">
      <c r="A402" s="402"/>
      <c r="B402" s="402"/>
      <c r="C402" s="402"/>
      <c r="D402" s="1150"/>
      <c r="E402" s="1150"/>
      <c r="F402" s="1150"/>
      <c r="I402" s="416"/>
    </row>
    <row r="403" spans="1:9">
      <c r="A403" s="402"/>
      <c r="B403" s="402"/>
      <c r="C403" s="402"/>
      <c r="D403" s="1150"/>
      <c r="E403" s="1150"/>
      <c r="F403" s="1150"/>
      <c r="I403" s="416"/>
    </row>
    <row r="404" spans="1:9">
      <c r="A404" s="402"/>
      <c r="B404" s="402"/>
      <c r="C404" s="402"/>
      <c r="D404" s="1150"/>
      <c r="E404" s="1150"/>
      <c r="F404" s="1150"/>
      <c r="I404" s="416"/>
    </row>
    <row r="405" spans="1:9">
      <c r="A405" s="402"/>
      <c r="B405" s="402"/>
      <c r="C405" s="402"/>
      <c r="D405" s="1150"/>
      <c r="E405" s="1150"/>
      <c r="F405" s="1150"/>
      <c r="I405" s="416"/>
    </row>
    <row r="406" spans="1:9">
      <c r="A406" s="402"/>
      <c r="B406" s="402"/>
      <c r="C406" s="402"/>
      <c r="D406" s="1150"/>
      <c r="E406" s="1150"/>
      <c r="F406" s="1150"/>
      <c r="I406" s="416"/>
    </row>
    <row r="407" spans="1:9">
      <c r="A407" s="402"/>
      <c r="B407" s="402"/>
      <c r="C407" s="402"/>
      <c r="D407" s="1150"/>
      <c r="E407" s="1150"/>
      <c r="F407" s="1150"/>
      <c r="I407" s="416"/>
    </row>
    <row r="408" spans="1:9">
      <c r="A408" s="402"/>
      <c r="B408" s="402"/>
      <c r="C408" s="402"/>
      <c r="D408" s="1150"/>
      <c r="E408" s="1150"/>
      <c r="F408" s="1150"/>
      <c r="I408" s="416"/>
    </row>
    <row r="409" spans="1:9">
      <c r="A409" s="402"/>
      <c r="B409" s="402"/>
      <c r="C409" s="402"/>
      <c r="D409" s="1150"/>
      <c r="E409" s="1150"/>
      <c r="F409" s="1150"/>
      <c r="I409" s="416"/>
    </row>
    <row r="410" spans="1:9">
      <c r="A410" s="402"/>
      <c r="B410" s="402"/>
      <c r="C410" s="402"/>
      <c r="D410" s="1150"/>
      <c r="E410" s="1150"/>
      <c r="F410" s="1150"/>
      <c r="I410" s="416"/>
    </row>
    <row r="411" spans="1:9">
      <c r="A411" s="402"/>
      <c r="B411" s="402"/>
      <c r="C411" s="402"/>
      <c r="D411" s="1150"/>
      <c r="E411" s="1150"/>
      <c r="F411" s="1150"/>
      <c r="I411" s="416"/>
    </row>
    <row r="412" spans="1:9">
      <c r="A412" s="402"/>
      <c r="B412" s="402"/>
      <c r="C412" s="402"/>
      <c r="D412" s="1150"/>
      <c r="E412" s="1150"/>
      <c r="F412" s="1150"/>
      <c r="I412" s="416"/>
    </row>
    <row r="413" spans="1:9">
      <c r="A413" s="402"/>
      <c r="B413" s="402"/>
      <c r="C413" s="422"/>
      <c r="D413" s="1150"/>
      <c r="E413" s="1150"/>
      <c r="F413" s="1150"/>
      <c r="I413" s="416"/>
    </row>
    <row r="414" spans="1:9">
      <c r="A414" s="402"/>
      <c r="B414" s="402"/>
      <c r="C414" s="422"/>
      <c r="D414" s="1150"/>
      <c r="E414" s="1150"/>
      <c r="F414" s="1150"/>
      <c r="I414" s="416"/>
    </row>
    <row r="415" spans="1:9">
      <c r="A415" s="402"/>
      <c r="B415" s="402"/>
      <c r="C415" s="402"/>
      <c r="D415" s="1150"/>
      <c r="E415" s="1150"/>
      <c r="F415" s="1150"/>
      <c r="I415" s="416"/>
    </row>
    <row r="416" spans="1:9">
      <c r="A416" s="402"/>
      <c r="B416" s="402"/>
      <c r="C416" s="422"/>
      <c r="D416" s="1150"/>
      <c r="E416" s="1150"/>
      <c r="F416" s="1150"/>
      <c r="I416" s="416"/>
    </row>
    <row r="417" spans="1:9">
      <c r="A417" s="402"/>
      <c r="B417" s="402"/>
      <c r="C417" s="422"/>
      <c r="D417" s="1150"/>
      <c r="E417" s="1150"/>
      <c r="F417" s="1150"/>
      <c r="I417" s="416"/>
    </row>
    <row r="418" spans="1:9">
      <c r="A418" s="402"/>
      <c r="B418" s="402"/>
      <c r="C418" s="422"/>
      <c r="D418" s="1150"/>
      <c r="E418" s="1150"/>
      <c r="F418" s="1150"/>
      <c r="I418" s="416"/>
    </row>
    <row r="419" spans="1:9">
      <c r="A419" s="402"/>
      <c r="B419" s="402"/>
      <c r="C419" s="402"/>
      <c r="D419" s="374"/>
      <c r="E419" s="374"/>
      <c r="F419" s="373"/>
      <c r="I419" s="416"/>
    </row>
    <row r="420" spans="1:9">
      <c r="A420" s="402"/>
      <c r="B420" s="411" t="s">
        <v>529</v>
      </c>
      <c r="C420" s="402"/>
      <c r="D420" s="1150" t="s">
        <v>384</v>
      </c>
      <c r="E420" s="1150"/>
      <c r="F420" s="1150"/>
      <c r="I420" s="416"/>
    </row>
    <row r="421" spans="1:9">
      <c r="A421" s="402"/>
      <c r="B421" s="402"/>
      <c r="C421" s="402"/>
      <c r="D421" s="1150"/>
      <c r="E421" s="1150"/>
      <c r="F421" s="1150"/>
      <c r="I421" s="416"/>
    </row>
    <row r="422" spans="1:9">
      <c r="A422" s="402"/>
      <c r="B422" s="402"/>
      <c r="C422" s="402"/>
      <c r="D422" s="378"/>
      <c r="E422" s="378"/>
      <c r="F422" s="378"/>
      <c r="I422" s="416"/>
    </row>
    <row r="423" spans="1:9" ht="14.45" customHeight="1">
      <c r="A423" s="410"/>
      <c r="B423" s="411" t="s">
        <v>529</v>
      </c>
      <c r="D423" s="1150" t="s">
        <v>622</v>
      </c>
      <c r="E423" s="1150"/>
      <c r="F423" s="1150"/>
      <c r="I423" s="416"/>
    </row>
    <row r="424" spans="1:9" ht="14.45" customHeight="1">
      <c r="A424" s="410"/>
      <c r="D424" s="1150"/>
      <c r="E424" s="1150"/>
      <c r="F424" s="1150"/>
      <c r="I424" s="416"/>
    </row>
    <row r="425" spans="1:9" ht="14.45" customHeight="1">
      <c r="A425" s="410"/>
      <c r="D425" s="1150"/>
      <c r="E425" s="1150"/>
      <c r="F425" s="1150"/>
      <c r="I425" s="416"/>
    </row>
    <row r="426" spans="1:9" ht="14.45" customHeight="1">
      <c r="A426" s="410"/>
      <c r="D426" s="1150"/>
      <c r="E426" s="1150"/>
      <c r="F426" s="1150"/>
      <c r="I426" s="416"/>
    </row>
    <row r="427" spans="1:9" ht="14.45" customHeight="1">
      <c r="A427" s="410"/>
      <c r="D427" s="1150"/>
      <c r="E427" s="1150"/>
      <c r="F427" s="1150"/>
      <c r="I427" s="416"/>
    </row>
    <row r="428" spans="1:9" ht="14.45" customHeight="1">
      <c r="A428" s="410"/>
      <c r="D428" s="310"/>
      <c r="E428" s="310"/>
      <c r="F428" s="310"/>
      <c r="I428" s="416"/>
    </row>
    <row r="429" spans="1:9" ht="13.7" customHeight="1">
      <c r="A429" s="410"/>
      <c r="B429" s="411" t="s">
        <v>529</v>
      </c>
      <c r="C429" s="402"/>
      <c r="D429" s="1150" t="s">
        <v>623</v>
      </c>
      <c r="E429" s="1150"/>
      <c r="F429" s="1150"/>
      <c r="I429" s="416"/>
    </row>
    <row r="430" spans="1:9">
      <c r="A430" s="423"/>
      <c r="B430" s="423"/>
      <c r="C430" s="402"/>
      <c r="D430" s="1150"/>
      <c r="E430" s="1150"/>
      <c r="F430" s="1150"/>
      <c r="I430" s="416"/>
    </row>
    <row r="431" spans="1:9">
      <c r="A431" s="423"/>
      <c r="B431" s="423"/>
      <c r="C431" s="402"/>
      <c r="D431" s="1150"/>
      <c r="E431" s="1150"/>
      <c r="F431" s="1150"/>
      <c r="I431" s="416"/>
    </row>
    <row r="432" spans="1:9">
      <c r="A432" s="423"/>
      <c r="B432" s="423"/>
      <c r="C432" s="402"/>
      <c r="D432" s="1150"/>
      <c r="E432" s="1150"/>
      <c r="F432" s="1150"/>
      <c r="I432" s="416"/>
    </row>
    <row r="433" spans="1:9" ht="15.75" customHeight="1">
      <c r="A433" s="423"/>
      <c r="B433" s="423"/>
      <c r="C433" s="402"/>
      <c r="D433" s="1210" t="s">
        <v>624</v>
      </c>
      <c r="E433" s="1150"/>
      <c r="F433" s="1150"/>
      <c r="I433" s="416"/>
    </row>
    <row r="434" spans="1:9">
      <c r="D434" s="373"/>
      <c r="E434" s="373"/>
      <c r="F434" s="373"/>
      <c r="I434" s="416"/>
    </row>
    <row r="435" spans="1:9">
      <c r="A435" s="410"/>
      <c r="B435" s="411" t="s">
        <v>529</v>
      </c>
      <c r="C435" s="413"/>
      <c r="D435" s="1162" t="s">
        <v>625</v>
      </c>
      <c r="E435" s="1162"/>
      <c r="F435" s="1162"/>
      <c r="I435" s="416"/>
    </row>
    <row r="436" spans="1:9">
      <c r="A436" s="410"/>
      <c r="B436" s="410"/>
      <c r="D436" s="1162"/>
      <c r="E436" s="1162"/>
      <c r="F436" s="1162"/>
      <c r="I436" s="416"/>
    </row>
    <row r="437" spans="1:9">
      <c r="D437" s="1162"/>
      <c r="E437" s="1162"/>
      <c r="F437" s="1162"/>
      <c r="I437" s="416"/>
    </row>
    <row r="438" spans="1:9">
      <c r="D438" s="1162"/>
      <c r="E438" s="1162"/>
      <c r="F438" s="1162"/>
      <c r="I438" s="416"/>
    </row>
    <row r="439" spans="1:9">
      <c r="D439" s="1162"/>
      <c r="E439" s="1162"/>
      <c r="F439" s="1162"/>
      <c r="I439" s="416"/>
    </row>
    <row r="440" spans="1:9">
      <c r="D440" s="1162"/>
      <c r="E440" s="1162"/>
      <c r="F440" s="1162"/>
      <c r="I440" s="416"/>
    </row>
    <row r="441" spans="1:9">
      <c r="D441" s="1162"/>
      <c r="E441" s="1162"/>
      <c r="F441" s="1162"/>
      <c r="I441" s="416"/>
    </row>
    <row r="442" spans="1:9">
      <c r="D442" s="1162"/>
      <c r="E442" s="1162"/>
      <c r="F442" s="1162"/>
      <c r="I442" s="416"/>
    </row>
    <row r="443" spans="1:9">
      <c r="D443" s="1162"/>
      <c r="E443" s="1162"/>
      <c r="F443" s="1162"/>
      <c r="I443" s="416"/>
    </row>
    <row r="444" spans="1:9">
      <c r="D444" s="1162"/>
      <c r="E444" s="1162"/>
      <c r="F444" s="1162"/>
      <c r="I444" s="416"/>
    </row>
    <row r="445" spans="1:9">
      <c r="D445" s="1162"/>
      <c r="E445" s="1162"/>
      <c r="F445" s="1162"/>
      <c r="I445" s="416"/>
    </row>
    <row r="446" spans="1:9">
      <c r="D446" s="1162"/>
      <c r="E446" s="1162"/>
      <c r="F446" s="1162"/>
      <c r="I446" s="416"/>
    </row>
    <row r="447" spans="1:9">
      <c r="D447" s="1162"/>
      <c r="E447" s="1162"/>
      <c r="F447" s="1162"/>
      <c r="I447" s="416"/>
    </row>
    <row r="448" spans="1:9">
      <c r="A448" s="327"/>
      <c r="B448" s="327"/>
      <c r="C448" s="327"/>
      <c r="D448" s="1162"/>
      <c r="E448" s="1162"/>
      <c r="F448" s="1162"/>
      <c r="I448" s="416"/>
    </row>
    <row r="449" spans="1:9">
      <c r="A449" s="327"/>
      <c r="B449" s="327"/>
      <c r="C449" s="327"/>
      <c r="D449" s="1162"/>
      <c r="E449" s="1162"/>
      <c r="F449" s="1162"/>
      <c r="I449" s="416"/>
    </row>
    <row r="450" spans="1:9">
      <c r="A450" s="327"/>
      <c r="B450" s="327"/>
      <c r="C450" s="327"/>
      <c r="D450" s="1162"/>
      <c r="E450" s="1162"/>
      <c r="F450" s="1162"/>
      <c r="I450" s="416"/>
    </row>
    <row r="451" spans="1:9">
      <c r="A451" s="327"/>
      <c r="B451" s="327"/>
      <c r="C451" s="327"/>
      <c r="D451" s="1162"/>
      <c r="E451" s="1162"/>
      <c r="F451" s="1162"/>
      <c r="I451" s="416"/>
    </row>
    <row r="452" spans="1:9">
      <c r="A452" s="327"/>
      <c r="B452" s="327"/>
      <c r="C452" s="327"/>
      <c r="D452" s="1162"/>
      <c r="E452" s="1162"/>
      <c r="F452" s="1162"/>
      <c r="I452" s="416"/>
    </row>
    <row r="453" spans="1:9">
      <c r="A453" s="327"/>
      <c r="B453" s="327"/>
      <c r="C453" s="327"/>
      <c r="D453" s="1162"/>
      <c r="E453" s="1162"/>
      <c r="F453" s="1162"/>
      <c r="I453" s="416"/>
    </row>
    <row r="454" spans="1:9">
      <c r="A454" s="327"/>
      <c r="B454" s="327"/>
      <c r="C454" s="327"/>
      <c r="D454" s="1162"/>
      <c r="E454" s="1162"/>
      <c r="F454" s="1162"/>
      <c r="I454" s="416"/>
    </row>
    <row r="455" spans="1:9">
      <c r="A455" s="327"/>
      <c r="B455" s="327"/>
      <c r="C455" s="327"/>
      <c r="D455" s="1162"/>
      <c r="E455" s="1162"/>
      <c r="F455" s="1162"/>
      <c r="I455" s="416"/>
    </row>
    <row r="456" spans="1:9">
      <c r="A456" s="327"/>
      <c r="B456" s="327"/>
      <c r="C456" s="327"/>
      <c r="D456" s="1162"/>
      <c r="E456" s="1162"/>
      <c r="F456" s="1162"/>
      <c r="I456" s="416"/>
    </row>
    <row r="457" spans="1:9">
      <c r="A457" s="327"/>
      <c r="B457" s="327"/>
      <c r="C457" s="327"/>
      <c r="D457" s="1162"/>
      <c r="E457" s="1162"/>
      <c r="F457" s="1162"/>
      <c r="I457" s="416"/>
    </row>
    <row r="458" spans="1:9">
      <c r="A458" s="327"/>
      <c r="B458" s="327"/>
      <c r="C458" s="327"/>
      <c r="D458" s="1162"/>
      <c r="E458" s="1162"/>
      <c r="F458" s="1162"/>
      <c r="I458" s="416"/>
    </row>
    <row r="459" spans="1:9">
      <c r="A459" s="327"/>
      <c r="B459" s="327"/>
      <c r="C459" s="327"/>
      <c r="D459" s="1162"/>
      <c r="E459" s="1162"/>
      <c r="F459" s="1162"/>
      <c r="I459" s="416"/>
    </row>
    <row r="460" spans="1:9">
      <c r="A460" s="327"/>
      <c r="B460" s="327"/>
      <c r="C460" s="327"/>
      <c r="D460" s="1162"/>
      <c r="E460" s="1162"/>
      <c r="F460" s="1162"/>
      <c r="I460" s="416"/>
    </row>
    <row r="461" spans="1:9">
      <c r="A461" s="327"/>
      <c r="B461" s="327"/>
      <c r="C461" s="327"/>
      <c r="D461" s="1162"/>
      <c r="E461" s="1162"/>
      <c r="F461" s="1162"/>
      <c r="I461" s="416"/>
    </row>
    <row r="462" spans="1:9">
      <c r="A462" s="327"/>
      <c r="B462" s="327"/>
      <c r="C462" s="327"/>
      <c r="D462" s="1162"/>
      <c r="E462" s="1162"/>
      <c r="F462" s="1162"/>
      <c r="I462" s="416"/>
    </row>
    <row r="463" spans="1:9">
      <c r="A463" s="327"/>
      <c r="B463" s="327"/>
      <c r="C463" s="327"/>
      <c r="D463" s="1162"/>
      <c r="E463" s="1162"/>
      <c r="F463" s="1162"/>
      <c r="I463" s="416"/>
    </row>
    <row r="464" spans="1:9">
      <c r="D464" s="1162"/>
      <c r="E464" s="1162"/>
      <c r="F464" s="1162"/>
      <c r="I464" s="416"/>
    </row>
    <row r="465" spans="1:9" ht="40.700000000000003" customHeight="1">
      <c r="D465" s="1162"/>
      <c r="E465" s="1162"/>
      <c r="F465" s="1162"/>
      <c r="I465" s="416"/>
    </row>
    <row r="466" spans="1:9">
      <c r="D466" s="373"/>
      <c r="E466" s="373"/>
      <c r="F466" s="373"/>
      <c r="I466" s="416"/>
    </row>
    <row r="467" spans="1:9">
      <c r="A467" s="410"/>
      <c r="B467" s="411" t="s">
        <v>529</v>
      </c>
      <c r="C467" s="413"/>
      <c r="D467" s="1162" t="s">
        <v>390</v>
      </c>
      <c r="E467" s="1162"/>
      <c r="F467" s="1162"/>
      <c r="I467" s="416"/>
    </row>
    <row r="468" spans="1:9">
      <c r="D468" s="1162"/>
      <c r="E468" s="1162"/>
      <c r="F468" s="1162"/>
      <c r="I468" s="416"/>
    </row>
    <row r="469" spans="1:9">
      <c r="D469" s="1162"/>
      <c r="E469" s="1162"/>
      <c r="F469" s="1162"/>
      <c r="I469" s="416"/>
    </row>
    <row r="470" spans="1:9">
      <c r="D470" s="372"/>
      <c r="E470" s="372"/>
      <c r="F470" s="372"/>
      <c r="I470" s="416"/>
    </row>
    <row r="471" spans="1:9">
      <c r="B471" s="411" t="s">
        <v>529</v>
      </c>
      <c r="C471" s="410"/>
      <c r="D471" s="1162" t="s">
        <v>626</v>
      </c>
      <c r="E471" s="1162"/>
      <c r="F471" s="1162"/>
      <c r="I471" s="416"/>
    </row>
    <row r="472" spans="1:9">
      <c r="D472" s="1162"/>
      <c r="E472" s="1162"/>
      <c r="F472" s="1162"/>
      <c r="I472" s="416"/>
    </row>
    <row r="473" spans="1:9">
      <c r="D473" s="373"/>
      <c r="E473" s="373"/>
      <c r="F473" s="373"/>
      <c r="I473" s="416"/>
    </row>
    <row r="474" spans="1:9">
      <c r="B474" s="411" t="s">
        <v>529</v>
      </c>
      <c r="C474" s="410"/>
      <c r="D474" s="1162" t="s">
        <v>392</v>
      </c>
      <c r="E474" s="1162"/>
      <c r="F474" s="1162"/>
      <c r="I474" s="416"/>
    </row>
    <row r="475" spans="1:9">
      <c r="D475" s="1162"/>
      <c r="E475" s="1162"/>
      <c r="F475" s="1162"/>
      <c r="I475" s="416"/>
    </row>
    <row r="476" spans="1:9">
      <c r="D476" s="1162"/>
      <c r="E476" s="1162"/>
      <c r="F476" s="1162"/>
      <c r="I476" s="416"/>
    </row>
    <row r="477" spans="1:9">
      <c r="D477" s="1162"/>
      <c r="E477" s="1162"/>
      <c r="F477" s="1162"/>
      <c r="I477" s="416"/>
    </row>
    <row r="478" spans="1:9">
      <c r="B478" s="411" t="s">
        <v>529</v>
      </c>
      <c r="D478" s="1162"/>
      <c r="E478" s="1162"/>
      <c r="F478" s="1162"/>
      <c r="I478" s="416"/>
    </row>
    <row r="479" spans="1:9">
      <c r="A479" s="327"/>
      <c r="B479" s="327"/>
      <c r="C479" s="327"/>
      <c r="D479" s="1162"/>
      <c r="E479" s="1162"/>
      <c r="F479" s="1162"/>
      <c r="I479" s="416"/>
    </row>
    <row r="480" spans="1:9">
      <c r="A480" s="327"/>
      <c r="C480" s="327"/>
      <c r="D480" s="1162"/>
      <c r="E480" s="1162"/>
      <c r="F480" s="1162"/>
      <c r="I480" s="416"/>
    </row>
    <row r="481" spans="1:9">
      <c r="A481" s="327"/>
      <c r="B481" s="411" t="s">
        <v>529</v>
      </c>
      <c r="C481" s="327"/>
      <c r="D481" s="1162"/>
      <c r="E481" s="1162"/>
      <c r="F481" s="1162"/>
      <c r="I481" s="416"/>
    </row>
    <row r="482" spans="1:9">
      <c r="A482" s="327"/>
      <c r="B482" s="327"/>
      <c r="C482" s="327"/>
      <c r="D482" s="1162"/>
      <c r="E482" s="1162"/>
      <c r="F482" s="1162"/>
      <c r="I482" s="416"/>
    </row>
    <row r="483" spans="1:9">
      <c r="A483" s="327"/>
      <c r="C483" s="327"/>
      <c r="D483" s="1162"/>
      <c r="E483" s="1162"/>
      <c r="F483" s="1162"/>
      <c r="I483" s="416"/>
    </row>
    <row r="484" spans="1:9">
      <c r="A484" s="327"/>
      <c r="C484" s="327"/>
      <c r="D484" s="1162"/>
      <c r="E484" s="1162"/>
      <c r="F484" s="1162"/>
      <c r="I484" s="416"/>
    </row>
    <row r="485" spans="1:9">
      <c r="A485" s="327"/>
      <c r="C485" s="327"/>
      <c r="D485" s="1162"/>
      <c r="E485" s="1162"/>
      <c r="F485" s="1162"/>
      <c r="I485" s="416"/>
    </row>
    <row r="486" spans="1:9">
      <c r="A486" s="327"/>
      <c r="B486" s="411" t="s">
        <v>529</v>
      </c>
      <c r="C486" s="327"/>
      <c r="D486" s="1162"/>
      <c r="E486" s="1162"/>
      <c r="F486" s="1162"/>
      <c r="I486" s="416"/>
    </row>
    <row r="487" spans="1:9">
      <c r="A487" s="327"/>
      <c r="C487" s="327"/>
      <c r="D487" s="1162"/>
      <c r="E487" s="1162"/>
      <c r="F487" s="1162"/>
      <c r="I487" s="416"/>
    </row>
    <row r="488" spans="1:9">
      <c r="A488" s="327"/>
      <c r="B488" s="411" t="s">
        <v>529</v>
      </c>
      <c r="C488" s="327"/>
      <c r="D488" s="1162" t="s">
        <v>393</v>
      </c>
      <c r="E488" s="1162"/>
      <c r="F488" s="1162"/>
      <c r="I488" s="416"/>
    </row>
    <row r="489" spans="1:9">
      <c r="A489" s="327"/>
      <c r="B489" s="327"/>
      <c r="C489" s="327"/>
      <c r="D489" s="1162"/>
      <c r="E489" s="1162"/>
      <c r="F489" s="1162"/>
      <c r="I489" s="416"/>
    </row>
    <row r="490" spans="1:9">
      <c r="A490" s="327"/>
      <c r="B490" s="327"/>
      <c r="C490" s="327"/>
      <c r="D490" s="1162"/>
      <c r="E490" s="1162"/>
      <c r="F490" s="1162"/>
      <c r="I490" s="416"/>
    </row>
    <row r="491" spans="1:9">
      <c r="A491" s="327"/>
      <c r="B491" s="327"/>
      <c r="C491" s="327"/>
      <c r="D491" s="1162"/>
      <c r="E491" s="1162"/>
      <c r="F491" s="1162"/>
      <c r="I491" s="416"/>
    </row>
    <row r="492" spans="1:9">
      <c r="D492" s="1162"/>
      <c r="E492" s="1162"/>
      <c r="F492" s="1162"/>
      <c r="I492" s="416"/>
    </row>
    <row r="493" spans="1:9">
      <c r="D493" s="373"/>
      <c r="E493" s="373"/>
      <c r="F493" s="373"/>
      <c r="I493" s="416"/>
    </row>
    <row r="494" spans="1:9">
      <c r="B494" s="411" t="s">
        <v>529</v>
      </c>
      <c r="D494" s="1189" t="s">
        <v>394</v>
      </c>
      <c r="E494" s="1189"/>
      <c r="F494" s="1189"/>
      <c r="I494" s="416"/>
    </row>
    <row r="495" spans="1:9">
      <c r="A495" s="373"/>
      <c r="B495" s="373"/>
      <c r="I495" s="416"/>
    </row>
    <row r="496" spans="1:9">
      <c r="A496" s="1167" t="s">
        <v>395</v>
      </c>
      <c r="B496" s="1167"/>
      <c r="C496" s="1167"/>
      <c r="D496" s="1167"/>
      <c r="E496" s="1167"/>
      <c r="F496" s="1167"/>
      <c r="G496" s="1167"/>
      <c r="H496" s="945"/>
      <c r="I496" s="1136"/>
    </row>
    <row r="497" spans="1:9">
      <c r="A497" s="373"/>
      <c r="B497" s="373"/>
      <c r="I497" s="416"/>
    </row>
    <row r="498" spans="1:9">
      <c r="D498" s="1196" t="s">
        <v>396</v>
      </c>
      <c r="E498" s="1196"/>
      <c r="F498" s="1196"/>
      <c r="I498" s="416"/>
    </row>
    <row r="499" spans="1:9">
      <c r="A499" s="410"/>
      <c r="B499" s="410"/>
      <c r="D499" s="1193" t="s">
        <v>397</v>
      </c>
      <c r="E499" s="1193"/>
      <c r="F499" s="1193"/>
      <c r="I499" s="416"/>
    </row>
    <row r="500" spans="1:9">
      <c r="A500" s="410"/>
      <c r="B500" s="410"/>
      <c r="D500" s="374"/>
      <c r="I500" s="416"/>
    </row>
    <row r="501" spans="1:9">
      <c r="A501" s="410"/>
      <c r="B501" s="411" t="s">
        <v>529</v>
      </c>
      <c r="D501" s="1150" t="s">
        <v>398</v>
      </c>
      <c r="E501" s="1150"/>
      <c r="F501" s="1150"/>
      <c r="I501" s="416" t="s">
        <v>627</v>
      </c>
    </row>
    <row r="502" spans="1:9">
      <c r="A502" s="410"/>
      <c r="B502" s="410"/>
      <c r="D502" s="1150"/>
      <c r="E502" s="1150"/>
      <c r="F502" s="1150"/>
      <c r="I502" s="416"/>
    </row>
    <row r="503" spans="1:9">
      <c r="A503" s="410"/>
      <c r="B503" s="410"/>
      <c r="D503" s="373"/>
      <c r="I503" s="416"/>
    </row>
    <row r="504" spans="1:9" ht="12.75" customHeight="1">
      <c r="B504" s="411" t="s">
        <v>522</v>
      </c>
      <c r="D504" s="1182" t="s">
        <v>628</v>
      </c>
      <c r="E504" s="1182"/>
      <c r="F504" s="1182"/>
      <c r="I504" s="416" t="s">
        <v>629</v>
      </c>
    </row>
    <row r="505" spans="1:9">
      <c r="A505" s="410"/>
      <c r="D505" s="1182"/>
      <c r="E505" s="1182"/>
      <c r="F505" s="1182"/>
      <c r="I505" s="416"/>
    </row>
    <row r="506" spans="1:9">
      <c r="A506" s="410"/>
      <c r="B506" s="410"/>
      <c r="D506" s="1182"/>
      <c r="E506" s="1182"/>
      <c r="F506" s="1182"/>
      <c r="I506" s="416"/>
    </row>
    <row r="507" spans="1:9">
      <c r="A507" s="410"/>
      <c r="B507" s="410"/>
      <c r="D507" s="1182"/>
      <c r="E507" s="1182"/>
      <c r="F507" s="1182"/>
      <c r="I507" s="416"/>
    </row>
    <row r="508" spans="1:9">
      <c r="A508" s="410"/>
      <c r="D508" s="445"/>
      <c r="E508" s="445"/>
      <c r="F508" s="445"/>
      <c r="I508" s="416"/>
    </row>
    <row r="509" spans="1:9">
      <c r="A509" s="410"/>
      <c r="B509" s="411" t="s">
        <v>522</v>
      </c>
      <c r="D509" s="1189" t="s">
        <v>401</v>
      </c>
      <c r="E509" s="1189"/>
      <c r="F509" s="1189"/>
      <c r="I509" s="416" t="s">
        <v>630</v>
      </c>
    </row>
    <row r="510" spans="1:9">
      <c r="A510" s="410"/>
      <c r="B510" s="410"/>
      <c r="D510" s="373"/>
      <c r="I510" s="416"/>
    </row>
    <row r="511" spans="1:9">
      <c r="A511" s="410"/>
      <c r="B511" s="411" t="s">
        <v>522</v>
      </c>
      <c r="D511" s="1162" t="s">
        <v>402</v>
      </c>
      <c r="E511" s="1162"/>
      <c r="F511" s="1162"/>
      <c r="I511" s="416" t="s">
        <v>630</v>
      </c>
    </row>
    <row r="512" spans="1:9">
      <c r="A512" s="410"/>
      <c r="D512" s="1162"/>
      <c r="E512" s="1162"/>
      <c r="F512" s="1162"/>
      <c r="I512" s="416"/>
    </row>
    <row r="513" spans="1:9">
      <c r="A513" s="416"/>
      <c r="B513" s="416"/>
      <c r="D513" s="374"/>
      <c r="I513" s="416"/>
    </row>
    <row r="514" spans="1:9">
      <c r="A514" s="416"/>
      <c r="B514" s="411" t="s">
        <v>529</v>
      </c>
      <c r="D514" s="1189" t="s">
        <v>403</v>
      </c>
      <c r="E514" s="1189"/>
      <c r="F514" s="1189"/>
      <c r="I514" s="416" t="s">
        <v>631</v>
      </c>
    </row>
    <row r="515" spans="1:9">
      <c r="A515" s="410"/>
      <c r="B515" s="410"/>
      <c r="D515" s="373"/>
      <c r="I515" s="416"/>
    </row>
    <row r="516" spans="1:9">
      <c r="A516" s="1167" t="s">
        <v>404</v>
      </c>
      <c r="B516" s="1167"/>
      <c r="C516" s="1167"/>
      <c r="D516" s="1167"/>
      <c r="E516" s="1167"/>
      <c r="F516" s="1167"/>
      <c r="G516" s="1167"/>
      <c r="H516" s="945"/>
      <c r="I516" s="1136"/>
    </row>
    <row r="517" spans="1:9" ht="12" customHeight="1">
      <c r="A517" s="410"/>
      <c r="B517" s="410"/>
      <c r="D517" s="373"/>
      <c r="I517" s="416"/>
    </row>
    <row r="518" spans="1:9">
      <c r="C518" s="408"/>
      <c r="D518" s="1160" t="s">
        <v>405</v>
      </c>
      <c r="E518" s="1160"/>
      <c r="F518" s="1160"/>
      <c r="I518" s="416"/>
    </row>
    <row r="519" spans="1:9">
      <c r="C519" s="408"/>
      <c r="D519" s="432" t="s">
        <v>632</v>
      </c>
      <c r="E519" s="432"/>
      <c r="F519" s="432"/>
      <c r="I519" s="416"/>
    </row>
    <row r="520" spans="1:9">
      <c r="C520" s="408"/>
      <c r="D520" s="432" t="s">
        <v>633</v>
      </c>
      <c r="E520" s="432"/>
      <c r="F520" s="432"/>
      <c r="I520" s="416"/>
    </row>
    <row r="521" spans="1:9">
      <c r="C521" s="408"/>
      <c r="D521" s="407"/>
      <c r="E521" s="407"/>
      <c r="F521" s="407"/>
      <c r="I521" s="416"/>
    </row>
    <row r="522" spans="1:9" ht="13.7" customHeight="1">
      <c r="A522" s="409"/>
      <c r="B522" s="411" t="s">
        <v>522</v>
      </c>
      <c r="C522" s="409"/>
      <c r="D522" s="1150" t="s">
        <v>634</v>
      </c>
      <c r="E522" s="1150"/>
      <c r="F522" s="1150"/>
      <c r="I522" s="416" t="s">
        <v>635</v>
      </c>
    </row>
    <row r="523" spans="1:9">
      <c r="A523" s="409"/>
      <c r="B523" s="409"/>
      <c r="C523" s="409"/>
      <c r="D523" s="1150"/>
      <c r="E523" s="1150"/>
      <c r="F523" s="1150"/>
      <c r="I523" s="416"/>
    </row>
    <row r="524" spans="1:9">
      <c r="A524" s="409"/>
      <c r="B524" s="409"/>
      <c r="C524" s="409"/>
      <c r="D524" s="378"/>
      <c r="E524" s="378"/>
      <c r="F524" s="378"/>
      <c r="I524" s="406"/>
    </row>
    <row r="525" spans="1:9" ht="12.75" customHeight="1">
      <c r="A525" s="409"/>
      <c r="B525" s="411" t="s">
        <v>522</v>
      </c>
      <c r="D525" s="311" t="s">
        <v>636</v>
      </c>
      <c r="E525" s="310"/>
      <c r="F525" s="310"/>
      <c r="I525" s="416" t="s">
        <v>637</v>
      </c>
    </row>
    <row r="526" spans="1:9">
      <c r="A526" s="409"/>
      <c r="B526" s="409"/>
      <c r="C526" s="409"/>
      <c r="D526" s="310"/>
      <c r="E526" s="72" t="s">
        <v>638</v>
      </c>
      <c r="I526" s="416"/>
    </row>
    <row r="527" spans="1:9">
      <c r="A527" s="409"/>
      <c r="B527" s="409"/>
      <c r="D527" s="1202" t="s">
        <v>639</v>
      </c>
      <c r="E527" s="1202"/>
      <c r="F527" s="1202"/>
      <c r="I527" s="416"/>
    </row>
    <row r="528" spans="1:9">
      <c r="A528" s="409"/>
      <c r="B528" s="409"/>
      <c r="D528" s="1202"/>
      <c r="E528" s="1202"/>
      <c r="F528" s="1202"/>
      <c r="I528" s="416"/>
    </row>
    <row r="529" spans="1:9">
      <c r="A529" s="409"/>
      <c r="B529" s="409"/>
      <c r="C529" s="409"/>
      <c r="D529" s="1202"/>
      <c r="E529" s="1202"/>
      <c r="F529" s="1202"/>
      <c r="I529" s="416"/>
    </row>
    <row r="530" spans="1:9">
      <c r="A530" s="409"/>
      <c r="B530" s="409"/>
      <c r="C530" s="409"/>
      <c r="D530" s="424"/>
      <c r="F530" s="373"/>
      <c r="I530" s="416"/>
    </row>
    <row r="531" spans="1:9" ht="13.35" customHeight="1">
      <c r="A531" s="409"/>
      <c r="B531" s="411" t="s">
        <v>294</v>
      </c>
      <c r="C531" s="409"/>
      <c r="D531" s="1162" t="s">
        <v>640</v>
      </c>
      <c r="E531" s="1162"/>
      <c r="F531" s="1162"/>
      <c r="I531" s="416" t="s">
        <v>637</v>
      </c>
    </row>
    <row r="532" spans="1:9">
      <c r="A532" s="409"/>
      <c r="B532" s="409"/>
      <c r="C532" s="409"/>
      <c r="D532" s="1162"/>
      <c r="E532" s="1162"/>
      <c r="F532" s="1162"/>
      <c r="I532" s="416"/>
    </row>
    <row r="533" spans="1:9" ht="12" customHeight="1">
      <c r="A533" s="373"/>
      <c r="B533" s="373"/>
      <c r="C533" s="413"/>
      <c r="D533" s="373"/>
      <c r="F533" s="375"/>
      <c r="I533" s="416"/>
    </row>
    <row r="534" spans="1:9">
      <c r="A534" s="1167" t="s">
        <v>413</v>
      </c>
      <c r="B534" s="1167"/>
      <c r="C534" s="1167"/>
      <c r="D534" s="1167"/>
      <c r="E534" s="1167"/>
      <c r="F534" s="1167"/>
      <c r="G534" s="1167"/>
      <c r="H534" s="945"/>
      <c r="I534" s="1136"/>
    </row>
    <row r="535" spans="1:9">
      <c r="A535" s="373"/>
      <c r="B535" s="373"/>
      <c r="C535" s="413"/>
      <c r="F535" s="375"/>
      <c r="I535" s="416"/>
    </row>
    <row r="536" spans="1:9">
      <c r="B536" s="1175" t="s">
        <v>334</v>
      </c>
      <c r="C536" s="1175"/>
      <c r="D536" s="1175"/>
      <c r="E536" s="1175"/>
      <c r="F536" s="1175"/>
      <c r="I536" s="416"/>
    </row>
    <row r="537" spans="1:9">
      <c r="A537" s="373"/>
      <c r="B537" s="373"/>
      <c r="C537" s="413"/>
      <c r="D537" s="373"/>
      <c r="F537" s="373"/>
      <c r="I537" s="416"/>
    </row>
    <row r="538" spans="1:9">
      <c r="A538" s="1168" t="s">
        <v>414</v>
      </c>
      <c r="B538" s="1168"/>
      <c r="C538" s="1168"/>
      <c r="D538" s="1168"/>
      <c r="E538" s="1168"/>
      <c r="F538" s="1168"/>
      <c r="G538" s="1168"/>
      <c r="H538" s="945"/>
      <c r="I538" s="1136"/>
    </row>
    <row r="539" spans="1:9">
      <c r="A539" s="373"/>
      <c r="B539" s="373"/>
      <c r="C539" s="413"/>
      <c r="D539" s="373"/>
      <c r="F539" s="373"/>
      <c r="I539" s="416"/>
    </row>
    <row r="540" spans="1:9">
      <c r="C540" s="413"/>
      <c r="D540" s="1160" t="s">
        <v>415</v>
      </c>
      <c r="E540" s="1160"/>
      <c r="F540" s="1160"/>
      <c r="I540" s="416"/>
    </row>
    <row r="541" spans="1:9">
      <c r="C541" s="413"/>
      <c r="D541" s="1189" t="s">
        <v>416</v>
      </c>
      <c r="E541" s="1189"/>
      <c r="F541" s="1189"/>
      <c r="I541" s="416"/>
    </row>
    <row r="542" spans="1:9">
      <c r="C542" s="413"/>
      <c r="D542" s="373"/>
      <c r="E542" s="373"/>
      <c r="F542" s="373"/>
      <c r="I542" s="416"/>
    </row>
    <row r="543" spans="1:9" ht="13.7" customHeight="1">
      <c r="A543" s="410"/>
      <c r="B543" s="411" t="s">
        <v>522</v>
      </c>
      <c r="C543" s="413"/>
      <c r="D543" s="1189" t="s">
        <v>417</v>
      </c>
      <c r="E543" s="1189"/>
      <c r="F543" s="1189"/>
      <c r="I543" s="416" t="s">
        <v>641</v>
      </c>
    </row>
    <row r="544" spans="1:9" ht="13.7" customHeight="1">
      <c r="A544" s="413"/>
      <c r="B544" s="413"/>
      <c r="C544" s="413"/>
      <c r="D544" s="373"/>
      <c r="I544" s="416"/>
    </row>
    <row r="545" spans="1:9">
      <c r="A545" s="410"/>
      <c r="B545" s="411" t="s">
        <v>522</v>
      </c>
      <c r="C545" s="413"/>
      <c r="D545" s="1162" t="s">
        <v>418</v>
      </c>
      <c r="E545" s="1162"/>
      <c r="F545" s="1162"/>
      <c r="I545" s="416" t="s">
        <v>641</v>
      </c>
    </row>
    <row r="546" spans="1:9">
      <c r="A546" s="413"/>
      <c r="B546" s="413"/>
      <c r="C546" s="413"/>
      <c r="D546" s="1162"/>
      <c r="E546" s="1162"/>
      <c r="F546" s="1162"/>
      <c r="I546" s="416"/>
    </row>
    <row r="547" spans="1:9">
      <c r="A547" s="413"/>
      <c r="B547" s="413"/>
      <c r="C547" s="413"/>
      <c r="D547" s="373"/>
      <c r="E547" s="373"/>
      <c r="F547" s="373"/>
      <c r="I547" s="416"/>
    </row>
    <row r="548" spans="1:9">
      <c r="A548" s="410"/>
      <c r="B548" s="411" t="s">
        <v>522</v>
      </c>
      <c r="C548" s="413"/>
      <c r="D548" s="1162" t="s">
        <v>419</v>
      </c>
      <c r="E548" s="1162"/>
      <c r="F548" s="1162"/>
      <c r="I548" s="416" t="s">
        <v>642</v>
      </c>
    </row>
    <row r="549" spans="1:9">
      <c r="A549" s="413"/>
      <c r="B549" s="413"/>
      <c r="C549" s="413"/>
      <c r="D549" s="1162"/>
      <c r="E549" s="1162"/>
      <c r="F549" s="1162"/>
      <c r="I549" s="416"/>
    </row>
    <row r="550" spans="1:9">
      <c r="A550" s="413"/>
      <c r="B550" s="413"/>
      <c r="C550" s="413"/>
      <c r="D550" s="373"/>
      <c r="E550" s="373"/>
      <c r="F550" s="373"/>
      <c r="I550" s="416"/>
    </row>
    <row r="551" spans="1:9">
      <c r="A551" s="410"/>
      <c r="B551" s="411" t="s">
        <v>522</v>
      </c>
      <c r="C551" s="413"/>
      <c r="D551" s="1162" t="s">
        <v>420</v>
      </c>
      <c r="E551" s="1162"/>
      <c r="F551" s="1162"/>
      <c r="I551" s="416" t="s">
        <v>643</v>
      </c>
    </row>
    <row r="552" spans="1:9">
      <c r="A552" s="413"/>
      <c r="B552" s="413"/>
      <c r="C552" s="413"/>
      <c r="D552" s="1162"/>
      <c r="E552" s="1162"/>
      <c r="F552" s="1162"/>
      <c r="I552" s="416"/>
    </row>
    <row r="553" spans="1:9">
      <c r="A553" s="413"/>
      <c r="B553" s="413"/>
      <c r="C553" s="413"/>
      <c r="D553" s="373"/>
      <c r="E553" s="373"/>
      <c r="F553" s="373"/>
      <c r="I553" s="416"/>
    </row>
    <row r="554" spans="1:9">
      <c r="A554" s="410"/>
      <c r="B554" s="411" t="s">
        <v>522</v>
      </c>
      <c r="C554" s="413"/>
      <c r="D554" s="1162" t="s">
        <v>421</v>
      </c>
      <c r="E554" s="1162"/>
      <c r="F554" s="1162"/>
      <c r="I554" s="416" t="s">
        <v>644</v>
      </c>
    </row>
    <row r="555" spans="1:9">
      <c r="A555" s="413"/>
      <c r="B555" s="413"/>
      <c r="C555" s="413"/>
      <c r="D555" s="1162"/>
      <c r="E555" s="1162"/>
      <c r="F555" s="1162"/>
      <c r="I555" s="416"/>
    </row>
    <row r="556" spans="1:9">
      <c r="A556" s="413"/>
      <c r="B556" s="413"/>
      <c r="C556" s="413"/>
      <c r="D556" s="1162"/>
      <c r="E556" s="1162"/>
      <c r="F556" s="1162"/>
      <c r="I556" s="416"/>
    </row>
    <row r="557" spans="1:9">
      <c r="A557" s="413"/>
      <c r="B557" s="413"/>
      <c r="C557" s="413"/>
      <c r="D557" s="373"/>
      <c r="E557" s="373"/>
      <c r="F557" s="373"/>
      <c r="I557" s="416"/>
    </row>
    <row r="558" spans="1:9">
      <c r="A558" s="410"/>
      <c r="B558" s="411" t="s">
        <v>529</v>
      </c>
      <c r="C558" s="413"/>
      <c r="D558" s="1162" t="s">
        <v>422</v>
      </c>
      <c r="E558" s="1162"/>
      <c r="F558" s="1162"/>
      <c r="I558" s="416" t="s">
        <v>641</v>
      </c>
    </row>
    <row r="559" spans="1:9">
      <c r="A559" s="413"/>
      <c r="B559" s="413"/>
      <c r="C559" s="413"/>
      <c r="D559" s="1162"/>
      <c r="E559" s="1162"/>
      <c r="F559" s="1162"/>
      <c r="I559" s="416"/>
    </row>
    <row r="560" spans="1:9">
      <c r="A560" s="413"/>
      <c r="B560" s="413"/>
      <c r="C560" s="413"/>
      <c r="D560" s="373"/>
      <c r="E560" s="373"/>
      <c r="F560" s="373"/>
      <c r="I560" s="416"/>
    </row>
    <row r="561" spans="1:9">
      <c r="A561" s="410"/>
      <c r="B561" s="411" t="s">
        <v>522</v>
      </c>
      <c r="C561" s="413"/>
      <c r="D561" s="1162" t="s">
        <v>424</v>
      </c>
      <c r="E561" s="1162"/>
      <c r="F561" s="1162"/>
      <c r="I561" s="416" t="s">
        <v>641</v>
      </c>
    </row>
    <row r="562" spans="1:9">
      <c r="A562" s="413"/>
      <c r="B562" s="413"/>
      <c r="C562" s="413"/>
      <c r="D562" s="1162"/>
      <c r="E562" s="1162"/>
      <c r="F562" s="1162"/>
      <c r="I562" s="416"/>
    </row>
    <row r="563" spans="1:9">
      <c r="A563" s="413"/>
      <c r="B563" s="413"/>
      <c r="C563" s="413"/>
      <c r="D563" s="373"/>
      <c r="E563" s="373"/>
      <c r="F563" s="373"/>
      <c r="I563" s="416"/>
    </row>
    <row r="564" spans="1:9">
      <c r="A564" s="410"/>
      <c r="B564" s="411" t="s">
        <v>522</v>
      </c>
      <c r="C564" s="413"/>
      <c r="D564" s="1189" t="s">
        <v>425</v>
      </c>
      <c r="E564" s="1189"/>
      <c r="F564" s="1189"/>
      <c r="I564" s="416" t="s">
        <v>645</v>
      </c>
    </row>
    <row r="565" spans="1:9">
      <c r="A565" s="416"/>
      <c r="B565" s="416"/>
      <c r="C565" s="413"/>
      <c r="D565" s="1189" t="s">
        <v>646</v>
      </c>
      <c r="E565" s="1189"/>
      <c r="F565" s="1189"/>
      <c r="I565" s="416"/>
    </row>
    <row r="566" spans="1:9">
      <c r="A566" s="416"/>
      <c r="B566" s="416"/>
      <c r="C566" s="413"/>
      <c r="E566" s="72" t="s">
        <v>647</v>
      </c>
      <c r="F566" s="329"/>
      <c r="I566" s="416"/>
    </row>
    <row r="567" spans="1:9">
      <c r="A567" s="410"/>
      <c r="B567" s="410"/>
      <c r="C567" s="413"/>
      <c r="E567" s="373"/>
      <c r="F567" s="373"/>
      <c r="I567" s="416"/>
    </row>
    <row r="568" spans="1:9">
      <c r="A568" s="410"/>
      <c r="B568" s="411" t="s">
        <v>522</v>
      </c>
      <c r="C568" s="413"/>
      <c r="D568" s="1189" t="s">
        <v>428</v>
      </c>
      <c r="E568" s="1189"/>
      <c r="F568" s="1189"/>
      <c r="I568" s="416" t="s">
        <v>648</v>
      </c>
    </row>
    <row r="569" spans="1:9">
      <c r="C569" s="413"/>
      <c r="D569" s="1162" t="s">
        <v>429</v>
      </c>
      <c r="E569" s="1162"/>
      <c r="F569" s="1162"/>
      <c r="I569" s="416"/>
    </row>
    <row r="570" spans="1:9">
      <c r="A570" s="413"/>
      <c r="B570" s="413"/>
      <c r="C570" s="413"/>
      <c r="D570" s="1162"/>
      <c r="E570" s="1162"/>
      <c r="F570" s="1162"/>
      <c r="I570" s="416"/>
    </row>
    <row r="571" spans="1:9">
      <c r="A571" s="413"/>
      <c r="B571" s="413"/>
      <c r="C571" s="413"/>
      <c r="D571" s="1162"/>
      <c r="E571" s="1162"/>
      <c r="F571" s="1162"/>
      <c r="I571" s="416"/>
    </row>
    <row r="572" spans="1:9">
      <c r="A572" s="413"/>
      <c r="B572" s="413"/>
      <c r="C572" s="413"/>
      <c r="D572" s="373"/>
      <c r="E572" s="373"/>
      <c r="F572" s="373"/>
      <c r="I572" s="416"/>
    </row>
    <row r="573" spans="1:9">
      <c r="A573" s="410"/>
      <c r="B573" s="411" t="s">
        <v>522</v>
      </c>
      <c r="C573" s="413"/>
      <c r="D573" s="1162" t="s">
        <v>649</v>
      </c>
      <c r="E573" s="1162"/>
      <c r="F573" s="1162"/>
      <c r="I573" s="416" t="s">
        <v>650</v>
      </c>
    </row>
    <row r="574" spans="1:9">
      <c r="A574" s="410"/>
      <c r="B574" s="410"/>
      <c r="C574" s="413"/>
      <c r="D574" s="1162"/>
      <c r="E574" s="1162"/>
      <c r="F574" s="1162"/>
      <c r="I574" s="416"/>
    </row>
    <row r="575" spans="1:9">
      <c r="A575" s="410"/>
      <c r="B575" s="410"/>
      <c r="C575" s="413"/>
      <c r="D575" s="1162"/>
      <c r="E575" s="1162"/>
      <c r="F575" s="1162"/>
      <c r="I575" s="416"/>
    </row>
    <row r="576" spans="1:9">
      <c r="A576" s="410"/>
      <c r="B576" s="410"/>
      <c r="C576" s="413"/>
      <c r="D576" s="1162"/>
      <c r="E576" s="1162"/>
      <c r="F576" s="1162"/>
      <c r="I576" s="416"/>
    </row>
    <row r="577" spans="1:9">
      <c r="A577" s="410"/>
      <c r="B577" s="410"/>
      <c r="C577" s="413"/>
      <c r="D577" s="373"/>
      <c r="E577" s="373"/>
      <c r="F577" s="373"/>
      <c r="I577" s="416"/>
    </row>
    <row r="578" spans="1:9">
      <c r="A578" s="1167" t="s">
        <v>431</v>
      </c>
      <c r="B578" s="1167"/>
      <c r="C578" s="1167"/>
      <c r="D578" s="1167"/>
      <c r="E578" s="1167"/>
      <c r="F578" s="1167"/>
      <c r="G578" s="1167"/>
      <c r="H578" s="945"/>
      <c r="I578" s="1136"/>
    </row>
    <row r="579" spans="1:9">
      <c r="A579" s="413"/>
      <c r="B579" s="413"/>
      <c r="C579" s="413"/>
      <c r="E579" s="373"/>
      <c r="F579" s="373"/>
      <c r="I579" s="416"/>
    </row>
    <row r="580" spans="1:9" ht="12.75" customHeight="1">
      <c r="C580" s="408"/>
      <c r="D580" s="1188" t="s">
        <v>432</v>
      </c>
      <c r="E580" s="1188"/>
      <c r="F580" s="1188"/>
      <c r="I580" s="416"/>
    </row>
    <row r="581" spans="1:9">
      <c r="A581" s="409"/>
      <c r="B581" s="409"/>
      <c r="C581" s="409"/>
      <c r="D581" s="1182" t="s">
        <v>433</v>
      </c>
      <c r="E581" s="1182"/>
      <c r="F581" s="1182"/>
      <c r="I581" s="416"/>
    </row>
    <row r="582" spans="1:9">
      <c r="A582" s="327"/>
      <c r="B582" s="327"/>
      <c r="C582" s="409"/>
      <c r="D582" s="425"/>
      <c r="I582" s="416" t="s">
        <v>651</v>
      </c>
    </row>
    <row r="583" spans="1:9">
      <c r="A583" s="409"/>
      <c r="B583" s="411" t="s">
        <v>522</v>
      </c>
      <c r="D583" s="1182" t="s">
        <v>434</v>
      </c>
      <c r="E583" s="1182"/>
      <c r="F583" s="1182"/>
      <c r="I583" s="416"/>
    </row>
    <row r="584" spans="1:9">
      <c r="A584" s="416"/>
      <c r="B584" s="416"/>
      <c r="D584" s="402"/>
      <c r="I584" s="416"/>
    </row>
    <row r="585" spans="1:9">
      <c r="A585" s="416"/>
      <c r="B585" s="411" t="s">
        <v>522</v>
      </c>
      <c r="D585" s="1182" t="s">
        <v>652</v>
      </c>
      <c r="E585" s="1182"/>
      <c r="F585" s="1182"/>
      <c r="I585" s="416" t="s">
        <v>653</v>
      </c>
    </row>
    <row r="586" spans="1:9">
      <c r="A586" s="416"/>
      <c r="B586" s="416"/>
      <c r="D586" s="1182"/>
      <c r="E586" s="1182"/>
      <c r="F586" s="1182"/>
      <c r="I586" s="416" t="s">
        <v>654</v>
      </c>
    </row>
    <row r="587" spans="1:9">
      <c r="A587" s="416"/>
      <c r="B587" s="416"/>
      <c r="D587" s="1182"/>
      <c r="E587" s="1182"/>
      <c r="F587" s="1182"/>
      <c r="I587" s="416"/>
    </row>
    <row r="588" spans="1:9">
      <c r="A588" s="416"/>
      <c r="B588" s="416"/>
      <c r="D588" s="1182"/>
      <c r="E588" s="1182"/>
      <c r="F588" s="1182"/>
      <c r="I588" s="416"/>
    </row>
    <row r="589" spans="1:9">
      <c r="A589" s="416"/>
      <c r="B589" s="411" t="s">
        <v>529</v>
      </c>
      <c r="D589" s="1182" t="s">
        <v>436</v>
      </c>
      <c r="E589" s="1182"/>
      <c r="F589" s="1182"/>
      <c r="I589" s="416"/>
    </row>
    <row r="590" spans="1:9">
      <c r="A590" s="416"/>
      <c r="B590" s="416"/>
      <c r="D590" s="1182"/>
      <c r="E590" s="1182"/>
      <c r="F590" s="1182"/>
      <c r="I590" s="416"/>
    </row>
    <row r="591" spans="1:9">
      <c r="A591" s="416"/>
      <c r="B591" s="416"/>
      <c r="D591" s="1182"/>
      <c r="E591" s="1182"/>
      <c r="F591" s="1182"/>
      <c r="I591" s="416"/>
    </row>
    <row r="592" spans="1:9">
      <c r="A592" s="416"/>
      <c r="B592" s="416"/>
      <c r="D592" s="1182"/>
      <c r="E592" s="1182"/>
      <c r="F592" s="1182"/>
      <c r="I592" s="416"/>
    </row>
    <row r="593" spans="1:9">
      <c r="A593" s="416"/>
      <c r="B593" s="416"/>
      <c r="D593" s="367"/>
      <c r="E593" s="367"/>
      <c r="F593" s="367"/>
      <c r="I593" s="416"/>
    </row>
    <row r="594" spans="1:9">
      <c r="A594" s="416"/>
      <c r="B594" s="411" t="s">
        <v>522</v>
      </c>
      <c r="D594" s="1182" t="s">
        <v>655</v>
      </c>
      <c r="E594" s="1182"/>
      <c r="F594" s="1182"/>
      <c r="I594" s="416"/>
    </row>
    <row r="595" spans="1:9">
      <c r="A595" s="416"/>
      <c r="B595" s="416"/>
      <c r="D595" s="1182"/>
      <c r="E595" s="1182"/>
      <c r="F595" s="1182"/>
      <c r="I595" s="416"/>
    </row>
    <row r="596" spans="1:9">
      <c r="A596" s="416"/>
      <c r="B596" s="416"/>
      <c r="D596" s="425"/>
      <c r="I596" s="416"/>
    </row>
    <row r="597" spans="1:9">
      <c r="A597" s="416"/>
      <c r="B597" s="411" t="s">
        <v>529</v>
      </c>
      <c r="D597" s="1182" t="s">
        <v>438</v>
      </c>
      <c r="E597" s="1182"/>
      <c r="F597" s="1182"/>
      <c r="I597" s="416" t="s">
        <v>656</v>
      </c>
    </row>
    <row r="598" spans="1:9">
      <c r="A598" s="416"/>
      <c r="B598" s="416"/>
      <c r="D598" s="1182"/>
      <c r="E598" s="1182"/>
      <c r="F598" s="1182"/>
      <c r="I598" s="416"/>
    </row>
    <row r="599" spans="1:9">
      <c r="A599" s="410"/>
      <c r="B599" s="410"/>
      <c r="D599" s="425"/>
      <c r="I599" s="416"/>
    </row>
    <row r="600" spans="1:9">
      <c r="A600" s="1167" t="s">
        <v>441</v>
      </c>
      <c r="B600" s="1167"/>
      <c r="C600" s="1167"/>
      <c r="D600" s="1167"/>
      <c r="E600" s="1167"/>
      <c r="F600" s="1167"/>
      <c r="G600" s="1167"/>
      <c r="H600" s="945"/>
      <c r="I600" s="1136"/>
    </row>
    <row r="601" spans="1:9">
      <c r="I601" s="416"/>
    </row>
    <row r="602" spans="1:9">
      <c r="D602" s="1160" t="s">
        <v>442</v>
      </c>
      <c r="E602" s="1160"/>
      <c r="F602" s="1160"/>
      <c r="I602" s="416"/>
    </row>
    <row r="603" spans="1:9">
      <c r="D603" s="1161" t="s">
        <v>443</v>
      </c>
      <c r="E603" s="1161"/>
      <c r="F603" s="1161"/>
      <c r="I603" s="416"/>
    </row>
    <row r="604" spans="1:9">
      <c r="D604" s="371"/>
      <c r="I604" s="416"/>
    </row>
    <row r="605" spans="1:9" ht="14.25" customHeight="1">
      <c r="A605" s="410"/>
      <c r="B605" s="411" t="s">
        <v>522</v>
      </c>
      <c r="D605" s="1221" t="s">
        <v>657</v>
      </c>
      <c r="E605" s="1221"/>
      <c r="F605" s="1221"/>
      <c r="I605" s="416" t="s">
        <v>658</v>
      </c>
    </row>
    <row r="606" spans="1:9">
      <c r="D606" s="1221"/>
      <c r="E606" s="1221"/>
      <c r="F606" s="1221"/>
      <c r="I606" s="416"/>
    </row>
    <row r="607" spans="1:9">
      <c r="D607" s="310"/>
      <c r="E607" s="953" t="s">
        <v>659</v>
      </c>
      <c r="F607" s="310"/>
      <c r="I607" s="416"/>
    </row>
    <row r="608" spans="1:9">
      <c r="I608" s="416"/>
    </row>
    <row r="609" spans="1:9">
      <c r="A609" s="1167" t="s">
        <v>445</v>
      </c>
      <c r="B609" s="1167"/>
      <c r="C609" s="1167"/>
      <c r="D609" s="1167"/>
      <c r="E609" s="1167"/>
      <c r="F609" s="1167"/>
      <c r="G609" s="1167"/>
      <c r="H609" s="945"/>
      <c r="I609" s="1136"/>
    </row>
    <row r="610" spans="1:9">
      <c r="A610" s="373"/>
      <c r="B610" s="373"/>
      <c r="I610" s="416"/>
    </row>
    <row r="611" spans="1:9">
      <c r="A611" s="408"/>
      <c r="B611" s="408"/>
      <c r="C611" s="408"/>
      <c r="D611" s="1163" t="s">
        <v>446</v>
      </c>
      <c r="E611" s="1163"/>
      <c r="F611" s="1163"/>
      <c r="I611" s="416"/>
    </row>
    <row r="612" spans="1:9">
      <c r="A612" s="408"/>
      <c r="B612" s="408"/>
      <c r="C612" s="408"/>
      <c r="D612" s="1163"/>
      <c r="E612" s="1163"/>
      <c r="F612" s="1163"/>
      <c r="I612" s="416"/>
    </row>
    <row r="613" spans="1:9">
      <c r="C613" s="409"/>
      <c r="D613" s="1161" t="s">
        <v>447</v>
      </c>
      <c r="E613" s="1161"/>
      <c r="F613" s="1161"/>
      <c r="I613" s="416"/>
    </row>
    <row r="614" spans="1:9">
      <c r="C614" s="409"/>
      <c r="D614" s="371"/>
      <c r="E614" s="371"/>
      <c r="F614" s="371"/>
      <c r="I614" s="416"/>
    </row>
    <row r="615" spans="1:9" ht="12.75" customHeight="1">
      <c r="A615" s="416"/>
      <c r="B615" s="411" t="s">
        <v>522</v>
      </c>
      <c r="D615" s="1164" t="s">
        <v>449</v>
      </c>
      <c r="E615" s="1164"/>
      <c r="F615" s="1164"/>
      <c r="I615" s="416" t="s">
        <v>660</v>
      </c>
    </row>
    <row r="616" spans="1:9">
      <c r="D616" s="1164"/>
      <c r="E616" s="1164"/>
      <c r="F616" s="1164"/>
      <c r="I616" s="416"/>
    </row>
    <row r="617" spans="1:9">
      <c r="I617" s="416"/>
    </row>
    <row r="618" spans="1:9">
      <c r="B618" s="411" t="s">
        <v>522</v>
      </c>
      <c r="D618" s="1164" t="s">
        <v>450</v>
      </c>
      <c r="E618" s="1164"/>
      <c r="F618" s="1164"/>
      <c r="I618" s="416" t="s">
        <v>661</v>
      </c>
    </row>
    <row r="619" spans="1:9">
      <c r="C619" s="426"/>
      <c r="D619" s="1164"/>
      <c r="E619" s="1164"/>
      <c r="F619" s="1164"/>
      <c r="I619" s="416"/>
    </row>
    <row r="620" spans="1:9">
      <c r="C620" s="426"/>
      <c r="I620" s="416"/>
    </row>
    <row r="621" spans="1:9">
      <c r="B621" s="411" t="s">
        <v>529</v>
      </c>
      <c r="C621" s="426"/>
      <c r="D621" s="1164" t="s">
        <v>451</v>
      </c>
      <c r="E621" s="1164"/>
      <c r="F621" s="1164"/>
      <c r="I621" s="416" t="s">
        <v>662</v>
      </c>
    </row>
    <row r="622" spans="1:9">
      <c r="C622" s="426"/>
      <c r="D622" s="1164"/>
      <c r="E622" s="1164"/>
      <c r="F622" s="1164"/>
      <c r="I622" s="426" t="s">
        <v>663</v>
      </c>
    </row>
    <row r="623" spans="1:9">
      <c r="C623" s="426"/>
      <c r="I623" s="416"/>
    </row>
    <row r="624" spans="1:9">
      <c r="A624" s="1167" t="s">
        <v>452</v>
      </c>
      <c r="B624" s="1167"/>
      <c r="C624" s="1167"/>
      <c r="D624" s="1167"/>
      <c r="E624" s="1167"/>
      <c r="F624" s="1167"/>
      <c r="G624" s="1167"/>
      <c r="H624" s="945"/>
      <c r="I624" s="1136"/>
    </row>
    <row r="625" spans="1:9">
      <c r="A625" s="408"/>
      <c r="B625" s="408"/>
      <c r="C625" s="408"/>
      <c r="I625" s="416"/>
    </row>
    <row r="626" spans="1:9">
      <c r="C626" s="416"/>
      <c r="D626" s="1160" t="s">
        <v>453</v>
      </c>
      <c r="E626" s="1160"/>
      <c r="F626" s="1160"/>
      <c r="I626" s="416"/>
    </row>
    <row r="627" spans="1:9">
      <c r="A627" s="416"/>
      <c r="B627" s="416"/>
      <c r="D627" s="329"/>
      <c r="I627" s="416"/>
    </row>
    <row r="628" spans="1:9" ht="14.25" customHeight="1">
      <c r="A628" s="410"/>
      <c r="B628" s="411" t="s">
        <v>522</v>
      </c>
      <c r="D628" s="1221" t="s">
        <v>664</v>
      </c>
      <c r="E628" s="1221"/>
      <c r="F628" s="1221"/>
      <c r="I628" s="416" t="s">
        <v>665</v>
      </c>
    </row>
    <row r="629" spans="1:9">
      <c r="D629" s="1221"/>
      <c r="E629" s="1221"/>
      <c r="F629" s="1221"/>
      <c r="I629" s="416"/>
    </row>
    <row r="630" spans="1:9">
      <c r="D630" s="310"/>
      <c r="E630" s="953" t="s">
        <v>666</v>
      </c>
      <c r="F630" s="310"/>
      <c r="I630" s="416"/>
    </row>
    <row r="631" spans="1:9">
      <c r="D631" s="1162" t="s">
        <v>667</v>
      </c>
      <c r="E631" s="1162"/>
      <c r="F631" s="1162"/>
      <c r="I631" s="416"/>
    </row>
    <row r="632" spans="1:9">
      <c r="D632" s="1162"/>
      <c r="E632" s="1162"/>
      <c r="F632" s="1162"/>
      <c r="I632" s="416"/>
    </row>
    <row r="633" spans="1:9">
      <c r="D633" s="1162"/>
      <c r="E633" s="1162"/>
      <c r="F633" s="1162"/>
      <c r="I633" s="416"/>
    </row>
    <row r="634" spans="1:9">
      <c r="D634" s="372"/>
      <c r="E634" s="372"/>
      <c r="F634" s="372"/>
      <c r="I634" s="416"/>
    </row>
    <row r="635" spans="1:9">
      <c r="A635" s="410"/>
      <c r="B635" s="411" t="s">
        <v>529</v>
      </c>
      <c r="D635" s="1162" t="s">
        <v>455</v>
      </c>
      <c r="E635" s="1162"/>
      <c r="F635" s="1162"/>
      <c r="I635" s="416" t="s">
        <v>668</v>
      </c>
    </row>
    <row r="636" spans="1:9">
      <c r="A636" s="413"/>
      <c r="B636" s="413"/>
      <c r="C636" s="413"/>
      <c r="D636" s="1162"/>
      <c r="E636" s="1162"/>
      <c r="F636" s="1162"/>
      <c r="I636" s="416"/>
    </row>
    <row r="637" spans="1:9">
      <c r="A637" s="413"/>
      <c r="B637" s="413"/>
      <c r="C637" s="413"/>
      <c r="D637" s="373"/>
      <c r="E637" s="373"/>
      <c r="F637" s="373"/>
      <c r="I637" s="416"/>
    </row>
    <row r="638" spans="1:9">
      <c r="A638" s="410"/>
      <c r="B638" s="411" t="s">
        <v>529</v>
      </c>
      <c r="C638" s="413"/>
      <c r="D638" s="1162" t="s">
        <v>669</v>
      </c>
      <c r="E638" s="1162"/>
      <c r="F638" s="1162"/>
      <c r="I638" s="416" t="s">
        <v>670</v>
      </c>
    </row>
    <row r="639" spans="1:9">
      <c r="A639" s="410"/>
      <c r="B639" s="410"/>
      <c r="C639" s="413"/>
      <c r="D639" s="1162"/>
      <c r="E639" s="1162"/>
      <c r="F639" s="1162"/>
      <c r="I639" s="416"/>
    </row>
    <row r="640" spans="1:9">
      <c r="A640" s="410"/>
      <c r="B640" s="410"/>
      <c r="C640" s="413"/>
      <c r="D640" s="1162"/>
      <c r="E640" s="1162"/>
      <c r="F640" s="1162"/>
      <c r="I640" s="416"/>
    </row>
    <row r="641" spans="1:9">
      <c r="A641" s="413"/>
      <c r="B641" s="411" t="s">
        <v>529</v>
      </c>
      <c r="C641" s="413"/>
      <c r="D641" s="1189" t="s">
        <v>457</v>
      </c>
      <c r="E641" s="1189"/>
      <c r="F641" s="1189"/>
      <c r="I641" s="416" t="s">
        <v>670</v>
      </c>
    </row>
    <row r="642" spans="1:9">
      <c r="A642" s="413"/>
      <c r="B642" s="413"/>
      <c r="C642" s="413"/>
      <c r="D642" s="373"/>
      <c r="E642" s="373"/>
      <c r="F642" s="373"/>
      <c r="I642" s="416"/>
    </row>
    <row r="643" spans="1:9">
      <c r="A643" s="1167" t="s">
        <v>458</v>
      </c>
      <c r="B643" s="1167"/>
      <c r="C643" s="1167"/>
      <c r="D643" s="1167"/>
      <c r="E643" s="1167"/>
      <c r="F643" s="1167"/>
      <c r="G643" s="1167"/>
      <c r="H643" s="945"/>
      <c r="I643" s="1136"/>
    </row>
    <row r="644" spans="1:9">
      <c r="A644" s="373"/>
      <c r="B644" s="373"/>
      <c r="C644" s="413"/>
      <c r="D644" s="373"/>
      <c r="E644" s="373"/>
      <c r="F644" s="373"/>
      <c r="I644" s="416"/>
    </row>
    <row r="645" spans="1:9">
      <c r="C645" s="408"/>
      <c r="D645" s="1160" t="s">
        <v>459</v>
      </c>
      <c r="E645" s="1160"/>
      <c r="F645" s="1160"/>
      <c r="I645" s="416"/>
    </row>
    <row r="646" spans="1:9">
      <c r="A646" s="409"/>
      <c r="B646" s="409"/>
      <c r="C646" s="409"/>
      <c r="D646" s="1189" t="s">
        <v>460</v>
      </c>
      <c r="E646" s="1189"/>
      <c r="F646" s="1189"/>
      <c r="I646" s="416"/>
    </row>
    <row r="647" spans="1:9">
      <c r="A647" s="409"/>
      <c r="B647" s="409"/>
      <c r="C647" s="409"/>
      <c r="D647" s="373"/>
      <c r="E647" s="373"/>
      <c r="F647" s="373"/>
      <c r="I647" s="416"/>
    </row>
    <row r="648" spans="1:9" ht="12.75" customHeight="1">
      <c r="B648" s="411" t="s">
        <v>529</v>
      </c>
      <c r="C648" s="413"/>
      <c r="D648" s="1162" t="s">
        <v>671</v>
      </c>
      <c r="E648" s="1162"/>
      <c r="F648" s="1162"/>
      <c r="I648" s="416" t="s">
        <v>672</v>
      </c>
    </row>
    <row r="649" spans="1:9">
      <c r="D649" s="1162"/>
      <c r="E649" s="1162"/>
      <c r="F649" s="1162"/>
      <c r="I649" s="416"/>
    </row>
    <row r="650" spans="1:9">
      <c r="D650" s="1162"/>
      <c r="E650" s="1162"/>
      <c r="F650" s="1162"/>
      <c r="I650" s="416"/>
    </row>
    <row r="651" spans="1:9">
      <c r="D651" s="1162"/>
      <c r="E651" s="1162"/>
      <c r="F651" s="1162"/>
      <c r="I651" s="416"/>
    </row>
    <row r="652" spans="1:9" ht="14.45" customHeight="1">
      <c r="A652" s="410"/>
      <c r="B652" s="410"/>
      <c r="C652" s="413"/>
      <c r="D652" s="310"/>
      <c r="E652" s="310"/>
      <c r="F652" s="310"/>
      <c r="I652" s="416"/>
    </row>
    <row r="653" spans="1:9" ht="12.75" customHeight="1">
      <c r="A653" s="409"/>
      <c r="B653" s="411" t="s">
        <v>522</v>
      </c>
      <c r="C653" s="413"/>
      <c r="D653" s="1162" t="s">
        <v>673</v>
      </c>
      <c r="E653" s="1162"/>
      <c r="F653" s="1162"/>
      <c r="I653" s="416" t="s">
        <v>672</v>
      </c>
    </row>
    <row r="654" spans="1:9">
      <c r="A654" s="409"/>
      <c r="B654" s="410"/>
      <c r="C654" s="413"/>
      <c r="D654" s="1162"/>
      <c r="E654" s="1162"/>
      <c r="F654" s="1162"/>
      <c r="I654" s="416"/>
    </row>
    <row r="655" spans="1:9">
      <c r="A655" s="409"/>
      <c r="B655" s="410"/>
      <c r="C655" s="413"/>
      <c r="D655" s="1162"/>
      <c r="E655" s="1162"/>
      <c r="F655" s="1162"/>
      <c r="I655" s="416"/>
    </row>
    <row r="656" spans="1:9">
      <c r="A656" s="409"/>
      <c r="B656" s="410"/>
      <c r="C656" s="413"/>
      <c r="D656" s="1162"/>
      <c r="E656" s="1162"/>
      <c r="F656" s="1162"/>
      <c r="I656" s="416"/>
    </row>
    <row r="657" spans="1:9">
      <c r="A657" s="409"/>
      <c r="B657" s="410"/>
      <c r="C657" s="413"/>
      <c r="D657" s="1162"/>
      <c r="E657" s="1162"/>
      <c r="F657" s="1162"/>
      <c r="I657" s="416"/>
    </row>
    <row r="658" spans="1:9" ht="14.25" customHeight="1">
      <c r="A658" s="409"/>
      <c r="B658" s="410"/>
      <c r="C658" s="413"/>
      <c r="F658" s="311"/>
      <c r="I658" s="416"/>
    </row>
    <row r="659" spans="1:9" ht="12.75" customHeight="1">
      <c r="A659" s="409"/>
      <c r="B659" s="411" t="s">
        <v>529</v>
      </c>
      <c r="C659" s="413"/>
      <c r="D659" s="1162" t="s">
        <v>674</v>
      </c>
      <c r="E659" s="1162"/>
      <c r="F659" s="1162"/>
      <c r="I659" s="416" t="s">
        <v>672</v>
      </c>
    </row>
    <row r="660" spans="1:9">
      <c r="A660" s="409"/>
      <c r="B660" s="410"/>
      <c r="C660" s="413"/>
      <c r="D660" s="1162"/>
      <c r="E660" s="1162"/>
      <c r="F660" s="1162"/>
      <c r="I660" s="416"/>
    </row>
    <row r="661" spans="1:9">
      <c r="A661" s="410"/>
      <c r="B661" s="410"/>
      <c r="C661" s="413"/>
      <c r="D661" s="1162"/>
      <c r="E661" s="1162"/>
      <c r="F661" s="1162"/>
      <c r="I661" s="416"/>
    </row>
    <row r="662" spans="1:9">
      <c r="A662" s="410"/>
      <c r="B662" s="410"/>
      <c r="C662" s="413"/>
      <c r="D662" s="1162"/>
      <c r="E662" s="1162"/>
      <c r="F662" s="1162"/>
      <c r="I662" s="416"/>
    </row>
    <row r="663" spans="1:9">
      <c r="A663" s="410"/>
      <c r="B663" s="410"/>
      <c r="C663" s="413"/>
      <c r="D663" s="372"/>
      <c r="E663" s="372"/>
      <c r="F663" s="372"/>
      <c r="I663" s="416"/>
    </row>
    <row r="664" spans="1:9" ht="12.75" customHeight="1">
      <c r="A664" s="409"/>
      <c r="B664" s="411" t="s">
        <v>522</v>
      </c>
      <c r="C664" s="413"/>
      <c r="D664" s="1162" t="s">
        <v>675</v>
      </c>
      <c r="E664" s="1162"/>
      <c r="F664" s="1162"/>
      <c r="I664" s="416" t="s">
        <v>672</v>
      </c>
    </row>
    <row r="665" spans="1:9" ht="12.75" customHeight="1">
      <c r="A665" s="409"/>
      <c r="B665" s="410"/>
      <c r="C665" s="413"/>
      <c r="D665" s="1162"/>
      <c r="E665" s="1162"/>
      <c r="F665" s="1162"/>
      <c r="I665" s="416"/>
    </row>
    <row r="666" spans="1:9" ht="12.75" customHeight="1">
      <c r="A666" s="409"/>
      <c r="B666" s="410"/>
      <c r="C666" s="413"/>
      <c r="D666" s="1162"/>
      <c r="E666" s="1162"/>
      <c r="F666" s="1162"/>
      <c r="I666" s="416"/>
    </row>
    <row r="667" spans="1:9" ht="12.75" customHeight="1">
      <c r="A667" s="409"/>
      <c r="B667" s="410"/>
      <c r="C667" s="413"/>
      <c r="D667" s="1162"/>
      <c r="E667" s="1162"/>
      <c r="F667" s="1162"/>
      <c r="I667" s="416"/>
    </row>
    <row r="668" spans="1:9" ht="12.75" customHeight="1">
      <c r="A668" s="409"/>
      <c r="B668" s="410"/>
      <c r="C668" s="413"/>
      <c r="D668" s="1162"/>
      <c r="E668" s="1162"/>
      <c r="F668" s="1162"/>
      <c r="I668" s="416"/>
    </row>
    <row r="669" spans="1:9" ht="12.75" customHeight="1">
      <c r="A669" s="409"/>
      <c r="B669" s="410"/>
      <c r="C669" s="413"/>
      <c r="D669" s="1162"/>
      <c r="E669" s="1162"/>
      <c r="F669" s="1162"/>
      <c r="I669" s="416"/>
    </row>
    <row r="670" spans="1:9" ht="12.75" customHeight="1">
      <c r="A670" s="409"/>
      <c r="B670" s="410"/>
      <c r="C670" s="413"/>
      <c r="D670" s="1162"/>
      <c r="E670" s="1162"/>
      <c r="F670" s="1162"/>
      <c r="I670" s="416"/>
    </row>
    <row r="671" spans="1:9" ht="12.75" customHeight="1">
      <c r="A671" s="409"/>
      <c r="B671" s="410"/>
      <c r="C671" s="413"/>
      <c r="D671" s="1162"/>
      <c r="E671" s="1162"/>
      <c r="F671" s="1162"/>
      <c r="I671" s="416"/>
    </row>
    <row r="672" spans="1:9" ht="12.75" customHeight="1">
      <c r="A672" s="409"/>
      <c r="B672" s="410"/>
      <c r="C672" s="413"/>
      <c r="D672" s="1162"/>
      <c r="E672" s="1162"/>
      <c r="F672" s="1162"/>
      <c r="I672" s="416"/>
    </row>
    <row r="673" spans="1:11">
      <c r="A673" s="413"/>
      <c r="B673" s="413"/>
      <c r="C673" s="413"/>
      <c r="D673" s="373"/>
      <c r="E673" s="373"/>
      <c r="F673" s="373"/>
      <c r="I673" s="416"/>
    </row>
    <row r="674" spans="1:11">
      <c r="A674" s="1167" t="s">
        <v>465</v>
      </c>
      <c r="B674" s="1167"/>
      <c r="C674" s="1167"/>
      <c r="D674" s="1167"/>
      <c r="E674" s="1167"/>
      <c r="F674" s="1167"/>
      <c r="G674" s="1167"/>
      <c r="H674" s="947"/>
      <c r="I674" s="1140"/>
      <c r="J674" s="427"/>
      <c r="K674" s="427"/>
    </row>
    <row r="675" spans="1:11">
      <c r="A675" s="375"/>
      <c r="B675" s="375"/>
      <c r="C675" s="375"/>
      <c r="D675" s="375"/>
      <c r="E675" s="375"/>
      <c r="F675" s="375"/>
      <c r="G675" s="375"/>
      <c r="H675" s="427"/>
      <c r="I675" s="409"/>
      <c r="J675" s="427"/>
      <c r="K675" s="427"/>
    </row>
    <row r="676" spans="1:11">
      <c r="C676" s="408"/>
      <c r="D676" s="1160" t="s">
        <v>466</v>
      </c>
      <c r="E676" s="1160"/>
      <c r="F676" s="1160"/>
      <c r="H676" s="427"/>
      <c r="I676" s="409"/>
      <c r="J676" s="427"/>
      <c r="K676" s="427"/>
    </row>
    <row r="677" spans="1:11">
      <c r="A677" s="408"/>
      <c r="B677" s="408"/>
      <c r="C677" s="408"/>
      <c r="D677" s="1160" t="s">
        <v>467</v>
      </c>
      <c r="E677" s="1160"/>
      <c r="F677" s="1160"/>
      <c r="H677" s="427"/>
      <c r="I677" s="409"/>
      <c r="J677" s="427"/>
      <c r="K677" s="427"/>
    </row>
    <row r="678" spans="1:11">
      <c r="A678" s="409"/>
      <c r="B678" s="409"/>
      <c r="C678" s="409"/>
      <c r="D678" s="1189" t="s">
        <v>468</v>
      </c>
      <c r="E678" s="1189"/>
      <c r="F678" s="1189"/>
      <c r="H678" s="427"/>
      <c r="I678" s="409"/>
      <c r="J678" s="427"/>
      <c r="K678" s="427"/>
    </row>
    <row r="679" spans="1:11">
      <c r="A679" s="409"/>
      <c r="B679" s="409"/>
      <c r="C679" s="409"/>
      <c r="H679" s="427"/>
      <c r="I679" s="409"/>
      <c r="J679" s="427"/>
      <c r="K679" s="427"/>
    </row>
    <row r="680" spans="1:11">
      <c r="A680" s="410"/>
      <c r="B680" s="411" t="s">
        <v>529</v>
      </c>
      <c r="C680" s="409"/>
      <c r="D680" s="1189" t="s">
        <v>469</v>
      </c>
      <c r="E680" s="1189"/>
      <c r="F680" s="1189"/>
      <c r="H680" s="427"/>
      <c r="I680" s="409" t="s">
        <v>676</v>
      </c>
      <c r="J680" s="427"/>
      <c r="K680" s="427"/>
    </row>
    <row r="681" spans="1:11">
      <c r="A681" s="409"/>
      <c r="B681" s="409"/>
      <c r="C681" s="409"/>
      <c r="D681" s="1189" t="s">
        <v>470</v>
      </c>
      <c r="E681" s="1189"/>
      <c r="F681" s="1189"/>
      <c r="H681" s="427"/>
      <c r="I681" s="409"/>
      <c r="J681" s="427"/>
      <c r="K681" s="427"/>
    </row>
    <row r="682" spans="1:11" ht="12.75" customHeight="1">
      <c r="A682" s="409"/>
      <c r="B682" s="409"/>
      <c r="C682" s="409"/>
      <c r="E682" s="953" t="s">
        <v>677</v>
      </c>
      <c r="F682" s="345"/>
      <c r="H682" s="427"/>
      <c r="I682" s="409"/>
      <c r="J682" s="427"/>
      <c r="K682" s="427"/>
    </row>
    <row r="683" spans="1:11">
      <c r="A683" s="409"/>
      <c r="B683" s="409"/>
      <c r="C683" s="409"/>
      <c r="E683" s="427" t="s">
        <v>678</v>
      </c>
      <c r="F683" s="345"/>
      <c r="I683" s="409"/>
      <c r="J683" s="427"/>
      <c r="K683" s="427"/>
    </row>
    <row r="684" spans="1:11">
      <c r="A684" s="409"/>
      <c r="B684" s="409"/>
      <c r="C684" s="409"/>
      <c r="D684" s="428"/>
      <c r="E684" s="373"/>
      <c r="H684" s="427"/>
      <c r="I684" s="409"/>
      <c r="J684" s="427"/>
      <c r="K684" s="427"/>
    </row>
    <row r="685" spans="1:11">
      <c r="A685" s="410"/>
      <c r="B685" s="411" t="s">
        <v>522</v>
      </c>
      <c r="C685" s="409"/>
      <c r="D685" s="1162" t="s">
        <v>679</v>
      </c>
      <c r="E685" s="1162"/>
      <c r="F685" s="1162"/>
      <c r="H685" s="427"/>
      <c r="I685" s="409" t="s">
        <v>680</v>
      </c>
      <c r="J685" s="427"/>
      <c r="K685" s="427"/>
    </row>
    <row r="686" spans="1:11">
      <c r="A686" s="416"/>
      <c r="B686" s="416"/>
      <c r="C686" s="409"/>
      <c r="D686" s="1162"/>
      <c r="E686" s="1162"/>
      <c r="F686" s="1162"/>
      <c r="H686" s="427"/>
      <c r="I686" s="409"/>
      <c r="J686" s="427"/>
      <c r="K686" s="427"/>
    </row>
    <row r="687" spans="1:11">
      <c r="A687" s="409"/>
      <c r="B687" s="409"/>
      <c r="C687" s="409"/>
      <c r="D687" s="1162"/>
      <c r="E687" s="1162"/>
      <c r="F687" s="1162"/>
      <c r="H687" s="427"/>
      <c r="I687" s="409"/>
      <c r="J687" s="427"/>
      <c r="K687" s="427"/>
    </row>
    <row r="688" spans="1:11">
      <c r="A688" s="409"/>
      <c r="B688" s="409"/>
      <c r="C688" s="409"/>
      <c r="H688" s="427"/>
      <c r="I688" s="409" t="s">
        <v>681</v>
      </c>
      <c r="J688" s="427"/>
      <c r="K688" s="427"/>
    </row>
    <row r="689" spans="1:11">
      <c r="A689" s="410"/>
      <c r="B689" s="411" t="s">
        <v>522</v>
      </c>
      <c r="C689" s="409"/>
      <c r="D689" s="1189" t="s">
        <v>473</v>
      </c>
      <c r="E689" s="1189"/>
      <c r="F689" s="1189"/>
      <c r="H689" s="427"/>
      <c r="I689" s="409"/>
      <c r="J689" s="427"/>
      <c r="K689" s="427"/>
    </row>
    <row r="690" spans="1:11">
      <c r="A690" s="410"/>
      <c r="B690" s="410"/>
      <c r="C690" s="409"/>
      <c r="D690" s="1189" t="s">
        <v>470</v>
      </c>
      <c r="E690" s="1189"/>
      <c r="F690" s="1189"/>
      <c r="H690" s="427"/>
      <c r="I690" s="409"/>
      <c r="J690" s="427"/>
      <c r="K690" s="427"/>
    </row>
    <row r="691" spans="1:11">
      <c r="A691" s="409"/>
      <c r="B691" s="409"/>
      <c r="C691" s="409"/>
      <c r="E691" s="953" t="s">
        <v>682</v>
      </c>
      <c r="F691" s="329"/>
      <c r="H691" s="427"/>
      <c r="I691" s="409"/>
      <c r="J691" s="427"/>
      <c r="K691" s="427"/>
    </row>
    <row r="692" spans="1:11">
      <c r="A692" s="409"/>
      <c r="B692" s="409"/>
      <c r="C692" s="409"/>
      <c r="D692" s="329"/>
      <c r="H692" s="427"/>
      <c r="I692" s="409"/>
      <c r="J692" s="427"/>
      <c r="K692" s="427"/>
    </row>
    <row r="693" spans="1:11">
      <c r="A693" s="410"/>
      <c r="B693" s="411" t="s">
        <v>529</v>
      </c>
      <c r="C693" s="409"/>
      <c r="D693" s="1162" t="s">
        <v>475</v>
      </c>
      <c r="E693" s="1162"/>
      <c r="F693" s="1162"/>
      <c r="H693" s="427"/>
      <c r="I693" s="409" t="s">
        <v>683</v>
      </c>
      <c r="J693" s="427"/>
      <c r="K693" s="427"/>
    </row>
    <row r="694" spans="1:11">
      <c r="A694" s="409"/>
      <c r="B694" s="409"/>
      <c r="C694" s="409"/>
      <c r="D694" s="1162"/>
      <c r="E694" s="1162"/>
      <c r="F694" s="1162"/>
      <c r="H694" s="427"/>
      <c r="I694" s="409"/>
      <c r="J694" s="427"/>
      <c r="K694" s="427"/>
    </row>
    <row r="695" spans="1:11">
      <c r="A695" s="409"/>
      <c r="B695" s="409"/>
      <c r="C695" s="409"/>
      <c r="D695" s="1162"/>
      <c r="E695" s="1162"/>
      <c r="F695" s="1162"/>
      <c r="H695" s="427"/>
      <c r="I695" s="409"/>
      <c r="J695" s="427"/>
      <c r="K695" s="427"/>
    </row>
    <row r="696" spans="1:11">
      <c r="A696" s="409"/>
      <c r="B696" s="409"/>
      <c r="C696" s="409"/>
      <c r="D696" s="1162"/>
      <c r="E696" s="1162"/>
      <c r="F696" s="1162"/>
      <c r="H696" s="427"/>
      <c r="I696" s="409"/>
      <c r="J696" s="427"/>
      <c r="K696" s="427"/>
    </row>
    <row r="697" spans="1:11">
      <c r="A697" s="409"/>
      <c r="B697" s="409"/>
      <c r="C697" s="409"/>
      <c r="D697" s="1162"/>
      <c r="E697" s="1162"/>
      <c r="F697" s="1162"/>
      <c r="H697" s="427"/>
      <c r="I697" s="409"/>
      <c r="J697" s="427"/>
      <c r="K697" s="427"/>
    </row>
    <row r="698" spans="1:11">
      <c r="A698" s="409"/>
      <c r="B698" s="409"/>
      <c r="C698" s="409"/>
      <c r="D698" s="1162"/>
      <c r="E698" s="1162"/>
      <c r="F698" s="1162"/>
      <c r="H698" s="427"/>
      <c r="I698" s="409"/>
      <c r="J698" s="427"/>
      <c r="K698" s="427"/>
    </row>
    <row r="699" spans="1:11">
      <c r="A699" s="409"/>
      <c r="B699" s="409"/>
      <c r="C699" s="409"/>
      <c r="D699" s="372"/>
      <c r="E699" s="372"/>
      <c r="F699" s="372"/>
      <c r="H699" s="427"/>
      <c r="I699" s="409"/>
      <c r="J699" s="427"/>
      <c r="K699" s="427"/>
    </row>
    <row r="700" spans="1:11">
      <c r="A700" s="409"/>
      <c r="B700" s="411" t="s">
        <v>522</v>
      </c>
      <c r="C700" s="409"/>
      <c r="D700" s="1162" t="s">
        <v>684</v>
      </c>
      <c r="E700" s="1162"/>
      <c r="F700" s="1162"/>
      <c r="H700" s="427"/>
      <c r="I700" s="409" t="s">
        <v>683</v>
      </c>
      <c r="J700" s="427"/>
      <c r="K700" s="427"/>
    </row>
    <row r="701" spans="1:11">
      <c r="A701" s="409"/>
      <c r="B701" s="409"/>
      <c r="C701" s="409"/>
      <c r="D701" s="1162"/>
      <c r="E701" s="1162"/>
      <c r="F701" s="1162"/>
      <c r="H701" s="427"/>
      <c r="I701" s="409"/>
      <c r="J701" s="427"/>
      <c r="K701" s="427"/>
    </row>
    <row r="702" spans="1:11">
      <c r="A702" s="409"/>
      <c r="B702" s="409"/>
      <c r="C702" s="409"/>
      <c r="D702" s="372"/>
      <c r="E702" s="372"/>
      <c r="F702" s="372"/>
      <c r="H702" s="427"/>
      <c r="I702" s="409"/>
      <c r="J702" s="427"/>
      <c r="K702" s="427"/>
    </row>
    <row r="703" spans="1:11">
      <c r="A703" s="410"/>
      <c r="B703" s="411" t="s">
        <v>529</v>
      </c>
      <c r="C703" s="409"/>
      <c r="D703" s="1162" t="s">
        <v>476</v>
      </c>
      <c r="E703" s="1162"/>
      <c r="F703" s="1162"/>
      <c r="H703" s="427"/>
      <c r="I703" s="409" t="s">
        <v>683</v>
      </c>
      <c r="J703" s="427"/>
      <c r="K703" s="427"/>
    </row>
    <row r="704" spans="1:11">
      <c r="A704" s="409"/>
      <c r="B704" s="409"/>
      <c r="C704" s="409"/>
      <c r="D704" s="1162"/>
      <c r="E704" s="1162"/>
      <c r="F704" s="1162"/>
      <c r="H704" s="427"/>
      <c r="I704" s="409"/>
      <c r="J704" s="427"/>
      <c r="K704" s="427"/>
    </row>
    <row r="705" spans="1:11">
      <c r="A705" s="409"/>
      <c r="B705" s="409"/>
      <c r="C705" s="409"/>
      <c r="D705" s="1162"/>
      <c r="E705" s="1162"/>
      <c r="F705" s="1162"/>
      <c r="H705" s="427"/>
      <c r="I705" s="409"/>
      <c r="J705" s="427"/>
      <c r="K705" s="427"/>
    </row>
    <row r="706" spans="1:11" ht="15" customHeight="1">
      <c r="A706" s="409"/>
      <c r="B706" s="409"/>
      <c r="C706" s="409"/>
      <c r="D706" s="1162"/>
      <c r="E706" s="1162"/>
      <c r="F706" s="1162"/>
      <c r="H706" s="427"/>
      <c r="I706" s="409"/>
      <c r="J706" s="427"/>
      <c r="K706" s="427"/>
    </row>
    <row r="707" spans="1:11" ht="15" customHeight="1">
      <c r="A707" s="409"/>
      <c r="B707" s="409"/>
      <c r="C707" s="409"/>
      <c r="D707" s="1162"/>
      <c r="E707" s="1162"/>
      <c r="F707" s="1162"/>
      <c r="H707" s="427"/>
      <c r="I707" s="409"/>
      <c r="J707" s="427"/>
      <c r="K707" s="427"/>
    </row>
    <row r="708" spans="1:11">
      <c r="A708" s="409"/>
      <c r="B708" s="409"/>
      <c r="C708" s="409"/>
      <c r="D708" s="1162"/>
      <c r="E708" s="1162"/>
      <c r="F708" s="1162"/>
      <c r="H708" s="427"/>
      <c r="I708" s="409"/>
      <c r="J708" s="427"/>
      <c r="K708" s="427"/>
    </row>
    <row r="709" spans="1:11">
      <c r="A709" s="409"/>
      <c r="B709" s="409"/>
      <c r="C709" s="409"/>
      <c r="D709" s="1162"/>
      <c r="E709" s="1162"/>
      <c r="F709" s="1162"/>
      <c r="H709" s="427"/>
      <c r="I709" s="409"/>
      <c r="J709" s="427"/>
      <c r="K709" s="427"/>
    </row>
    <row r="710" spans="1:11">
      <c r="A710" s="409"/>
      <c r="B710" s="409"/>
      <c r="C710" s="409"/>
      <c r="D710" s="1162"/>
      <c r="E710" s="1162"/>
      <c r="F710" s="1162"/>
      <c r="H710" s="427"/>
      <c r="I710" s="409"/>
      <c r="J710" s="427"/>
      <c r="K710" s="427"/>
    </row>
    <row r="711" spans="1:11" ht="15" customHeight="1">
      <c r="A711" s="409"/>
      <c r="B711" s="409"/>
      <c r="C711" s="409"/>
      <c r="D711" s="1162"/>
      <c r="E711" s="1162"/>
      <c r="F711" s="1162"/>
      <c r="H711" s="427"/>
      <c r="I711" s="409"/>
      <c r="J711" s="427"/>
      <c r="K711" s="427"/>
    </row>
    <row r="712" spans="1:11">
      <c r="A712" s="409"/>
      <c r="B712" s="409"/>
      <c r="C712" s="409"/>
      <c r="D712" s="1162"/>
      <c r="E712" s="1162"/>
      <c r="F712" s="1162"/>
      <c r="H712" s="427"/>
      <c r="I712" s="409"/>
      <c r="J712" s="427"/>
      <c r="K712" s="427"/>
    </row>
    <row r="713" spans="1:11">
      <c r="A713" s="409"/>
      <c r="B713" s="409"/>
      <c r="C713" s="409"/>
      <c r="D713" s="1162"/>
      <c r="E713" s="1162"/>
      <c r="F713" s="1162"/>
      <c r="H713" s="427"/>
      <c r="I713" s="409"/>
      <c r="J713" s="427"/>
      <c r="K713" s="427"/>
    </row>
    <row r="714" spans="1:11">
      <c r="A714" s="409"/>
      <c r="B714" s="409"/>
      <c r="C714" s="409"/>
      <c r="D714" s="1162"/>
      <c r="E714" s="1162"/>
      <c r="F714" s="1162"/>
      <c r="H714" s="427"/>
      <c r="I714" s="409"/>
      <c r="J714" s="427"/>
      <c r="K714" s="427"/>
    </row>
    <row r="715" spans="1:11">
      <c r="A715" s="409"/>
      <c r="B715" s="409"/>
      <c r="C715" s="409"/>
      <c r="D715" s="1162"/>
      <c r="E715" s="1162"/>
      <c r="F715" s="1162"/>
      <c r="H715" s="427"/>
      <c r="I715" s="409"/>
      <c r="J715" s="427"/>
      <c r="K715" s="427"/>
    </row>
    <row r="716" spans="1:11">
      <c r="A716" s="409"/>
      <c r="B716" s="411" t="s">
        <v>529</v>
      </c>
      <c r="C716" s="409"/>
      <c r="D716" s="1162" t="s">
        <v>478</v>
      </c>
      <c r="E716" s="1162"/>
      <c r="F716" s="1162"/>
      <c r="H716" s="427"/>
      <c r="I716" s="409" t="s">
        <v>685</v>
      </c>
      <c r="J716" s="427"/>
      <c r="K716" s="427"/>
    </row>
    <row r="717" spans="1:11">
      <c r="A717" s="409"/>
      <c r="B717" s="409"/>
      <c r="C717" s="409"/>
      <c r="D717" s="1162"/>
      <c r="E717" s="1162"/>
      <c r="F717" s="1162"/>
      <c r="H717" s="427"/>
      <c r="I717" s="409"/>
      <c r="J717" s="427"/>
      <c r="K717" s="427"/>
    </row>
    <row r="718" spans="1:11">
      <c r="A718" s="409"/>
      <c r="B718" s="409"/>
      <c r="C718" s="409"/>
      <c r="D718" s="372"/>
      <c r="E718" s="372"/>
      <c r="F718" s="372"/>
      <c r="H718" s="427"/>
      <c r="I718" s="409"/>
      <c r="J718" s="427"/>
      <c r="K718" s="427"/>
    </row>
    <row r="719" spans="1:11">
      <c r="A719" s="409"/>
      <c r="B719" s="411" t="s">
        <v>529</v>
      </c>
      <c r="C719" s="409"/>
      <c r="D719" s="1162" t="s">
        <v>480</v>
      </c>
      <c r="E719" s="1162"/>
      <c r="F719" s="1162"/>
      <c r="H719" s="427"/>
      <c r="I719" s="409" t="s">
        <v>685</v>
      </c>
      <c r="J719" s="427"/>
      <c r="K719" s="427"/>
    </row>
    <row r="720" spans="1:11">
      <c r="A720" s="409"/>
      <c r="B720" s="409"/>
      <c r="C720" s="409"/>
      <c r="D720" s="1162"/>
      <c r="E720" s="1162"/>
      <c r="F720" s="1162"/>
      <c r="H720" s="427"/>
      <c r="I720" s="409"/>
      <c r="J720" s="427"/>
      <c r="K720" s="427"/>
    </row>
    <row r="721" spans="1:11">
      <c r="A721" s="409"/>
      <c r="B721" s="409"/>
      <c r="C721" s="409"/>
      <c r="D721" s="1162"/>
      <c r="E721" s="1162"/>
      <c r="F721" s="1162"/>
      <c r="H721" s="427"/>
      <c r="I721" s="409"/>
      <c r="J721" s="427"/>
      <c r="K721" s="427"/>
    </row>
    <row r="722" spans="1:11">
      <c r="A722" s="409"/>
      <c r="B722" s="409"/>
      <c r="C722" s="409"/>
      <c r="H722" s="427"/>
      <c r="I722" s="409"/>
      <c r="J722" s="427"/>
      <c r="K722" s="427"/>
    </row>
    <row r="723" spans="1:11">
      <c r="A723" s="409"/>
      <c r="B723" s="411" t="s">
        <v>529</v>
      </c>
      <c r="C723" s="409"/>
      <c r="D723" s="1162" t="s">
        <v>481</v>
      </c>
      <c r="E723" s="1162"/>
      <c r="F723" s="1162"/>
      <c r="H723" s="427"/>
      <c r="I723" s="409" t="s">
        <v>685</v>
      </c>
      <c r="J723" s="427"/>
      <c r="K723" s="427"/>
    </row>
    <row r="724" spans="1:11">
      <c r="A724" s="409"/>
      <c r="B724" s="409"/>
      <c r="C724" s="409"/>
      <c r="D724" s="1162"/>
      <c r="E724" s="1162"/>
      <c r="F724" s="1162"/>
      <c r="H724" s="427"/>
      <c r="I724" s="409"/>
      <c r="J724" s="427"/>
      <c r="K724" s="427"/>
    </row>
    <row r="725" spans="1:11">
      <c r="A725" s="409"/>
      <c r="B725" s="409"/>
      <c r="C725" s="409"/>
      <c r="D725" s="1162"/>
      <c r="E725" s="1162"/>
      <c r="F725" s="1162"/>
      <c r="H725" s="427"/>
      <c r="I725" s="409"/>
      <c r="J725" s="427"/>
      <c r="K725" s="427"/>
    </row>
    <row r="726" spans="1:11">
      <c r="A726" s="409"/>
      <c r="B726" s="409"/>
      <c r="C726" s="409"/>
      <c r="H726" s="427"/>
      <c r="I726" s="409"/>
      <c r="J726" s="427"/>
      <c r="K726" s="427"/>
    </row>
    <row r="727" spans="1:11">
      <c r="A727" s="410"/>
      <c r="B727" s="411" t="s">
        <v>529</v>
      </c>
      <c r="C727" s="409"/>
      <c r="D727" s="1162" t="s">
        <v>482</v>
      </c>
      <c r="E727" s="1162"/>
      <c r="F727" s="1162"/>
      <c r="H727" s="427"/>
      <c r="I727" s="409" t="s">
        <v>686</v>
      </c>
      <c r="J727" s="427"/>
      <c r="K727" s="427"/>
    </row>
    <row r="728" spans="1:11">
      <c r="A728" s="409"/>
      <c r="B728" s="409"/>
      <c r="C728" s="409"/>
      <c r="D728" s="1162"/>
      <c r="E728" s="1162"/>
      <c r="F728" s="1162"/>
      <c r="H728" s="427"/>
      <c r="I728" s="409"/>
      <c r="J728" s="427"/>
      <c r="K728" s="427"/>
    </row>
    <row r="729" spans="1:11">
      <c r="A729" s="409"/>
      <c r="B729" s="409"/>
      <c r="C729" s="409"/>
      <c r="D729" s="1162"/>
      <c r="E729" s="1162"/>
      <c r="F729" s="1162"/>
      <c r="H729" s="427"/>
      <c r="I729" s="409"/>
      <c r="J729" s="427"/>
      <c r="K729" s="427"/>
    </row>
    <row r="730" spans="1:11">
      <c r="A730" s="409"/>
      <c r="B730" s="409"/>
      <c r="C730" s="409"/>
      <c r="D730" s="1162"/>
      <c r="E730" s="1162"/>
      <c r="F730" s="1162"/>
      <c r="H730" s="427"/>
      <c r="I730" s="409"/>
      <c r="J730" s="427"/>
      <c r="K730" s="427"/>
    </row>
    <row r="731" spans="1:11">
      <c r="A731" s="409"/>
      <c r="B731" s="409"/>
      <c r="C731" s="409"/>
      <c r="D731" s="418"/>
      <c r="H731" s="427"/>
      <c r="I731" s="409"/>
      <c r="J731" s="427"/>
      <c r="K731" s="427"/>
    </row>
    <row r="732" spans="1:11">
      <c r="A732" s="410"/>
      <c r="B732" s="411" t="s">
        <v>522</v>
      </c>
      <c r="C732" s="409"/>
      <c r="D732" s="1162" t="s">
        <v>687</v>
      </c>
      <c r="E732" s="1162"/>
      <c r="F732" s="1162"/>
      <c r="H732" s="427"/>
      <c r="I732" s="409" t="s">
        <v>688</v>
      </c>
      <c r="J732" s="427"/>
      <c r="K732" s="427"/>
    </row>
    <row r="733" spans="1:11">
      <c r="A733" s="409"/>
      <c r="B733" s="409"/>
      <c r="C733" s="409"/>
      <c r="D733" s="1162"/>
      <c r="E733" s="1162"/>
      <c r="F733" s="1162"/>
      <c r="H733" s="427"/>
      <c r="I733" s="409"/>
      <c r="J733" s="427"/>
      <c r="K733" s="427"/>
    </row>
    <row r="734" spans="1:11">
      <c r="A734" s="409"/>
      <c r="B734" s="409"/>
      <c r="C734" s="409"/>
      <c r="D734" s="1162"/>
      <c r="E734" s="1162"/>
      <c r="F734" s="1162"/>
      <c r="H734" s="427"/>
      <c r="I734" s="409"/>
      <c r="J734" s="427"/>
      <c r="K734" s="427"/>
    </row>
    <row r="735" spans="1:11">
      <c r="A735" s="409"/>
      <c r="B735" s="409"/>
      <c r="C735" s="409"/>
      <c r="D735" s="1162"/>
      <c r="E735" s="1162"/>
      <c r="F735" s="1162"/>
      <c r="H735" s="427"/>
      <c r="I735" s="409"/>
      <c r="J735" s="427"/>
      <c r="K735" s="427"/>
    </row>
    <row r="736" spans="1:11">
      <c r="A736" s="409"/>
      <c r="B736" s="409"/>
      <c r="C736" s="409"/>
      <c r="D736" s="1162"/>
      <c r="E736" s="1162"/>
      <c r="F736" s="1162"/>
      <c r="H736" s="427"/>
      <c r="I736" s="409"/>
      <c r="J736" s="427"/>
      <c r="K736" s="427"/>
    </row>
    <row r="737" spans="1:11">
      <c r="A737" s="409"/>
      <c r="B737" s="409"/>
      <c r="C737" s="409"/>
      <c r="D737" s="1162"/>
      <c r="E737" s="1162"/>
      <c r="F737" s="1162"/>
      <c r="H737" s="427"/>
      <c r="I737" s="409"/>
      <c r="J737" s="427"/>
      <c r="K737" s="427"/>
    </row>
    <row r="738" spans="1:11">
      <c r="A738" s="409"/>
      <c r="B738" s="409"/>
      <c r="C738" s="409"/>
      <c r="D738" s="1162"/>
      <c r="E738" s="1162"/>
      <c r="F738" s="1162"/>
      <c r="H738" s="427"/>
      <c r="I738" s="409"/>
      <c r="J738" s="427"/>
      <c r="K738" s="427"/>
    </row>
    <row r="739" spans="1:11">
      <c r="A739" s="409"/>
      <c r="B739" s="409"/>
      <c r="C739" s="409"/>
      <c r="D739" s="1172" t="s">
        <v>689</v>
      </c>
      <c r="E739" s="1172"/>
      <c r="F739" s="1172"/>
      <c r="H739" s="427"/>
      <c r="I739" s="409"/>
      <c r="J739" s="427"/>
      <c r="K739" s="427"/>
    </row>
    <row r="740" spans="1:11">
      <c r="A740" s="409"/>
      <c r="B740" s="409"/>
      <c r="C740" s="409"/>
      <c r="D740" s="263"/>
      <c r="H740" s="427"/>
      <c r="I740" s="409"/>
      <c r="J740" s="427"/>
      <c r="K740" s="427"/>
    </row>
    <row r="741" spans="1:11">
      <c r="A741" s="1168" t="s">
        <v>485</v>
      </c>
      <c r="B741" s="1168"/>
      <c r="C741" s="1168"/>
      <c r="D741" s="1168"/>
      <c r="E741" s="1168"/>
      <c r="F741" s="1168"/>
      <c r="G741" s="1168"/>
      <c r="H741" s="947"/>
      <c r="I741" s="1140"/>
      <c r="J741" s="427"/>
      <c r="K741" s="427"/>
    </row>
    <row r="742" spans="1:11">
      <c r="A742" s="409"/>
      <c r="B742" s="409"/>
      <c r="C742" s="409"/>
      <c r="D742" s="418"/>
      <c r="G742" s="427"/>
      <c r="H742" s="427"/>
      <c r="I742" s="409"/>
      <c r="J742" s="427"/>
      <c r="K742" s="427"/>
    </row>
    <row r="743" spans="1:11" ht="13.7" customHeight="1">
      <c r="C743" s="409"/>
      <c r="D743" s="1188" t="s">
        <v>486</v>
      </c>
      <c r="E743" s="1188"/>
      <c r="F743" s="1188"/>
      <c r="G743" s="427"/>
      <c r="H743" s="427"/>
      <c r="I743" s="409"/>
      <c r="J743" s="427"/>
      <c r="K743" s="427"/>
    </row>
    <row r="744" spans="1:11">
      <c r="A744" s="409"/>
      <c r="B744" s="409"/>
      <c r="C744" s="409"/>
      <c r="D744" s="1175" t="s">
        <v>487</v>
      </c>
      <c r="E744" s="1175"/>
      <c r="F744" s="1175"/>
      <c r="G744" s="427"/>
      <c r="H744" s="427"/>
      <c r="I744" s="409"/>
      <c r="J744" s="427"/>
      <c r="K744" s="427"/>
    </row>
    <row r="745" spans="1:11">
      <c r="A745" s="409"/>
      <c r="B745" s="409"/>
      <c r="C745" s="409"/>
      <c r="G745" s="427"/>
      <c r="H745" s="427"/>
      <c r="I745" s="409"/>
      <c r="J745" s="427"/>
      <c r="K745" s="427"/>
    </row>
    <row r="746" spans="1:11">
      <c r="A746" s="410"/>
      <c r="B746" s="411" t="s">
        <v>522</v>
      </c>
      <c r="D746" s="1162" t="s">
        <v>488</v>
      </c>
      <c r="E746" s="1162"/>
      <c r="F746" s="1162"/>
      <c r="G746" s="427"/>
      <c r="H746" s="427"/>
      <c r="I746" s="409" t="s">
        <v>690</v>
      </c>
      <c r="J746" s="427"/>
      <c r="K746" s="427"/>
    </row>
    <row r="747" spans="1:11" ht="10.5" customHeight="1">
      <c r="D747" s="1162"/>
      <c r="E747" s="1162"/>
      <c r="F747" s="1162"/>
      <c r="G747" s="427"/>
      <c r="H747" s="427"/>
      <c r="I747" s="409"/>
      <c r="J747" s="427"/>
      <c r="K747" s="427"/>
    </row>
    <row r="748" spans="1:11">
      <c r="D748" s="1162"/>
      <c r="E748" s="1162"/>
      <c r="F748" s="1162"/>
      <c r="G748" s="427"/>
      <c r="H748" s="427"/>
      <c r="I748" s="409"/>
      <c r="J748" s="427"/>
      <c r="K748" s="427"/>
    </row>
    <row r="749" spans="1:11">
      <c r="D749" s="1162"/>
      <c r="E749" s="1162"/>
      <c r="F749" s="1162"/>
      <c r="G749" s="427"/>
      <c r="H749" s="427"/>
      <c r="I749" s="409"/>
      <c r="J749" s="427"/>
      <c r="K749" s="427"/>
    </row>
    <row r="750" spans="1:11">
      <c r="D750" s="1162"/>
      <c r="E750" s="1162"/>
      <c r="F750" s="1162"/>
      <c r="G750" s="427"/>
      <c r="H750" s="427"/>
      <c r="I750" s="409"/>
      <c r="J750" s="427"/>
      <c r="K750" s="427"/>
    </row>
    <row r="751" spans="1:11" ht="15.75" customHeight="1">
      <c r="D751" s="1162"/>
      <c r="E751" s="1162"/>
      <c r="F751" s="1162"/>
      <c r="G751" s="427"/>
      <c r="H751" s="427"/>
      <c r="I751" s="409"/>
      <c r="J751" s="427"/>
      <c r="K751" s="427"/>
    </row>
    <row r="752" spans="1:11">
      <c r="D752" s="425"/>
      <c r="E752" s="373"/>
      <c r="F752" s="373"/>
      <c r="G752" s="427"/>
      <c r="H752" s="427"/>
      <c r="I752" s="409"/>
      <c r="J752" s="427"/>
      <c r="K752" s="427"/>
    </row>
    <row r="753" spans="1:11" s="431" customFormat="1">
      <c r="A753" s="429"/>
      <c r="B753" s="411" t="s">
        <v>529</v>
      </c>
      <c r="C753" s="430"/>
      <c r="D753" s="1162" t="s">
        <v>691</v>
      </c>
      <c r="E753" s="1162"/>
      <c r="F753" s="1162"/>
      <c r="I753" s="1141" t="s">
        <v>690</v>
      </c>
    </row>
    <row r="754" spans="1:11" s="431" customFormat="1">
      <c r="A754" s="430"/>
      <c r="B754" s="430"/>
      <c r="C754" s="430"/>
      <c r="D754" s="1162"/>
      <c r="E754" s="1162"/>
      <c r="F754" s="1162"/>
      <c r="I754" s="1141"/>
    </row>
    <row r="755" spans="1:11" s="431" customFormat="1">
      <c r="A755" s="430"/>
      <c r="B755" s="430"/>
      <c r="C755" s="430"/>
      <c r="D755" s="1162"/>
      <c r="E755" s="1162"/>
      <c r="F755" s="1162"/>
      <c r="I755" s="1141"/>
    </row>
    <row r="756" spans="1:11" s="431" customFormat="1">
      <c r="A756" s="430"/>
      <c r="B756" s="430"/>
      <c r="C756" s="430"/>
      <c r="D756" s="1162"/>
      <c r="E756" s="1162"/>
      <c r="F756" s="1162"/>
      <c r="I756" s="1141"/>
    </row>
    <row r="757" spans="1:11" s="431" customFormat="1">
      <c r="A757" s="430"/>
      <c r="B757" s="430"/>
      <c r="C757" s="430"/>
      <c r="D757" s="425"/>
      <c r="I757" s="1141"/>
    </row>
    <row r="758" spans="1:11" s="431" customFormat="1">
      <c r="A758" s="410"/>
      <c r="B758" s="411" t="s">
        <v>522</v>
      </c>
      <c r="C758" s="430"/>
      <c r="D758" s="1164" t="s">
        <v>692</v>
      </c>
      <c r="E758" s="1164"/>
      <c r="F758" s="1164"/>
      <c r="I758" s="1141" t="s">
        <v>693</v>
      </c>
    </row>
    <row r="759" spans="1:11" s="431" customFormat="1">
      <c r="A759" s="430"/>
      <c r="B759" s="430"/>
      <c r="C759" s="430"/>
      <c r="D759" s="1164"/>
      <c r="E759" s="1164"/>
      <c r="F759" s="1164"/>
      <c r="I759" s="1141"/>
    </row>
    <row r="760" spans="1:11" s="431" customFormat="1">
      <c r="A760" s="430"/>
      <c r="B760" s="430"/>
      <c r="C760" s="430"/>
      <c r="D760" s="1164"/>
      <c r="E760" s="1164"/>
      <c r="F760" s="1164"/>
      <c r="I760" s="1141"/>
    </row>
    <row r="761" spans="1:11">
      <c r="D761" s="425"/>
      <c r="E761" s="373"/>
      <c r="F761" s="373"/>
      <c r="G761" s="427"/>
      <c r="H761" s="427"/>
      <c r="I761" s="409"/>
      <c r="J761" s="427"/>
      <c r="K761" s="427"/>
    </row>
    <row r="762" spans="1:11">
      <c r="A762" s="410"/>
      <c r="B762" s="411" t="s">
        <v>529</v>
      </c>
      <c r="D762" s="1162" t="s">
        <v>694</v>
      </c>
      <c r="E762" s="1162"/>
      <c r="F762" s="1162"/>
      <c r="G762" s="427"/>
      <c r="H762" s="427"/>
      <c r="I762" s="409" t="s">
        <v>690</v>
      </c>
      <c r="J762" s="427"/>
      <c r="K762" s="427"/>
    </row>
    <row r="763" spans="1:11">
      <c r="D763" s="1162"/>
      <c r="E763" s="1162"/>
      <c r="F763" s="1162"/>
      <c r="G763" s="427"/>
      <c r="H763" s="427"/>
      <c r="I763" s="409"/>
      <c r="J763" s="427"/>
      <c r="K763" s="427"/>
    </row>
    <row r="764" spans="1:11">
      <c r="D764" s="372"/>
      <c r="E764" s="372"/>
      <c r="F764" s="372"/>
      <c r="G764" s="427"/>
      <c r="H764" s="427"/>
      <c r="I764" s="409"/>
      <c r="J764" s="427"/>
      <c r="K764" s="427"/>
    </row>
    <row r="765" spans="1:11">
      <c r="B765" s="411" t="s">
        <v>529</v>
      </c>
      <c r="D765" s="1162" t="s">
        <v>695</v>
      </c>
      <c r="E765" s="1162"/>
      <c r="F765" s="1162"/>
      <c r="G765" s="427"/>
      <c r="H765" s="427"/>
      <c r="I765" s="409" t="s">
        <v>690</v>
      </c>
      <c r="J765" s="427"/>
      <c r="K765" s="427"/>
    </row>
    <row r="766" spans="1:11">
      <c r="D766" s="1162"/>
      <c r="E766" s="1162"/>
      <c r="F766" s="1162"/>
      <c r="G766" s="427"/>
      <c r="H766" s="427"/>
      <c r="I766" s="409"/>
      <c r="J766" s="427"/>
      <c r="K766" s="427"/>
    </row>
    <row r="767" spans="1:11">
      <c r="D767" s="1162"/>
      <c r="E767" s="1162"/>
      <c r="F767" s="1162"/>
      <c r="G767" s="427"/>
      <c r="H767" s="427"/>
      <c r="I767" s="409"/>
      <c r="J767" s="427"/>
      <c r="K767" s="427"/>
    </row>
    <row r="768" spans="1:11">
      <c r="D768" s="372"/>
      <c r="E768" s="372"/>
      <c r="F768" s="372"/>
      <c r="G768" s="427"/>
      <c r="H768" s="427"/>
      <c r="I768" s="409"/>
      <c r="J768" s="427"/>
      <c r="K768" s="427"/>
    </row>
    <row r="769" spans="1:9">
      <c r="A769" s="1212" t="s">
        <v>696</v>
      </c>
      <c r="B769" s="1212"/>
      <c r="C769" s="1212"/>
      <c r="D769" s="1212"/>
      <c r="E769" s="1212"/>
      <c r="F769" s="1212"/>
      <c r="G769" s="1212"/>
      <c r="H769" s="945"/>
      <c r="I769" s="1136"/>
    </row>
    <row r="770" spans="1:9">
      <c r="A770" s="50"/>
      <c r="B770" s="50"/>
      <c r="C770" s="279"/>
      <c r="D770" s="3"/>
      <c r="E770" s="3"/>
      <c r="F770" s="3"/>
      <c r="G770" s="3"/>
      <c r="I770" s="416"/>
    </row>
    <row r="771" spans="1:9">
      <c r="A771" s="50"/>
      <c r="B771" s="50"/>
      <c r="C771" s="279"/>
      <c r="D771" s="1222" t="s">
        <v>697</v>
      </c>
      <c r="E771" s="1222"/>
      <c r="F771" s="1222"/>
      <c r="G771" s="3"/>
      <c r="I771" s="416"/>
    </row>
    <row r="772" spans="1:9">
      <c r="A772" s="50"/>
      <c r="B772" s="50"/>
      <c r="C772" s="279"/>
      <c r="D772" s="1193" t="s">
        <v>698</v>
      </c>
      <c r="E772" s="1193"/>
      <c r="F772" s="1193"/>
      <c r="G772" s="3"/>
      <c r="I772" s="416"/>
    </row>
    <row r="773" spans="1:9">
      <c r="A773" s="50"/>
      <c r="B773" s="50"/>
      <c r="C773" s="279"/>
      <c r="D773" s="374"/>
      <c r="E773" s="374"/>
      <c r="F773" s="374"/>
      <c r="G773" s="3"/>
      <c r="I773" s="416"/>
    </row>
    <row r="774" spans="1:9">
      <c r="A774" s="50"/>
      <c r="B774" s="411" t="s">
        <v>522</v>
      </c>
      <c r="C774" s="279"/>
      <c r="D774" s="1178" t="s">
        <v>699</v>
      </c>
      <c r="E774" s="1178"/>
      <c r="F774" s="1178"/>
      <c r="G774" s="3"/>
      <c r="I774" s="409" t="s">
        <v>700</v>
      </c>
    </row>
    <row r="775" spans="1:9">
      <c r="A775" s="50"/>
      <c r="B775" s="50"/>
      <c r="C775" s="279"/>
      <c r="D775" s="1178"/>
      <c r="E775" s="1178"/>
      <c r="F775" s="1178"/>
      <c r="G775" s="3"/>
      <c r="I775" s="416"/>
    </row>
    <row r="776" spans="1:9">
      <c r="A776" s="123"/>
      <c r="B776" s="123"/>
      <c r="C776" s="123"/>
      <c r="D776" s="1178"/>
      <c r="E776" s="1178"/>
      <c r="F776" s="1178"/>
      <c r="G776" s="85"/>
      <c r="I776" s="416"/>
    </row>
    <row r="777" spans="1:9">
      <c r="A777" s="279"/>
      <c r="B777" s="279"/>
      <c r="C777" s="279"/>
      <c r="D777" s="122"/>
      <c r="E777" s="3"/>
      <c r="F777" s="3"/>
      <c r="G777" s="3"/>
      <c r="I777" s="416"/>
    </row>
    <row r="778" spans="1:9">
      <c r="A778" s="120"/>
      <c r="B778" s="411" t="s">
        <v>529</v>
      </c>
      <c r="C778" s="120"/>
      <c r="D778" s="1178" t="s">
        <v>701</v>
      </c>
      <c r="E778" s="1178"/>
      <c r="F778" s="1178"/>
      <c r="G778" s="3"/>
      <c r="I778" s="409" t="s">
        <v>700</v>
      </c>
    </row>
    <row r="779" spans="1:9">
      <c r="A779" s="120"/>
      <c r="B779" s="120"/>
      <c r="C779" s="120"/>
      <c r="D779" s="1178"/>
      <c r="E779" s="1178"/>
      <c r="F779" s="1178"/>
      <c r="G779" s="3"/>
      <c r="I779" s="416"/>
    </row>
    <row r="780" spans="1:9">
      <c r="A780" s="120"/>
      <c r="B780" s="120"/>
      <c r="C780" s="120"/>
      <c r="D780" s="1178"/>
      <c r="E780" s="1178"/>
      <c r="F780" s="1178"/>
      <c r="G780" s="3"/>
      <c r="I780" s="416"/>
    </row>
    <row r="781" spans="1:9">
      <c r="A781" s="123"/>
      <c r="B781" s="123"/>
      <c r="C781" s="123"/>
      <c r="D781" s="3"/>
      <c r="E781" s="908"/>
      <c r="F781" s="908"/>
      <c r="G781" s="908"/>
      <c r="I781" s="416"/>
    </row>
    <row r="782" spans="1:9">
      <c r="A782" s="124"/>
      <c r="B782" s="411" t="s">
        <v>529</v>
      </c>
      <c r="C782" s="909"/>
      <c r="D782" s="1178" t="s">
        <v>702</v>
      </c>
      <c r="E782" s="1178"/>
      <c r="F782" s="1178"/>
      <c r="G782" s="908"/>
      <c r="I782" s="409" t="s">
        <v>700</v>
      </c>
    </row>
    <row r="783" spans="1:9">
      <c r="A783" s="124"/>
      <c r="B783" s="124"/>
      <c r="C783" s="909"/>
      <c r="D783" s="1178"/>
      <c r="E783" s="1178"/>
      <c r="F783" s="1178"/>
      <c r="G783" s="908"/>
      <c r="I783" s="416"/>
    </row>
    <row r="784" spans="1:9">
      <c r="A784" s="124"/>
      <c r="B784" s="124"/>
      <c r="C784" s="909"/>
      <c r="D784" s="1178"/>
      <c r="E784" s="1178"/>
      <c r="F784" s="1178"/>
      <c r="G784" s="908"/>
      <c r="I784" s="416"/>
    </row>
    <row r="785" spans="1:9">
      <c r="A785" s="124"/>
      <c r="B785" s="124"/>
      <c r="C785" s="909"/>
      <c r="D785" s="85"/>
      <c r="E785" s="3"/>
      <c r="F785" s="3"/>
      <c r="G785" s="908"/>
      <c r="I785" s="416"/>
    </row>
    <row r="786" spans="1:9">
      <c r="A786" s="124"/>
      <c r="B786" s="411" t="s">
        <v>529</v>
      </c>
      <c r="C786" s="909"/>
      <c r="D786" s="1178" t="s">
        <v>703</v>
      </c>
      <c r="E786" s="1178"/>
      <c r="F786" s="1178"/>
      <c r="G786" s="908"/>
      <c r="I786" s="409" t="s">
        <v>700</v>
      </c>
    </row>
    <row r="787" spans="1:9">
      <c r="A787" s="124"/>
      <c r="B787" s="124"/>
      <c r="C787" s="909"/>
      <c r="D787" s="1178"/>
      <c r="E787" s="1178"/>
      <c r="F787" s="1178"/>
      <c r="G787" s="908"/>
      <c r="I787" s="416"/>
    </row>
    <row r="788" spans="1:9">
      <c r="A788" s="124"/>
      <c r="B788" s="124"/>
      <c r="C788" s="909"/>
      <c r="D788" s="1178"/>
      <c r="E788" s="1178"/>
      <c r="F788" s="1178"/>
      <c r="G788" s="908"/>
      <c r="I788" s="416"/>
    </row>
    <row r="789" spans="1:9">
      <c r="A789" s="124"/>
      <c r="B789" s="124"/>
      <c r="C789" s="909"/>
      <c r="D789" s="1178"/>
      <c r="E789" s="1178"/>
      <c r="F789" s="1178"/>
      <c r="G789" s="908"/>
      <c r="I789" s="416"/>
    </row>
    <row r="790" spans="1:9">
      <c r="A790" s="124"/>
      <c r="B790" s="124"/>
      <c r="C790" s="909"/>
      <c r="D790" s="1178"/>
      <c r="E790" s="1178"/>
      <c r="F790" s="1178"/>
      <c r="G790" s="908"/>
      <c r="I790" s="416"/>
    </row>
    <row r="791" spans="1:9">
      <c r="A791" s="124"/>
      <c r="B791" s="124"/>
      <c r="C791" s="909"/>
      <c r="D791" s="1178"/>
      <c r="E791" s="1178"/>
      <c r="F791" s="1178"/>
      <c r="G791" s="908"/>
      <c r="I791" s="416"/>
    </row>
    <row r="792" spans="1:9">
      <c r="A792" s="124"/>
      <c r="B792" s="124"/>
      <c r="C792" s="909"/>
      <c r="D792" s="1178" t="s">
        <v>704</v>
      </c>
      <c r="E792" s="1178"/>
      <c r="F792" s="1178"/>
      <c r="G792" s="908"/>
      <c r="I792" s="416"/>
    </row>
    <row r="793" spans="1:9">
      <c r="A793" s="124"/>
      <c r="B793" s="124"/>
      <c r="C793" s="909"/>
      <c r="D793" s="1178"/>
      <c r="E793" s="1178"/>
      <c r="F793" s="1178"/>
      <c r="G793" s="908"/>
      <c r="I793" s="416"/>
    </row>
    <row r="794" spans="1:9">
      <c r="A794" s="124"/>
      <c r="B794" s="124"/>
      <c r="C794" s="909"/>
      <c r="D794" s="1178"/>
      <c r="E794" s="1178"/>
      <c r="F794" s="1178"/>
      <c r="G794" s="908"/>
      <c r="I794" s="416"/>
    </row>
    <row r="795" spans="1:9">
      <c r="A795" s="124"/>
      <c r="B795" s="279"/>
      <c r="C795" s="909"/>
      <c r="D795" s="910"/>
      <c r="E795" s="910"/>
      <c r="F795" s="910"/>
      <c r="G795" s="908"/>
      <c r="I795" s="416"/>
    </row>
    <row r="796" spans="1:9">
      <c r="A796" s="124"/>
      <c r="B796" s="411" t="s">
        <v>529</v>
      </c>
      <c r="C796" s="909"/>
      <c r="D796" s="1178" t="s">
        <v>705</v>
      </c>
      <c r="E796" s="1178"/>
      <c r="F796" s="1178"/>
      <c r="G796" s="908"/>
      <c r="I796" s="409" t="s">
        <v>700</v>
      </c>
    </row>
    <row r="797" spans="1:9">
      <c r="A797" s="124"/>
      <c r="B797" s="124"/>
      <c r="C797" s="909"/>
      <c r="D797" s="1178"/>
      <c r="E797" s="1178"/>
      <c r="F797" s="1178"/>
      <c r="G797" s="908"/>
      <c r="I797" s="416"/>
    </row>
    <row r="798" spans="1:9">
      <c r="A798" s="124"/>
      <c r="B798" s="124"/>
      <c r="C798" s="909"/>
      <c r="D798" s="1178"/>
      <c r="E798" s="1178"/>
      <c r="F798" s="1178"/>
      <c r="G798" s="908"/>
      <c r="I798" s="416"/>
    </row>
    <row r="799" spans="1:9">
      <c r="A799" s="124"/>
      <c r="B799" s="124"/>
      <c r="C799" s="909"/>
      <c r="D799" s="1178"/>
      <c r="E799" s="1178"/>
      <c r="F799" s="1178"/>
      <c r="G799" s="908"/>
      <c r="I799" s="416"/>
    </row>
    <row r="800" spans="1:9">
      <c r="A800" s="124"/>
      <c r="B800" s="124"/>
      <c r="C800" s="909"/>
      <c r="D800" s="1178"/>
      <c r="E800" s="1178"/>
      <c r="F800" s="1178"/>
      <c r="G800" s="908"/>
      <c r="I800" s="416"/>
    </row>
    <row r="801" spans="1:9">
      <c r="A801" s="124"/>
      <c r="B801" s="124"/>
      <c r="C801" s="909"/>
      <c r="D801" s="1178"/>
      <c r="E801" s="1178"/>
      <c r="F801" s="1178"/>
      <c r="G801" s="908"/>
      <c r="I801" s="416"/>
    </row>
    <row r="802" spans="1:9">
      <c r="A802" s="124"/>
      <c r="B802" s="124"/>
      <c r="C802" s="909"/>
      <c r="D802" s="902"/>
      <c r="E802" s="902"/>
      <c r="F802" s="902"/>
      <c r="G802" s="908"/>
      <c r="I802" s="416"/>
    </row>
    <row r="803" spans="1:9">
      <c r="A803" s="124"/>
      <c r="B803" s="411" t="s">
        <v>529</v>
      </c>
      <c r="C803" s="909"/>
      <c r="D803" s="1178" t="s">
        <v>706</v>
      </c>
      <c r="E803" s="1178"/>
      <c r="F803" s="1178"/>
      <c r="G803" s="908"/>
      <c r="I803" s="409" t="s">
        <v>700</v>
      </c>
    </row>
    <row r="804" spans="1:9">
      <c r="A804" s="124"/>
      <c r="B804" s="124"/>
      <c r="C804" s="909"/>
      <c r="D804" s="1178"/>
      <c r="E804" s="1178"/>
      <c r="F804" s="1178"/>
      <c r="G804" s="908"/>
      <c r="I804" s="416"/>
    </row>
    <row r="805" spans="1:9">
      <c r="A805" s="124"/>
      <c r="B805" s="124"/>
      <c r="C805" s="909"/>
      <c r="D805" s="1178"/>
      <c r="E805" s="1178"/>
      <c r="F805" s="1178"/>
      <c r="G805" s="908"/>
      <c r="I805" s="416"/>
    </row>
    <row r="806" spans="1:9">
      <c r="A806" s="124"/>
      <c r="B806" s="124"/>
      <c r="C806" s="909"/>
      <c r="D806" s="1178"/>
      <c r="E806" s="1178"/>
      <c r="F806" s="1178"/>
      <c r="G806" s="908"/>
      <c r="I806" s="416"/>
    </row>
    <row r="807" spans="1:9">
      <c r="A807" s="124"/>
      <c r="B807" s="124"/>
      <c r="C807" s="909"/>
      <c r="D807" s="1178"/>
      <c r="E807" s="1178"/>
      <c r="F807" s="1178"/>
      <c r="G807" s="908"/>
      <c r="I807" s="416"/>
    </row>
    <row r="808" spans="1:9">
      <c r="A808" s="124"/>
      <c r="B808" s="124"/>
      <c r="C808" s="909"/>
      <c r="D808" s="1178"/>
      <c r="E808" s="1178"/>
      <c r="F808" s="1178"/>
      <c r="G808" s="908"/>
      <c r="I808" s="416"/>
    </row>
    <row r="809" spans="1:9">
      <c r="A809" s="124"/>
      <c r="B809" s="124"/>
      <c r="C809" s="909"/>
      <c r="D809" s="902"/>
      <c r="E809" s="902"/>
      <c r="F809" s="902"/>
      <c r="G809" s="908"/>
      <c r="I809" s="416"/>
    </row>
    <row r="810" spans="1:9">
      <c r="A810" s="124"/>
      <c r="B810" s="411" t="s">
        <v>529</v>
      </c>
      <c r="C810" s="909"/>
      <c r="D810" s="1186" t="s">
        <v>707</v>
      </c>
      <c r="E810" s="1186"/>
      <c r="F810" s="1186"/>
      <c r="G810" s="908"/>
      <c r="I810" s="409" t="s">
        <v>700</v>
      </c>
    </row>
    <row r="811" spans="1:9">
      <c r="A811" s="124"/>
      <c r="B811" s="124"/>
      <c r="C811" s="909"/>
      <c r="D811" s="1186"/>
      <c r="E811" s="1186"/>
      <c r="F811" s="1186"/>
      <c r="G811" s="908"/>
      <c r="I811" s="416"/>
    </row>
    <row r="812" spans="1:9">
      <c r="A812" s="13"/>
      <c r="B812" s="13"/>
      <c r="C812" s="909"/>
      <c r="D812" s="1186"/>
      <c r="E812" s="1186"/>
      <c r="F812" s="1186"/>
      <c r="G812" s="908"/>
      <c r="I812" s="416"/>
    </row>
    <row r="813" spans="1:9">
      <c r="A813" s="124"/>
      <c r="B813" s="13"/>
      <c r="C813" s="909"/>
      <c r="D813" s="1186"/>
      <c r="E813" s="1186"/>
      <c r="F813" s="1186"/>
      <c r="G813" s="908"/>
      <c r="I813" s="416"/>
    </row>
    <row r="814" spans="1:9" ht="12.75" customHeight="1">
      <c r="A814" s="124"/>
      <c r="B814" s="13"/>
      <c r="C814" s="909"/>
      <c r="D814" s="1186"/>
      <c r="E814" s="1186"/>
      <c r="F814" s="1186"/>
      <c r="G814" s="908"/>
      <c r="I814" s="416"/>
    </row>
    <row r="815" spans="1:9" ht="12.75" customHeight="1">
      <c r="A815" s="124"/>
      <c r="B815" s="13"/>
      <c r="C815" s="909"/>
      <c r="D815" s="1186"/>
      <c r="E815" s="1186"/>
      <c r="F815" s="1186"/>
      <c r="G815" s="908"/>
      <c r="I815" s="416"/>
    </row>
    <row r="816" spans="1:9" ht="12.75" customHeight="1">
      <c r="A816" s="13"/>
      <c r="B816" s="13"/>
      <c r="C816" s="909"/>
      <c r="D816" s="908"/>
      <c r="E816" s="3"/>
      <c r="F816" s="3"/>
      <c r="G816" s="908"/>
      <c r="I816" s="416"/>
    </row>
    <row r="817" spans="1:9" ht="12.75" customHeight="1">
      <c r="A817" s="1173" t="s">
        <v>708</v>
      </c>
      <c r="B817" s="1173"/>
      <c r="C817" s="1173"/>
      <c r="D817" s="1173"/>
      <c r="E817" s="1173"/>
      <c r="F817" s="1173"/>
      <c r="G817" s="1173"/>
      <c r="H817" s="945"/>
      <c r="I817" s="1136"/>
    </row>
    <row r="818" spans="1:9" ht="12.75" customHeight="1">
      <c r="A818" s="120"/>
      <c r="B818" s="120"/>
      <c r="C818" s="909"/>
      <c r="D818" s="908"/>
      <c r="E818" s="908"/>
      <c r="F818" s="908"/>
      <c r="G818" s="908"/>
      <c r="I818" s="416"/>
    </row>
    <row r="819" spans="1:9" ht="12.75" customHeight="1">
      <c r="A819" s="124"/>
      <c r="B819" s="124"/>
      <c r="C819" s="279"/>
      <c r="D819" s="1177" t="s">
        <v>709</v>
      </c>
      <c r="E819" s="1177"/>
      <c r="F819" s="1177"/>
      <c r="G819" s="3"/>
      <c r="I819" s="416"/>
    </row>
    <row r="820" spans="1:9" ht="14.25" customHeight="1">
      <c r="A820" s="124"/>
      <c r="B820" s="124"/>
      <c r="C820" s="279"/>
      <c r="D820" s="1149" t="s">
        <v>710</v>
      </c>
      <c r="E820" s="1149"/>
      <c r="F820" s="1149"/>
      <c r="G820" s="3"/>
      <c r="I820" s="416"/>
    </row>
    <row r="821" spans="1:9" ht="12.75" customHeight="1">
      <c r="A821" s="124"/>
      <c r="B821" s="124"/>
      <c r="C821" s="279"/>
      <c r="D821" s="368"/>
      <c r="E821" s="368"/>
      <c r="F821" s="368"/>
      <c r="G821" s="3"/>
      <c r="I821" s="416"/>
    </row>
    <row r="822" spans="1:9" ht="12.75" customHeight="1">
      <c r="A822" s="279"/>
      <c r="B822" s="411" t="s">
        <v>522</v>
      </c>
      <c r="C822" s="909"/>
      <c r="D822" s="1149" t="s">
        <v>711</v>
      </c>
      <c r="E822" s="1149"/>
      <c r="F822" s="1149"/>
      <c r="G822" s="3"/>
      <c r="I822" s="416" t="s">
        <v>588</v>
      </c>
    </row>
    <row r="823" spans="1:9" ht="14.25" customHeight="1">
      <c r="A823" s="13"/>
      <c r="B823" s="13"/>
      <c r="C823" s="909"/>
      <c r="E823" s="953" t="s">
        <v>589</v>
      </c>
      <c r="F823" s="955"/>
      <c r="G823" s="3"/>
      <c r="I823" s="416"/>
    </row>
    <row r="824" spans="1:9" ht="12.75" customHeight="1">
      <c r="A824" s="13"/>
      <c r="B824" s="13"/>
      <c r="C824" s="909"/>
      <c r="D824" s="911"/>
      <c r="E824" s="3"/>
      <c r="F824" s="3"/>
      <c r="G824" s="3"/>
      <c r="I824" s="416"/>
    </row>
    <row r="825" spans="1:9" ht="14.25" hidden="1" customHeight="1">
      <c r="A825" s="13"/>
      <c r="B825" s="411" t="s">
        <v>294</v>
      </c>
      <c r="C825" s="909"/>
      <c r="D825" s="1220" t="s">
        <v>712</v>
      </c>
      <c r="E825" s="1220"/>
      <c r="F825" s="1220"/>
      <c r="G825" s="3"/>
      <c r="I825" s="416"/>
    </row>
    <row r="826" spans="1:9" ht="12.75" hidden="1" customHeight="1">
      <c r="A826" s="13"/>
      <c r="B826" s="13"/>
      <c r="C826" s="909"/>
      <c r="D826" s="1220"/>
      <c r="E826" s="1220"/>
      <c r="F826" s="1220"/>
      <c r="G826" s="3"/>
      <c r="I826" s="416"/>
    </row>
    <row r="827" spans="1:9" ht="12.75" hidden="1" customHeight="1">
      <c r="A827" s="13"/>
      <c r="B827" s="13"/>
      <c r="C827" s="909"/>
      <c r="D827" s="1220"/>
      <c r="E827" s="1220"/>
      <c r="F827" s="1220"/>
      <c r="G827" s="3"/>
      <c r="I827" s="416"/>
    </row>
    <row r="828" spans="1:9" ht="12.75" hidden="1" customHeight="1">
      <c r="A828" s="13"/>
      <c r="B828" s="13"/>
      <c r="C828" s="909"/>
      <c r="D828" s="1220"/>
      <c r="E828" s="1220"/>
      <c r="F828" s="1220"/>
      <c r="G828" s="3"/>
      <c r="I828" s="416"/>
    </row>
    <row r="829" spans="1:9" ht="12.75" hidden="1" customHeight="1">
      <c r="A829" s="13"/>
      <c r="B829" s="13"/>
      <c r="C829" s="909"/>
      <c r="D829" s="1220"/>
      <c r="E829" s="1220"/>
      <c r="F829" s="1220"/>
      <c r="G829" s="3"/>
      <c r="I829" s="416"/>
    </row>
    <row r="830" spans="1:9" ht="12.75" hidden="1" customHeight="1">
      <c r="A830" s="13"/>
      <c r="B830" s="13"/>
      <c r="C830" s="909"/>
      <c r="D830" s="1220"/>
      <c r="E830" s="1220"/>
      <c r="F830" s="1220"/>
      <c r="G830" s="3"/>
      <c r="I830" s="416"/>
    </row>
    <row r="831" spans="1:9" ht="12.75" hidden="1" customHeight="1">
      <c r="A831" s="13"/>
      <c r="B831" s="13"/>
      <c r="C831" s="909"/>
      <c r="D831" s="1220"/>
      <c r="E831" s="1220"/>
      <c r="F831" s="1220"/>
      <c r="G831" s="3"/>
      <c r="I831" s="416"/>
    </row>
    <row r="832" spans="1:9" ht="12.75" hidden="1" customHeight="1">
      <c r="A832" s="13"/>
      <c r="B832" s="13"/>
      <c r="C832" s="909"/>
      <c r="D832" s="1220"/>
      <c r="E832" s="1220"/>
      <c r="F832" s="1220"/>
      <c r="G832" s="3"/>
      <c r="I832" s="416"/>
    </row>
    <row r="833" spans="1:9" ht="12.75" hidden="1" customHeight="1">
      <c r="A833" s="13"/>
      <c r="B833" s="13"/>
      <c r="C833" s="909"/>
      <c r="D833" s="1220"/>
      <c r="E833" s="1220"/>
      <c r="F833" s="1220"/>
      <c r="G833" s="3"/>
      <c r="I833" s="416"/>
    </row>
    <row r="834" spans="1:9" ht="12.75" hidden="1" customHeight="1">
      <c r="A834" s="13"/>
      <c r="B834" s="13"/>
      <c r="C834" s="909"/>
      <c r="D834" s="1220"/>
      <c r="E834" s="1220"/>
      <c r="F834" s="1220"/>
      <c r="G834" s="3"/>
      <c r="I834" s="416"/>
    </row>
    <row r="835" spans="1:9" ht="12.75" hidden="1" customHeight="1">
      <c r="A835" s="13"/>
      <c r="B835" s="13"/>
      <c r="C835" s="909"/>
      <c r="D835" s="911"/>
      <c r="E835" s="3"/>
      <c r="F835" s="3"/>
      <c r="G835" s="3"/>
      <c r="I835" s="416"/>
    </row>
    <row r="836" spans="1:9" ht="12.75" customHeight="1">
      <c r="A836" s="124"/>
      <c r="B836" s="411" t="s">
        <v>522</v>
      </c>
      <c r="C836" s="909"/>
      <c r="D836" s="1149" t="s">
        <v>713</v>
      </c>
      <c r="E836" s="1149"/>
      <c r="F836" s="1149"/>
      <c r="G836" s="3"/>
      <c r="I836" s="416" t="s">
        <v>591</v>
      </c>
    </row>
    <row r="837" spans="1:9" ht="12.75" customHeight="1">
      <c r="A837" s="124"/>
      <c r="B837" s="124"/>
      <c r="C837" s="909"/>
      <c r="D837" s="1149"/>
      <c r="E837" s="1149"/>
      <c r="F837" s="1149"/>
      <c r="G837" s="3"/>
      <c r="I837" s="416"/>
    </row>
    <row r="838" spans="1:9" ht="12.75" customHeight="1">
      <c r="A838" s="124"/>
      <c r="B838" s="124"/>
      <c r="C838" s="909"/>
      <c r="D838" s="1149"/>
      <c r="E838" s="1149"/>
      <c r="F838" s="1149"/>
      <c r="G838" s="3"/>
      <c r="I838" s="416"/>
    </row>
    <row r="839" spans="1:9" ht="12.75" customHeight="1">
      <c r="A839" s="124"/>
      <c r="B839" s="124"/>
      <c r="C839" s="909"/>
      <c r="D839" s="85"/>
      <c r="E839" s="3"/>
      <c r="F839" s="3"/>
      <c r="G839" s="3"/>
      <c r="I839" s="416"/>
    </row>
    <row r="840" spans="1:9" ht="12.75" customHeight="1">
      <c r="A840" s="912"/>
      <c r="B840" s="411" t="s">
        <v>529</v>
      </c>
      <c r="C840" s="909"/>
      <c r="D840" s="1177" t="s">
        <v>714</v>
      </c>
      <c r="E840" s="1177"/>
      <c r="F840" s="1177"/>
      <c r="G840" s="3"/>
      <c r="I840" s="416"/>
    </row>
    <row r="841" spans="1:9" ht="12.75" customHeight="1">
      <c r="A841" s="279"/>
      <c r="B841" s="912"/>
      <c r="C841" s="909"/>
      <c r="D841" s="1177"/>
      <c r="E841" s="1177"/>
      <c r="F841" s="1177"/>
      <c r="G841" s="3"/>
      <c r="I841" s="416"/>
    </row>
    <row r="842" spans="1:9" ht="12.75" customHeight="1">
      <c r="A842" s="124"/>
      <c r="B842" s="279"/>
      <c r="C842" s="909"/>
      <c r="D842" s="1149" t="s">
        <v>715</v>
      </c>
      <c r="E842" s="1149"/>
      <c r="F842" s="1149"/>
      <c r="G842" s="3"/>
      <c r="I842" s="416"/>
    </row>
    <row r="843" spans="1:9" ht="12.75" customHeight="1">
      <c r="A843" s="124"/>
      <c r="B843" s="124"/>
      <c r="C843" s="909"/>
      <c r="D843" s="1149"/>
      <c r="E843" s="1149"/>
      <c r="F843" s="1149"/>
      <c r="G843" s="3"/>
      <c r="I843" s="416"/>
    </row>
    <row r="844" spans="1:9" ht="12.75" customHeight="1">
      <c r="A844" s="124"/>
      <c r="B844" s="124"/>
      <c r="C844" s="909"/>
      <c r="D844" s="1149"/>
      <c r="E844" s="1149"/>
      <c r="F844" s="1149"/>
      <c r="G844" s="3"/>
      <c r="I844" s="416"/>
    </row>
    <row r="845" spans="1:9" ht="12.75" customHeight="1">
      <c r="A845" s="124"/>
      <c r="B845" s="124"/>
      <c r="C845" s="909"/>
      <c r="D845" s="1149"/>
      <c r="E845" s="1149"/>
      <c r="F845" s="1149"/>
      <c r="G845" s="3"/>
      <c r="I845" s="416"/>
    </row>
    <row r="846" spans="1:9" ht="12.75" customHeight="1">
      <c r="A846" s="124"/>
      <c r="B846" s="124"/>
      <c r="C846" s="909"/>
      <c r="D846" s="1149"/>
      <c r="E846" s="1149"/>
      <c r="F846" s="1149"/>
      <c r="G846" s="3"/>
      <c r="I846" s="416"/>
    </row>
    <row r="847" spans="1:9" ht="12.75" customHeight="1">
      <c r="A847" s="124"/>
      <c r="B847" s="124"/>
      <c r="C847" s="909"/>
      <c r="D847" s="1149"/>
      <c r="E847" s="1149"/>
      <c r="F847" s="1149"/>
      <c r="G847" s="3"/>
      <c r="I847" s="416"/>
    </row>
    <row r="848" spans="1:9" ht="12.75" customHeight="1">
      <c r="A848" s="124"/>
      <c r="B848" s="124"/>
      <c r="C848" s="909"/>
      <c r="D848" s="85"/>
      <c r="E848" s="3"/>
      <c r="F848" s="3"/>
      <c r="G848" s="3"/>
      <c r="I848" s="416"/>
    </row>
    <row r="849" spans="1:9" ht="12.75" customHeight="1">
      <c r="A849" s="124"/>
      <c r="B849" s="411" t="s">
        <v>529</v>
      </c>
      <c r="C849" s="909"/>
      <c r="D849" s="1149" t="s">
        <v>716</v>
      </c>
      <c r="E849" s="1149"/>
      <c r="F849" s="1149"/>
      <c r="G849" s="3"/>
      <c r="I849" s="416" t="s">
        <v>595</v>
      </c>
    </row>
    <row r="850" spans="1:9" ht="12.75" customHeight="1">
      <c r="A850" s="124"/>
      <c r="B850" s="124"/>
      <c r="C850" s="909"/>
      <c r="D850" s="1149" t="s">
        <v>717</v>
      </c>
      <c r="E850" s="1149"/>
      <c r="F850" s="1149"/>
      <c r="G850" s="3"/>
      <c r="I850" s="416"/>
    </row>
    <row r="851" spans="1:9" ht="12.75" customHeight="1">
      <c r="A851" s="124"/>
      <c r="B851" s="124"/>
      <c r="C851" s="909"/>
      <c r="E851" s="953" t="s">
        <v>597</v>
      </c>
      <c r="F851" s="955"/>
      <c r="G851" s="3"/>
      <c r="I851" s="416"/>
    </row>
    <row r="852" spans="1:9" ht="12.75" customHeight="1">
      <c r="A852" s="124"/>
      <c r="B852" s="124"/>
      <c r="C852" s="909"/>
      <c r="D852" s="85"/>
      <c r="E852" s="3"/>
      <c r="F852" s="3"/>
      <c r="G852" s="3"/>
      <c r="I852" s="416"/>
    </row>
    <row r="853" spans="1:9" ht="12.75" customHeight="1">
      <c r="A853" s="124"/>
      <c r="B853" s="411" t="s">
        <v>529</v>
      </c>
      <c r="C853" s="909"/>
      <c r="D853" s="1149" t="s">
        <v>718</v>
      </c>
      <c r="E853" s="1149"/>
      <c r="F853" s="1149"/>
      <c r="G853" s="3"/>
      <c r="I853" s="416" t="s">
        <v>599</v>
      </c>
    </row>
    <row r="854" spans="1:9" ht="12.75" customHeight="1">
      <c r="A854" s="124"/>
      <c r="B854" s="124"/>
      <c r="C854" s="909"/>
      <c r="D854" s="1149"/>
      <c r="E854" s="1149"/>
      <c r="F854" s="1149"/>
      <c r="G854" s="3"/>
      <c r="I854" s="416"/>
    </row>
    <row r="855" spans="1:9" ht="12.75" customHeight="1">
      <c r="A855" s="124"/>
      <c r="B855" s="124"/>
      <c r="C855" s="909"/>
      <c r="D855" s="1149"/>
      <c r="E855" s="1149"/>
      <c r="F855" s="1149"/>
      <c r="G855" s="3"/>
      <c r="I855" s="416"/>
    </row>
    <row r="856" spans="1:9" ht="12.75" customHeight="1">
      <c r="A856" s="124"/>
      <c r="B856" s="124"/>
      <c r="C856" s="909"/>
      <c r="D856" s="1149"/>
      <c r="E856" s="1149"/>
      <c r="F856" s="1149"/>
      <c r="G856" s="3"/>
      <c r="I856" s="416"/>
    </row>
    <row r="857" spans="1:9" ht="12.75" customHeight="1">
      <c r="A857" s="120"/>
      <c r="B857" s="120"/>
      <c r="C857" s="120"/>
      <c r="D857" s="85"/>
      <c r="E857" s="3"/>
      <c r="F857" s="3"/>
      <c r="G857" s="3"/>
      <c r="I857" s="416"/>
    </row>
    <row r="858" spans="1:9" ht="12.75" customHeight="1">
      <c r="A858" s="903" t="s">
        <v>719</v>
      </c>
      <c r="B858" s="903"/>
      <c r="C858" s="913"/>
      <c r="D858" s="913"/>
      <c r="E858" s="913"/>
      <c r="F858" s="913"/>
      <c r="G858" s="913"/>
      <c r="H858" s="945"/>
      <c r="I858" s="1136"/>
    </row>
    <row r="859" spans="1:9" ht="12.75" customHeight="1">
      <c r="A859" s="120"/>
      <c r="B859" s="120"/>
      <c r="C859" s="120"/>
      <c r="D859" s="914"/>
      <c r="E859" s="3"/>
      <c r="F859" s="3"/>
      <c r="G859" s="3"/>
      <c r="I859" s="416"/>
    </row>
    <row r="860" spans="1:9" ht="12.75" customHeight="1">
      <c r="A860" s="279"/>
      <c r="B860" s="279"/>
      <c r="C860" s="123"/>
      <c r="D860" s="1165" t="s">
        <v>720</v>
      </c>
      <c r="E860" s="1165"/>
      <c r="F860" s="1165"/>
      <c r="G860" s="908"/>
      <c r="I860" s="416"/>
    </row>
    <row r="861" spans="1:9" ht="12.75" customHeight="1">
      <c r="A861" s="279"/>
      <c r="B861" s="279"/>
      <c r="C861" s="123"/>
      <c r="D861" s="1219" t="s">
        <v>721</v>
      </c>
      <c r="E861" s="1219"/>
      <c r="F861" s="1219"/>
      <c r="G861" s="908"/>
      <c r="I861" s="416"/>
    </row>
    <row r="862" spans="1:9" ht="12.75" customHeight="1">
      <c r="A862" s="279"/>
      <c r="B862" s="279"/>
      <c r="C862" s="123"/>
      <c r="D862" s="915"/>
      <c r="E862" s="915"/>
      <c r="F862" s="915"/>
      <c r="G862" s="908"/>
      <c r="I862" s="416"/>
    </row>
    <row r="863" spans="1:9" ht="12.75" customHeight="1">
      <c r="A863" s="124"/>
      <c r="B863" s="411" t="s">
        <v>522</v>
      </c>
      <c r="C863" s="279"/>
      <c r="D863" s="1166" t="s">
        <v>722</v>
      </c>
      <c r="E863" s="1166"/>
      <c r="F863" s="1166"/>
      <c r="G863" s="908"/>
      <c r="I863" s="416" t="s">
        <v>595</v>
      </c>
    </row>
    <row r="864" spans="1:9" ht="12.75" customHeight="1">
      <c r="A864" s="279"/>
      <c r="B864" s="279"/>
      <c r="C864" s="279"/>
      <c r="D864" s="2" t="s">
        <v>567</v>
      </c>
      <c r="E864" s="953" t="s">
        <v>597</v>
      </c>
      <c r="F864" s="956"/>
      <c r="G864" s="908"/>
      <c r="I864" s="416"/>
    </row>
    <row r="865" spans="1:9" ht="12.75" customHeight="1">
      <c r="A865" s="279"/>
      <c r="B865" s="279"/>
      <c r="C865" s="279"/>
      <c r="D865" s="85"/>
      <c r="E865" s="908"/>
      <c r="F865" s="908"/>
      <c r="G865" s="908"/>
      <c r="I865" s="416"/>
    </row>
    <row r="866" spans="1:9" ht="12.75" customHeight="1">
      <c r="A866" s="124"/>
      <c r="B866" s="411" t="s">
        <v>522</v>
      </c>
      <c r="C866" s="279"/>
      <c r="D866" s="1149" t="s">
        <v>723</v>
      </c>
      <c r="E866" s="1194"/>
      <c r="F866" s="1194"/>
      <c r="G866" s="3"/>
      <c r="I866" s="416" t="s">
        <v>599</v>
      </c>
    </row>
    <row r="867" spans="1:9" ht="12.75" customHeight="1">
      <c r="A867" s="279"/>
      <c r="B867" s="279"/>
      <c r="C867" s="279"/>
      <c r="D867" s="1194"/>
      <c r="E867" s="1194"/>
      <c r="F867" s="1194"/>
      <c r="G867" s="3"/>
      <c r="I867" s="416"/>
    </row>
    <row r="868" spans="1:9" ht="12.75" customHeight="1">
      <c r="A868" s="279"/>
      <c r="B868" s="279"/>
      <c r="C868" s="279"/>
      <c r="D868" s="85"/>
      <c r="E868" s="3"/>
      <c r="F868" s="3"/>
      <c r="G868" s="3"/>
      <c r="I868" s="416"/>
    </row>
    <row r="869" spans="1:9" ht="12.75" customHeight="1">
      <c r="A869" s="279"/>
      <c r="B869" s="411" t="s">
        <v>529</v>
      </c>
      <c r="C869" s="279"/>
      <c r="D869" s="1223" t="s">
        <v>724</v>
      </c>
      <c r="E869" s="1223"/>
      <c r="F869" s="1223"/>
      <c r="G869" s="908"/>
      <c r="I869" s="416"/>
    </row>
    <row r="870" spans="1:9" ht="12.75" customHeight="1">
      <c r="A870" s="279"/>
      <c r="B870" s="916"/>
      <c r="C870" s="279"/>
      <c r="D870" s="1223"/>
      <c r="E870" s="1223"/>
      <c r="F870" s="1223"/>
      <c r="G870" s="908"/>
      <c r="I870" s="416"/>
    </row>
    <row r="871" spans="1:9" ht="12.75" customHeight="1">
      <c r="A871" s="124"/>
      <c r="B871"/>
      <c r="C871" s="279"/>
      <c r="D871" s="1149" t="s">
        <v>715</v>
      </c>
      <c r="E871" s="1149"/>
      <c r="F871" s="1149"/>
      <c r="G871" s="908"/>
      <c r="I871" s="416"/>
    </row>
    <row r="872" spans="1:9" ht="12.75" customHeight="1">
      <c r="A872" s="124"/>
      <c r="B872" s="124"/>
      <c r="C872" s="279"/>
      <c r="D872" s="1149"/>
      <c r="E872" s="1149"/>
      <c r="F872" s="1149"/>
      <c r="G872" s="908"/>
      <c r="I872" s="416"/>
    </row>
    <row r="873" spans="1:9" ht="12.75" customHeight="1">
      <c r="A873" s="124"/>
      <c r="B873" s="124"/>
      <c r="C873" s="279"/>
      <c r="D873" s="1149"/>
      <c r="E873" s="1149"/>
      <c r="F873" s="1149"/>
      <c r="G873" s="908"/>
      <c r="I873" s="416"/>
    </row>
    <row r="874" spans="1:9" ht="12.75" customHeight="1">
      <c r="A874" s="124"/>
      <c r="B874" s="124"/>
      <c r="C874" s="279"/>
      <c r="D874" s="1149"/>
      <c r="E874" s="1149"/>
      <c r="F874" s="1149"/>
      <c r="G874" s="908"/>
      <c r="I874" s="416"/>
    </row>
    <row r="875" spans="1:9" ht="12.75" customHeight="1">
      <c r="A875" s="124"/>
      <c r="B875" s="124"/>
      <c r="C875" s="279"/>
      <c r="D875" s="1149"/>
      <c r="E875" s="1149"/>
      <c r="F875" s="1149"/>
      <c r="G875" s="908"/>
      <c r="I875" s="416"/>
    </row>
    <row r="876" spans="1:9" ht="12.75" customHeight="1">
      <c r="A876" s="124"/>
      <c r="B876" s="124"/>
      <c r="C876" s="279"/>
      <c r="D876" s="1149"/>
      <c r="E876" s="1149"/>
      <c r="F876" s="1149"/>
      <c r="G876" s="908"/>
      <c r="I876" s="416"/>
    </row>
    <row r="877" spans="1:9" ht="12.75" customHeight="1">
      <c r="A877" s="124"/>
      <c r="B877" s="124"/>
      <c r="C877" s="279"/>
      <c r="D877" s="85"/>
      <c r="E877" s="908"/>
      <c r="F877" s="908"/>
      <c r="G877" s="908"/>
      <c r="I877" s="416"/>
    </row>
    <row r="878" spans="1:9" ht="12.75" customHeight="1">
      <c r="A878" s="124"/>
      <c r="B878" s="411" t="s">
        <v>529</v>
      </c>
      <c r="C878" s="279"/>
      <c r="D878" s="1170" t="s">
        <v>716</v>
      </c>
      <c r="E878" s="1170"/>
      <c r="F878" s="1170"/>
      <c r="G878" s="908"/>
      <c r="I878" s="416" t="s">
        <v>595</v>
      </c>
    </row>
    <row r="879" spans="1:9" ht="12.75" customHeight="1">
      <c r="A879" s="124"/>
      <c r="B879" s="124"/>
      <c r="C879" s="279"/>
      <c r="D879" s="1170" t="s">
        <v>717</v>
      </c>
      <c r="E879" s="1170"/>
      <c r="F879" s="1170"/>
      <c r="G879" s="908"/>
      <c r="I879" s="416"/>
    </row>
    <row r="880" spans="1:9" ht="12.75" customHeight="1">
      <c r="A880" s="124"/>
      <c r="B880" s="124"/>
      <c r="C880" s="279"/>
      <c r="D880" s="2" t="s">
        <v>725</v>
      </c>
      <c r="E880" s="953" t="s">
        <v>597</v>
      </c>
      <c r="F880" s="957"/>
      <c r="G880" s="908"/>
      <c r="I880" s="416"/>
    </row>
    <row r="881" spans="1:9" ht="12.75" customHeight="1">
      <c r="A881" s="124"/>
      <c r="B881" s="124"/>
      <c r="C881" s="279"/>
      <c r="D881" s="85"/>
      <c r="E881" s="908"/>
      <c r="F881" s="908"/>
      <c r="G881" s="908"/>
      <c r="I881" s="416"/>
    </row>
    <row r="882" spans="1:9" ht="12.75" customHeight="1">
      <c r="A882" s="124"/>
      <c r="B882" s="411" t="s">
        <v>529</v>
      </c>
      <c r="C882" s="279"/>
      <c r="D882" s="1149" t="s">
        <v>718</v>
      </c>
      <c r="E882" s="1149"/>
      <c r="F882" s="1149"/>
      <c r="G882" s="908"/>
      <c r="I882" s="416" t="s">
        <v>599</v>
      </c>
    </row>
    <row r="883" spans="1:9" ht="12.75" customHeight="1">
      <c r="A883" s="124"/>
      <c r="B883" s="124"/>
      <c r="C883" s="279"/>
      <c r="D883" s="1149"/>
      <c r="E883" s="1149"/>
      <c r="F883" s="1149"/>
      <c r="G883" s="908"/>
      <c r="I883" s="416"/>
    </row>
    <row r="884" spans="1:9" ht="12.75" customHeight="1">
      <c r="A884" s="124"/>
      <c r="B884" s="124"/>
      <c r="C884" s="279"/>
      <c r="D884" s="1149"/>
      <c r="E884" s="1149"/>
      <c r="F884" s="1149"/>
      <c r="G884" s="908"/>
      <c r="I884" s="416"/>
    </row>
    <row r="885" spans="1:9" ht="12.75" customHeight="1">
      <c r="A885" s="124"/>
      <c r="B885" s="124"/>
      <c r="C885" s="279"/>
      <c r="D885" s="1149"/>
      <c r="E885" s="1149"/>
      <c r="F885" s="1149"/>
      <c r="G885" s="908"/>
      <c r="I885" s="416"/>
    </row>
    <row r="886" spans="1:9" ht="12.75" customHeight="1">
      <c r="A886" s="85"/>
      <c r="B886" s="85"/>
      <c r="C886" s="909"/>
      <c r="D886" s="908"/>
      <c r="E886" s="908"/>
      <c r="F886" s="908"/>
      <c r="G886" s="908"/>
      <c r="I886" s="416"/>
    </row>
    <row r="887" spans="1:9" ht="12.75" customHeight="1">
      <c r="A887" s="1173" t="s">
        <v>726</v>
      </c>
      <c r="B887" s="1173"/>
      <c r="C887" s="1173"/>
      <c r="D887" s="1173"/>
      <c r="E887" s="1173"/>
      <c r="F887" s="1173"/>
      <c r="G887" s="1173"/>
      <c r="H887" s="945"/>
      <c r="I887" s="1136"/>
    </row>
    <row r="888" spans="1:9" ht="12.75" customHeight="1">
      <c r="A888" s="50"/>
      <c r="B888" s="50"/>
      <c r="C888" s="50"/>
      <c r="D888" s="50"/>
      <c r="E888" s="50"/>
      <c r="F888" s="50"/>
      <c r="G888" s="50"/>
      <c r="I888" s="416"/>
    </row>
    <row r="889" spans="1:9" ht="12.75" customHeight="1">
      <c r="A889" s="50"/>
      <c r="B889" s="50"/>
      <c r="C889" s="50"/>
      <c r="D889" s="1179" t="s">
        <v>727</v>
      </c>
      <c r="E889" s="1179"/>
      <c r="F889" s="1179"/>
      <c r="G889" s="50"/>
      <c r="I889" s="416"/>
    </row>
    <row r="890" spans="1:9" ht="12.75" customHeight="1">
      <c r="A890" s="50"/>
      <c r="B890" s="50"/>
      <c r="C890" s="50"/>
      <c r="D890" s="901"/>
      <c r="E890" s="901"/>
      <c r="F890" s="901"/>
      <c r="G890" s="50"/>
      <c r="I890" s="416"/>
    </row>
    <row r="891" spans="1:9" ht="12.75" customHeight="1">
      <c r="A891" s="50"/>
      <c r="B891" s="411" t="s">
        <v>522</v>
      </c>
      <c r="C891" s="50"/>
      <c r="D891" s="904" t="s">
        <v>728</v>
      </c>
      <c r="E891" s="901"/>
      <c r="F891" s="901"/>
      <c r="G891" s="50"/>
      <c r="I891" s="416" t="s">
        <v>729</v>
      </c>
    </row>
    <row r="892" spans="1:9" ht="12.75" customHeight="1">
      <c r="A892" s="50"/>
      <c r="B892" s="50"/>
      <c r="C892" s="50"/>
      <c r="D892" s="901"/>
      <c r="E892" s="901"/>
      <c r="F892" s="901"/>
      <c r="G892" s="50"/>
      <c r="I892" s="416"/>
    </row>
    <row r="893" spans="1:9" ht="12.75" customHeight="1">
      <c r="A893" s="279"/>
      <c r="B893" s="279"/>
      <c r="C893" s="909"/>
      <c r="D893" s="1179" t="s">
        <v>730</v>
      </c>
      <c r="E893" s="1179"/>
      <c r="F893" s="1179"/>
      <c r="G893" s="908"/>
      <c r="I893" s="416"/>
    </row>
    <row r="894" spans="1:9" ht="12.75" customHeight="1">
      <c r="A894" s="120"/>
      <c r="B894" s="120"/>
      <c r="C894" s="120"/>
      <c r="D894" s="1166" t="s">
        <v>731</v>
      </c>
      <c r="E894" s="1166"/>
      <c r="F894" s="1166"/>
      <c r="G894" s="908"/>
      <c r="I894" s="416"/>
    </row>
    <row r="895" spans="1:9" ht="12.75" customHeight="1">
      <c r="A895" s="909"/>
      <c r="B895" s="909"/>
      <c r="C895" s="909"/>
      <c r="D895" s="2"/>
      <c r="E895" s="908"/>
      <c r="F895" s="908"/>
      <c r="G895" s="908"/>
      <c r="I895" s="416"/>
    </row>
    <row r="896" spans="1:9" ht="12.75" customHeight="1">
      <c r="A896" s="124"/>
      <c r="B896" s="411" t="s">
        <v>522</v>
      </c>
      <c r="C896" s="279"/>
      <c r="D896" s="1149" t="s">
        <v>732</v>
      </c>
      <c r="E896" s="1149"/>
      <c r="F896" s="1149"/>
      <c r="G896" s="3"/>
      <c r="I896" s="416" t="s">
        <v>733</v>
      </c>
    </row>
    <row r="897" spans="1:9" ht="12.75" customHeight="1">
      <c r="A897" s="279"/>
      <c r="B897" s="279"/>
      <c r="C897" s="279"/>
      <c r="D897" s="1149"/>
      <c r="E897" s="1149"/>
      <c r="F897" s="1149"/>
      <c r="G897" s="3"/>
      <c r="I897" s="416"/>
    </row>
    <row r="898" spans="1:9" ht="12.75" customHeight="1">
      <c r="A898" s="120"/>
      <c r="B898" s="120"/>
      <c r="C898" s="120"/>
      <c r="D898" s="1149" t="s">
        <v>734</v>
      </c>
      <c r="E898" s="1149"/>
      <c r="F898" s="1149"/>
      <c r="G898" s="908"/>
      <c r="I898" s="416"/>
    </row>
    <row r="899" spans="1:9" ht="12.75" customHeight="1">
      <c r="A899" s="120"/>
      <c r="B899" s="120"/>
      <c r="C899" s="120"/>
      <c r="D899" s="1149"/>
      <c r="E899" s="1149"/>
      <c r="F899" s="1149"/>
      <c r="G899" s="908"/>
      <c r="I899" s="416"/>
    </row>
    <row r="900" spans="1:9" ht="12.75" customHeight="1">
      <c r="A900" s="120"/>
      <c r="B900" s="120"/>
      <c r="C900" s="120"/>
      <c r="D900" s="3"/>
      <c r="E900" s="3"/>
      <c r="F900" s="908"/>
      <c r="G900" s="908"/>
      <c r="I900" s="416"/>
    </row>
    <row r="901" spans="1:9" ht="12.75" customHeight="1">
      <c r="A901" s="124"/>
      <c r="B901" s="411" t="s">
        <v>522</v>
      </c>
      <c r="C901" s="123"/>
      <c r="D901" s="1151" t="s">
        <v>735</v>
      </c>
      <c r="E901" s="1151"/>
      <c r="F901" s="1151"/>
      <c r="G901" s="908"/>
      <c r="I901" s="416" t="s">
        <v>736</v>
      </c>
    </row>
    <row r="902" spans="1:9" ht="12.75" customHeight="1">
      <c r="A902" s="124"/>
      <c r="B902" s="124"/>
      <c r="C902" s="123"/>
      <c r="D902" s="1151"/>
      <c r="E902" s="1151"/>
      <c r="F902" s="1151"/>
      <c r="G902" s="908"/>
      <c r="I902" s="416"/>
    </row>
    <row r="903" spans="1:9" ht="12.75" customHeight="1">
      <c r="A903" s="124"/>
      <c r="B903" s="124"/>
      <c r="C903" s="123"/>
      <c r="D903" s="1151"/>
      <c r="E903" s="1151"/>
      <c r="F903" s="1151"/>
      <c r="G903" s="908"/>
      <c r="I903" s="416"/>
    </row>
    <row r="904" spans="1:9" ht="12.75" customHeight="1">
      <c r="A904" s="124"/>
      <c r="B904" s="124"/>
      <c r="C904" s="123"/>
      <c r="D904" s="1151"/>
      <c r="E904" s="1151"/>
      <c r="F904" s="1151"/>
      <c r="G904" s="908"/>
      <c r="I904" s="416"/>
    </row>
    <row r="905" spans="1:9" ht="12.75" customHeight="1">
      <c r="A905" s="124"/>
      <c r="B905" s="124"/>
      <c r="C905" s="123"/>
      <c r="D905" s="1151"/>
      <c r="E905" s="1151"/>
      <c r="F905" s="1151"/>
      <c r="G905" s="908"/>
      <c r="I905" s="416"/>
    </row>
    <row r="906" spans="1:9" ht="12.75" customHeight="1">
      <c r="A906" s="123"/>
      <c r="B906" s="123"/>
      <c r="C906" s="123"/>
      <c r="D906" s="1151"/>
      <c r="E906" s="1151"/>
      <c r="F906" s="1151"/>
      <c r="G906" s="908"/>
      <c r="I906" s="416"/>
    </row>
    <row r="907" spans="1:9" ht="12.75" customHeight="1">
      <c r="A907" s="123"/>
      <c r="B907" s="123"/>
      <c r="C907" s="123"/>
      <c r="D907" s="1151"/>
      <c r="E907" s="1151"/>
      <c r="F907" s="1151"/>
      <c r="G907" s="908"/>
      <c r="I907" s="416"/>
    </row>
    <row r="908" spans="1:9" ht="12.75" customHeight="1">
      <c r="A908" s="123"/>
      <c r="B908" s="123"/>
      <c r="C908" s="123"/>
      <c r="D908" s="1151"/>
      <c r="E908" s="1151"/>
      <c r="F908" s="1151"/>
      <c r="G908" s="908"/>
      <c r="I908" s="416"/>
    </row>
    <row r="909" spans="1:9" ht="12.75" customHeight="1">
      <c r="A909" s="123"/>
      <c r="B909" s="123"/>
      <c r="C909" s="123"/>
      <c r="D909" s="259"/>
      <c r="E909" s="259"/>
      <c r="F909" s="259"/>
      <c r="G909" s="908"/>
      <c r="I909" s="416"/>
    </row>
    <row r="910" spans="1:9" ht="12.75" customHeight="1">
      <c r="A910" s="909"/>
      <c r="B910" s="411" t="s">
        <v>529</v>
      </c>
      <c r="C910" s="909"/>
      <c r="D910" s="1149" t="s">
        <v>737</v>
      </c>
      <c r="E910" s="1149"/>
      <c r="F910" s="1149"/>
      <c r="G910" s="908"/>
      <c r="I910" s="416"/>
    </row>
    <row r="911" spans="1:9" ht="12.75" customHeight="1">
      <c r="A911" s="909"/>
      <c r="B911" s="909"/>
      <c r="C911" s="909"/>
      <c r="D911" s="1149"/>
      <c r="E911" s="1149"/>
      <c r="F911" s="1149"/>
      <c r="G911" s="908"/>
      <c r="I911" s="416"/>
    </row>
    <row r="912" spans="1:9" ht="12.75" customHeight="1">
      <c r="A912" s="909"/>
      <c r="B912" s="909"/>
      <c r="C912" s="909"/>
      <c r="D912" s="908"/>
      <c r="E912" s="908"/>
      <c r="F912" s="908"/>
      <c r="G912" s="908"/>
      <c r="I912" s="416"/>
    </row>
    <row r="913" spans="1:9" ht="12.75" customHeight="1">
      <c r="A913" s="909"/>
      <c r="B913" s="411" t="s">
        <v>529</v>
      </c>
      <c r="C913" s="909"/>
      <c r="D913" s="1186" t="s">
        <v>738</v>
      </c>
      <c r="E913" s="1186"/>
      <c r="F913" s="1186"/>
      <c r="G913" s="908"/>
      <c r="I913" s="416"/>
    </row>
    <row r="914" spans="1:9" ht="12.75" customHeight="1">
      <c r="A914" s="909"/>
      <c r="B914" s="909"/>
      <c r="C914" s="909"/>
      <c r="D914" s="1186"/>
      <c r="E914" s="1186"/>
      <c r="F914" s="1186"/>
      <c r="G914" s="908"/>
      <c r="I914" s="416"/>
    </row>
    <row r="915" spans="1:9" ht="12.75" customHeight="1">
      <c r="A915" s="909"/>
      <c r="B915" s="909"/>
      <c r="C915" s="909"/>
      <c r="D915" s="1186"/>
      <c r="E915" s="1186"/>
      <c r="F915" s="1186"/>
      <c r="G915" s="908"/>
      <c r="I915" s="416"/>
    </row>
    <row r="916" spans="1:9" ht="12.75" customHeight="1">
      <c r="A916" s="909"/>
      <c r="B916" s="909"/>
      <c r="C916" s="909"/>
      <c r="D916" s="1186"/>
      <c r="E916" s="1186"/>
      <c r="F916" s="1186"/>
      <c r="G916" s="908"/>
      <c r="I916" s="416"/>
    </row>
    <row r="917" spans="1:9" ht="12.75" customHeight="1">
      <c r="A917" s="909"/>
      <c r="B917" s="909"/>
      <c r="C917" s="909"/>
      <c r="D917" s="85"/>
      <c r="E917" s="908"/>
      <c r="F917" s="908"/>
      <c r="G917" s="908"/>
      <c r="I917" s="416"/>
    </row>
    <row r="918" spans="1:9" ht="12.75" customHeight="1">
      <c r="A918" s="909"/>
      <c r="B918" s="411" t="s">
        <v>529</v>
      </c>
      <c r="C918" s="909"/>
      <c r="D918" s="1166" t="s">
        <v>739</v>
      </c>
      <c r="E918" s="1166"/>
      <c r="F918" s="1166"/>
      <c r="G918" s="908"/>
      <c r="I918" s="416"/>
    </row>
    <row r="919" spans="1:9" ht="12.75" customHeight="1">
      <c r="A919" s="909"/>
      <c r="B919" s="909"/>
      <c r="C919" s="909"/>
      <c r="D919" s="85"/>
      <c r="E919" s="908"/>
      <c r="F919" s="908"/>
      <c r="G919" s="908"/>
      <c r="I919" s="416"/>
    </row>
    <row r="920" spans="1:9" ht="12.75" customHeight="1">
      <c r="A920" s="909"/>
      <c r="B920" s="411" t="s">
        <v>529</v>
      </c>
      <c r="C920" s="909"/>
      <c r="D920" s="1166" t="s">
        <v>740</v>
      </c>
      <c r="E920" s="1166"/>
      <c r="F920" s="1166"/>
      <c r="G920" s="908"/>
      <c r="I920" s="416"/>
    </row>
    <row r="921" spans="1:9" ht="12.75" customHeight="1">
      <c r="A921" s="123"/>
      <c r="B921" s="123"/>
      <c r="C921" s="123"/>
      <c r="D921" s="2"/>
      <c r="E921" s="3"/>
      <c r="F921" s="908"/>
      <c r="G921" s="908"/>
      <c r="I921" s="416"/>
    </row>
    <row r="922" spans="1:9" ht="12.75" customHeight="1">
      <c r="A922" s="917"/>
      <c r="B922" s="411" t="s">
        <v>522</v>
      </c>
      <c r="C922" s="918"/>
      <c r="D922" s="1151" t="s">
        <v>741</v>
      </c>
      <c r="E922" s="1151"/>
      <c r="F922" s="1151"/>
      <c r="G922" s="919"/>
      <c r="I922" s="416" t="s">
        <v>742</v>
      </c>
    </row>
    <row r="923" spans="1:9" ht="12.75" customHeight="1">
      <c r="A923" s="917"/>
      <c r="B923" s="917"/>
      <c r="C923" s="918"/>
      <c r="D923" s="1151"/>
      <c r="E923" s="1151"/>
      <c r="F923" s="1151"/>
      <c r="G923" s="919"/>
      <c r="I923" s="416"/>
    </row>
    <row r="924" spans="1:9" ht="12.75" customHeight="1">
      <c r="A924" s="917"/>
      <c r="B924" s="917"/>
      <c r="C924" s="918"/>
      <c r="D924" s="1151"/>
      <c r="E924" s="1151"/>
      <c r="F924" s="1151"/>
      <c r="G924" s="919"/>
      <c r="I924" s="416"/>
    </row>
    <row r="925" spans="1:9" ht="12.75" customHeight="1">
      <c r="A925" s="917"/>
      <c r="B925" s="917"/>
      <c r="C925" s="918"/>
      <c r="D925" s="1151"/>
      <c r="E925" s="1151"/>
      <c r="F925" s="1151"/>
      <c r="G925" s="919"/>
      <c r="I925" s="416"/>
    </row>
    <row r="926" spans="1:9" ht="12.75" customHeight="1">
      <c r="A926" s="917"/>
      <c r="B926" s="917"/>
      <c r="C926" s="918"/>
      <c r="D926" s="1151"/>
      <c r="E926" s="1151"/>
      <c r="F926" s="1151"/>
      <c r="G926" s="919"/>
      <c r="I926" s="416"/>
    </row>
    <row r="927" spans="1:9" ht="12.75" customHeight="1">
      <c r="A927" s="917"/>
      <c r="B927" s="917"/>
      <c r="C927" s="918"/>
      <c r="D927" s="1151"/>
      <c r="E927" s="1151"/>
      <c r="F927" s="1151"/>
      <c r="G927" s="919"/>
      <c r="I927" s="416"/>
    </row>
    <row r="928" spans="1:9" ht="12.75" customHeight="1">
      <c r="A928" s="917"/>
      <c r="B928" s="917"/>
      <c r="C928" s="918"/>
      <c r="D928" s="1151"/>
      <c r="E928" s="1151"/>
      <c r="F928" s="1151"/>
      <c r="G928" s="919"/>
      <c r="I928" s="416"/>
    </row>
    <row r="929" spans="1:9" ht="12.75" customHeight="1">
      <c r="A929" s="917"/>
      <c r="B929" s="917"/>
      <c r="C929" s="918"/>
      <c r="D929" s="1151"/>
      <c r="E929" s="1151"/>
      <c r="F929" s="1151"/>
      <c r="G929" s="919"/>
      <c r="I929" s="416"/>
    </row>
    <row r="930" spans="1:9" ht="12.75" customHeight="1">
      <c r="A930" s="917"/>
      <c r="B930" s="917"/>
      <c r="C930" s="918"/>
      <c r="D930" s="1151"/>
      <c r="E930" s="1151"/>
      <c r="F930" s="1151"/>
      <c r="G930" s="919"/>
      <c r="I930" s="416"/>
    </row>
    <row r="931" spans="1:9" ht="12.75" customHeight="1">
      <c r="A931" s="123"/>
      <c r="B931" s="123"/>
      <c r="C931" s="123"/>
      <c r="D931" s="2"/>
      <c r="E931" s="3"/>
      <c r="F931" s="908"/>
      <c r="G931" s="908"/>
      <c r="I931" s="416"/>
    </row>
    <row r="932" spans="1:9" ht="12.75" customHeight="1">
      <c r="A932" s="124"/>
      <c r="B932" s="411" t="s">
        <v>522</v>
      </c>
      <c r="C932" s="123"/>
      <c r="D932" s="1224" t="s">
        <v>743</v>
      </c>
      <c r="E932" s="1224"/>
      <c r="F932" s="1224"/>
      <c r="G932" s="908"/>
      <c r="I932" s="416" t="s">
        <v>742</v>
      </c>
    </row>
    <row r="933" spans="1:9" ht="12.75" customHeight="1">
      <c r="A933" s="124"/>
      <c r="B933" s="124"/>
      <c r="C933" s="123"/>
      <c r="D933" s="1224"/>
      <c r="E933" s="1224"/>
      <c r="F933" s="1224"/>
      <c r="G933" s="908"/>
      <c r="I933" s="416"/>
    </row>
    <row r="934" spans="1:9" ht="12.75" customHeight="1">
      <c r="A934" s="124"/>
      <c r="B934" s="124"/>
      <c r="C934" s="123"/>
      <c r="D934" s="1224"/>
      <c r="E934" s="1224"/>
      <c r="F934" s="1224"/>
      <c r="G934" s="908"/>
      <c r="I934" s="416"/>
    </row>
    <row r="935" spans="1:9" ht="12.75" customHeight="1">
      <c r="A935" s="124"/>
      <c r="B935" s="124"/>
      <c r="C935" s="123"/>
      <c r="D935" s="1224"/>
      <c r="E935" s="1224"/>
      <c r="F935" s="1224"/>
      <c r="G935" s="908"/>
      <c r="I935" s="416"/>
    </row>
    <row r="936" spans="1:9" ht="12.75" customHeight="1">
      <c r="A936" s="124"/>
      <c r="B936" s="124"/>
      <c r="C936" s="123"/>
      <c r="D936" s="1224"/>
      <c r="E936" s="1224"/>
      <c r="F936" s="1224"/>
      <c r="G936" s="908"/>
      <c r="I936" s="416"/>
    </row>
    <row r="937" spans="1:9" ht="12.75" customHeight="1">
      <c r="A937" s="124"/>
      <c r="B937" s="124"/>
      <c r="C937" s="123"/>
      <c r="D937" s="1224"/>
      <c r="E937" s="1224"/>
      <c r="F937" s="1224"/>
      <c r="G937" s="908"/>
      <c r="I937" s="416"/>
    </row>
    <row r="938" spans="1:9" ht="12.75" customHeight="1">
      <c r="A938" s="124"/>
      <c r="B938" s="124"/>
      <c r="C938" s="123"/>
      <c r="D938" s="1224"/>
      <c r="E938" s="1224"/>
      <c r="F938" s="1224"/>
      <c r="G938" s="908"/>
      <c r="I938" s="416"/>
    </row>
    <row r="939" spans="1:9" ht="12.75" customHeight="1">
      <c r="A939" s="124"/>
      <c r="B939" s="124"/>
      <c r="C939" s="123"/>
      <c r="D939" s="943"/>
      <c r="E939" s="943"/>
      <c r="F939" s="943"/>
      <c r="G939" s="908"/>
      <c r="I939" s="416"/>
    </row>
    <row r="940" spans="1:9" ht="12.75" customHeight="1">
      <c r="A940" s="124"/>
      <c r="B940" s="411" t="s">
        <v>522</v>
      </c>
      <c r="C940" s="123"/>
      <c r="D940" s="1150" t="s">
        <v>744</v>
      </c>
      <c r="E940" s="1150"/>
      <c r="F940" s="1150"/>
      <c r="G940" s="908"/>
      <c r="I940" s="416"/>
    </row>
    <row r="941" spans="1:9" ht="12.75" customHeight="1">
      <c r="A941" s="124"/>
      <c r="B941" s="124"/>
      <c r="C941" s="123"/>
      <c r="D941" s="1150"/>
      <c r="E941" s="1150"/>
      <c r="F941" s="1150"/>
      <c r="G941" s="908"/>
      <c r="I941" s="416"/>
    </row>
    <row r="942" spans="1:9" ht="12.75" customHeight="1">
      <c r="A942" s="124"/>
      <c r="B942" s="124"/>
      <c r="C942" s="123"/>
      <c r="D942" s="1150"/>
      <c r="E942" s="1150"/>
      <c r="F942" s="1150"/>
      <c r="G942" s="908"/>
      <c r="I942" s="416"/>
    </row>
    <row r="943" spans="1:9" ht="12.75" customHeight="1">
      <c r="A943" s="124"/>
      <c r="B943" s="124"/>
      <c r="C943" s="123"/>
      <c r="D943" s="1150"/>
      <c r="E943" s="1150"/>
      <c r="F943" s="1150"/>
      <c r="G943" s="908"/>
      <c r="I943" s="416"/>
    </row>
    <row r="944" spans="1:9" ht="12.75" customHeight="1">
      <c r="A944" s="124"/>
      <c r="B944" s="124"/>
      <c r="C944" s="123"/>
      <c r="D944" s="1150"/>
      <c r="E944" s="1150"/>
      <c r="F944" s="1150"/>
      <c r="G944" s="908"/>
      <c r="I944" s="416"/>
    </row>
    <row r="945" spans="1:9" ht="12.75" customHeight="1">
      <c r="A945" s="124"/>
      <c r="B945" s="124"/>
      <c r="C945" s="123"/>
      <c r="D945" s="1150"/>
      <c r="E945" s="1150"/>
      <c r="F945" s="1150"/>
      <c r="G945" s="908"/>
      <c r="I945" s="416"/>
    </row>
    <row r="946" spans="1:9" ht="12.75" customHeight="1">
      <c r="A946" s="124"/>
      <c r="B946" s="124"/>
      <c r="C946" s="123"/>
      <c r="D946" s="943"/>
      <c r="E946" s="943"/>
      <c r="F946" s="943"/>
      <c r="G946" s="908"/>
      <c r="I946" s="416"/>
    </row>
    <row r="947" spans="1:9" ht="12.75" customHeight="1">
      <c r="A947" s="909"/>
      <c r="B947" s="411" t="s">
        <v>529</v>
      </c>
      <c r="C947" s="909"/>
      <c r="D947" s="1186" t="s">
        <v>745</v>
      </c>
      <c r="E947" s="1186"/>
      <c r="F947" s="1186"/>
      <c r="G947" s="908"/>
      <c r="I947" s="416"/>
    </row>
    <row r="948" spans="1:9" ht="12.75" customHeight="1">
      <c r="A948" s="909"/>
      <c r="B948" s="909"/>
      <c r="C948" s="909"/>
      <c r="D948" s="1186"/>
      <c r="E948" s="1186"/>
      <c r="F948" s="1186"/>
      <c r="G948" s="908"/>
      <c r="I948" s="416"/>
    </row>
    <row r="949" spans="1:9" ht="12.75" customHeight="1">
      <c r="A949" s="909"/>
      <c r="B949" s="909"/>
      <c r="C949" s="909"/>
      <c r="D949" s="1186"/>
      <c r="E949" s="1186"/>
      <c r="F949" s="1186"/>
      <c r="G949" s="908"/>
      <c r="I949" s="416"/>
    </row>
    <row r="950" spans="1:9" ht="12.75" customHeight="1">
      <c r="A950" s="124"/>
      <c r="B950" s="124"/>
      <c r="C950" s="123"/>
      <c r="D950" s="943"/>
      <c r="E950" s="943"/>
      <c r="F950" s="943"/>
      <c r="G950" s="908"/>
      <c r="I950" s="416"/>
    </row>
    <row r="951" spans="1:9" ht="12.75" customHeight="1">
      <c r="A951" s="124"/>
      <c r="B951" s="124"/>
      <c r="C951" s="123"/>
      <c r="D951" s="769"/>
      <c r="E951" s="3"/>
      <c r="F951" s="908"/>
      <c r="G951" s="908"/>
      <c r="I951" s="416"/>
    </row>
    <row r="952" spans="1:9" ht="12.75" customHeight="1">
      <c r="A952" s="124"/>
      <c r="B952" s="411" t="s">
        <v>529</v>
      </c>
      <c r="C952" s="123"/>
      <c r="D952" s="1151" t="s">
        <v>746</v>
      </c>
      <c r="E952" s="1151"/>
      <c r="F952" s="1151"/>
      <c r="G952" s="908"/>
      <c r="I952" s="416" t="s">
        <v>742</v>
      </c>
    </row>
    <row r="953" spans="1:9" ht="12.75" customHeight="1">
      <c r="A953" s="124"/>
      <c r="B953" s="124"/>
      <c r="C953" s="123"/>
      <c r="D953" s="1151"/>
      <c r="E953" s="1151"/>
      <c r="F953" s="1151"/>
      <c r="G953" s="908"/>
      <c r="I953" s="416"/>
    </row>
    <row r="954" spans="1:9" ht="12.75" customHeight="1">
      <c r="A954" s="124"/>
      <c r="B954" s="124"/>
      <c r="C954" s="123"/>
      <c r="D954" s="1151"/>
      <c r="E954" s="1151"/>
      <c r="F954" s="1151"/>
      <c r="G954" s="908"/>
      <c r="I954" s="416"/>
    </row>
    <row r="955" spans="1:9" ht="12.75" customHeight="1">
      <c r="A955" s="124"/>
      <c r="B955" s="124"/>
      <c r="C955" s="123"/>
      <c r="D955" s="1151"/>
      <c r="E955" s="1151"/>
      <c r="F955" s="1151"/>
      <c r="G955" s="908"/>
      <c r="I955" s="416"/>
    </row>
    <row r="956" spans="1:9" ht="12.75" customHeight="1">
      <c r="A956" s="909"/>
      <c r="B956" s="909"/>
      <c r="C956" s="909"/>
      <c r="D956" s="900"/>
      <c r="E956" s="900"/>
      <c r="F956" s="900"/>
      <c r="G956" s="900"/>
      <c r="I956" s="416"/>
    </row>
    <row r="957" spans="1:9" ht="12.75" customHeight="1">
      <c r="A957" s="279"/>
      <c r="B957" s="279"/>
      <c r="C957" s="279"/>
      <c r="D957" s="1165" t="s">
        <v>747</v>
      </c>
      <c r="E957" s="1165"/>
      <c r="F957" s="1165"/>
      <c r="G957" s="3"/>
      <c r="I957" s="416"/>
    </row>
    <row r="958" spans="1:9" ht="12.75" customHeight="1">
      <c r="A958" s="124"/>
      <c r="B958" s="411" t="s">
        <v>529</v>
      </c>
      <c r="C958" s="279"/>
      <c r="D958" s="1166" t="s">
        <v>748</v>
      </c>
      <c r="E958" s="1166"/>
      <c r="F958" s="1166"/>
      <c r="G958" s="3"/>
      <c r="I958" s="416" t="s">
        <v>742</v>
      </c>
    </row>
    <row r="959" spans="1:9" ht="12.75" customHeight="1">
      <c r="A959" s="279"/>
      <c r="B959" s="279"/>
      <c r="C959" s="279"/>
      <c r="D959" s="3"/>
      <c r="E959" s="3"/>
      <c r="F959" s="3"/>
      <c r="G959" s="3"/>
      <c r="I959" s="416"/>
    </row>
    <row r="960" spans="1:9" ht="12.75" customHeight="1">
      <c r="A960" s="279"/>
      <c r="B960" s="279"/>
      <c r="C960" s="279"/>
      <c r="D960" s="1165" t="s">
        <v>749</v>
      </c>
      <c r="E960" s="1165"/>
      <c r="F960" s="1165"/>
      <c r="G960"/>
      <c r="I960" s="416"/>
    </row>
    <row r="961" spans="1:9" ht="12.75" customHeight="1">
      <c r="A961" s="124"/>
      <c r="B961" s="411" t="s">
        <v>522</v>
      </c>
      <c r="C961" s="279"/>
      <c r="D961" s="1149" t="s">
        <v>750</v>
      </c>
      <c r="E961" s="1149"/>
      <c r="F961" s="1149"/>
      <c r="G961"/>
      <c r="I961" s="416" t="s">
        <v>742</v>
      </c>
    </row>
    <row r="962" spans="1:9" ht="12.75" customHeight="1">
      <c r="A962" s="124"/>
      <c r="B962" s="124"/>
      <c r="C962" s="279"/>
      <c r="D962" s="1149"/>
      <c r="E962" s="1149"/>
      <c r="F962" s="1149"/>
      <c r="G962"/>
      <c r="I962" s="416"/>
    </row>
    <row r="963" spans="1:9" ht="12.75" customHeight="1">
      <c r="A963" s="124"/>
      <c r="B963" s="124"/>
      <c r="C963" s="279"/>
      <c r="D963" s="1149"/>
      <c r="E963" s="1149"/>
      <c r="F963" s="1149"/>
      <c r="G963"/>
      <c r="I963" s="416"/>
    </row>
    <row r="964" spans="1:9" ht="12.75" customHeight="1">
      <c r="A964" s="124"/>
      <c r="B964" s="124"/>
      <c r="C964" s="279"/>
      <c r="D964" s="1149"/>
      <c r="E964" s="1149"/>
      <c r="F964" s="1149"/>
      <c r="G964"/>
      <c r="I964" s="416"/>
    </row>
    <row r="965" spans="1:9" ht="12.75" customHeight="1">
      <c r="A965" s="124"/>
      <c r="B965" s="124"/>
      <c r="C965" s="279"/>
      <c r="D965" s="1149"/>
      <c r="E965" s="1149"/>
      <c r="F965" s="1149"/>
      <c r="G965"/>
      <c r="I965" s="416"/>
    </row>
    <row r="966" spans="1:9" ht="12.75" customHeight="1">
      <c r="A966" s="124"/>
      <c r="B966" s="124"/>
      <c r="C966" s="279"/>
      <c r="D966" s="1149"/>
      <c r="E966" s="1149"/>
      <c r="F966" s="1149"/>
      <c r="G966"/>
      <c r="I966" s="416"/>
    </row>
    <row r="967" spans="1:9" ht="12.75" customHeight="1">
      <c r="A967" s="124"/>
      <c r="B967" s="124"/>
      <c r="C967" s="279"/>
      <c r="D967" s="1149"/>
      <c r="E967" s="1149"/>
      <c r="F967" s="1149"/>
      <c r="G967"/>
      <c r="I967" s="416"/>
    </row>
    <row r="968" spans="1:9" ht="12.75" customHeight="1">
      <c r="A968" s="124"/>
      <c r="B968" s="124"/>
      <c r="C968" s="279"/>
      <c r="D968" s="1149"/>
      <c r="E968" s="1149"/>
      <c r="F968" s="1149"/>
      <c r="G968"/>
      <c r="I968" s="416"/>
    </row>
    <row r="969" spans="1:9" ht="12.75" customHeight="1">
      <c r="A969" s="124"/>
      <c r="B969" s="124"/>
      <c r="C969" s="279"/>
      <c r="D969" s="1149"/>
      <c r="E969" s="1149"/>
      <c r="F969" s="1149"/>
      <c r="G969"/>
      <c r="I969" s="416"/>
    </row>
    <row r="970" spans="1:9" ht="12.75" customHeight="1">
      <c r="A970" s="124"/>
      <c r="B970" s="124"/>
      <c r="C970" s="279"/>
      <c r="D970" s="1149"/>
      <c r="E970" s="1149"/>
      <c r="F970" s="1149"/>
      <c r="G970"/>
      <c r="I970" s="416"/>
    </row>
    <row r="971" spans="1:9" ht="12.75" customHeight="1">
      <c r="A971" s="124"/>
      <c r="B971" s="124"/>
      <c r="C971" s="279"/>
      <c r="D971" s="1149"/>
      <c r="E971" s="1149"/>
      <c r="F971" s="1149"/>
      <c r="G971"/>
      <c r="I971" s="416"/>
    </row>
    <row r="972" spans="1:9" ht="12.75" customHeight="1">
      <c r="A972" s="124"/>
      <c r="B972" s="124"/>
      <c r="C972" s="279"/>
      <c r="D972" s="1149"/>
      <c r="E972" s="1149"/>
      <c r="F972" s="1149"/>
      <c r="G972"/>
      <c r="I972" s="416"/>
    </row>
    <row r="973" spans="1:9" ht="12.75" customHeight="1">
      <c r="A973" s="124"/>
      <c r="B973" s="124"/>
      <c r="C973" s="279"/>
      <c r="D973" s="1149"/>
      <c r="E973" s="1149"/>
      <c r="F973" s="1149"/>
      <c r="G973"/>
      <c r="I973" s="416"/>
    </row>
    <row r="974" spans="1:9" ht="12.75" customHeight="1">
      <c r="A974" s="124"/>
      <c r="B974" s="124"/>
      <c r="C974" s="279"/>
      <c r="D974" s="1149"/>
      <c r="E974" s="1149"/>
      <c r="F974" s="1149"/>
      <c r="G974"/>
      <c r="I974" s="416"/>
    </row>
    <row r="975" spans="1:9" ht="12.75" customHeight="1">
      <c r="A975" s="124"/>
      <c r="B975" s="124"/>
      <c r="C975" s="279"/>
      <c r="D975" s="1149"/>
      <c r="E975" s="1149"/>
      <c r="F975" s="1149"/>
      <c r="G975" s="3"/>
      <c r="I975" s="416"/>
    </row>
    <row r="976" spans="1:9" ht="12.75" customHeight="1">
      <c r="A976" s="279"/>
      <c r="B976" s="279"/>
      <c r="C976" s="279"/>
      <c r="D976" s="3"/>
      <c r="E976" s="3"/>
      <c r="F976" s="3"/>
      <c r="G976" s="3"/>
      <c r="I976" s="416"/>
    </row>
    <row r="977" spans="1:9" ht="12.75" customHeight="1">
      <c r="A977" s="1173" t="s">
        <v>751</v>
      </c>
      <c r="B977" s="1173"/>
      <c r="C977" s="1173"/>
      <c r="D977" s="1173"/>
      <c r="E977" s="1173"/>
      <c r="F977" s="1173"/>
      <c r="G977" s="1173"/>
      <c r="H977" s="945"/>
      <c r="I977" s="1136"/>
    </row>
    <row r="978" spans="1:9" ht="12.75" customHeight="1">
      <c r="A978" s="85"/>
      <c r="B978" s="85"/>
      <c r="C978" s="279"/>
      <c r="D978" s="3"/>
      <c r="E978" s="3"/>
      <c r="F978" s="3"/>
      <c r="G978" s="3"/>
      <c r="I978" s="416"/>
    </row>
    <row r="979" spans="1:9" ht="12.75" customHeight="1">
      <c r="A979" s="279"/>
      <c r="B979" s="279"/>
      <c r="C979" s="909"/>
      <c r="D979" s="1165" t="s">
        <v>752</v>
      </c>
      <c r="E979" s="1165"/>
      <c r="F979" s="1165"/>
      <c r="G979" s="3"/>
      <c r="I979" s="416"/>
    </row>
    <row r="980" spans="1:9" ht="12.75" customHeight="1">
      <c r="A980" s="120"/>
      <c r="B980" s="120"/>
      <c r="C980" s="120"/>
      <c r="D980" s="1166" t="s">
        <v>753</v>
      </c>
      <c r="E980" s="1166"/>
      <c r="F980" s="1166"/>
      <c r="G980" s="3"/>
      <c r="I980" s="416"/>
    </row>
    <row r="981" spans="1:9" ht="12.75" customHeight="1">
      <c r="A981" s="120"/>
      <c r="B981" s="120"/>
      <c r="C981" s="120"/>
      <c r="D981" s="3"/>
      <c r="E981" s="3"/>
      <c r="F981" s="908"/>
      <c r="G981"/>
      <c r="I981" s="416"/>
    </row>
    <row r="982" spans="1:9" ht="12.75" customHeight="1">
      <c r="A982" s="279"/>
      <c r="B982" s="411" t="s">
        <v>522</v>
      </c>
      <c r="C982" s="279"/>
      <c r="D982" s="1226" t="s">
        <v>754</v>
      </c>
      <c r="E982" s="1226"/>
      <c r="F982" s="1226"/>
      <c r="G982"/>
      <c r="I982" s="416" t="s">
        <v>755</v>
      </c>
    </row>
    <row r="983" spans="1:9" ht="12.75" customHeight="1">
      <c r="A983" s="279"/>
      <c r="B983" s="279"/>
      <c r="C983" s="279"/>
      <c r="D983" s="1226"/>
      <c r="E983" s="1226"/>
      <c r="F983" s="1226"/>
      <c r="G983"/>
      <c r="I983" s="416"/>
    </row>
    <row r="984" spans="1:9" ht="12.75" customHeight="1">
      <c r="A984" s="279"/>
      <c r="B984" s="279"/>
      <c r="C984" s="279"/>
      <c r="D984" s="955"/>
      <c r="E984" s="953" t="s">
        <v>756</v>
      </c>
      <c r="F984" s="955"/>
      <c r="G984"/>
      <c r="I984" s="416"/>
    </row>
    <row r="985" spans="1:9" ht="12.75" customHeight="1">
      <c r="A985" s="279"/>
      <c r="B985" s="279"/>
      <c r="C985" s="279"/>
      <c r="D985" s="1153" t="s">
        <v>757</v>
      </c>
      <c r="E985" s="1153"/>
      <c r="F985" s="1153"/>
      <c r="G985"/>
      <c r="I985" s="416"/>
    </row>
    <row r="986" spans="1:9" ht="12.75" customHeight="1">
      <c r="A986" s="279"/>
      <c r="B986" s="279"/>
      <c r="C986" s="279"/>
      <c r="D986" s="1153"/>
      <c r="E986" s="1153"/>
      <c r="F986" s="1153"/>
      <c r="G986"/>
      <c r="I986" s="416"/>
    </row>
    <row r="987" spans="1:9" ht="12.75" customHeight="1">
      <c r="A987" s="123"/>
      <c r="B987" s="123"/>
      <c r="C987" s="123"/>
      <c r="D987" s="1153"/>
      <c r="E987" s="1153"/>
      <c r="F987" s="1153"/>
      <c r="G987"/>
      <c r="I987" s="416"/>
    </row>
    <row r="988" spans="1:9" ht="12.75" customHeight="1">
      <c r="A988" s="123"/>
      <c r="B988" s="123"/>
      <c r="C988" s="123"/>
      <c r="D988" s="1153"/>
      <c r="E988" s="1153"/>
      <c r="F988" s="1153"/>
      <c r="G988"/>
      <c r="I988" s="416"/>
    </row>
    <row r="989" spans="1:9" ht="12.75" customHeight="1">
      <c r="A989" s="123"/>
      <c r="B989" s="123"/>
      <c r="C989" s="123"/>
      <c r="D989" s="259"/>
      <c r="E989" s="259"/>
      <c r="F989" s="259"/>
      <c r="G989"/>
      <c r="I989" s="416"/>
    </row>
    <row r="990" spans="1:9" ht="12.75" customHeight="1">
      <c r="A990" s="123"/>
      <c r="B990" s="411" t="s">
        <v>529</v>
      </c>
      <c r="C990" s="123"/>
      <c r="D990" s="1149" t="s">
        <v>758</v>
      </c>
      <c r="E990" s="1149"/>
      <c r="F990" s="1149"/>
      <c r="G990"/>
      <c r="I990" s="416"/>
    </row>
    <row r="991" spans="1:9" ht="12.75" customHeight="1">
      <c r="A991" s="123"/>
      <c r="B991" s="123"/>
      <c r="C991" s="123"/>
      <c r="D991" s="1149"/>
      <c r="E991" s="1149"/>
      <c r="F991" s="1149"/>
      <c r="G991"/>
      <c r="I991" s="416"/>
    </row>
    <row r="992" spans="1:9" ht="12.75" customHeight="1">
      <c r="A992" s="123"/>
      <c r="B992" s="123"/>
      <c r="C992" s="123"/>
      <c r="D992" s="1149"/>
      <c r="E992" s="1149"/>
      <c r="F992" s="1149"/>
      <c r="G992"/>
      <c r="I992" s="416"/>
    </row>
    <row r="993" spans="1:9" ht="12.75" customHeight="1">
      <c r="A993" s="123"/>
      <c r="B993" s="123"/>
      <c r="C993" s="123"/>
      <c r="D993" s="1149"/>
      <c r="E993" s="1149"/>
      <c r="F993" s="1149"/>
      <c r="G993"/>
      <c r="I993" s="416"/>
    </row>
    <row r="994" spans="1:9" ht="12.75" customHeight="1">
      <c r="A994" s="123"/>
      <c r="B994" s="123"/>
      <c r="C994" s="123"/>
      <c r="D994" s="368"/>
      <c r="E994" s="368"/>
      <c r="F994" s="368"/>
      <c r="G994"/>
      <c r="I994" s="416"/>
    </row>
    <row r="995" spans="1:9" ht="12.75" customHeight="1">
      <c r="A995" s="123"/>
      <c r="B995" s="411" t="s">
        <v>529</v>
      </c>
      <c r="C995" s="123"/>
      <c r="D995" s="1149" t="s">
        <v>759</v>
      </c>
      <c r="E995" s="1149"/>
      <c r="F995" s="1149"/>
      <c r="G995"/>
      <c r="I995" s="416"/>
    </row>
    <row r="996" spans="1:9" ht="12.75" customHeight="1">
      <c r="A996" s="123"/>
      <c r="B996" s="123"/>
      <c r="C996" s="123"/>
      <c r="D996" s="1149"/>
      <c r="E996" s="1149"/>
      <c r="F996" s="1149"/>
      <c r="G996"/>
      <c r="I996" s="416"/>
    </row>
    <row r="997" spans="1:9" ht="12.75" customHeight="1">
      <c r="A997" s="123"/>
      <c r="B997" s="123"/>
      <c r="C997" s="123"/>
      <c r="D997" s="368"/>
      <c r="E997" s="368"/>
      <c r="F997" s="368"/>
      <c r="G997"/>
      <c r="I997" s="416"/>
    </row>
    <row r="998" spans="1:9" ht="12.75" customHeight="1">
      <c r="A998" s="124"/>
      <c r="B998" s="411" t="s">
        <v>522</v>
      </c>
      <c r="C998" s="279"/>
      <c r="D998" s="1166" t="s">
        <v>760</v>
      </c>
      <c r="E998" s="1166"/>
      <c r="F998" s="1166"/>
      <c r="G998"/>
      <c r="I998" s="416"/>
    </row>
    <row r="999" spans="1:9" ht="12.75" customHeight="1">
      <c r="A999" s="279"/>
      <c r="B999" s="279"/>
      <c r="C999" s="279"/>
      <c r="D999" s="3"/>
      <c r="E999" s="3"/>
      <c r="F999" s="3"/>
      <c r="G999"/>
      <c r="I999" s="416"/>
    </row>
    <row r="1000" spans="1:9" ht="12.75" customHeight="1">
      <c r="A1000" s="124"/>
      <c r="B1000" s="411" t="s">
        <v>529</v>
      </c>
      <c r="C1000" s="279"/>
      <c r="D1000" s="1166" t="s">
        <v>761</v>
      </c>
      <c r="E1000" s="1166"/>
      <c r="F1000" s="1166"/>
      <c r="G1000"/>
      <c r="I1000" s="416"/>
    </row>
    <row r="1001" spans="1:9" ht="12.75" customHeight="1">
      <c r="A1001" s="279"/>
      <c r="B1001" s="279"/>
      <c r="C1001" s="279"/>
      <c r="D1001" s="85"/>
      <c r="E1001" s="3"/>
      <c r="F1001" s="3"/>
      <c r="G1001"/>
      <c r="I1001" s="416"/>
    </row>
    <row r="1002" spans="1:9" ht="12.75" customHeight="1">
      <c r="A1002" s="124"/>
      <c r="B1002" s="411" t="s">
        <v>522</v>
      </c>
      <c r="C1002" s="279"/>
      <c r="D1002" s="1166" t="s">
        <v>762</v>
      </c>
      <c r="E1002" s="1166"/>
      <c r="F1002" s="1166"/>
      <c r="G1002"/>
      <c r="I1002" s="416"/>
    </row>
    <row r="1003" spans="1:9" ht="12.75" customHeight="1">
      <c r="A1003" s="279"/>
      <c r="B1003" s="279"/>
      <c r="C1003" s="279"/>
      <c r="D1003" s="85"/>
      <c r="E1003" s="3"/>
      <c r="F1003" s="3"/>
      <c r="G1003"/>
      <c r="I1003" s="416"/>
    </row>
    <row r="1004" spans="1:9" ht="12.75" customHeight="1">
      <c r="A1004" s="124"/>
      <c r="B1004" s="411" t="s">
        <v>529</v>
      </c>
      <c r="C1004" s="279"/>
      <c r="D1004" s="1149" t="s">
        <v>763</v>
      </c>
      <c r="E1004" s="1149"/>
      <c r="F1004" s="1149"/>
      <c r="G1004"/>
      <c r="I1004" s="416"/>
    </row>
    <row r="1005" spans="1:9" ht="12.75" customHeight="1">
      <c r="A1005" s="124"/>
      <c r="B1005" s="124"/>
      <c r="C1005" s="279"/>
      <c r="D1005" s="1149"/>
      <c r="E1005" s="1149"/>
      <c r="F1005" s="1149"/>
      <c r="G1005"/>
      <c r="I1005" s="416"/>
    </row>
    <row r="1006" spans="1:9" ht="12.75" customHeight="1">
      <c r="A1006" s="124"/>
      <c r="B1006" s="124"/>
      <c r="C1006" s="279"/>
      <c r="D1006" s="85"/>
      <c r="E1006" s="3"/>
      <c r="F1006" s="3"/>
      <c r="G1006" s="3"/>
      <c r="I1006" s="416"/>
    </row>
    <row r="1007" spans="1:9" ht="12.75" customHeight="1">
      <c r="A1007" s="180"/>
      <c r="B1007" s="411" t="s">
        <v>529</v>
      </c>
      <c r="C1007" s="920"/>
      <c r="D1007" s="1178" t="s">
        <v>764</v>
      </c>
      <c r="E1007" s="1178"/>
      <c r="F1007" s="1178"/>
      <c r="G1007" s="921"/>
      <c r="I1007" s="416"/>
    </row>
    <row r="1008" spans="1:9" ht="12.75" customHeight="1">
      <c r="A1008" s="920"/>
      <c r="B1008" s="920"/>
      <c r="C1008" s="920"/>
      <c r="D1008" s="1178"/>
      <c r="E1008" s="1178"/>
      <c r="F1008" s="1178"/>
      <c r="G1008" s="921"/>
      <c r="I1008" s="416"/>
    </row>
    <row r="1009" spans="1:9" ht="12.75" customHeight="1">
      <c r="A1009" s="920"/>
      <c r="B1009" s="920"/>
      <c r="C1009" s="920"/>
      <c r="D1009" s="904"/>
      <c r="E1009" s="921"/>
      <c r="F1009" s="921"/>
      <c r="G1009" s="921"/>
      <c r="I1009" s="416"/>
    </row>
    <row r="1010" spans="1:9" ht="12.75" customHeight="1">
      <c r="A1010" s="180"/>
      <c r="B1010" s="411" t="s">
        <v>522</v>
      </c>
      <c r="C1010" s="920"/>
      <c r="D1010" s="1225" t="s">
        <v>765</v>
      </c>
      <c r="E1010" s="1225"/>
      <c r="F1010" s="1225"/>
      <c r="G1010" s="921"/>
      <c r="I1010" s="416"/>
    </row>
    <row r="1011" spans="1:9" ht="12.75" customHeight="1">
      <c r="A1011" s="920"/>
      <c r="B1011" s="920"/>
      <c r="C1011" s="920"/>
      <c r="D1011" s="904"/>
      <c r="E1011" s="921"/>
      <c r="F1011" s="921"/>
      <c r="G1011" s="921"/>
      <c r="I1011" s="416"/>
    </row>
    <row r="1012" spans="1:9" ht="12.75" customHeight="1">
      <c r="A1012" s="124"/>
      <c r="B1012" s="411" t="s">
        <v>529</v>
      </c>
      <c r="C1012" s="279"/>
      <c r="D1012" s="1166" t="s">
        <v>766</v>
      </c>
      <c r="E1012" s="1166"/>
      <c r="F1012" s="1166"/>
      <c r="G1012" s="3"/>
      <c r="I1012" s="416"/>
    </row>
    <row r="1013" spans="1:9" ht="12.75" customHeight="1">
      <c r="A1013" s="124"/>
      <c r="B1013" s="124"/>
      <c r="C1013" s="279"/>
      <c r="D1013" s="85"/>
      <c r="E1013" s="3"/>
      <c r="F1013" s="3"/>
      <c r="G1013" s="3"/>
      <c r="I1013" s="416"/>
    </row>
    <row r="1014" spans="1:9" ht="12.75" customHeight="1">
      <c r="A1014" s="124"/>
      <c r="B1014" s="411" t="s">
        <v>529</v>
      </c>
      <c r="C1014" s="279"/>
      <c r="D1014" s="1149" t="s">
        <v>767</v>
      </c>
      <c r="E1014" s="1149"/>
      <c r="F1014" s="1149"/>
      <c r="G1014" s="3"/>
      <c r="I1014" s="416"/>
    </row>
    <row r="1015" spans="1:9" ht="12.75" customHeight="1">
      <c r="A1015" s="124"/>
      <c r="B1015" s="124"/>
      <c r="C1015" s="279"/>
      <c r="D1015" s="1149"/>
      <c r="E1015" s="1149"/>
      <c r="F1015" s="1149"/>
      <c r="G1015" s="3"/>
      <c r="I1015" s="416"/>
    </row>
    <row r="1016" spans="1:9" ht="12.75" customHeight="1">
      <c r="A1016" s="279"/>
      <c r="B1016" s="279"/>
      <c r="C1016" s="279"/>
      <c r="D1016" s="3"/>
      <c r="E1016" s="3"/>
      <c r="F1016" s="3"/>
      <c r="G1016" s="3"/>
      <c r="I1016" s="416"/>
    </row>
    <row r="1017" spans="1:9" ht="12.75" customHeight="1">
      <c r="A1017" s="1173" t="s">
        <v>768</v>
      </c>
      <c r="B1017" s="1173"/>
      <c r="C1017" s="1173"/>
      <c r="D1017" s="1173"/>
      <c r="E1017" s="1173"/>
      <c r="F1017" s="1173"/>
      <c r="G1017" s="1173"/>
      <c r="H1017" s="945"/>
      <c r="I1017" s="1136"/>
    </row>
    <row r="1018" spans="1:9" ht="12.75" customHeight="1">
      <c r="A1018" s="279"/>
      <c r="B1018" s="279"/>
      <c r="C1018" s="279"/>
      <c r="D1018" s="3"/>
      <c r="E1018" s="3"/>
      <c r="F1018" s="3"/>
      <c r="G1018" s="3"/>
      <c r="I1018" s="416"/>
    </row>
    <row r="1019" spans="1:9" ht="12.75" customHeight="1">
      <c r="A1019" s="279"/>
      <c r="B1019" s="279"/>
      <c r="C1019" s="279"/>
      <c r="D1019" s="1179" t="s">
        <v>769</v>
      </c>
      <c r="E1019" s="1179"/>
      <c r="F1019" s="1179"/>
      <c r="G1019" s="3"/>
      <c r="I1019" s="416"/>
    </row>
    <row r="1020" spans="1:9" ht="12.75" customHeight="1">
      <c r="A1020" s="279"/>
      <c r="B1020" s="279"/>
      <c r="C1020" s="279"/>
      <c r="D1020" s="1225" t="s">
        <v>770</v>
      </c>
      <c r="E1020" s="1225"/>
      <c r="F1020" s="1225"/>
      <c r="G1020" s="3"/>
      <c r="I1020" s="416"/>
    </row>
    <row r="1021" spans="1:9" ht="12.75" customHeight="1">
      <c r="A1021" s="120"/>
      <c r="B1021" s="120"/>
      <c r="C1021" s="120"/>
      <c r="D1021" s="3"/>
      <c r="E1021" s="3"/>
      <c r="F1021" s="3"/>
      <c r="G1021" s="3"/>
      <c r="I1021" s="416"/>
    </row>
    <row r="1022" spans="1:9" ht="12.75" customHeight="1">
      <c r="A1022" s="124"/>
      <c r="B1022" s="124"/>
      <c r="C1022" s="123"/>
      <c r="D1022" s="1179" t="s">
        <v>771</v>
      </c>
      <c r="E1022" s="1179"/>
      <c r="F1022" s="1179"/>
      <c r="G1022" s="3"/>
      <c r="I1022" s="416" t="s">
        <v>772</v>
      </c>
    </row>
    <row r="1023" spans="1:9" ht="12.75" customHeight="1">
      <c r="A1023" s="279"/>
      <c r="B1023" s="411" t="s">
        <v>522</v>
      </c>
      <c r="C1023" s="279"/>
      <c r="D1023" s="1225" t="s">
        <v>773</v>
      </c>
      <c r="E1023" s="1225"/>
      <c r="F1023" s="1225"/>
      <c r="G1023" s="3"/>
      <c r="I1023" s="416"/>
    </row>
    <row r="1024" spans="1:9" ht="12.75" customHeight="1">
      <c r="A1024" s="279"/>
      <c r="B1024" s="124"/>
      <c r="C1024" s="279"/>
      <c r="D1024" s="1225" t="s">
        <v>774</v>
      </c>
      <c r="E1024" s="1225"/>
      <c r="F1024" s="1225"/>
      <c r="G1024" s="3"/>
      <c r="I1024" s="416"/>
    </row>
    <row r="1025" spans="1:9" ht="12.75" customHeight="1">
      <c r="A1025" s="279"/>
      <c r="B1025" s="279"/>
      <c r="C1025" s="279"/>
      <c r="D1025" s="1225"/>
      <c r="E1025" s="1225"/>
      <c r="F1025" s="1225"/>
      <c r="G1025" s="3"/>
      <c r="I1025" s="416"/>
    </row>
    <row r="1026" spans="1:9" ht="12.75" customHeight="1">
      <c r="A1026" s="1173" t="s">
        <v>775</v>
      </c>
      <c r="B1026" s="1173"/>
      <c r="C1026" s="1173"/>
      <c r="D1026" s="1173"/>
      <c r="E1026" s="1173"/>
      <c r="F1026" s="1173"/>
      <c r="G1026" s="1173"/>
      <c r="H1026" s="945"/>
      <c r="I1026" s="1136"/>
    </row>
    <row r="1027" spans="1:9" ht="12.75" customHeight="1">
      <c r="A1027" s="85"/>
      <c r="B1027" s="85"/>
      <c r="C1027" s="279"/>
      <c r="D1027" s="3"/>
      <c r="E1027" s="3"/>
      <c r="F1027" s="3"/>
      <c r="G1027" s="3"/>
      <c r="I1027" s="416"/>
    </row>
    <row r="1028" spans="1:9" ht="12.75" hidden="1" customHeight="1">
      <c r="A1028" s="85"/>
      <c r="B1028" s="327"/>
      <c r="D1028" s="1174" t="s">
        <v>776</v>
      </c>
      <c r="E1028" s="1174"/>
      <c r="F1028" s="1174"/>
      <c r="G1028" s="3"/>
      <c r="I1028" s="416"/>
    </row>
    <row r="1029" spans="1:9" ht="12.75" hidden="1" customHeight="1">
      <c r="A1029" s="85"/>
      <c r="B1029" s="411" t="s">
        <v>294</v>
      </c>
      <c r="D1029" s="1161" t="s">
        <v>773</v>
      </c>
      <c r="E1029" s="1161"/>
      <c r="F1029" s="1161"/>
      <c r="G1029" s="3"/>
      <c r="I1029" s="416"/>
    </row>
    <row r="1030" spans="1:9" ht="12.75" hidden="1" customHeight="1">
      <c r="A1030" s="85"/>
      <c r="B1030" s="327"/>
      <c r="D1030" s="1161" t="s">
        <v>777</v>
      </c>
      <c r="E1030" s="1161"/>
      <c r="F1030" s="1161"/>
      <c r="G1030" s="3"/>
      <c r="I1030" s="416"/>
    </row>
    <row r="1031" spans="1:9" ht="12.75" hidden="1" customHeight="1">
      <c r="A1031" s="85"/>
      <c r="B1031" s="327"/>
      <c r="D1031" s="371"/>
      <c r="E1031" s="371"/>
      <c r="F1031" s="371"/>
      <c r="G1031" s="3"/>
      <c r="I1031" s="416"/>
    </row>
    <row r="1032" spans="1:9" ht="12.75" customHeight="1">
      <c r="A1032" s="85"/>
      <c r="B1032" s="85"/>
      <c r="C1032" s="279"/>
      <c r="D1032" s="1231" t="s">
        <v>494</v>
      </c>
      <c r="E1032" s="1231"/>
      <c r="F1032" s="1231"/>
      <c r="G1032" s="3"/>
      <c r="I1032" s="416" t="s">
        <v>778</v>
      </c>
    </row>
    <row r="1033" spans="1:9" ht="12.75" customHeight="1">
      <c r="A1033" s="241"/>
      <c r="B1033" s="241"/>
      <c r="C1033" s="241"/>
      <c r="D1033" s="1170" t="s">
        <v>495</v>
      </c>
      <c r="E1033" s="1170"/>
      <c r="F1033" s="1170"/>
      <c r="G1033" s="74"/>
      <c r="I1033" s="416"/>
    </row>
    <row r="1034" spans="1:9" ht="12.75" customHeight="1">
      <c r="A1034" s="124"/>
      <c r="B1034" s="411" t="s">
        <v>522</v>
      </c>
      <c r="C1034" s="279"/>
      <c r="D1034" s="1170" t="s">
        <v>496</v>
      </c>
      <c r="E1034" s="1170"/>
      <c r="F1034" s="1170"/>
      <c r="G1034" s="3"/>
      <c r="I1034" s="416"/>
    </row>
    <row r="1035" spans="1:9" ht="12.75" customHeight="1">
      <c r="A1035" s="279"/>
      <c r="B1035" s="279"/>
      <c r="C1035" s="279"/>
      <c r="D1035" s="953" t="s">
        <v>779</v>
      </c>
      <c r="E1035" s="72"/>
      <c r="F1035" s="72"/>
      <c r="G1035" s="3"/>
      <c r="I1035" s="416"/>
    </row>
    <row r="1036" spans="1:9">
      <c r="A1036" s="327"/>
      <c r="B1036" s="327"/>
      <c r="C1036" s="327"/>
      <c r="I1036" s="416"/>
    </row>
    <row r="1037" spans="1:9">
      <c r="A1037" s="1173" t="s">
        <v>780</v>
      </c>
      <c r="B1037" s="1173"/>
      <c r="C1037" s="1173"/>
      <c r="D1037" s="1173"/>
      <c r="E1037" s="1173"/>
      <c r="F1037" s="1173"/>
      <c r="G1037" s="1173"/>
      <c r="H1037" s="945"/>
      <c r="I1037" s="1136"/>
    </row>
    <row r="1038" spans="1:9">
      <c r="A1038" s="327"/>
      <c r="B1038" s="327"/>
      <c r="C1038" s="327"/>
      <c r="I1038" s="416"/>
    </row>
    <row r="1039" spans="1:9">
      <c r="A1039" s="327"/>
      <c r="B1039" s="327"/>
      <c r="C1039" s="327"/>
      <c r="D1039" s="329" t="s">
        <v>781</v>
      </c>
      <c r="I1039" s="416"/>
    </row>
    <row r="1040" spans="1:9">
      <c r="A1040" s="327"/>
      <c r="B1040" s="327"/>
      <c r="C1040" s="327"/>
      <c r="D1040" s="327" t="s">
        <v>782</v>
      </c>
      <c r="I1040" s="416"/>
    </row>
    <row r="1041" spans="1:9">
      <c r="A1041" s="327"/>
      <c r="B1041" s="327"/>
      <c r="C1041" s="327"/>
      <c r="D1041" s="329"/>
      <c r="I1041" s="416"/>
    </row>
    <row r="1042" spans="1:9">
      <c r="A1042" s="327"/>
      <c r="B1042" s="411" t="s">
        <v>529</v>
      </c>
      <c r="C1042" s="327"/>
      <c r="D1042" s="1228" t="s">
        <v>783</v>
      </c>
      <c r="E1042" s="1228"/>
      <c r="F1042" s="1228"/>
      <c r="I1042" s="416" t="s">
        <v>784</v>
      </c>
    </row>
    <row r="1043" spans="1:9">
      <c r="A1043" s="327"/>
      <c r="B1043" s="327"/>
      <c r="C1043" s="327"/>
      <c r="D1043" s="1228"/>
      <c r="E1043" s="1228"/>
      <c r="F1043" s="1228"/>
      <c r="I1043" s="416"/>
    </row>
    <row r="1044" spans="1:9">
      <c r="A1044" s="327"/>
      <c r="B1044" s="327"/>
      <c r="C1044" s="327"/>
      <c r="D1044" s="1228"/>
      <c r="E1044" s="1228"/>
      <c r="F1044" s="1228"/>
      <c r="I1044" s="416"/>
    </row>
    <row r="1045" spans="1:9">
      <c r="A1045" s="327"/>
      <c r="B1045" s="327"/>
      <c r="C1045" s="327"/>
      <c r="D1045" s="1228"/>
      <c r="E1045" s="1228"/>
      <c r="F1045" s="1228"/>
      <c r="I1045" s="416"/>
    </row>
    <row r="1046" spans="1:9">
      <c r="A1046" s="327"/>
      <c r="B1046" s="327"/>
      <c r="C1046" s="327"/>
      <c r="I1046" s="416"/>
    </row>
    <row r="1047" spans="1:9">
      <c r="A1047" s="327"/>
      <c r="B1047" s="327"/>
      <c r="C1047" s="327"/>
      <c r="D1047" s="329" t="s">
        <v>785</v>
      </c>
      <c r="I1047" s="416"/>
    </row>
    <row r="1048" spans="1:9">
      <c r="A1048" s="327"/>
      <c r="B1048" s="327"/>
      <c r="C1048" s="327"/>
      <c r="D1048" s="327" t="s">
        <v>786</v>
      </c>
      <c r="I1048" s="416"/>
    </row>
    <row r="1049" spans="1:9">
      <c r="A1049" s="327"/>
      <c r="B1049" s="327"/>
      <c r="C1049" s="327"/>
      <c r="I1049" s="416"/>
    </row>
    <row r="1050" spans="1:9">
      <c r="A1050" s="327"/>
      <c r="B1050" s="411" t="s">
        <v>529</v>
      </c>
      <c r="C1050" s="327"/>
      <c r="D1050" s="327" t="s">
        <v>728</v>
      </c>
      <c r="I1050" s="416" t="s">
        <v>787</v>
      </c>
    </row>
    <row r="1051" spans="1:9">
      <c r="A1051" s="327"/>
      <c r="B1051" s="327"/>
      <c r="C1051" s="327"/>
      <c r="I1051" s="416"/>
    </row>
    <row r="1052" spans="1:9">
      <c r="A1052" s="327"/>
      <c r="B1052" s="411" t="s">
        <v>522</v>
      </c>
      <c r="C1052" s="327"/>
      <c r="D1052" s="1228" t="s">
        <v>788</v>
      </c>
      <c r="E1052" s="1228"/>
      <c r="F1052" s="1228"/>
      <c r="I1052" s="416" t="s">
        <v>789</v>
      </c>
    </row>
    <row r="1053" spans="1:9">
      <c r="A1053" s="327"/>
      <c r="B1053" s="327"/>
      <c r="C1053" s="327"/>
      <c r="D1053" s="1228"/>
      <c r="E1053" s="1228"/>
      <c r="F1053" s="1228"/>
      <c r="I1053" s="416"/>
    </row>
    <row r="1054" spans="1:9">
      <c r="A1054" s="327"/>
      <c r="B1054" s="327"/>
      <c r="C1054" s="327"/>
      <c r="D1054" s="1228"/>
      <c r="E1054" s="1228"/>
      <c r="F1054" s="1228"/>
      <c r="I1054" s="416"/>
    </row>
    <row r="1055" spans="1:9">
      <c r="A1055" s="327"/>
      <c r="B1055" s="327"/>
      <c r="C1055" s="327"/>
      <c r="D1055" s="1228"/>
      <c r="E1055" s="1228"/>
      <c r="F1055" s="1228"/>
      <c r="I1055" s="416"/>
    </row>
    <row r="1056" spans="1:9">
      <c r="A1056" s="327"/>
      <c r="B1056" s="327"/>
      <c r="C1056" s="327"/>
      <c r="D1056" s="1228"/>
      <c r="E1056" s="1228"/>
      <c r="F1056" s="1228"/>
      <c r="I1056" s="416"/>
    </row>
    <row r="1057" spans="1:9">
      <c r="A1057" s="327"/>
      <c r="B1057" s="327"/>
      <c r="C1057" s="327"/>
      <c r="I1057" s="416"/>
    </row>
    <row r="1058" spans="1:9">
      <c r="A1058" s="1173" t="s">
        <v>790</v>
      </c>
      <c r="B1058" s="1173"/>
      <c r="C1058" s="1173"/>
      <c r="D1058" s="1173"/>
      <c r="E1058" s="1173"/>
      <c r="F1058" s="1173"/>
      <c r="G1058" s="1173"/>
      <c r="H1058" s="945"/>
      <c r="I1058" s="1136"/>
    </row>
    <row r="1059" spans="1:9">
      <c r="A1059" s="327"/>
      <c r="B1059" s="327"/>
      <c r="C1059" s="327"/>
      <c r="I1059" s="416"/>
    </row>
    <row r="1060" spans="1:9">
      <c r="A1060" s="327"/>
      <c r="B1060" s="327"/>
      <c r="C1060" s="327"/>
      <c r="I1060" s="416"/>
    </row>
    <row r="1061" spans="1:9">
      <c r="A1061" s="327"/>
      <c r="B1061" s="411" t="s">
        <v>522</v>
      </c>
      <c r="C1061" s="327"/>
      <c r="D1061" s="452" t="s">
        <v>791</v>
      </c>
      <c r="I1061" s="416" t="s">
        <v>792</v>
      </c>
    </row>
    <row r="1062" spans="1:9">
      <c r="A1062" s="327"/>
      <c r="B1062" s="327"/>
      <c r="C1062" s="327"/>
      <c r="D1062" s="452" t="s">
        <v>793</v>
      </c>
      <c r="I1062" s="416"/>
    </row>
    <row r="1063" spans="1:9">
      <c r="A1063" s="327"/>
      <c r="B1063" s="327"/>
      <c r="C1063" s="327"/>
      <c r="D1063" s="452"/>
      <c r="I1063" s="416"/>
    </row>
    <row r="1064" spans="1:9">
      <c r="A1064" s="327"/>
      <c r="B1064" s="411" t="s">
        <v>529</v>
      </c>
      <c r="C1064" s="327"/>
      <c r="D1064" s="452" t="s">
        <v>794</v>
      </c>
      <c r="I1064" s="416" t="s">
        <v>795</v>
      </c>
    </row>
    <row r="1065" spans="1:9">
      <c r="A1065" s="327"/>
      <c r="B1065" s="327"/>
      <c r="C1065" s="327"/>
      <c r="D1065" s="452" t="s">
        <v>796</v>
      </c>
      <c r="I1065" s="416"/>
    </row>
    <row r="1066" spans="1:9">
      <c r="A1066" s="327"/>
      <c r="B1066" s="327"/>
      <c r="C1066" s="327"/>
      <c r="D1066" s="452"/>
      <c r="I1066" s="416"/>
    </row>
    <row r="1067" spans="1:9">
      <c r="A1067" s="327"/>
      <c r="B1067" s="411" t="s">
        <v>529</v>
      </c>
      <c r="C1067" s="327"/>
      <c r="D1067" s="86" t="s">
        <v>797</v>
      </c>
      <c r="I1067" s="416" t="s">
        <v>798</v>
      </c>
    </row>
    <row r="1068" spans="1:9">
      <c r="A1068" s="327"/>
      <c r="B1068" s="327"/>
      <c r="C1068" s="327"/>
      <c r="D1068" s="1149" t="s">
        <v>799</v>
      </c>
      <c r="E1068" s="1149"/>
      <c r="F1068" s="1149"/>
      <c r="I1068" s="416"/>
    </row>
    <row r="1069" spans="1:9">
      <c r="A1069" s="327"/>
      <c r="B1069" s="327"/>
      <c r="C1069" s="327"/>
      <c r="D1069" s="1149"/>
      <c r="E1069" s="1149"/>
      <c r="F1069" s="1149"/>
      <c r="I1069" s="416"/>
    </row>
    <row r="1070" spans="1:9">
      <c r="A1070" s="327"/>
      <c r="B1070" s="327"/>
      <c r="C1070" s="327"/>
      <c r="D1070" s="1149"/>
      <c r="E1070" s="1149"/>
      <c r="F1070" s="1149"/>
      <c r="I1070" s="416"/>
    </row>
    <row r="1071" spans="1:9">
      <c r="A1071" s="327"/>
      <c r="B1071" s="327"/>
      <c r="C1071" s="327"/>
      <c r="D1071" s="1149"/>
      <c r="E1071" s="1149"/>
      <c r="F1071" s="1149"/>
      <c r="I1071" s="416"/>
    </row>
    <row r="1072" spans="1:9">
      <c r="A1072" s="327"/>
      <c r="B1072" s="327"/>
      <c r="C1072" s="327"/>
      <c r="D1072" s="86" t="s">
        <v>800</v>
      </c>
      <c r="I1072" s="416"/>
    </row>
    <row r="1073" spans="1:9">
      <c r="A1073" s="327"/>
      <c r="B1073" s="327"/>
      <c r="C1073" s="327"/>
      <c r="D1073" s="86"/>
      <c r="I1073" s="416"/>
    </row>
    <row r="1074" spans="1:9">
      <c r="A1074" s="327"/>
      <c r="B1074" s="327"/>
      <c r="C1074" s="327"/>
      <c r="D1074" s="452" t="s">
        <v>801</v>
      </c>
      <c r="I1074" s="416" t="s">
        <v>802</v>
      </c>
    </row>
    <row r="1075" spans="1:9">
      <c r="A1075" s="327"/>
      <c r="B1075" s="411" t="s">
        <v>529</v>
      </c>
      <c r="C1075" s="327"/>
      <c r="D1075" s="1227" t="s">
        <v>803</v>
      </c>
      <c r="E1075" s="1227"/>
      <c r="F1075" s="1227"/>
      <c r="I1075" s="416"/>
    </row>
    <row r="1076" spans="1:9">
      <c r="A1076" s="327"/>
      <c r="B1076" s="327"/>
      <c r="C1076" s="327"/>
      <c r="D1076" s="1227"/>
      <c r="E1076" s="1227"/>
      <c r="F1076" s="1227"/>
      <c r="I1076" s="416"/>
    </row>
    <row r="1077" spans="1:9">
      <c r="A1077" s="327"/>
      <c r="B1077" s="327"/>
      <c r="C1077" s="327"/>
      <c r="D1077" s="1227"/>
      <c r="E1077" s="1227"/>
      <c r="F1077" s="1227"/>
      <c r="I1077" s="416"/>
    </row>
    <row r="1078" spans="1:9">
      <c r="A1078" s="327"/>
      <c r="B1078" s="327"/>
      <c r="C1078" s="327"/>
      <c r="D1078" s="1227"/>
      <c r="E1078" s="1227"/>
      <c r="F1078" s="1227"/>
      <c r="I1078" s="416"/>
    </row>
    <row r="1079" spans="1:9">
      <c r="A1079" s="327"/>
      <c r="B1079" s="327"/>
      <c r="C1079" s="327"/>
      <c r="D1079" s="1227"/>
      <c r="E1079" s="1227"/>
      <c r="F1079" s="1227"/>
      <c r="I1079" s="416"/>
    </row>
    <row r="1080" spans="1:9">
      <c r="A1080" s="327"/>
      <c r="B1080" s="327"/>
      <c r="C1080" s="327"/>
      <c r="D1080" s="452" t="s">
        <v>804</v>
      </c>
      <c r="I1080" s="416"/>
    </row>
    <row r="1081" spans="1:9">
      <c r="A1081" s="327"/>
      <c r="B1081" s="327"/>
      <c r="C1081" s="327"/>
      <c r="I1081" s="416"/>
    </row>
    <row r="1082" spans="1:9">
      <c r="A1082" s="1173" t="s">
        <v>805</v>
      </c>
      <c r="B1082" s="1173"/>
      <c r="C1082" s="1173"/>
      <c r="D1082" s="1173"/>
      <c r="E1082" s="1173"/>
      <c r="F1082" s="1173"/>
      <c r="G1082" s="1173"/>
      <c r="H1082" s="945"/>
      <c r="I1082" s="1136"/>
    </row>
    <row r="1083" spans="1:9">
      <c r="A1083" s="327"/>
      <c r="B1083" s="327"/>
      <c r="C1083" s="327"/>
      <c r="I1083" s="416"/>
    </row>
    <row r="1084" spans="1:9">
      <c r="A1084" s="327"/>
      <c r="B1084" s="327"/>
      <c r="C1084" s="327"/>
      <c r="I1084" s="416"/>
    </row>
    <row r="1085" spans="1:9" ht="12.75" customHeight="1">
      <c r="A1085" s="327"/>
      <c r="B1085" s="411" t="s">
        <v>529</v>
      </c>
      <c r="C1085" s="327"/>
      <c r="D1085" s="1229" t="s">
        <v>806</v>
      </c>
      <c r="E1085" s="1229"/>
      <c r="F1085" s="1229"/>
      <c r="I1085" s="416" t="s">
        <v>807</v>
      </c>
    </row>
    <row r="1086" spans="1:9">
      <c r="A1086" s="327"/>
      <c r="B1086" s="327"/>
      <c r="C1086" s="327"/>
      <c r="D1086" s="1229"/>
      <c r="E1086" s="1229"/>
      <c r="F1086" s="1229"/>
      <c r="I1086" s="416"/>
    </row>
    <row r="1087" spans="1:9">
      <c r="A1087" s="327"/>
      <c r="B1087" s="327"/>
      <c r="C1087" s="327"/>
      <c r="D1087" s="1230" t="s">
        <v>808</v>
      </c>
      <c r="E1087" s="1149"/>
      <c r="F1087" s="1149"/>
      <c r="I1087" s="416"/>
    </row>
    <row r="1088" spans="1:9">
      <c r="A1088" s="327"/>
      <c r="B1088" s="327"/>
      <c r="C1088" s="327"/>
      <c r="D1088" s="452"/>
      <c r="I1088" s="416"/>
    </row>
    <row r="1089" spans="1:9">
      <c r="A1089" s="327"/>
      <c r="B1089" s="411" t="s">
        <v>529</v>
      </c>
      <c r="C1089" s="327"/>
      <c r="D1089" s="1227" t="s">
        <v>809</v>
      </c>
      <c r="E1089" s="1227"/>
      <c r="F1089" s="1227"/>
      <c r="I1089" s="416" t="s">
        <v>810</v>
      </c>
    </row>
    <row r="1090" spans="1:9">
      <c r="A1090" s="327"/>
      <c r="B1090" s="327"/>
      <c r="C1090" s="327"/>
      <c r="D1090" s="1227"/>
      <c r="E1090" s="1227"/>
      <c r="F1090" s="1227"/>
      <c r="I1090" s="416"/>
    </row>
    <row r="1091" spans="1:9">
      <c r="A1091" s="327"/>
      <c r="B1091" s="327"/>
      <c r="C1091" s="327"/>
      <c r="D1091" s="452"/>
      <c r="I1091" s="416"/>
    </row>
    <row r="1092" spans="1:9">
      <c r="A1092" s="327"/>
      <c r="B1092" s="411" t="s">
        <v>529</v>
      </c>
      <c r="C1092" s="327"/>
      <c r="D1092" s="1227" t="s">
        <v>811</v>
      </c>
      <c r="E1092" s="1227"/>
      <c r="F1092" s="1227"/>
      <c r="I1092" s="416" t="s">
        <v>812</v>
      </c>
    </row>
    <row r="1093" spans="1:9">
      <c r="A1093" s="327"/>
      <c r="B1093" s="327"/>
      <c r="C1093" s="327"/>
      <c r="D1093" s="1227"/>
      <c r="E1093" s="1227"/>
      <c r="F1093" s="1227"/>
      <c r="I1093" s="416"/>
    </row>
    <row r="1094" spans="1:9">
      <c r="A1094" s="327"/>
      <c r="B1094" s="327"/>
      <c r="C1094" s="327"/>
      <c r="D1094" s="1227"/>
      <c r="E1094" s="1227"/>
      <c r="F1094" s="1227"/>
      <c r="I1094" s="416"/>
    </row>
    <row r="1095" spans="1:9">
      <c r="A1095" s="327"/>
      <c r="B1095" s="327"/>
      <c r="C1095" s="327"/>
      <c r="D1095" s="1227"/>
      <c r="E1095" s="1227"/>
      <c r="F1095" s="1227"/>
      <c r="I1095" s="416"/>
    </row>
    <row r="1096" spans="1:9">
      <c r="A1096" s="327"/>
      <c r="B1096" s="327"/>
      <c r="C1096" s="327"/>
      <c r="D1096" s="1227"/>
      <c r="E1096" s="1227"/>
      <c r="F1096" s="1227"/>
      <c r="I1096" s="416"/>
    </row>
    <row r="1097" spans="1:9">
      <c r="A1097" s="327"/>
      <c r="B1097" s="327"/>
      <c r="C1097" s="327"/>
      <c r="D1097" s="1227"/>
      <c r="E1097" s="1227"/>
      <c r="F1097" s="1227"/>
      <c r="I1097" s="416"/>
    </row>
    <row r="1098" spans="1:9">
      <c r="A1098" s="327"/>
      <c r="B1098" s="327"/>
      <c r="C1098" s="327"/>
      <c r="D1098" s="452" t="s">
        <v>813</v>
      </c>
      <c r="I1098" s="406"/>
    </row>
    <row r="1099" spans="1:9">
      <c r="A1099" s="327"/>
      <c r="B1099" s="411" t="s">
        <v>529</v>
      </c>
      <c r="C1099" s="327"/>
      <c r="D1099" s="1227" t="s">
        <v>814</v>
      </c>
      <c r="E1099" s="1227"/>
      <c r="F1099" s="1227"/>
      <c r="I1099" s="416" t="s">
        <v>815</v>
      </c>
    </row>
    <row r="1100" spans="1:9">
      <c r="A1100" s="327"/>
      <c r="B1100" s="327"/>
      <c r="C1100" s="327"/>
      <c r="D1100" s="1227"/>
      <c r="E1100" s="1227"/>
      <c r="F1100" s="1227"/>
      <c r="I1100" s="416"/>
    </row>
    <row r="1101" spans="1:9">
      <c r="A1101" s="327"/>
      <c r="B1101" s="327"/>
      <c r="C1101" s="327"/>
      <c r="D1101" s="1227"/>
      <c r="E1101" s="1227"/>
      <c r="F1101" s="1227"/>
      <c r="I1101" s="416"/>
    </row>
    <row r="1102" spans="1:9">
      <c r="A1102" s="327"/>
      <c r="B1102" s="327"/>
      <c r="C1102" s="327"/>
      <c r="D1102" s="452"/>
      <c r="I1102" s="416"/>
    </row>
    <row r="1103" spans="1:9">
      <c r="A1103" s="327"/>
      <c r="B1103" s="411" t="s">
        <v>529</v>
      </c>
      <c r="C1103" s="327"/>
      <c r="D1103" s="1153" t="s">
        <v>816</v>
      </c>
      <c r="E1103" s="1153"/>
      <c r="F1103" s="1153"/>
      <c r="I1103" s="416" t="s">
        <v>688</v>
      </c>
    </row>
    <row r="1104" spans="1:9">
      <c r="A1104" s="327"/>
      <c r="B1104" s="327"/>
      <c r="C1104" s="327"/>
      <c r="D1104" s="1153"/>
      <c r="E1104" s="1153"/>
      <c r="F1104" s="1153"/>
      <c r="I1104" s="416"/>
    </row>
    <row r="1105" spans="1:9">
      <c r="A1105" s="327"/>
      <c r="B1105" s="327"/>
      <c r="C1105" s="327"/>
      <c r="D1105" s="1153"/>
      <c r="E1105" s="1153"/>
      <c r="F1105" s="1153"/>
      <c r="I1105" s="416"/>
    </row>
    <row r="1106" spans="1:9">
      <c r="A1106" s="327"/>
      <c r="B1106" s="327"/>
      <c r="C1106" s="327"/>
      <c r="D1106" s="900"/>
      <c r="E1106" s="900"/>
      <c r="F1106" s="900"/>
      <c r="I1106" s="416"/>
    </row>
    <row r="1107" spans="1:9" ht="15.75" customHeight="1">
      <c r="A1107" s="327"/>
      <c r="B1107" s="411" t="s">
        <v>522</v>
      </c>
      <c r="C1107" s="327"/>
      <c r="D1107" s="1149" t="s">
        <v>817</v>
      </c>
      <c r="E1107" s="1149"/>
      <c r="F1107" s="1149"/>
      <c r="I1107" s="416" t="s">
        <v>818</v>
      </c>
    </row>
    <row r="1108" spans="1:9">
      <c r="A1108" s="327"/>
      <c r="B1108" s="327"/>
      <c r="C1108" s="327"/>
      <c r="D1108" s="1149"/>
      <c r="E1108" s="1149"/>
      <c r="F1108" s="1149"/>
      <c r="I1108" s="416"/>
    </row>
    <row r="1109" spans="1:9">
      <c r="A1109" s="327"/>
      <c r="B1109" s="327"/>
      <c r="C1109" s="327"/>
      <c r="D1109" s="1149"/>
      <c r="E1109" s="1149"/>
      <c r="F1109" s="1149"/>
      <c r="I1109" s="416"/>
    </row>
    <row r="1110" spans="1:9">
      <c r="A1110" s="327"/>
      <c r="B1110" s="327"/>
      <c r="C1110" s="327"/>
      <c r="D1110" s="1149"/>
      <c r="E1110" s="1149"/>
      <c r="F1110" s="1149"/>
      <c r="I1110" s="416"/>
    </row>
    <row r="1111" spans="1:9">
      <c r="A1111" s="327"/>
      <c r="B1111" s="327"/>
      <c r="C1111" s="327"/>
      <c r="D1111" s="900"/>
      <c r="E1111" s="900"/>
      <c r="F1111" s="900"/>
      <c r="I1111" s="416"/>
    </row>
    <row r="1112" spans="1:9" ht="42">
      <c r="A1112" s="327"/>
      <c r="B1112" s="327"/>
      <c r="C1112" s="327"/>
      <c r="I1112" s="1142" t="s">
        <v>819</v>
      </c>
    </row>
    <row r="1113" spans="1:9">
      <c r="A1113" s="327"/>
      <c r="B1113" s="327"/>
      <c r="C1113" s="327"/>
      <c r="I1113" s="416"/>
    </row>
    <row r="1114" spans="1:9">
      <c r="A1114" s="327"/>
      <c r="B1114" s="327"/>
      <c r="C1114" s="327"/>
      <c r="I1114" s="416"/>
    </row>
    <row r="1115" spans="1:9">
      <c r="A1115" s="327"/>
      <c r="B1115" s="327"/>
      <c r="C1115" s="327"/>
    </row>
    <row r="1116" spans="1:9">
      <c r="A1116" s="327"/>
      <c r="B1116" s="327"/>
      <c r="C1116" s="327"/>
    </row>
    <row r="1117" spans="1:9">
      <c r="A1117" s="327"/>
      <c r="B1117" s="327"/>
      <c r="C1117" s="327"/>
    </row>
    <row r="1118" spans="1:9">
      <c r="A1118" s="327"/>
      <c r="B1118" s="327"/>
      <c r="C1118" s="327"/>
    </row>
    <row r="1119" spans="1:9">
      <c r="A1119" s="327"/>
      <c r="B1119" s="327"/>
      <c r="C1119" s="327"/>
    </row>
    <row r="1120" spans="1:9">
      <c r="A1120" s="327"/>
      <c r="B1120" s="327"/>
      <c r="C1120" s="327"/>
    </row>
    <row r="1121" spans="1:3">
      <c r="A1121" s="327"/>
      <c r="B1121" s="327"/>
      <c r="C1121" s="327"/>
    </row>
    <row r="1122" spans="1:3">
      <c r="A1122" s="327"/>
      <c r="B1122" s="327"/>
      <c r="C1122" s="327"/>
    </row>
    <row r="1123" spans="1:3">
      <c r="A1123" s="327"/>
      <c r="B1123" s="327"/>
      <c r="C1123" s="327"/>
    </row>
    <row r="1124" spans="1:3">
      <c r="A1124" s="327"/>
      <c r="B1124" s="327"/>
      <c r="C1124" s="327"/>
    </row>
    <row r="1125" spans="1:3">
      <c r="A1125" s="327"/>
      <c r="B1125" s="327"/>
      <c r="C1125" s="327"/>
    </row>
    <row r="1126" spans="1:3">
      <c r="A1126" s="327"/>
      <c r="B1126" s="327"/>
      <c r="C1126" s="327"/>
    </row>
    <row r="1127" spans="1:3">
      <c r="A1127" s="327"/>
      <c r="B1127" s="327"/>
      <c r="C1127" s="327"/>
    </row>
    <row r="1128" spans="1:3">
      <c r="A1128" s="327"/>
      <c r="B1128" s="327"/>
      <c r="C1128" s="327"/>
    </row>
    <row r="1129" spans="1:3">
      <c r="A1129" s="327"/>
      <c r="B1129" s="327"/>
      <c r="C1129" s="327"/>
    </row>
    <row r="1130" spans="1:3"/>
    <row r="1131" spans="1:3"/>
    <row r="1132" spans="1:3"/>
    <row r="1133" spans="1:3"/>
    <row r="1134" spans="1:3"/>
    <row r="1135" spans="1:3"/>
    <row r="1136" spans="1:3"/>
    <row r="1137" spans="1:3">
      <c r="A1137" s="327"/>
      <c r="B1137" s="327"/>
      <c r="C1137" s="327"/>
    </row>
    <row r="1138" spans="1:3">
      <c r="A1138" s="327"/>
      <c r="B1138" s="327"/>
      <c r="C1138" s="327"/>
    </row>
    <row r="1139" spans="1:3">
      <c r="A1139" s="327"/>
      <c r="B1139" s="327"/>
      <c r="C1139" s="327"/>
    </row>
    <row r="1140" spans="1:3">
      <c r="A1140" s="327"/>
      <c r="B1140" s="327"/>
      <c r="C1140" s="327"/>
    </row>
    <row r="1141" spans="1:3">
      <c r="A1141" s="327"/>
      <c r="B1141" s="327"/>
      <c r="C1141" s="327"/>
    </row>
    <row r="1142" spans="1:3">
      <c r="A1142" s="327"/>
      <c r="B1142" s="327"/>
      <c r="C1142" s="327"/>
    </row>
    <row r="1143" spans="1:3">
      <c r="A1143" s="327"/>
      <c r="B1143" s="327"/>
      <c r="C1143" s="327"/>
    </row>
    <row r="1144" spans="1:3">
      <c r="A1144" s="327"/>
      <c r="B1144" s="327"/>
      <c r="C1144" s="327"/>
    </row>
    <row r="1145" spans="1:3">
      <c r="A1145" s="327"/>
      <c r="B1145" s="327"/>
      <c r="C1145" s="327"/>
    </row>
    <row r="1146" spans="1:3">
      <c r="A1146" s="327"/>
      <c r="B1146" s="327"/>
      <c r="C1146" s="327"/>
    </row>
    <row r="1147" spans="1:3">
      <c r="A1147" s="327"/>
      <c r="B1147" s="327"/>
      <c r="C1147" s="327"/>
    </row>
    <row r="1148" spans="1:3">
      <c r="A1148" s="327"/>
      <c r="B1148" s="327"/>
      <c r="C1148" s="327"/>
    </row>
    <row r="1149" spans="1:3">
      <c r="A1149" s="327"/>
      <c r="B1149" s="327"/>
      <c r="C1149" s="327"/>
    </row>
    <row r="1150" spans="1:3">
      <c r="A1150" s="327"/>
      <c r="B1150" s="327"/>
      <c r="C1150" s="327"/>
    </row>
    <row r="1151" spans="1:3">
      <c r="A1151" s="327"/>
      <c r="B1151" s="327"/>
      <c r="C1151" s="327"/>
    </row>
    <row r="1152" spans="1:3">
      <c r="A1152" s="327"/>
      <c r="B1152" s="327"/>
      <c r="C1152" s="327"/>
    </row>
    <row r="1153" spans="1:3">
      <c r="A1153" s="327"/>
      <c r="B1153" s="327"/>
      <c r="C1153" s="327"/>
    </row>
    <row r="1154" spans="1:3">
      <c r="A1154" s="327"/>
      <c r="B1154" s="327"/>
      <c r="C1154" s="327"/>
    </row>
    <row r="1155" spans="1:3">
      <c r="A1155" s="327"/>
      <c r="B1155" s="327"/>
      <c r="C1155" s="327"/>
    </row>
    <row r="1156" spans="1:3">
      <c r="A1156" s="327"/>
      <c r="B1156" s="327"/>
      <c r="C1156" s="327"/>
    </row>
    <row r="1157" spans="1:3">
      <c r="A1157" s="327"/>
      <c r="B1157" s="327"/>
      <c r="C1157" s="327"/>
    </row>
    <row r="1158" spans="1:3">
      <c r="A1158" s="327"/>
      <c r="B1158" s="327"/>
      <c r="C1158" s="327"/>
    </row>
    <row r="1159" spans="1:3">
      <c r="A1159" s="327"/>
      <c r="B1159" s="327"/>
      <c r="C1159" s="327"/>
    </row>
    <row r="1160" spans="1:3">
      <c r="A1160" s="327"/>
      <c r="B1160" s="327"/>
      <c r="C1160" s="327"/>
    </row>
    <row r="1161" spans="1:3">
      <c r="A1161" s="327"/>
      <c r="B1161" s="327"/>
      <c r="C1161" s="327"/>
    </row>
    <row r="1162" spans="1:3">
      <c r="A1162" s="327"/>
      <c r="B1162" s="327"/>
      <c r="C1162" s="327"/>
    </row>
    <row r="1163" spans="1:3">
      <c r="A1163" s="327"/>
      <c r="B1163" s="327"/>
      <c r="C1163" s="327"/>
    </row>
    <row r="1164" spans="1:3">
      <c r="A1164" s="327"/>
      <c r="B1164" s="327"/>
      <c r="C1164" s="327"/>
    </row>
    <row r="1165" spans="1:3">
      <c r="A1165" s="327"/>
      <c r="B1165" s="327"/>
      <c r="C1165" s="327"/>
    </row>
    <row r="1166" spans="1:3">
      <c r="A1166" s="327"/>
      <c r="B1166" s="327"/>
      <c r="C1166" s="327"/>
    </row>
    <row r="1167" spans="1:3">
      <c r="A1167" s="327"/>
      <c r="B1167" s="327"/>
      <c r="C1167" s="327"/>
    </row>
    <row r="1168" spans="1:3">
      <c r="A1168" s="327"/>
      <c r="B1168" s="327"/>
      <c r="C1168" s="327"/>
    </row>
    <row r="1169" spans="1:3">
      <c r="A1169" s="327"/>
      <c r="B1169" s="327"/>
      <c r="C1169" s="327"/>
    </row>
    <row r="1170" spans="1:3">
      <c r="A1170" s="327"/>
      <c r="B1170" s="327"/>
      <c r="C1170" s="327"/>
    </row>
    <row r="1171" spans="1:3">
      <c r="A1171" s="327"/>
      <c r="B1171" s="327"/>
      <c r="C1171" s="327"/>
    </row>
    <row r="1172" spans="1:3">
      <c r="A1172" s="327"/>
      <c r="B1172" s="327"/>
      <c r="C1172" s="327"/>
    </row>
    <row r="1173" spans="1:3">
      <c r="A1173" s="327"/>
      <c r="B1173" s="327"/>
      <c r="C1173" s="327"/>
    </row>
    <row r="1174" spans="1:3">
      <c r="A1174" s="327"/>
      <c r="B1174" s="327"/>
      <c r="C1174" s="327"/>
    </row>
    <row r="1175" spans="1:3">
      <c r="A1175" s="327"/>
      <c r="B1175" s="327"/>
      <c r="C1175" s="327"/>
    </row>
    <row r="1176" spans="1:3">
      <c r="A1176" s="327"/>
      <c r="B1176" s="327"/>
      <c r="C1176" s="327"/>
    </row>
    <row r="1177" spans="1:3">
      <c r="A1177" s="327"/>
      <c r="B1177" s="327"/>
      <c r="C1177" s="327"/>
    </row>
    <row r="1178" spans="1:3">
      <c r="A1178" s="327"/>
      <c r="B1178" s="327"/>
      <c r="C1178" s="327"/>
    </row>
    <row r="1179" spans="1:3">
      <c r="A1179" s="327"/>
      <c r="B1179" s="327"/>
      <c r="C1179" s="327"/>
    </row>
    <row r="1180" spans="1:3">
      <c r="A1180" s="327"/>
      <c r="B1180" s="327"/>
      <c r="C1180" s="327"/>
    </row>
    <row r="1181" spans="1:3">
      <c r="A1181" s="327"/>
      <c r="B1181" s="327"/>
      <c r="C1181" s="327"/>
    </row>
    <row r="1182" spans="1:3">
      <c r="A1182" s="327"/>
      <c r="B1182" s="327"/>
      <c r="C1182" s="327"/>
    </row>
    <row r="1183" spans="1:3">
      <c r="A1183" s="327"/>
      <c r="B1183" s="327"/>
      <c r="C1183" s="327"/>
    </row>
    <row r="1184" spans="1:3">
      <c r="A1184" s="327"/>
      <c r="B1184" s="327"/>
      <c r="C1184" s="327"/>
    </row>
    <row r="1185" spans="1:3">
      <c r="A1185" s="327"/>
      <c r="B1185" s="327"/>
      <c r="C1185" s="327"/>
    </row>
    <row r="1186" spans="1:3">
      <c r="A1186" s="327"/>
      <c r="B1186" s="327"/>
      <c r="C1186" s="327"/>
    </row>
    <row r="1187" spans="1:3">
      <c r="A1187" s="327"/>
      <c r="B1187" s="327"/>
      <c r="C1187" s="327"/>
    </row>
    <row r="1188" spans="1:3">
      <c r="A1188" s="327"/>
      <c r="B1188" s="327"/>
      <c r="C1188" s="327"/>
    </row>
    <row r="1189" spans="1:3">
      <c r="A1189" s="327"/>
      <c r="B1189" s="327"/>
      <c r="C1189" s="327"/>
    </row>
    <row r="1190" spans="1:3">
      <c r="A1190" s="327"/>
      <c r="B1190" s="327"/>
      <c r="C1190" s="327"/>
    </row>
    <row r="1191" spans="1:3">
      <c r="A1191" s="327"/>
      <c r="B1191" s="327"/>
      <c r="C1191" s="327"/>
    </row>
    <row r="1192" spans="1:3">
      <c r="A1192" s="327"/>
      <c r="B1192" s="327"/>
      <c r="C1192" s="327"/>
    </row>
    <row r="1193" spans="1:3">
      <c r="A1193" s="327"/>
      <c r="B1193" s="327"/>
      <c r="C1193" s="327"/>
    </row>
    <row r="1194" spans="1:3">
      <c r="A1194" s="327"/>
      <c r="B1194" s="327"/>
      <c r="C1194" s="327"/>
    </row>
    <row r="1195" spans="1:3">
      <c r="A1195" s="327"/>
      <c r="B1195" s="327"/>
      <c r="C1195" s="327"/>
    </row>
    <row r="1196" spans="1:3">
      <c r="A1196" s="327"/>
      <c r="B1196" s="327"/>
      <c r="C1196" s="327"/>
    </row>
    <row r="1197" spans="1:3">
      <c r="A1197" s="327"/>
      <c r="B1197" s="327"/>
      <c r="C1197" s="327"/>
    </row>
    <row r="1198" spans="1:3">
      <c r="A1198" s="327"/>
      <c r="B1198" s="327"/>
      <c r="C1198" s="327"/>
    </row>
    <row r="1199" spans="1:3">
      <c r="A1199" s="327"/>
      <c r="B1199" s="327"/>
      <c r="C1199" s="327"/>
    </row>
    <row r="1200" spans="1:3">
      <c r="A1200" s="327"/>
      <c r="B1200" s="327"/>
      <c r="C1200" s="327"/>
    </row>
    <row r="1201" spans="1:3">
      <c r="A1201" s="327"/>
      <c r="B1201" s="327"/>
      <c r="C1201" s="327"/>
    </row>
    <row r="1202" spans="1:3">
      <c r="A1202" s="327"/>
      <c r="B1202" s="327"/>
      <c r="C1202" s="327"/>
    </row>
    <row r="1203" spans="1:3">
      <c r="A1203" s="327"/>
      <c r="B1203" s="327"/>
      <c r="C1203" s="327"/>
    </row>
    <row r="1204" spans="1:3">
      <c r="A1204" s="327"/>
      <c r="B1204" s="327"/>
      <c r="C1204" s="327"/>
    </row>
    <row r="1205" spans="1:3">
      <c r="A1205" s="327"/>
      <c r="B1205" s="327"/>
      <c r="C1205" s="327"/>
    </row>
    <row r="1206" spans="1:3">
      <c r="A1206" s="327"/>
      <c r="B1206" s="327"/>
      <c r="C1206" s="327"/>
    </row>
    <row r="1207" spans="1:3">
      <c r="A1207" s="327"/>
      <c r="B1207" s="327"/>
      <c r="C1207" s="327"/>
    </row>
    <row r="1208" spans="1:3">
      <c r="A1208" s="327"/>
      <c r="B1208" s="327"/>
      <c r="C1208" s="327"/>
    </row>
    <row r="1209" spans="1:3">
      <c r="A1209" s="327"/>
      <c r="B1209" s="327"/>
      <c r="C1209" s="327"/>
    </row>
    <row r="1210" spans="1:3">
      <c r="A1210" s="327"/>
      <c r="B1210" s="327"/>
      <c r="C1210" s="327"/>
    </row>
    <row r="1211" spans="1:3">
      <c r="A1211" s="327"/>
      <c r="B1211" s="327"/>
      <c r="C1211" s="327"/>
    </row>
    <row r="1212" spans="1:3">
      <c r="A1212" s="327"/>
      <c r="B1212" s="327"/>
      <c r="C1212" s="327"/>
    </row>
    <row r="1213" spans="1:3">
      <c r="A1213" s="327"/>
      <c r="B1213" s="327"/>
      <c r="C1213" s="327"/>
    </row>
    <row r="1214" spans="1:3">
      <c r="A1214" s="327"/>
      <c r="B1214" s="327"/>
      <c r="C1214" s="327"/>
    </row>
    <row r="1215" spans="1:3">
      <c r="A1215" s="327"/>
      <c r="B1215" s="327"/>
      <c r="C1215" s="327"/>
    </row>
    <row r="1216" spans="1:3">
      <c r="A1216" s="327"/>
      <c r="B1216" s="327"/>
      <c r="C1216" s="327"/>
    </row>
    <row r="1217" spans="1:3">
      <c r="A1217" s="327"/>
      <c r="B1217" s="327"/>
      <c r="C1217" s="327"/>
    </row>
    <row r="1218" spans="1:3">
      <c r="A1218" s="327"/>
      <c r="B1218" s="327"/>
      <c r="C1218" s="327"/>
    </row>
    <row r="1219" spans="1:3">
      <c r="A1219" s="327"/>
      <c r="B1219" s="327"/>
      <c r="C1219" s="327"/>
    </row>
    <row r="1220" spans="1:3">
      <c r="A1220" s="327"/>
      <c r="B1220" s="327"/>
      <c r="C1220" s="327"/>
    </row>
    <row r="1221" spans="1:3">
      <c r="A1221" s="327"/>
      <c r="B1221" s="327"/>
      <c r="C1221" s="327"/>
    </row>
    <row r="1222" spans="1:3">
      <c r="A1222" s="327"/>
      <c r="B1222" s="327"/>
      <c r="C1222" s="327"/>
    </row>
    <row r="1223" spans="1:3">
      <c r="A1223" s="327"/>
      <c r="B1223" s="327"/>
      <c r="C1223" s="327"/>
    </row>
    <row r="1224" spans="1:3">
      <c r="A1224" s="327"/>
      <c r="B1224" s="327"/>
      <c r="C1224" s="327"/>
    </row>
    <row r="1225" spans="1:3">
      <c r="A1225" s="327"/>
      <c r="B1225" s="327"/>
      <c r="C1225" s="327"/>
    </row>
    <row r="1226" spans="1:3">
      <c r="A1226" s="327"/>
      <c r="B1226" s="327"/>
      <c r="C1226" s="327"/>
    </row>
    <row r="1227" spans="1:3">
      <c r="A1227" s="327"/>
      <c r="B1227" s="327"/>
      <c r="C1227" s="327"/>
    </row>
    <row r="1228" spans="1:3">
      <c r="A1228" s="327"/>
      <c r="B1228" s="327"/>
      <c r="C1228" s="327"/>
    </row>
    <row r="1229" spans="1:3">
      <c r="A1229" s="327"/>
      <c r="B1229" s="327"/>
      <c r="C1229" s="327"/>
    </row>
    <row r="1230" spans="1:3">
      <c r="A1230" s="327"/>
      <c r="B1230" s="327"/>
      <c r="C1230" s="327"/>
    </row>
    <row r="1231" spans="1:3">
      <c r="A1231" s="327"/>
      <c r="B1231" s="327"/>
      <c r="C1231" s="327"/>
    </row>
    <row r="1232" spans="1:3">
      <c r="A1232" s="327"/>
      <c r="B1232" s="327"/>
      <c r="C1232" s="327"/>
    </row>
    <row r="1233" spans="1:3">
      <c r="A1233" s="327"/>
      <c r="B1233" s="327"/>
      <c r="C1233" s="327"/>
    </row>
    <row r="1234" spans="1:3">
      <c r="A1234" s="327"/>
      <c r="B1234" s="327"/>
      <c r="C1234" s="327"/>
    </row>
    <row r="1235" spans="1:3">
      <c r="A1235" s="327"/>
      <c r="B1235" s="327"/>
      <c r="C1235" s="327"/>
    </row>
    <row r="1236" spans="1:3">
      <c r="A1236" s="327"/>
      <c r="B1236" s="327"/>
      <c r="C1236" s="327"/>
    </row>
    <row r="1237" spans="1:3">
      <c r="A1237" s="327"/>
      <c r="B1237" s="327"/>
      <c r="C1237" s="327"/>
    </row>
    <row r="1238" spans="1:3">
      <c r="A1238" s="327"/>
      <c r="B1238" s="327"/>
      <c r="C1238" s="327"/>
    </row>
    <row r="1239" spans="1:3">
      <c r="A1239" s="327"/>
      <c r="B1239" s="327"/>
      <c r="C1239" s="327"/>
    </row>
    <row r="1240" spans="1:3">
      <c r="A1240" s="327"/>
      <c r="B1240" s="327"/>
      <c r="C1240" s="327"/>
    </row>
    <row r="1241" spans="1:3">
      <c r="A1241" s="327"/>
      <c r="B1241" s="327"/>
      <c r="C1241" s="327"/>
    </row>
    <row r="1242" spans="1:3">
      <c r="A1242" s="327"/>
      <c r="B1242" s="327"/>
      <c r="C1242" s="327"/>
    </row>
    <row r="1243" spans="1:3">
      <c r="A1243" s="327"/>
      <c r="B1243" s="327"/>
      <c r="C1243" s="327"/>
    </row>
    <row r="1244" spans="1:3">
      <c r="A1244" s="327"/>
      <c r="B1244" s="327"/>
      <c r="C1244" s="327"/>
    </row>
    <row r="1245" spans="1:3">
      <c r="A1245" s="327"/>
      <c r="B1245" s="327"/>
      <c r="C1245" s="327"/>
    </row>
    <row r="1246" spans="1:3">
      <c r="A1246" s="327"/>
      <c r="B1246" s="327"/>
      <c r="C1246" s="327"/>
    </row>
    <row r="1247" spans="1:3">
      <c r="A1247" s="327"/>
      <c r="B1247" s="327"/>
      <c r="C1247" s="327"/>
    </row>
    <row r="1248" spans="1:3">
      <c r="A1248" s="327"/>
      <c r="B1248" s="327"/>
      <c r="C1248" s="327"/>
    </row>
    <row r="1249" spans="1:3">
      <c r="A1249" s="327"/>
      <c r="B1249" s="327"/>
      <c r="C1249" s="327"/>
    </row>
    <row r="1250" spans="1:3">
      <c r="A1250" s="327"/>
      <c r="B1250" s="327"/>
      <c r="C1250" s="327"/>
    </row>
    <row r="1251" spans="1:3">
      <c r="A1251" s="327"/>
      <c r="B1251" s="327"/>
      <c r="C1251" s="327"/>
    </row>
    <row r="1252" spans="1:3">
      <c r="A1252" s="327"/>
      <c r="B1252" s="327"/>
      <c r="C1252" s="327"/>
    </row>
    <row r="1253" spans="1:3">
      <c r="A1253" s="327"/>
      <c r="B1253" s="327"/>
      <c r="C1253" s="327"/>
    </row>
    <row r="1254" spans="1:3">
      <c r="A1254" s="327"/>
      <c r="B1254" s="327"/>
      <c r="C1254" s="327"/>
    </row>
    <row r="1255" spans="1:3">
      <c r="A1255" s="327"/>
      <c r="B1255" s="327"/>
      <c r="C1255" s="327"/>
    </row>
    <row r="1256" spans="1:3">
      <c r="A1256" s="327"/>
      <c r="B1256" s="327"/>
      <c r="C1256" s="327"/>
    </row>
    <row r="1257" spans="1:3">
      <c r="A1257" s="327"/>
      <c r="B1257" s="327"/>
      <c r="C1257" s="327"/>
    </row>
    <row r="1258" spans="1:3">
      <c r="A1258" s="327"/>
      <c r="B1258" s="327"/>
      <c r="C1258" s="327"/>
    </row>
    <row r="1259" spans="1:3">
      <c r="A1259" s="327"/>
      <c r="B1259" s="327"/>
      <c r="C1259" s="327"/>
    </row>
    <row r="1260" spans="1:3">
      <c r="A1260" s="327"/>
      <c r="B1260" s="327"/>
      <c r="C1260" s="327"/>
    </row>
    <row r="1261" spans="1:3">
      <c r="A1261" s="327"/>
      <c r="B1261" s="327"/>
      <c r="C1261" s="327"/>
    </row>
    <row r="1262" spans="1:3">
      <c r="A1262" s="327"/>
      <c r="B1262" s="327"/>
      <c r="C1262" s="327"/>
    </row>
    <row r="1263" spans="1:3">
      <c r="A1263" s="327"/>
      <c r="B1263" s="327"/>
      <c r="C1263" s="327"/>
    </row>
    <row r="1264" spans="1:3">
      <c r="A1264" s="327"/>
      <c r="B1264" s="327"/>
      <c r="C1264" s="327"/>
    </row>
    <row r="1265" spans="1:3">
      <c r="A1265" s="327"/>
      <c r="B1265" s="327"/>
      <c r="C1265" s="327"/>
    </row>
    <row r="1266" spans="1:3">
      <c r="A1266" s="327"/>
      <c r="B1266" s="327"/>
      <c r="C1266" s="327"/>
    </row>
    <row r="1267" spans="1:3">
      <c r="A1267" s="327"/>
      <c r="B1267" s="327"/>
      <c r="C1267" s="327"/>
    </row>
    <row r="1268" spans="1:3">
      <c r="A1268" s="327"/>
      <c r="B1268" s="327"/>
      <c r="C1268" s="327"/>
    </row>
    <row r="1269" spans="1:3">
      <c r="A1269" s="327"/>
      <c r="B1269" s="327"/>
      <c r="C1269" s="327"/>
    </row>
    <row r="1270" spans="1:3">
      <c r="A1270" s="327"/>
      <c r="B1270" s="327"/>
      <c r="C1270" s="327"/>
    </row>
    <row r="1271" spans="1:3">
      <c r="A1271" s="327"/>
      <c r="B1271" s="327"/>
      <c r="C1271" s="327"/>
    </row>
    <row r="1272" spans="1:3">
      <c r="A1272" s="327"/>
      <c r="B1272" s="327"/>
      <c r="C1272" s="327"/>
    </row>
    <row r="1273" spans="1:3">
      <c r="A1273" s="327"/>
      <c r="B1273" s="327"/>
      <c r="C1273" s="327"/>
    </row>
    <row r="1274" spans="1:3">
      <c r="A1274" s="327"/>
      <c r="B1274" s="327"/>
      <c r="C1274" s="327"/>
    </row>
    <row r="1275" spans="1:3">
      <c r="A1275" s="327"/>
      <c r="B1275" s="327"/>
      <c r="C1275" s="327"/>
    </row>
    <row r="1276" spans="1:3">
      <c r="A1276" s="327"/>
      <c r="B1276" s="327"/>
      <c r="C1276" s="327"/>
    </row>
    <row r="1277" spans="1:3">
      <c r="A1277" s="327"/>
      <c r="B1277" s="327"/>
      <c r="C1277" s="327"/>
    </row>
    <row r="1278" spans="1:3">
      <c r="A1278" s="327"/>
      <c r="B1278" s="327"/>
      <c r="C1278" s="327"/>
    </row>
    <row r="1279" spans="1:3">
      <c r="A1279" s="327"/>
      <c r="B1279" s="327"/>
      <c r="C1279" s="327"/>
    </row>
    <row r="1280" spans="1:3">
      <c r="A1280" s="327"/>
      <c r="B1280" s="327"/>
      <c r="C1280" s="327"/>
    </row>
    <row r="1281" spans="1:3">
      <c r="A1281" s="327"/>
      <c r="B1281" s="327"/>
      <c r="C1281" s="327"/>
    </row>
    <row r="1282" spans="1:3">
      <c r="A1282" s="327"/>
      <c r="B1282" s="327"/>
      <c r="C1282" s="327"/>
    </row>
    <row r="1283" spans="1:3">
      <c r="A1283" s="327"/>
      <c r="B1283" s="327"/>
      <c r="C1283" s="327"/>
    </row>
    <row r="1284" spans="1:3">
      <c r="A1284" s="327"/>
      <c r="B1284" s="327"/>
      <c r="C1284" s="327"/>
    </row>
    <row r="1285" spans="1:3">
      <c r="A1285" s="327"/>
      <c r="B1285" s="327"/>
      <c r="C1285" s="327"/>
    </row>
    <row r="1286" spans="1:3">
      <c r="A1286" s="327"/>
      <c r="B1286" s="327"/>
      <c r="C1286" s="327"/>
    </row>
    <row r="1287" spans="1:3">
      <c r="A1287" s="327"/>
      <c r="B1287" s="327"/>
      <c r="C1287" s="327"/>
    </row>
    <row r="1288" spans="1:3">
      <c r="A1288" s="327"/>
      <c r="B1288" s="327"/>
      <c r="C1288" s="327"/>
    </row>
    <row r="1289" spans="1:3">
      <c r="A1289" s="327"/>
      <c r="B1289" s="327"/>
      <c r="C1289" s="327"/>
    </row>
    <row r="1290" spans="1:3">
      <c r="A1290" s="327"/>
      <c r="B1290" s="327"/>
      <c r="C1290" s="327"/>
    </row>
    <row r="1291" spans="1:3">
      <c r="A1291" s="327"/>
      <c r="B1291" s="327"/>
      <c r="C1291" s="327"/>
    </row>
    <row r="1292" spans="1:3">
      <c r="A1292" s="327"/>
      <c r="B1292" s="327"/>
      <c r="C1292" s="327"/>
    </row>
    <row r="1293" spans="1:3">
      <c r="A1293" s="327"/>
      <c r="B1293" s="327"/>
      <c r="C1293" s="327"/>
    </row>
    <row r="1294" spans="1:3">
      <c r="A1294" s="327"/>
      <c r="B1294" s="327"/>
      <c r="C1294" s="327"/>
    </row>
    <row r="1295" spans="1:3">
      <c r="A1295" s="327"/>
      <c r="B1295" s="327"/>
      <c r="C1295" s="327"/>
    </row>
    <row r="1296" spans="1:3">
      <c r="A1296" s="327"/>
      <c r="B1296" s="327"/>
      <c r="C1296" s="327"/>
    </row>
    <row r="1297" spans="1:3">
      <c r="A1297" s="327"/>
      <c r="B1297" s="327"/>
      <c r="C1297" s="327"/>
    </row>
    <row r="1298" spans="1:3">
      <c r="A1298" s="327"/>
      <c r="B1298" s="327"/>
      <c r="C1298" s="327"/>
    </row>
    <row r="1299" spans="1:3">
      <c r="A1299" s="327"/>
      <c r="B1299" s="327"/>
      <c r="C1299" s="327"/>
    </row>
    <row r="1300" spans="1:3">
      <c r="A1300" s="327"/>
      <c r="B1300" s="327"/>
      <c r="C1300" s="327"/>
    </row>
    <row r="1301" spans="1:3">
      <c r="A1301" s="327"/>
      <c r="B1301" s="327"/>
      <c r="C1301" s="327"/>
    </row>
    <row r="1302" spans="1:3">
      <c r="A1302" s="327"/>
      <c r="B1302" s="327"/>
      <c r="C1302" s="327"/>
    </row>
    <row r="1303" spans="1:3">
      <c r="A1303" s="327"/>
      <c r="B1303" s="327"/>
      <c r="C1303" s="327"/>
    </row>
    <row r="1304" spans="1:3">
      <c r="A1304" s="327"/>
      <c r="B1304" s="327"/>
      <c r="C1304" s="327"/>
    </row>
    <row r="1305" spans="1:3">
      <c r="A1305" s="327"/>
      <c r="B1305" s="327"/>
      <c r="C1305" s="327"/>
    </row>
    <row r="1306" spans="1:3">
      <c r="A1306" s="327"/>
      <c r="B1306" s="327"/>
      <c r="C1306" s="327"/>
    </row>
    <row r="1307" spans="1:3">
      <c r="A1307" s="327"/>
      <c r="B1307" s="327"/>
      <c r="C1307" s="327"/>
    </row>
    <row r="1308" spans="1:3">
      <c r="A1308" s="327"/>
      <c r="B1308" s="327"/>
      <c r="C1308" s="327"/>
    </row>
    <row r="1309" spans="1:3">
      <c r="A1309" s="327"/>
      <c r="B1309" s="327"/>
      <c r="C1309" s="327"/>
    </row>
    <row r="1310" spans="1:3">
      <c r="A1310" s="327"/>
      <c r="B1310" s="327"/>
      <c r="C1310" s="327"/>
    </row>
    <row r="1311" spans="1:3">
      <c r="A1311" s="327"/>
      <c r="B1311" s="327"/>
      <c r="C1311" s="327"/>
    </row>
    <row r="1312" spans="1:3">
      <c r="A1312" s="327"/>
      <c r="B1312" s="327"/>
      <c r="C1312" s="327"/>
    </row>
    <row r="1313" spans="1:3">
      <c r="A1313" s="327"/>
      <c r="B1313" s="327"/>
      <c r="C1313" s="327"/>
    </row>
    <row r="1314" spans="1:3">
      <c r="A1314" s="327"/>
      <c r="B1314" s="327"/>
      <c r="C1314" s="327"/>
    </row>
    <row r="1315" spans="1:3">
      <c r="A1315" s="327"/>
      <c r="B1315" s="327"/>
      <c r="C1315" s="327"/>
    </row>
    <row r="1316" spans="1:3">
      <c r="A1316" s="327"/>
      <c r="B1316" s="327"/>
      <c r="C1316" s="327"/>
    </row>
    <row r="1317" spans="1:3">
      <c r="A1317" s="327"/>
      <c r="B1317" s="327"/>
      <c r="C1317" s="327"/>
    </row>
    <row r="1318" spans="1:3">
      <c r="A1318" s="327"/>
      <c r="B1318" s="327"/>
      <c r="C1318" s="327"/>
    </row>
    <row r="1319" spans="1:3">
      <c r="A1319" s="327"/>
      <c r="B1319" s="327"/>
      <c r="C1319" s="327"/>
    </row>
    <row r="1320" spans="1:3">
      <c r="A1320" s="327"/>
      <c r="B1320" s="327"/>
      <c r="C1320" s="327"/>
    </row>
    <row r="1321" spans="1:3">
      <c r="A1321" s="327"/>
      <c r="B1321" s="327"/>
      <c r="C1321" s="327"/>
    </row>
    <row r="1322" spans="1:3">
      <c r="A1322" s="327"/>
      <c r="B1322" s="327"/>
      <c r="C1322" s="327"/>
    </row>
    <row r="1323" spans="1:3">
      <c r="A1323" s="327"/>
      <c r="B1323" s="327"/>
      <c r="C1323" s="327"/>
    </row>
    <row r="1324" spans="1:3">
      <c r="A1324" s="327"/>
      <c r="B1324" s="327"/>
      <c r="C1324" s="327"/>
    </row>
    <row r="1325" spans="1:3">
      <c r="A1325" s="327"/>
      <c r="B1325" s="327"/>
      <c r="C1325" s="327"/>
    </row>
    <row r="1326" spans="1:3">
      <c r="A1326" s="327"/>
      <c r="B1326" s="327"/>
      <c r="C1326" s="327"/>
    </row>
    <row r="1327" spans="1:3">
      <c r="A1327" s="327"/>
      <c r="B1327" s="327"/>
      <c r="C1327" s="327"/>
    </row>
    <row r="1328" spans="1:3">
      <c r="A1328" s="327"/>
      <c r="B1328" s="327"/>
      <c r="C1328" s="327"/>
    </row>
    <row r="1329" spans="1:3">
      <c r="A1329" s="327"/>
      <c r="B1329" s="327"/>
      <c r="C1329" s="327"/>
    </row>
    <row r="1330" spans="1:3">
      <c r="A1330" s="327"/>
      <c r="B1330" s="327"/>
      <c r="C1330" s="327"/>
    </row>
    <row r="1331" spans="1:3">
      <c r="A1331" s="327"/>
      <c r="B1331" s="327"/>
      <c r="C1331" s="327"/>
    </row>
    <row r="1332" spans="1:3">
      <c r="A1332" s="327"/>
      <c r="B1332" s="327"/>
      <c r="C1332" s="327"/>
    </row>
    <row r="1333" spans="1:3">
      <c r="A1333" s="327"/>
      <c r="B1333" s="327"/>
      <c r="C1333" s="327"/>
    </row>
    <row r="1334" spans="1:3">
      <c r="A1334" s="327"/>
      <c r="B1334" s="327"/>
      <c r="C1334" s="327"/>
    </row>
    <row r="1335" spans="1:3">
      <c r="A1335" s="327"/>
      <c r="B1335" s="327"/>
      <c r="C1335" s="327"/>
    </row>
    <row r="1336" spans="1:3">
      <c r="A1336" s="327"/>
      <c r="B1336" s="327"/>
      <c r="C1336" s="327"/>
    </row>
    <row r="1337" spans="1:3">
      <c r="A1337" s="327"/>
      <c r="B1337" s="327"/>
      <c r="C1337" s="327"/>
    </row>
    <row r="1338" spans="1:3">
      <c r="A1338" s="327"/>
      <c r="B1338" s="327"/>
      <c r="C1338" s="327"/>
    </row>
    <row r="1339" spans="1:3">
      <c r="A1339" s="327"/>
      <c r="B1339" s="327"/>
      <c r="C1339" s="327"/>
    </row>
    <row r="1340" spans="1:3">
      <c r="A1340" s="327"/>
      <c r="B1340" s="327"/>
      <c r="C1340" s="327"/>
    </row>
    <row r="1341" spans="1:3">
      <c r="A1341" s="327"/>
      <c r="B1341" s="327"/>
      <c r="C1341" s="327"/>
    </row>
    <row r="1342" spans="1:3">
      <c r="A1342" s="327"/>
      <c r="B1342" s="327"/>
      <c r="C1342" s="327"/>
    </row>
    <row r="1343" spans="1:3">
      <c r="A1343" s="327"/>
      <c r="B1343" s="327"/>
      <c r="C1343" s="327"/>
    </row>
    <row r="1344" spans="1:3">
      <c r="A1344" s="327"/>
      <c r="B1344" s="327"/>
      <c r="C1344" s="327"/>
    </row>
    <row r="1345" spans="1:3">
      <c r="A1345" s="327"/>
      <c r="B1345" s="327"/>
      <c r="C1345" s="327"/>
    </row>
    <row r="1346" spans="1:3">
      <c r="A1346" s="327"/>
      <c r="B1346" s="327"/>
      <c r="C1346" s="327"/>
    </row>
    <row r="1347" spans="1:3">
      <c r="A1347" s="327"/>
      <c r="B1347" s="327"/>
      <c r="C1347" s="327"/>
    </row>
    <row r="1348" spans="1:3">
      <c r="A1348" s="327"/>
      <c r="B1348" s="327"/>
      <c r="C1348" s="327"/>
    </row>
    <row r="1349" spans="1:3">
      <c r="A1349" s="327"/>
      <c r="B1349" s="327"/>
      <c r="C1349" s="327"/>
    </row>
    <row r="1350" spans="1:3">
      <c r="A1350" s="327"/>
      <c r="B1350" s="327"/>
      <c r="C1350" s="327"/>
    </row>
    <row r="1351" spans="1:3">
      <c r="A1351" s="327"/>
      <c r="B1351" s="327"/>
      <c r="C1351" s="327"/>
    </row>
    <row r="1352" spans="1:3">
      <c r="A1352" s="327"/>
      <c r="B1352" s="327"/>
      <c r="C1352" s="327"/>
    </row>
    <row r="1353" spans="1:3">
      <c r="A1353" s="327"/>
      <c r="B1353" s="327"/>
      <c r="C1353" s="327"/>
    </row>
    <row r="1354" spans="1:3">
      <c r="A1354" s="327"/>
      <c r="B1354" s="327"/>
      <c r="C1354" s="327"/>
    </row>
    <row r="1355" spans="1:3">
      <c r="A1355" s="327"/>
      <c r="B1355" s="327"/>
      <c r="C1355" s="327"/>
    </row>
    <row r="1356" spans="1:3">
      <c r="A1356" s="327"/>
      <c r="B1356" s="327"/>
      <c r="C1356" s="327"/>
    </row>
    <row r="1357" spans="1:3">
      <c r="A1357" s="327"/>
      <c r="B1357" s="327"/>
      <c r="C1357" s="327"/>
    </row>
    <row r="1358" spans="1:3">
      <c r="A1358" s="327"/>
      <c r="B1358" s="327"/>
      <c r="C1358" s="327"/>
    </row>
    <row r="1359" spans="1:3">
      <c r="A1359" s="327"/>
      <c r="B1359" s="327"/>
      <c r="C1359" s="327"/>
    </row>
    <row r="1360" spans="1:3">
      <c r="A1360" s="327"/>
      <c r="B1360" s="327"/>
      <c r="C1360" s="327"/>
    </row>
    <row r="1361" spans="1:3">
      <c r="A1361" s="327"/>
      <c r="B1361" s="327"/>
      <c r="C1361" s="327"/>
    </row>
    <row r="1362" spans="1:3">
      <c r="A1362" s="327"/>
      <c r="B1362" s="327"/>
      <c r="C1362" s="327"/>
    </row>
    <row r="1363" spans="1:3">
      <c r="A1363" s="327"/>
      <c r="B1363" s="327"/>
      <c r="C1363" s="327"/>
    </row>
    <row r="1364" spans="1:3">
      <c r="A1364" s="327"/>
      <c r="B1364" s="327"/>
      <c r="C1364" s="327"/>
    </row>
    <row r="1365" spans="1:3">
      <c r="A1365" s="327"/>
      <c r="B1365" s="327"/>
      <c r="C1365" s="327"/>
    </row>
    <row r="1366" spans="1:3">
      <c r="A1366" s="327"/>
      <c r="B1366" s="327"/>
      <c r="C1366" s="327"/>
    </row>
    <row r="1367" spans="1:3">
      <c r="A1367" s="327"/>
      <c r="B1367" s="327"/>
      <c r="C1367" s="327"/>
    </row>
    <row r="1368" spans="1:3">
      <c r="A1368" s="327"/>
      <c r="B1368" s="327"/>
      <c r="C1368" s="327"/>
    </row>
    <row r="1369" spans="1:3">
      <c r="A1369" s="327"/>
      <c r="B1369" s="327"/>
      <c r="C1369" s="327"/>
    </row>
    <row r="1370" spans="1:3">
      <c r="A1370" s="327"/>
      <c r="B1370" s="327"/>
      <c r="C1370" s="327"/>
    </row>
    <row r="1371" spans="1:3">
      <c r="A1371" s="327"/>
      <c r="B1371" s="327"/>
      <c r="C1371" s="327"/>
    </row>
    <row r="1372" spans="1:3">
      <c r="A1372" s="327"/>
      <c r="B1372" s="327"/>
      <c r="C1372" s="327"/>
    </row>
    <row r="1373" spans="1:3">
      <c r="A1373" s="327"/>
      <c r="B1373" s="327"/>
      <c r="C1373" s="327"/>
    </row>
    <row r="1374" spans="1:3">
      <c r="A1374" s="327"/>
      <c r="B1374" s="327"/>
      <c r="C1374" s="327"/>
    </row>
    <row r="1375" spans="1:3">
      <c r="A1375" s="327"/>
      <c r="B1375" s="327"/>
      <c r="C1375" s="327"/>
    </row>
    <row r="1376" spans="1:3">
      <c r="A1376" s="327"/>
      <c r="B1376" s="327"/>
      <c r="C1376" s="327"/>
    </row>
    <row r="1377" spans="1:3"/>
    <row r="1378" spans="1:3"/>
    <row r="1379" spans="1:3">
      <c r="A1379" s="327"/>
      <c r="B1379" s="327"/>
      <c r="C1379" s="327"/>
    </row>
    <row r="1380" spans="1:3">
      <c r="A1380" s="327"/>
      <c r="B1380" s="327"/>
      <c r="C1380" s="327"/>
    </row>
    <row r="1381" spans="1:3">
      <c r="A1381" s="327"/>
      <c r="B1381" s="327"/>
      <c r="C1381" s="327"/>
    </row>
    <row r="1382" spans="1:3">
      <c r="A1382" s="327"/>
      <c r="B1382" s="327"/>
      <c r="C1382" s="327"/>
    </row>
    <row r="1383" spans="1:3">
      <c r="A1383" s="327"/>
      <c r="B1383" s="327"/>
      <c r="C1383" s="327"/>
    </row>
    <row r="1384" spans="1:3">
      <c r="A1384" s="327"/>
      <c r="B1384" s="327"/>
      <c r="C1384" s="327"/>
    </row>
    <row r="1385" spans="1:3">
      <c r="A1385" s="327"/>
      <c r="B1385" s="327"/>
      <c r="C1385" s="327"/>
    </row>
    <row r="1386" spans="1:3">
      <c r="A1386" s="327"/>
      <c r="B1386" s="327"/>
      <c r="C1386" s="327"/>
    </row>
    <row r="1387" spans="1:3">
      <c r="A1387" s="327"/>
      <c r="B1387" s="327"/>
      <c r="C1387" s="327"/>
    </row>
    <row r="1388" spans="1:3">
      <c r="A1388" s="327"/>
      <c r="B1388" s="327"/>
      <c r="C1388" s="327"/>
    </row>
    <row r="1389" spans="1:3">
      <c r="A1389" s="327"/>
      <c r="B1389" s="327"/>
      <c r="C1389" s="327"/>
    </row>
    <row r="1390" spans="1:3">
      <c r="A1390" s="327"/>
      <c r="B1390" s="327"/>
      <c r="C1390" s="327"/>
    </row>
    <row r="1391" spans="1:3">
      <c r="A1391" s="327"/>
      <c r="B1391" s="327"/>
      <c r="C1391" s="327"/>
    </row>
    <row r="1392" spans="1:3">
      <c r="A1392" s="327"/>
      <c r="B1392" s="327"/>
      <c r="C1392" s="327"/>
    </row>
    <row r="1393" spans="1:3">
      <c r="A1393" s="327"/>
      <c r="B1393" s="327"/>
      <c r="C1393" s="327"/>
    </row>
    <row r="1394" spans="1:3">
      <c r="A1394" s="327"/>
      <c r="B1394" s="327"/>
      <c r="C1394" s="327"/>
    </row>
    <row r="1395" spans="1:3">
      <c r="A1395" s="327"/>
      <c r="B1395" s="327"/>
      <c r="C1395" s="327"/>
    </row>
    <row r="1396" spans="1:3">
      <c r="A1396" s="327"/>
      <c r="B1396" s="327"/>
      <c r="C1396" s="327"/>
    </row>
    <row r="1397" spans="1:3">
      <c r="A1397" s="327"/>
      <c r="B1397" s="327"/>
      <c r="C1397" s="327"/>
    </row>
    <row r="1398" spans="1:3">
      <c r="A1398" s="327"/>
      <c r="B1398" s="327"/>
      <c r="C1398" s="327"/>
    </row>
    <row r="1399" spans="1:3">
      <c r="A1399" s="327"/>
      <c r="B1399" s="327"/>
      <c r="C1399" s="327"/>
    </row>
    <row r="1400" spans="1:3">
      <c r="A1400" s="327"/>
      <c r="B1400" s="327"/>
      <c r="C1400" s="327"/>
    </row>
    <row r="1401" spans="1:3">
      <c r="A1401" s="327"/>
      <c r="B1401" s="327"/>
      <c r="C1401" s="327"/>
    </row>
    <row r="1402" spans="1:3">
      <c r="A1402" s="327"/>
      <c r="B1402" s="327"/>
      <c r="C1402" s="327"/>
    </row>
    <row r="1403" spans="1:3">
      <c r="A1403" s="327"/>
      <c r="B1403" s="327"/>
      <c r="C1403" s="327"/>
    </row>
    <row r="1404" spans="1:3">
      <c r="A1404" s="327"/>
      <c r="B1404" s="327"/>
      <c r="C1404" s="327"/>
    </row>
    <row r="1405" spans="1:3">
      <c r="A1405" s="327"/>
      <c r="B1405" s="327"/>
      <c r="C1405" s="327"/>
    </row>
    <row r="1406" spans="1:3">
      <c r="A1406" s="327"/>
      <c r="B1406" s="327"/>
      <c r="C1406" s="327"/>
    </row>
    <row r="1407" spans="1:3">
      <c r="A1407" s="327"/>
      <c r="B1407" s="327"/>
      <c r="C1407" s="327"/>
    </row>
    <row r="1408" spans="1:3">
      <c r="A1408" s="327"/>
      <c r="B1408" s="327"/>
      <c r="C1408" s="327"/>
    </row>
    <row r="1409" spans="1:3">
      <c r="A1409" s="327"/>
      <c r="B1409" s="327"/>
      <c r="C1409" s="327"/>
    </row>
    <row r="1410" spans="1:3">
      <c r="A1410" s="327"/>
      <c r="B1410" s="327"/>
      <c r="C1410" s="327"/>
    </row>
    <row r="1411" spans="1:3">
      <c r="A1411" s="327"/>
      <c r="B1411" s="327"/>
      <c r="C1411" s="327"/>
    </row>
    <row r="1412" spans="1:3">
      <c r="A1412" s="327"/>
      <c r="B1412" s="327"/>
      <c r="C1412" s="327"/>
    </row>
    <row r="1413" spans="1:3">
      <c r="A1413" s="327"/>
      <c r="B1413" s="327"/>
      <c r="C1413" s="327"/>
    </row>
    <row r="1414" spans="1:3">
      <c r="A1414" s="327"/>
      <c r="B1414" s="327"/>
      <c r="C1414" s="327"/>
    </row>
    <row r="1415" spans="1:3">
      <c r="A1415" s="327"/>
      <c r="B1415" s="327"/>
      <c r="C1415" s="327"/>
    </row>
    <row r="1416" spans="1:3">
      <c r="A1416" s="327"/>
      <c r="B1416" s="327"/>
      <c r="C1416" s="327"/>
    </row>
    <row r="1417" spans="1:3">
      <c r="A1417" s="327"/>
      <c r="B1417" s="327"/>
      <c r="C1417" s="327"/>
    </row>
    <row r="1418" spans="1:3">
      <c r="A1418" s="327"/>
      <c r="B1418" s="327"/>
      <c r="C1418" s="327"/>
    </row>
    <row r="1419" spans="1:3">
      <c r="A1419" s="327"/>
      <c r="B1419" s="327"/>
      <c r="C1419" s="327"/>
    </row>
    <row r="1420" spans="1:3">
      <c r="A1420" s="327"/>
      <c r="B1420" s="327"/>
      <c r="C1420" s="327"/>
    </row>
    <row r="1421" spans="1:3">
      <c r="A1421" s="327"/>
      <c r="B1421" s="327"/>
      <c r="C1421" s="327"/>
    </row>
    <row r="1422" spans="1:3">
      <c r="A1422" s="327"/>
      <c r="B1422" s="327"/>
      <c r="C1422" s="327"/>
    </row>
    <row r="1423" spans="1:3">
      <c r="A1423" s="327"/>
      <c r="B1423" s="327"/>
      <c r="C1423" s="327"/>
    </row>
    <row r="1424" spans="1:3">
      <c r="A1424" s="327"/>
      <c r="B1424" s="327"/>
      <c r="C1424" s="327"/>
    </row>
    <row r="1425" spans="1:3">
      <c r="A1425" s="327"/>
      <c r="B1425" s="327"/>
      <c r="C1425" s="327"/>
    </row>
    <row r="1426" spans="1:3">
      <c r="A1426" s="327"/>
      <c r="B1426" s="327"/>
      <c r="C1426" s="327"/>
    </row>
    <row r="1427" spans="1:3">
      <c r="A1427" s="327"/>
      <c r="B1427" s="327"/>
      <c r="C1427" s="327"/>
    </row>
    <row r="1428" spans="1:3">
      <c r="A1428" s="327"/>
      <c r="B1428" s="327"/>
      <c r="C1428" s="327"/>
    </row>
    <row r="1429" spans="1:3">
      <c r="A1429" s="327"/>
      <c r="B1429" s="327"/>
      <c r="C1429" s="327"/>
    </row>
    <row r="1430" spans="1:3">
      <c r="A1430" s="327"/>
      <c r="B1430" s="327"/>
      <c r="C1430" s="327"/>
    </row>
    <row r="1431" spans="1:3">
      <c r="A1431" s="327"/>
      <c r="B1431" s="327"/>
      <c r="C1431" s="327"/>
    </row>
    <row r="1432" spans="1:3">
      <c r="A1432" s="327"/>
      <c r="B1432" s="327"/>
      <c r="C1432" s="327"/>
    </row>
    <row r="1433" spans="1:3">
      <c r="A1433" s="327"/>
      <c r="B1433" s="327"/>
      <c r="C1433" s="327"/>
    </row>
    <row r="1434" spans="1:3">
      <c r="A1434" s="327"/>
      <c r="B1434" s="327"/>
      <c r="C1434" s="327"/>
    </row>
    <row r="1435" spans="1:3">
      <c r="A1435" s="327"/>
      <c r="B1435" s="327"/>
      <c r="C1435" s="327"/>
    </row>
    <row r="1436" spans="1:3">
      <c r="A1436" s="327"/>
      <c r="B1436" s="327"/>
      <c r="C1436" s="327"/>
    </row>
    <row r="1437" spans="1:3">
      <c r="A1437" s="327"/>
      <c r="B1437" s="327"/>
      <c r="C1437" s="327"/>
    </row>
    <row r="1438" spans="1:3">
      <c r="A1438" s="327"/>
      <c r="B1438" s="327"/>
      <c r="C1438" s="327"/>
    </row>
    <row r="1439" spans="1:3">
      <c r="A1439" s="327"/>
      <c r="B1439" s="327"/>
      <c r="C1439" s="327"/>
    </row>
    <row r="1440" spans="1:3">
      <c r="A1440" s="327"/>
      <c r="B1440" s="327"/>
      <c r="C1440" s="327"/>
    </row>
    <row r="1441" spans="1:3">
      <c r="A1441" s="327"/>
      <c r="B1441" s="327"/>
      <c r="C1441" s="327"/>
    </row>
    <row r="1442" spans="1:3">
      <c r="A1442" s="327"/>
      <c r="B1442" s="327"/>
      <c r="C1442" s="327"/>
    </row>
    <row r="1443" spans="1:3">
      <c r="A1443" s="327"/>
      <c r="B1443" s="327"/>
      <c r="C1443" s="327"/>
    </row>
    <row r="1444" spans="1:3">
      <c r="A1444" s="327"/>
      <c r="B1444" s="327"/>
      <c r="C1444" s="327"/>
    </row>
    <row r="1445" spans="1:3">
      <c r="A1445" s="327"/>
      <c r="B1445" s="327"/>
      <c r="C1445" s="327"/>
    </row>
    <row r="1446" spans="1:3">
      <c r="A1446" s="327"/>
      <c r="B1446" s="327"/>
      <c r="C1446" s="327"/>
    </row>
    <row r="1447" spans="1:3">
      <c r="A1447" s="327"/>
      <c r="B1447" s="327"/>
      <c r="C1447" s="327"/>
    </row>
    <row r="1448" spans="1:3">
      <c r="A1448" s="327"/>
      <c r="B1448" s="327"/>
      <c r="C1448" s="327"/>
    </row>
    <row r="1449" spans="1:3">
      <c r="A1449" s="327"/>
      <c r="B1449" s="327"/>
      <c r="C1449" s="327"/>
    </row>
    <row r="1450" spans="1:3">
      <c r="A1450" s="327"/>
      <c r="B1450" s="327"/>
      <c r="C1450" s="327"/>
    </row>
    <row r="1451" spans="1:3">
      <c r="A1451" s="327"/>
      <c r="B1451" s="327"/>
      <c r="C1451" s="327"/>
    </row>
    <row r="1452" spans="1:3">
      <c r="A1452" s="327"/>
      <c r="B1452" s="327"/>
      <c r="C1452" s="327"/>
    </row>
    <row r="1453" spans="1:3">
      <c r="A1453" s="327"/>
      <c r="B1453" s="327"/>
      <c r="C1453" s="327"/>
    </row>
    <row r="1454" spans="1:3">
      <c r="A1454" s="327"/>
      <c r="B1454" s="327"/>
      <c r="C1454" s="327"/>
    </row>
    <row r="1455" spans="1:3">
      <c r="A1455" s="327"/>
      <c r="B1455" s="327"/>
      <c r="C1455" s="327"/>
    </row>
    <row r="1456" spans="1:3">
      <c r="A1456" s="327"/>
      <c r="B1456" s="327"/>
      <c r="C1456" s="327"/>
    </row>
    <row r="1457" spans="1:3">
      <c r="A1457" s="327"/>
      <c r="B1457" s="327"/>
      <c r="C1457" s="327"/>
    </row>
    <row r="1458" spans="1:3">
      <c r="A1458" s="327"/>
      <c r="B1458" s="327"/>
      <c r="C1458" s="327"/>
    </row>
    <row r="1459" spans="1:3">
      <c r="A1459" s="327"/>
      <c r="B1459" s="327"/>
      <c r="C1459" s="327"/>
    </row>
    <row r="1460" spans="1:3">
      <c r="A1460" s="327"/>
      <c r="B1460" s="327"/>
      <c r="C1460" s="327"/>
    </row>
    <row r="1461" spans="1:3">
      <c r="A1461" s="327"/>
      <c r="B1461" s="327"/>
      <c r="C1461" s="327"/>
    </row>
    <row r="1462" spans="1:3">
      <c r="A1462" s="327"/>
      <c r="B1462" s="327"/>
      <c r="C1462" s="327"/>
    </row>
    <row r="1463" spans="1:3">
      <c r="A1463" s="327"/>
      <c r="B1463" s="327"/>
      <c r="C1463" s="327"/>
    </row>
    <row r="1464" spans="1:3">
      <c r="A1464" s="327"/>
      <c r="B1464" s="327"/>
      <c r="C1464" s="327"/>
    </row>
    <row r="1465" spans="1:3">
      <c r="A1465" s="327"/>
      <c r="B1465" s="327"/>
      <c r="C1465" s="327"/>
    </row>
    <row r="1466" spans="1:3">
      <c r="A1466" s="327"/>
      <c r="B1466" s="327"/>
      <c r="C1466" s="327"/>
    </row>
    <row r="1467" spans="1:3">
      <c r="A1467" s="327"/>
      <c r="B1467" s="327"/>
      <c r="C1467" s="327"/>
    </row>
    <row r="1468" spans="1:3">
      <c r="A1468" s="327"/>
      <c r="B1468" s="327"/>
      <c r="C1468" s="327"/>
    </row>
    <row r="1469" spans="1:3">
      <c r="A1469" s="327"/>
      <c r="B1469" s="327"/>
      <c r="C1469" s="327"/>
    </row>
    <row r="1470" spans="1:3">
      <c r="A1470" s="327"/>
      <c r="B1470" s="327"/>
      <c r="C1470" s="327"/>
    </row>
    <row r="1471" spans="1:3">
      <c r="A1471" s="327"/>
      <c r="B1471" s="327"/>
      <c r="C1471" s="327"/>
    </row>
    <row r="1472" spans="1:3">
      <c r="A1472" s="327"/>
      <c r="B1472" s="327"/>
      <c r="C1472" s="327"/>
    </row>
    <row r="1473" spans="1:3">
      <c r="A1473" s="327"/>
      <c r="B1473" s="327"/>
      <c r="C1473" s="327"/>
    </row>
    <row r="1474" spans="1:3">
      <c r="A1474" s="327"/>
      <c r="B1474" s="327"/>
      <c r="C1474" s="327"/>
    </row>
    <row r="1475" spans="1:3">
      <c r="A1475" s="327"/>
      <c r="B1475" s="327"/>
      <c r="C1475" s="327"/>
    </row>
    <row r="1476" spans="1:3">
      <c r="A1476" s="327"/>
      <c r="B1476" s="327"/>
      <c r="C1476" s="327"/>
    </row>
    <row r="1477" spans="1:3">
      <c r="A1477" s="327"/>
      <c r="B1477" s="327"/>
      <c r="C1477" s="327"/>
    </row>
    <row r="1478" spans="1:3">
      <c r="A1478" s="327"/>
      <c r="B1478" s="327"/>
      <c r="C1478" s="327"/>
    </row>
    <row r="1479" spans="1:3">
      <c r="A1479" s="327"/>
      <c r="B1479" s="327"/>
      <c r="C1479" s="327"/>
    </row>
    <row r="1480" spans="1:3">
      <c r="A1480" s="327"/>
      <c r="B1480" s="327"/>
      <c r="C1480" s="327"/>
    </row>
    <row r="1481" spans="1:3">
      <c r="A1481" s="327"/>
      <c r="B1481" s="327"/>
      <c r="C1481" s="327"/>
    </row>
    <row r="1482" spans="1:3">
      <c r="A1482" s="327"/>
      <c r="B1482" s="327"/>
      <c r="C1482" s="327"/>
    </row>
    <row r="1483" spans="1:3">
      <c r="A1483" s="327"/>
      <c r="B1483" s="327"/>
      <c r="C1483" s="327"/>
    </row>
    <row r="1484" spans="1:3">
      <c r="A1484" s="327"/>
      <c r="B1484" s="327"/>
      <c r="C1484" s="327"/>
    </row>
    <row r="1485" spans="1:3">
      <c r="A1485" s="327"/>
      <c r="B1485" s="327"/>
      <c r="C1485" s="327"/>
    </row>
    <row r="1486" spans="1:3">
      <c r="A1486" s="327"/>
      <c r="B1486" s="327"/>
      <c r="C1486" s="327"/>
    </row>
    <row r="1487" spans="1:3">
      <c r="A1487" s="327"/>
      <c r="B1487" s="327"/>
      <c r="C1487" s="327"/>
    </row>
    <row r="1488" spans="1:3">
      <c r="A1488" s="327"/>
      <c r="B1488" s="327"/>
      <c r="C1488" s="327"/>
    </row>
    <row r="1489" spans="1:3">
      <c r="A1489" s="327"/>
      <c r="B1489" s="327"/>
      <c r="C1489" s="327"/>
    </row>
    <row r="1490" spans="1:3">
      <c r="A1490" s="327"/>
      <c r="B1490" s="327"/>
      <c r="C1490" s="327"/>
    </row>
    <row r="1491" spans="1:3">
      <c r="A1491" s="327"/>
      <c r="B1491" s="327"/>
      <c r="C1491" s="327"/>
    </row>
    <row r="1492" spans="1:3">
      <c r="A1492" s="327"/>
      <c r="B1492" s="327"/>
      <c r="C1492" s="327"/>
    </row>
    <row r="1493" spans="1:3">
      <c r="A1493" s="327"/>
      <c r="B1493" s="327"/>
      <c r="C1493" s="327"/>
    </row>
    <row r="1494" spans="1:3">
      <c r="A1494" s="327"/>
      <c r="B1494" s="327"/>
      <c r="C1494" s="327"/>
    </row>
    <row r="1495" spans="1:3">
      <c r="A1495" s="327"/>
      <c r="B1495" s="327"/>
      <c r="C1495" s="327"/>
    </row>
    <row r="1496" spans="1:3">
      <c r="A1496" s="327"/>
      <c r="B1496" s="327"/>
      <c r="C1496" s="327"/>
    </row>
    <row r="1497" spans="1:3">
      <c r="A1497" s="327"/>
      <c r="B1497" s="327"/>
      <c r="C1497" s="327"/>
    </row>
    <row r="1498" spans="1:3">
      <c r="A1498" s="327"/>
      <c r="B1498" s="327"/>
      <c r="C1498" s="327"/>
    </row>
    <row r="1499" spans="1:3">
      <c r="A1499" s="327"/>
      <c r="B1499" s="327"/>
      <c r="C1499" s="327"/>
    </row>
    <row r="1500" spans="1:3">
      <c r="A1500" s="327"/>
      <c r="B1500" s="327"/>
      <c r="C1500" s="327"/>
    </row>
    <row r="1501" spans="1:3">
      <c r="A1501" s="327"/>
      <c r="B1501" s="327"/>
      <c r="C1501" s="327"/>
    </row>
    <row r="1502" spans="1:3">
      <c r="A1502" s="327"/>
      <c r="B1502" s="327"/>
      <c r="C1502" s="327"/>
    </row>
    <row r="1503" spans="1:3">
      <c r="A1503" s="327"/>
      <c r="B1503" s="327"/>
      <c r="C1503" s="327"/>
    </row>
    <row r="1504" spans="1:3">
      <c r="A1504" s="327"/>
      <c r="B1504" s="327"/>
      <c r="C1504" s="327"/>
    </row>
    <row r="1505" spans="1:3">
      <c r="A1505" s="327"/>
      <c r="B1505" s="327"/>
      <c r="C1505" s="327"/>
    </row>
    <row r="1506" spans="1:3">
      <c r="A1506" s="327"/>
      <c r="B1506" s="327"/>
      <c r="C1506" s="327"/>
    </row>
    <row r="1507" spans="1:3">
      <c r="A1507" s="327"/>
      <c r="B1507" s="327"/>
      <c r="C1507" s="327"/>
    </row>
    <row r="1508" spans="1:3">
      <c r="A1508" s="327"/>
      <c r="B1508" s="327"/>
      <c r="C1508" s="327"/>
    </row>
    <row r="1509" spans="1:3">
      <c r="A1509" s="327"/>
      <c r="B1509" s="327"/>
      <c r="C1509" s="327"/>
    </row>
    <row r="1510" spans="1:3">
      <c r="A1510" s="327"/>
      <c r="B1510" s="327"/>
      <c r="C1510" s="327"/>
    </row>
    <row r="1511" spans="1:3">
      <c r="A1511" s="327"/>
      <c r="B1511" s="327"/>
      <c r="C1511" s="327"/>
    </row>
    <row r="1512" spans="1:3">
      <c r="A1512" s="327"/>
      <c r="B1512" s="327"/>
      <c r="C1512" s="327"/>
    </row>
    <row r="1513" spans="1:3">
      <c r="A1513" s="327"/>
      <c r="B1513" s="327"/>
      <c r="C1513" s="327"/>
    </row>
    <row r="1514" spans="1:3">
      <c r="A1514" s="327"/>
      <c r="B1514" s="327"/>
      <c r="C1514" s="327"/>
    </row>
    <row r="1515" spans="1:3">
      <c r="A1515" s="327"/>
      <c r="B1515" s="327"/>
      <c r="C1515" s="327"/>
    </row>
    <row r="1516" spans="1:3">
      <c r="A1516" s="327"/>
      <c r="B1516" s="327"/>
      <c r="C1516" s="327"/>
    </row>
    <row r="1517" spans="1:3">
      <c r="A1517" s="327"/>
      <c r="B1517" s="327"/>
      <c r="C1517" s="327"/>
    </row>
    <row r="1518" spans="1:3">
      <c r="A1518" s="327"/>
      <c r="B1518" s="327"/>
      <c r="C1518" s="327"/>
    </row>
    <row r="1519" spans="1:3">
      <c r="A1519" s="327"/>
      <c r="B1519" s="327"/>
      <c r="C1519" s="327"/>
    </row>
    <row r="1520" spans="1:3">
      <c r="A1520" s="327"/>
      <c r="B1520" s="327"/>
      <c r="C1520" s="327"/>
    </row>
    <row r="1521" spans="1:9">
      <c r="A1521" s="327"/>
      <c r="B1521" s="327"/>
      <c r="C1521" s="327"/>
    </row>
    <row r="1522" spans="1:9"/>
    <row r="1523" spans="1:9"/>
    <row r="1524" spans="1:9"/>
    <row r="1525" spans="1:9">
      <c r="G1525" s="1160"/>
      <c r="H1525" s="1160"/>
      <c r="I1525" s="1160"/>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pageSetUpPr fitToPage="1"/>
  </sheetPr>
  <dimension ref="A1:XFC1105"/>
  <sheetViews>
    <sheetView showGridLines="0" tabSelected="1" topLeftCell="A832" zoomScale="160" zoomScaleNormal="160" workbookViewId="0">
      <selection activeCell="AH852" sqref="AH852"/>
    </sheetView>
  </sheetViews>
  <sheetFormatPr defaultColWidth="0" defaultRowHeight="0" customHeight="1" zeroHeight="1"/>
  <cols>
    <col min="1" max="36" width="2.7109375" customWidth="1"/>
    <col min="37" max="37" width="2.85546875" customWidth="1"/>
    <col min="38" max="45" width="2.710937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76"/>
      <c r="AS1" s="948">
        <v>4</v>
      </c>
    </row>
    <row r="2" spans="1:51" ht="12.95" customHeight="1"/>
    <row r="3" spans="1:51" ht="12.95" customHeight="1"/>
    <row r="4" spans="1:51" ht="12.95" customHeight="1"/>
    <row r="5" spans="1:51" ht="12.95" customHeight="1"/>
    <row r="6" spans="1:51" ht="12.95" customHeight="1"/>
    <row r="7" spans="1:51" ht="12.95" customHeight="1"/>
    <row r="8" spans="1:51" ht="26.25" customHeight="1">
      <c r="A8" s="1596" t="s">
        <v>820</v>
      </c>
      <c r="B8" s="1596"/>
      <c r="C8" s="1596"/>
      <c r="D8" s="1596"/>
      <c r="E8" s="1596"/>
      <c r="F8" s="1596"/>
      <c r="G8" s="1596"/>
      <c r="H8" s="1596"/>
      <c r="I8" s="1596"/>
      <c r="J8" s="1596"/>
      <c r="K8" s="1596"/>
      <c r="L8" s="1596"/>
      <c r="M8" s="1596"/>
      <c r="N8" s="1596"/>
      <c r="O8" s="1596"/>
      <c r="P8" s="1596"/>
      <c r="Q8" s="1596"/>
      <c r="R8" s="1596"/>
      <c r="S8" s="1596"/>
      <c r="T8" s="1596"/>
      <c r="U8" s="1596"/>
      <c r="V8" s="1596"/>
      <c r="W8" s="1596"/>
      <c r="X8" s="1596"/>
      <c r="Y8" s="1596"/>
      <c r="Z8" s="1596"/>
      <c r="AA8" s="1596"/>
      <c r="AB8" s="1596"/>
      <c r="AC8" s="1596"/>
      <c r="AD8" s="1596"/>
      <c r="AE8" s="1596"/>
      <c r="AF8" s="1596"/>
      <c r="AG8" s="1596"/>
      <c r="AH8" s="1596"/>
      <c r="AI8" s="1596"/>
      <c r="AJ8" s="1596"/>
      <c r="AK8" s="1596"/>
      <c r="AL8" s="1596"/>
      <c r="AM8" s="1596"/>
      <c r="AN8" s="1596"/>
      <c r="AO8" s="1596"/>
      <c r="AP8" s="1596"/>
      <c r="AQ8" s="1596"/>
      <c r="AR8" s="1596"/>
      <c r="AS8" s="1596"/>
      <c r="AT8" s="1596"/>
      <c r="AU8" s="820"/>
      <c r="AV8" s="820"/>
      <c r="AW8" s="820"/>
      <c r="AX8" s="820"/>
      <c r="AY8" s="820"/>
    </row>
    <row r="9" spans="1:51" ht="12.95" customHeight="1">
      <c r="A9" s="1185" t="s">
        <v>821</v>
      </c>
      <c r="B9" s="1185"/>
      <c r="C9" s="1185"/>
      <c r="D9" s="1185"/>
      <c r="E9" s="1185"/>
      <c r="F9" s="1185"/>
      <c r="G9" s="1185"/>
      <c r="H9" s="1185"/>
      <c r="I9" s="1185"/>
      <c r="J9" s="1185"/>
      <c r="K9" s="1185"/>
      <c r="L9" s="1185"/>
      <c r="M9" s="1185"/>
      <c r="N9" s="1185"/>
      <c r="O9" s="1185"/>
      <c r="P9" s="1185"/>
      <c r="Q9" s="1185"/>
      <c r="R9" s="1185"/>
      <c r="S9" s="1185"/>
      <c r="T9" s="1185"/>
      <c r="U9" s="1185"/>
      <c r="V9" s="1185"/>
      <c r="W9" s="1185"/>
      <c r="X9" s="1185"/>
      <c r="Y9" s="1185"/>
      <c r="Z9" s="1185"/>
      <c r="AA9" s="1185"/>
      <c r="AB9" s="1185"/>
      <c r="AC9" s="1185"/>
      <c r="AD9" s="1185"/>
      <c r="AE9" s="1185"/>
      <c r="AF9" s="1185"/>
      <c r="AG9" s="1185"/>
      <c r="AH9" s="1185"/>
      <c r="AI9" s="1185"/>
      <c r="AJ9" s="1185"/>
      <c r="AK9" s="1185"/>
      <c r="AL9" s="1185"/>
      <c r="AM9" s="1185"/>
      <c r="AN9" s="1185"/>
      <c r="AO9" s="1185"/>
      <c r="AP9" s="1185"/>
      <c r="AQ9" s="1185"/>
      <c r="AR9" s="1185"/>
      <c r="AS9" s="1185"/>
      <c r="AT9" s="1185"/>
      <c r="AU9" s="13"/>
      <c r="AV9" s="13"/>
      <c r="AW9" s="13"/>
      <c r="AX9" s="13"/>
      <c r="AY9" s="13"/>
    </row>
    <row r="10" spans="1:51" ht="12.95" customHeight="1">
      <c r="A10" s="1185" t="s">
        <v>822</v>
      </c>
      <c r="B10" s="1185"/>
      <c r="C10" s="1185"/>
      <c r="D10" s="1185"/>
      <c r="E10" s="1185"/>
      <c r="F10" s="1185"/>
      <c r="G10" s="1185"/>
      <c r="H10" s="1185"/>
      <c r="I10" s="1185"/>
      <c r="J10" s="1185"/>
      <c r="K10" s="1185"/>
      <c r="L10" s="1185"/>
      <c r="M10" s="1185"/>
      <c r="N10" s="1185"/>
      <c r="O10" s="1185"/>
      <c r="P10" s="1185"/>
      <c r="Q10" s="1185"/>
      <c r="R10" s="1185"/>
      <c r="S10" s="1185"/>
      <c r="T10" s="1185"/>
      <c r="U10" s="1185"/>
      <c r="V10" s="1185"/>
      <c r="W10" s="1185"/>
      <c r="X10" s="1185"/>
      <c r="Y10" s="1185"/>
      <c r="Z10" s="1185"/>
      <c r="AA10" s="1185"/>
      <c r="AB10" s="1185"/>
      <c r="AC10" s="1185"/>
      <c r="AD10" s="1185"/>
      <c r="AE10" s="1185"/>
      <c r="AF10" s="1185"/>
      <c r="AG10" s="1185"/>
      <c r="AH10" s="1185"/>
      <c r="AI10" s="1185"/>
      <c r="AJ10" s="1185"/>
      <c r="AK10" s="1185"/>
      <c r="AL10" s="1185"/>
      <c r="AM10" s="1185"/>
      <c r="AN10" s="1185"/>
      <c r="AO10" s="1185"/>
      <c r="AP10" s="1185"/>
      <c r="AQ10" s="1185"/>
      <c r="AR10" s="1185"/>
      <c r="AS10" s="1185"/>
      <c r="AT10" s="1185"/>
      <c r="AU10" s="13"/>
      <c r="AV10" s="13"/>
      <c r="AW10" s="13"/>
      <c r="AX10" s="13"/>
      <c r="AY10" s="13"/>
    </row>
    <row r="11" spans="1:51" ht="12.95" customHeight="1">
      <c r="A11" s="1185" t="s">
        <v>823</v>
      </c>
      <c r="B11" s="1185"/>
      <c r="C11" s="1185"/>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1185"/>
      <c r="AL11" s="1185"/>
      <c r="AM11" s="1185"/>
      <c r="AN11" s="1185"/>
      <c r="AO11" s="1185"/>
      <c r="AP11" s="1185"/>
      <c r="AQ11" s="1185"/>
      <c r="AR11" s="1185"/>
      <c r="AS11" s="1185"/>
      <c r="AT11" s="1185"/>
      <c r="AU11" s="13"/>
      <c r="AV11" s="13"/>
      <c r="AW11" s="13"/>
      <c r="AX11" s="13"/>
      <c r="AY11" s="13"/>
    </row>
    <row r="12" spans="1:51" ht="12.95" customHeight="1">
      <c r="A12" s="1597" t="s">
        <v>824</v>
      </c>
      <c r="B12" s="1597"/>
      <c r="C12" s="1597"/>
      <c r="D12" s="1597"/>
      <c r="E12" s="1597"/>
      <c r="F12" s="1597"/>
      <c r="G12" s="1597"/>
      <c r="H12" s="1597"/>
      <c r="I12" s="1597"/>
      <c r="J12" s="1597"/>
      <c r="K12" s="1597"/>
      <c r="L12" s="1597"/>
      <c r="M12" s="1597"/>
      <c r="N12" s="1597"/>
      <c r="O12" s="1597"/>
      <c r="P12" s="1597"/>
      <c r="Q12" s="1597"/>
      <c r="R12" s="1597"/>
      <c r="S12" s="1597"/>
      <c r="T12" s="1597"/>
      <c r="U12" s="1597"/>
      <c r="V12" s="1597"/>
      <c r="W12" s="1597"/>
      <c r="X12" s="1597"/>
      <c r="Y12" s="1597"/>
      <c r="Z12" s="1597"/>
      <c r="AA12" s="1597"/>
      <c r="AB12" s="1597"/>
      <c r="AC12" s="1597"/>
      <c r="AD12" s="1597"/>
      <c r="AE12" s="1597"/>
      <c r="AF12" s="1597"/>
      <c r="AG12" s="1597"/>
      <c r="AH12" s="1597"/>
      <c r="AI12" s="1597"/>
      <c r="AJ12" s="1597"/>
      <c r="AK12" s="1597"/>
      <c r="AL12" s="1597"/>
      <c r="AM12" s="1597"/>
      <c r="AN12" s="1597"/>
      <c r="AO12" s="1597"/>
      <c r="AP12" s="1597"/>
      <c r="AQ12" s="1597"/>
      <c r="AR12" s="1597"/>
      <c r="AS12" s="1597"/>
      <c r="AT12" s="1597"/>
      <c r="AU12" s="279"/>
      <c r="AV12" s="279"/>
      <c r="AW12" s="279"/>
      <c r="AX12" s="279"/>
      <c r="AY12" s="279"/>
    </row>
    <row r="13" spans="1:51" ht="12.95" customHeight="1">
      <c r="A13" s="1157" t="s">
        <v>825</v>
      </c>
      <c r="B13" s="1157"/>
      <c r="C13" s="1157"/>
      <c r="D13" s="1157"/>
      <c r="E13" s="1157"/>
      <c r="F13" s="1157"/>
      <c r="G13" s="1157"/>
      <c r="H13" s="1157"/>
      <c r="I13" s="1157"/>
      <c r="J13" s="1157"/>
      <c r="K13" s="1157"/>
      <c r="L13" s="1157"/>
      <c r="M13" s="1157"/>
      <c r="N13" s="1157"/>
      <c r="O13" s="1157"/>
      <c r="P13" s="1157"/>
      <c r="Q13" s="1157"/>
      <c r="R13" s="1157"/>
      <c r="S13" s="1157"/>
      <c r="T13" s="1157"/>
      <c r="U13" s="1157"/>
      <c r="V13" s="1157"/>
      <c r="W13" s="1157"/>
      <c r="X13" s="1157"/>
      <c r="Y13" s="1157"/>
      <c r="Z13" s="1157"/>
      <c r="AA13" s="1157"/>
      <c r="AB13" s="1157"/>
      <c r="AC13" s="1157"/>
      <c r="AD13" s="1157"/>
      <c r="AE13" s="1157"/>
      <c r="AF13" s="1157"/>
      <c r="AG13" s="1157"/>
      <c r="AH13" s="1157"/>
      <c r="AI13" s="1157"/>
      <c r="AJ13" s="1157"/>
      <c r="AK13" s="1157"/>
      <c r="AL13" s="1157"/>
      <c r="AM13" s="1157"/>
      <c r="AN13" s="1157"/>
      <c r="AO13" s="1157"/>
      <c r="AP13" s="1157"/>
      <c r="AQ13" s="1157"/>
      <c r="AR13" s="1157"/>
      <c r="AS13" s="1157"/>
      <c r="AT13" s="1157"/>
      <c r="AU13" s="821"/>
      <c r="AV13" s="821"/>
      <c r="AW13" s="821"/>
      <c r="AX13" s="821"/>
      <c r="AY13" s="821"/>
    </row>
    <row r="14" spans="1:51" ht="12.95" customHeight="1">
      <c r="A14" s="1157"/>
      <c r="B14" s="1157"/>
      <c r="C14" s="1157"/>
      <c r="D14" s="1157"/>
      <c r="E14" s="1157"/>
      <c r="F14" s="1157"/>
      <c r="G14" s="1157"/>
      <c r="H14" s="1157"/>
      <c r="I14" s="1157"/>
      <c r="J14" s="1157"/>
      <c r="K14" s="1157"/>
      <c r="L14" s="1157"/>
      <c r="M14" s="1157"/>
      <c r="N14" s="1157"/>
      <c r="O14" s="1157"/>
      <c r="P14" s="1157"/>
      <c r="Q14" s="1157"/>
      <c r="R14" s="1157"/>
      <c r="S14" s="1157"/>
      <c r="T14" s="1157"/>
      <c r="U14" s="1157"/>
      <c r="V14" s="1157"/>
      <c r="W14" s="1157"/>
      <c r="X14" s="1157"/>
      <c r="Y14" s="1157"/>
      <c r="Z14" s="1157"/>
      <c r="AA14" s="1157"/>
      <c r="AB14" s="1157"/>
      <c r="AC14" s="1157"/>
      <c r="AD14" s="1157"/>
      <c r="AE14" s="1157"/>
      <c r="AF14" s="1157"/>
      <c r="AG14" s="1157"/>
      <c r="AH14" s="1157"/>
      <c r="AI14" s="1157"/>
      <c r="AJ14" s="1157"/>
      <c r="AK14" s="1157"/>
      <c r="AL14" s="1157"/>
      <c r="AM14" s="1157"/>
      <c r="AN14" s="1157"/>
      <c r="AO14" s="1157"/>
      <c r="AP14" s="1157"/>
      <c r="AQ14" s="1157"/>
      <c r="AR14" s="1157"/>
      <c r="AS14" s="1157"/>
      <c r="AT14" s="1157"/>
      <c r="AU14" s="821"/>
      <c r="AV14" s="821"/>
      <c r="AW14" s="821"/>
      <c r="AX14" s="821"/>
      <c r="AY14" s="821"/>
    </row>
    <row r="15" spans="1:51" ht="12.95" customHeight="1">
      <c r="A15" s="72"/>
      <c r="B15" s="72"/>
      <c r="C15" s="72"/>
      <c r="D15" s="72"/>
      <c r="E15" s="72"/>
      <c r="F15" s="72"/>
      <c r="G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row>
    <row r="16" spans="1:51" ht="12.95" customHeight="1">
      <c r="A16" s="50" t="s">
        <v>826</v>
      </c>
      <c r="C16" s="3"/>
      <c r="D16" s="3"/>
      <c r="E16" s="3"/>
      <c r="F16" s="3"/>
      <c r="G16" s="3"/>
      <c r="H16" s="1344" t="s">
        <v>827</v>
      </c>
      <c r="I16" s="1344"/>
      <c r="J16" s="1344"/>
      <c r="K16" s="1344"/>
      <c r="L16" s="1344"/>
      <c r="M16" s="1344"/>
      <c r="N16" s="1344"/>
      <c r="O16" s="1344"/>
      <c r="P16" s="1344"/>
      <c r="Q16" s="1344"/>
      <c r="R16" s="1344"/>
      <c r="S16" s="1344"/>
      <c r="T16" s="1344"/>
      <c r="U16" s="1344"/>
      <c r="V16" s="1344"/>
      <c r="W16" s="1344"/>
      <c r="X16" s="1344"/>
      <c r="Y16" s="1344"/>
      <c r="Z16" s="1344"/>
      <c r="AA16" s="1344"/>
      <c r="AB16" s="1344"/>
      <c r="AC16" s="1344"/>
      <c r="AD16" s="1344"/>
      <c r="AE16" s="1344"/>
      <c r="AF16" s="1344"/>
      <c r="AG16" s="1344"/>
      <c r="AH16" s="1344"/>
      <c r="AI16" s="1344"/>
      <c r="AJ16" s="1344"/>
    </row>
    <row r="17" spans="1:52" ht="12.95" customHeight="1"/>
    <row r="18" spans="1:52" ht="12.95" customHeight="1">
      <c r="A18" s="50" t="s">
        <v>828</v>
      </c>
      <c r="C18" s="3"/>
      <c r="D18" s="3"/>
      <c r="E18" s="3"/>
      <c r="F18" s="3"/>
      <c r="G18" s="3"/>
      <c r="H18" s="1317" t="s">
        <v>829</v>
      </c>
      <c r="I18" s="1317"/>
      <c r="J18" s="1317"/>
      <c r="K18" s="1317"/>
      <c r="L18" s="1317"/>
      <c r="M18" s="1317"/>
      <c r="N18" s="1317"/>
      <c r="O18" s="1317"/>
      <c r="P18" s="1317"/>
      <c r="Q18" s="1317"/>
      <c r="R18" s="1317"/>
      <c r="S18" s="1317"/>
      <c r="T18" s="1317"/>
      <c r="U18" s="1317"/>
      <c r="V18" s="1317"/>
      <c r="W18" s="1317"/>
      <c r="X18" s="1317"/>
      <c r="Y18" s="1317"/>
      <c r="Z18" s="1317"/>
      <c r="AA18" s="1317"/>
      <c r="AB18" s="1317"/>
      <c r="AC18" s="1317"/>
      <c r="AD18" s="1317"/>
      <c r="AE18" s="1317"/>
      <c r="AF18" s="1317"/>
      <c r="AG18" s="1317"/>
      <c r="AH18" s="1317"/>
      <c r="AI18" s="1317"/>
      <c r="AJ18" s="1317"/>
    </row>
    <row r="19" spans="1:52" ht="12.95" customHeight="1"/>
    <row r="20" spans="1:52" ht="12.95" customHeight="1">
      <c r="A20" s="1598" t="s">
        <v>830</v>
      </c>
      <c r="B20" s="1598"/>
      <c r="C20" s="1598"/>
      <c r="D20" s="1598"/>
      <c r="E20" s="1598"/>
      <c r="F20" s="1598"/>
      <c r="G20" s="1598"/>
      <c r="H20" s="1598"/>
      <c r="I20" s="1598"/>
      <c r="J20" s="1598"/>
      <c r="K20" s="1598"/>
      <c r="L20" s="1598"/>
      <c r="M20" s="1598"/>
      <c r="N20" s="1598"/>
      <c r="O20" s="1598"/>
      <c r="P20" s="1598"/>
      <c r="Q20" s="1598"/>
      <c r="R20" s="1598"/>
      <c r="S20" s="1598"/>
      <c r="T20" s="1598"/>
      <c r="U20" s="1598"/>
      <c r="V20" s="1598"/>
      <c r="W20" s="1598"/>
      <c r="X20" s="1598"/>
      <c r="Y20" s="1598"/>
      <c r="Z20" s="1598"/>
      <c r="AA20" s="1598"/>
      <c r="AB20" s="1598"/>
      <c r="AC20" s="1598"/>
      <c r="AD20" s="1598"/>
      <c r="AE20" s="1598"/>
      <c r="AF20" s="1598"/>
      <c r="AG20" s="1598"/>
      <c r="AH20" s="1598"/>
      <c r="AI20" s="1598"/>
      <c r="AJ20" s="1598"/>
      <c r="AK20" s="1598"/>
      <c r="AL20" s="1598"/>
      <c r="AM20" s="1598"/>
      <c r="AN20" s="1598"/>
      <c r="AO20" s="1598"/>
      <c r="AP20" s="1598"/>
      <c r="AQ20" s="1598"/>
      <c r="AR20" s="1598"/>
      <c r="AS20" s="1598"/>
      <c r="AT20" s="1598"/>
      <c r="AU20" s="822"/>
      <c r="AV20" s="822"/>
      <c r="AW20" s="822"/>
      <c r="AX20" s="822"/>
      <c r="AY20" s="822"/>
    </row>
    <row r="21" spans="1:52" ht="12.95" customHeight="1">
      <c r="A21" s="1363" t="s">
        <v>831</v>
      </c>
      <c r="B21" s="1363"/>
      <c r="C21" s="1363"/>
      <c r="D21" s="1363"/>
      <c r="E21" s="1363"/>
      <c r="F21" s="1363"/>
      <c r="G21" s="1363"/>
      <c r="H21" s="1363"/>
      <c r="I21" s="1363"/>
      <c r="J21" s="1363"/>
      <c r="K21" s="1363"/>
      <c r="L21" s="1363"/>
      <c r="M21" s="1363"/>
      <c r="N21" s="1363"/>
      <c r="O21" s="1363"/>
      <c r="P21" s="1363"/>
      <c r="Q21" s="1363"/>
      <c r="R21" s="1363"/>
      <c r="S21" s="1363"/>
      <c r="T21" s="1363"/>
      <c r="U21" s="1363"/>
      <c r="V21" s="1363"/>
      <c r="W21" s="1363"/>
      <c r="X21" s="1363"/>
      <c r="Y21" s="1363"/>
      <c r="Z21" s="1363"/>
      <c r="AA21" s="1363"/>
      <c r="AB21" s="1363"/>
      <c r="AC21" s="1363"/>
      <c r="AD21" s="1363"/>
      <c r="AE21" s="1363"/>
      <c r="AF21" s="1363"/>
      <c r="AG21" s="1363"/>
      <c r="AH21" s="1363"/>
      <c r="AI21" s="1363"/>
      <c r="AJ21" s="1363"/>
      <c r="AK21" s="1363"/>
      <c r="AL21" s="1363"/>
      <c r="AM21" s="823"/>
      <c r="AN21" s="823"/>
      <c r="AO21" s="823"/>
      <c r="AP21" s="823"/>
      <c r="AQ21" s="823"/>
      <c r="AR21" s="823"/>
      <c r="AS21" s="823"/>
      <c r="AT21" s="823"/>
      <c r="AU21" s="823"/>
      <c r="AV21" s="823"/>
      <c r="AW21" s="823"/>
      <c r="AX21" s="823"/>
      <c r="AY21" s="823"/>
    </row>
    <row r="22" spans="1:52" ht="12.95" customHeight="1">
      <c r="A22" s="15"/>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row>
    <row r="23" spans="1:52" ht="12.95" customHeight="1">
      <c r="A23" s="1229" t="s">
        <v>832</v>
      </c>
      <c r="B23" s="1229"/>
      <c r="C23" s="1229"/>
      <c r="D23" s="1229"/>
      <c r="E23" s="1229"/>
      <c r="F23" s="1229"/>
      <c r="G23" s="1229"/>
      <c r="H23" s="1229"/>
      <c r="I23" s="1229"/>
      <c r="J23" s="1229"/>
      <c r="K23" s="1229"/>
      <c r="L23" s="1229"/>
      <c r="M23" s="1229"/>
      <c r="N23" s="1229"/>
      <c r="O23" s="1229"/>
      <c r="P23" s="1229"/>
      <c r="Q23" s="1229"/>
      <c r="R23" s="1229"/>
      <c r="S23" s="1229"/>
      <c r="T23" s="1229"/>
      <c r="U23" s="1229"/>
      <c r="V23" s="1229"/>
      <c r="W23" s="1229"/>
      <c r="X23" s="1229"/>
      <c r="Y23" s="1229"/>
      <c r="Z23" s="1229"/>
      <c r="AA23" s="1229"/>
      <c r="AB23" s="1229"/>
      <c r="AC23" s="1229"/>
      <c r="AD23" s="1229"/>
      <c r="AE23" s="1229"/>
      <c r="AF23" s="1229"/>
      <c r="AG23" s="1229"/>
      <c r="AH23" s="1229"/>
      <c r="AI23" s="1229"/>
      <c r="AJ23" s="1229"/>
      <c r="AK23" s="1229"/>
      <c r="AL23" s="1229"/>
      <c r="AM23" s="1229"/>
      <c r="AN23" s="1229"/>
      <c r="AO23" s="1229"/>
      <c r="AP23" s="1229"/>
      <c r="AQ23" s="1229"/>
      <c r="AR23" s="1229"/>
      <c r="AS23" s="1229"/>
      <c r="AT23" s="1229"/>
      <c r="AU23" s="17"/>
      <c r="AV23" s="17"/>
      <c r="AW23" s="17"/>
      <c r="AX23" s="17"/>
      <c r="AY23" s="17"/>
      <c r="AZ23" s="17"/>
    </row>
    <row r="24" spans="1:52" ht="12.95" customHeight="1">
      <c r="A24" s="1229"/>
      <c r="B24" s="1229"/>
      <c r="C24" s="1229"/>
      <c r="D24" s="1229"/>
      <c r="E24" s="1229"/>
      <c r="F24" s="1229"/>
      <c r="G24" s="1229"/>
      <c r="H24" s="1229"/>
      <c r="I24" s="1229"/>
      <c r="J24" s="1229"/>
      <c r="K24" s="1229"/>
      <c r="L24" s="1229"/>
      <c r="M24" s="1229"/>
      <c r="N24" s="1229"/>
      <c r="O24" s="1229"/>
      <c r="P24" s="1229"/>
      <c r="Q24" s="1229"/>
      <c r="R24" s="1229"/>
      <c r="S24" s="1229"/>
      <c r="T24" s="1229"/>
      <c r="U24" s="1229"/>
      <c r="V24" s="1229"/>
      <c r="W24" s="1229"/>
      <c r="X24" s="1229"/>
      <c r="Y24" s="1229"/>
      <c r="Z24" s="1229"/>
      <c r="AA24" s="1229"/>
      <c r="AB24" s="1229"/>
      <c r="AC24" s="1229"/>
      <c r="AD24" s="1229"/>
      <c r="AE24" s="1229"/>
      <c r="AF24" s="1229"/>
      <c r="AG24" s="1229"/>
      <c r="AH24" s="1229"/>
      <c r="AI24" s="1229"/>
      <c r="AJ24" s="1229"/>
      <c r="AK24" s="1229"/>
      <c r="AL24" s="1229"/>
      <c r="AM24" s="1229"/>
      <c r="AN24" s="1229"/>
      <c r="AO24" s="1229"/>
      <c r="AP24" s="1229"/>
      <c r="AQ24" s="1229"/>
      <c r="AR24" s="1229"/>
      <c r="AS24" s="1229"/>
      <c r="AT24" s="1229"/>
      <c r="AU24" s="17"/>
      <c r="AV24" s="17"/>
      <c r="AW24" s="17"/>
      <c r="AX24" s="17"/>
      <c r="AY24" s="17"/>
      <c r="AZ24" s="17"/>
    </row>
    <row r="25" spans="1:52" ht="12.95" customHeight="1">
      <c r="A25" s="368"/>
      <c r="C25" s="368"/>
      <c r="D25" s="368"/>
      <c r="E25" s="368"/>
      <c r="F25" s="368"/>
      <c r="G25" s="368"/>
      <c r="H25" s="368"/>
      <c r="I25" s="368"/>
      <c r="J25" s="368"/>
      <c r="K25" s="368"/>
      <c r="L25" s="368"/>
      <c r="M25" s="368"/>
      <c r="N25" s="368"/>
      <c r="O25" s="368"/>
      <c r="P25" s="368"/>
      <c r="Q25" s="368"/>
      <c r="R25" s="368"/>
      <c r="S25" s="368"/>
      <c r="T25" s="368"/>
      <c r="U25" s="368"/>
      <c r="V25" s="368"/>
      <c r="W25" s="368"/>
      <c r="X25" s="368"/>
      <c r="Y25" s="368"/>
      <c r="Z25" s="368"/>
      <c r="AA25" s="368"/>
      <c r="AB25" s="368"/>
      <c r="AC25" s="368"/>
      <c r="AD25" s="368"/>
      <c r="AE25" s="368"/>
      <c r="AF25" s="368"/>
      <c r="AG25" s="368"/>
      <c r="AH25" s="368"/>
      <c r="AI25" s="368"/>
      <c r="AJ25" s="368"/>
      <c r="AK25" s="3"/>
    </row>
    <row r="26" spans="1:52" ht="12.95" customHeight="1">
      <c r="A26" s="3"/>
      <c r="C26" s="3"/>
      <c r="D26" s="3"/>
      <c r="E26" s="3"/>
      <c r="F26" s="3"/>
      <c r="G26" s="3"/>
      <c r="H26" s="3"/>
      <c r="I26" s="3"/>
      <c r="J26" s="3"/>
      <c r="K26" s="3"/>
      <c r="L26" s="3"/>
      <c r="M26" s="1352">
        <f>'Basis &amp; Credits'!AB56</f>
        <v>1612900</v>
      </c>
      <c r="N26" s="1352"/>
      <c r="O26" s="1352"/>
      <c r="P26" s="1352"/>
      <c r="Q26" s="1352"/>
      <c r="R26" s="3" t="s">
        <v>833</v>
      </c>
      <c r="S26" s="3"/>
      <c r="T26" s="3"/>
      <c r="U26" s="3"/>
      <c r="V26" s="3"/>
      <c r="W26" s="3"/>
      <c r="X26" s="3"/>
      <c r="Y26" s="3"/>
      <c r="Z26" s="3"/>
      <c r="AF26" s="3"/>
      <c r="AG26" s="3"/>
      <c r="AH26" s="3"/>
      <c r="AI26" s="3"/>
      <c r="AJ26" s="3"/>
      <c r="AK26" s="3"/>
    </row>
    <row r="27" spans="1:52" ht="12.95" customHeight="1">
      <c r="A27" s="3"/>
      <c r="C27" s="3"/>
      <c r="D27" s="3"/>
      <c r="E27" s="3"/>
      <c r="F27" s="3"/>
      <c r="G27" s="3"/>
      <c r="H27" s="3"/>
      <c r="I27" s="3"/>
      <c r="J27" s="3"/>
      <c r="K27" s="3"/>
      <c r="L27" s="3"/>
      <c r="M27" s="2408">
        <f>'Basis &amp; Credits'!AB78</f>
        <v>8617124</v>
      </c>
      <c r="N27" s="2408"/>
      <c r="O27" s="2408"/>
      <c r="P27" s="2408"/>
      <c r="Q27" s="2408"/>
      <c r="R27" s="3" t="s">
        <v>834</v>
      </c>
      <c r="S27" s="3"/>
      <c r="T27" s="3"/>
      <c r="U27" s="3"/>
      <c r="V27" s="3"/>
      <c r="W27" s="3"/>
      <c r="X27" s="3"/>
      <c r="Y27" s="3"/>
      <c r="Z27" s="3"/>
      <c r="AF27" s="3"/>
      <c r="AG27" s="3"/>
      <c r="AH27" s="3"/>
      <c r="AI27" s="3"/>
      <c r="AJ27" s="3"/>
      <c r="AK27" s="3"/>
    </row>
    <row r="28" spans="1:52" ht="12.95" customHeight="1">
      <c r="A28" s="3"/>
      <c r="C28" s="3"/>
      <c r="D28" s="3"/>
      <c r="E28" s="3"/>
      <c r="F28" s="3"/>
      <c r="G28" s="3"/>
      <c r="H28" s="3"/>
      <c r="I28" s="3"/>
      <c r="J28" s="3"/>
      <c r="K28" s="3"/>
      <c r="L28" s="3"/>
      <c r="M28" s="3"/>
      <c r="N28" s="3"/>
      <c r="O28" s="3"/>
      <c r="P28" s="3"/>
      <c r="Q28" s="3"/>
      <c r="R28" s="3"/>
      <c r="S28" s="3"/>
      <c r="T28" s="3"/>
      <c r="U28" s="3"/>
      <c r="V28" s="3"/>
      <c r="W28" s="3"/>
      <c r="X28" s="3"/>
      <c r="Y28" s="3"/>
      <c r="Z28" s="3"/>
      <c r="AF28" s="3"/>
      <c r="AG28" s="3"/>
      <c r="AH28" s="3"/>
      <c r="AI28" s="3"/>
      <c r="AJ28" s="3"/>
      <c r="AK28" s="3"/>
    </row>
    <row r="29" spans="1:52" ht="12.95" customHeight="1">
      <c r="A29" s="1586" t="s">
        <v>835</v>
      </c>
      <c r="B29" s="1586"/>
      <c r="C29" s="1586"/>
      <c r="D29" s="1586"/>
      <c r="E29" s="1586"/>
      <c r="F29" s="1586"/>
      <c r="G29" s="1586"/>
      <c r="H29" s="1586"/>
      <c r="I29" s="1586"/>
      <c r="J29" s="1586"/>
      <c r="K29" s="1586"/>
      <c r="L29" s="1586"/>
      <c r="M29" s="1586"/>
      <c r="N29" s="1586"/>
      <c r="O29" s="1586"/>
      <c r="P29" s="1586"/>
      <c r="Q29" s="1586"/>
      <c r="R29" s="1586"/>
      <c r="S29" s="1586"/>
      <c r="T29" s="1586"/>
      <c r="U29" s="1586"/>
      <c r="V29" s="1586"/>
      <c r="W29" s="1586"/>
      <c r="X29" s="1586"/>
      <c r="Y29" s="1586"/>
      <c r="Z29" s="1586"/>
      <c r="AA29" s="1586"/>
      <c r="AB29" s="1586"/>
      <c r="AC29" s="1586"/>
      <c r="AD29" s="1586"/>
      <c r="AE29" s="1586"/>
      <c r="AF29" s="1586"/>
      <c r="AG29" s="1586"/>
      <c r="AH29" s="1586"/>
      <c r="AI29" s="1586"/>
      <c r="AJ29" s="1586"/>
      <c r="AK29" s="1586"/>
      <c r="AL29" s="1586"/>
      <c r="AM29" s="1586"/>
      <c r="AN29" s="1586"/>
      <c r="AO29" s="1586"/>
      <c r="AP29" s="1586"/>
      <c r="AQ29" s="1586"/>
      <c r="AR29" s="1586"/>
      <c r="AS29" s="1586"/>
      <c r="AT29" s="1586"/>
    </row>
    <row r="30" spans="1:52" ht="12.95" customHeight="1">
      <c r="A30" s="1586"/>
      <c r="B30" s="1586"/>
      <c r="C30" s="1586"/>
      <c r="D30" s="1586"/>
      <c r="E30" s="1586"/>
      <c r="F30" s="1586"/>
      <c r="G30" s="1586"/>
      <c r="H30" s="1586"/>
      <c r="I30" s="1586"/>
      <c r="J30" s="1586"/>
      <c r="K30" s="1586"/>
      <c r="L30" s="1586"/>
      <c r="M30" s="1586"/>
      <c r="N30" s="1586"/>
      <c r="O30" s="1586"/>
      <c r="P30" s="1586"/>
      <c r="Q30" s="1586"/>
      <c r="R30" s="1586"/>
      <c r="S30" s="1586"/>
      <c r="T30" s="1586"/>
      <c r="U30" s="1586"/>
      <c r="V30" s="1586"/>
      <c r="W30" s="1586"/>
      <c r="X30" s="1586"/>
      <c r="Y30" s="1586"/>
      <c r="Z30" s="1586"/>
      <c r="AA30" s="1586"/>
      <c r="AB30" s="1586"/>
      <c r="AC30" s="1586"/>
      <c r="AD30" s="1586"/>
      <c r="AE30" s="1586"/>
      <c r="AF30" s="1586"/>
      <c r="AG30" s="1586"/>
      <c r="AH30" s="1586"/>
      <c r="AI30" s="1586"/>
      <c r="AJ30" s="1586"/>
      <c r="AK30" s="1586"/>
      <c r="AL30" s="1586"/>
      <c r="AM30" s="1586"/>
      <c r="AN30" s="1586"/>
      <c r="AO30" s="1586"/>
      <c r="AP30" s="1586"/>
      <c r="AQ30" s="1586"/>
      <c r="AR30" s="1586"/>
      <c r="AS30" s="1586"/>
      <c r="AT30" s="1586"/>
      <c r="AZ30" s="18"/>
    </row>
    <row r="31" spans="1:52" ht="12.95" customHeight="1">
      <c r="A31" s="1586"/>
      <c r="B31" s="1586"/>
      <c r="C31" s="1586"/>
      <c r="D31" s="1586"/>
      <c r="E31" s="1586"/>
      <c r="F31" s="1586"/>
      <c r="G31" s="1586"/>
      <c r="H31" s="1586"/>
      <c r="I31" s="1586"/>
      <c r="J31" s="1586"/>
      <c r="K31" s="1586"/>
      <c r="L31" s="1586"/>
      <c r="M31" s="1586"/>
      <c r="N31" s="1586"/>
      <c r="O31" s="1586"/>
      <c r="P31" s="1586"/>
      <c r="Q31" s="1586"/>
      <c r="R31" s="1586"/>
      <c r="S31" s="1586"/>
      <c r="T31" s="1586"/>
      <c r="U31" s="1586"/>
      <c r="V31" s="1586"/>
      <c r="W31" s="1586"/>
      <c r="X31" s="1586"/>
      <c r="Y31" s="1586"/>
      <c r="Z31" s="1586"/>
      <c r="AA31" s="1586"/>
      <c r="AB31" s="1586"/>
      <c r="AC31" s="1586"/>
      <c r="AD31" s="1586"/>
      <c r="AE31" s="1586"/>
      <c r="AF31" s="1586"/>
      <c r="AG31" s="1586"/>
      <c r="AH31" s="1586"/>
      <c r="AI31" s="1586"/>
      <c r="AJ31" s="1586"/>
      <c r="AK31" s="1586"/>
      <c r="AL31" s="1586"/>
      <c r="AM31" s="1586"/>
      <c r="AN31" s="1586"/>
      <c r="AO31" s="1586"/>
      <c r="AP31" s="1586"/>
      <c r="AQ31" s="1586"/>
      <c r="AR31" s="1586"/>
      <c r="AS31" s="1586"/>
      <c r="AT31" s="1586"/>
      <c r="AU31" s="18"/>
      <c r="AV31" s="18"/>
      <c r="AW31" s="18"/>
      <c r="AX31" s="18"/>
      <c r="AY31" s="18"/>
      <c r="AZ31" s="18"/>
    </row>
    <row r="32" spans="1:52" ht="12.95" customHeight="1">
      <c r="A32" s="444"/>
      <c r="C32" s="444"/>
      <c r="D32" s="444"/>
      <c r="E32" s="444"/>
      <c r="F32" s="444"/>
      <c r="G32" s="444"/>
      <c r="H32" s="444"/>
      <c r="I32" s="444"/>
      <c r="J32" s="444"/>
      <c r="K32" s="444"/>
      <c r="L32" s="444"/>
      <c r="M32" s="444"/>
      <c r="N32" s="444"/>
      <c r="O32" s="444"/>
      <c r="P32" s="444"/>
      <c r="Q32" s="444"/>
      <c r="R32" s="444"/>
      <c r="S32" s="444"/>
      <c r="T32" s="444"/>
      <c r="U32" s="444"/>
      <c r="V32" s="444"/>
      <c r="W32" s="444"/>
      <c r="X32" s="444"/>
      <c r="Y32" s="444"/>
      <c r="Z32" s="444"/>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row>
    <row r="33" spans="1:52" ht="12.95" customHeight="1">
      <c r="A33" s="444" t="s">
        <v>836</v>
      </c>
      <c r="C33" s="444"/>
      <c r="D33" s="444"/>
      <c r="E33" s="444"/>
      <c r="F33" s="444"/>
      <c r="G33" s="444"/>
      <c r="H33" s="444"/>
      <c r="I33" s="444"/>
      <c r="J33" s="444"/>
      <c r="K33" s="444"/>
      <c r="L33" s="444"/>
      <c r="M33" s="444"/>
      <c r="N33" s="444"/>
      <c r="O33" s="1234" t="s">
        <v>837</v>
      </c>
      <c r="P33" s="1234"/>
      <c r="Q33" s="1599" t="s">
        <v>838</v>
      </c>
      <c r="R33" s="1599"/>
      <c r="S33" s="1599"/>
      <c r="T33" s="1599"/>
      <c r="U33" s="1599"/>
      <c r="V33" s="1599"/>
      <c r="W33" s="1599"/>
      <c r="X33" s="1599"/>
      <c r="Y33" s="1599"/>
      <c r="Z33" s="1599"/>
      <c r="AA33" s="1599"/>
      <c r="AB33" s="1599"/>
      <c r="AC33" s="1599"/>
      <c r="AD33" s="1599"/>
      <c r="AE33" s="1599"/>
      <c r="AF33" s="1599"/>
      <c r="AG33" s="1599"/>
      <c r="AH33" s="1599"/>
      <c r="AI33" s="1599"/>
      <c r="AJ33" s="1599"/>
      <c r="AK33" s="1599"/>
      <c r="AL33" s="1599"/>
      <c r="AM33" s="1599"/>
      <c r="AN33" s="1599"/>
      <c r="AO33" s="1599"/>
      <c r="AP33" s="1599"/>
      <c r="AQ33" s="1599"/>
      <c r="AR33" s="1599"/>
      <c r="AS33" s="1599"/>
      <c r="AT33" s="1599"/>
      <c r="AU33" s="18"/>
      <c r="AV33" s="18"/>
      <c r="AW33" s="18"/>
      <c r="AX33" s="18"/>
      <c r="AY33" s="18"/>
    </row>
    <row r="34" spans="1:52" ht="12.95" customHeight="1">
      <c r="A34" s="1586" t="s">
        <v>839</v>
      </c>
      <c r="B34" s="1586"/>
      <c r="C34" s="1586"/>
      <c r="D34" s="1586"/>
      <c r="E34" s="1586"/>
      <c r="F34" s="1586"/>
      <c r="G34" s="1586"/>
      <c r="H34" s="1586"/>
      <c r="I34" s="1586"/>
      <c r="J34" s="1586"/>
      <c r="K34" s="1586"/>
      <c r="L34" s="1586"/>
      <c r="M34" s="1586"/>
      <c r="N34" s="1586"/>
      <c r="O34" s="1586"/>
      <c r="P34" s="1586"/>
      <c r="Q34" s="1586"/>
      <c r="R34" s="1586"/>
      <c r="S34" s="1586"/>
      <c r="T34" s="1586"/>
      <c r="U34" s="1586"/>
      <c r="V34" s="1586"/>
      <c r="W34" s="1586"/>
      <c r="X34" s="1586"/>
      <c r="Y34" s="1586"/>
      <c r="Z34" s="1586"/>
      <c r="AA34" s="1586"/>
      <c r="AB34" s="1586"/>
      <c r="AC34" s="1586"/>
      <c r="AD34" s="1586"/>
      <c r="AE34" s="1586"/>
      <c r="AF34" s="1586"/>
      <c r="AG34" s="1586"/>
      <c r="AH34" s="1586"/>
      <c r="AI34" s="1586"/>
      <c r="AJ34" s="1586"/>
      <c r="AK34" s="1586"/>
      <c r="AL34" s="1586"/>
      <c r="AM34" s="1586"/>
      <c r="AN34" s="1586"/>
      <c r="AO34" s="1586"/>
      <c r="AP34" s="1586"/>
      <c r="AQ34" s="1586"/>
      <c r="AR34" s="1586"/>
      <c r="AS34" s="1586"/>
      <c r="AT34" s="1586"/>
      <c r="AU34" s="18"/>
      <c r="AV34" s="18"/>
      <c r="AW34" s="18"/>
      <c r="AX34" s="18"/>
      <c r="AY34" s="18"/>
      <c r="AZ34" s="18"/>
    </row>
    <row r="35" spans="1:52" ht="12.95" customHeight="1">
      <c r="A35" s="1586"/>
      <c r="B35" s="1586"/>
      <c r="C35" s="1586"/>
      <c r="D35" s="1586"/>
      <c r="E35" s="1586"/>
      <c r="F35" s="1586"/>
      <c r="G35" s="1586"/>
      <c r="H35" s="1586"/>
      <c r="I35" s="1586"/>
      <c r="J35" s="1586"/>
      <c r="K35" s="1586"/>
      <c r="L35" s="1586"/>
      <c r="M35" s="1586"/>
      <c r="N35" s="1586"/>
      <c r="O35" s="1586"/>
      <c r="P35" s="1586"/>
      <c r="Q35" s="1586"/>
      <c r="R35" s="1586"/>
      <c r="S35" s="1586"/>
      <c r="T35" s="1586"/>
      <c r="U35" s="1586"/>
      <c r="V35" s="1586"/>
      <c r="W35" s="1586"/>
      <c r="X35" s="1586"/>
      <c r="Y35" s="1586"/>
      <c r="Z35" s="1586"/>
      <c r="AA35" s="1586"/>
      <c r="AB35" s="1586"/>
      <c r="AC35" s="1586"/>
      <c r="AD35" s="1586"/>
      <c r="AE35" s="1586"/>
      <c r="AF35" s="1586"/>
      <c r="AG35" s="1586"/>
      <c r="AH35" s="1586"/>
      <c r="AI35" s="1586"/>
      <c r="AJ35" s="1586"/>
      <c r="AK35" s="1586"/>
      <c r="AL35" s="1586"/>
      <c r="AM35" s="1586"/>
      <c r="AN35" s="1586"/>
      <c r="AO35" s="1586"/>
      <c r="AP35" s="1586"/>
      <c r="AQ35" s="1586"/>
      <c r="AR35" s="1586"/>
      <c r="AS35" s="1586"/>
      <c r="AT35" s="1586"/>
      <c r="AU35" s="18"/>
      <c r="AV35" s="18"/>
      <c r="AW35" s="18"/>
      <c r="AX35" s="18"/>
      <c r="AY35" s="18"/>
      <c r="AZ35" s="18"/>
    </row>
    <row r="36" spans="1:52" ht="12.95" customHeight="1">
      <c r="A36" s="1586"/>
      <c r="B36" s="1586"/>
      <c r="C36" s="1586"/>
      <c r="D36" s="1586"/>
      <c r="E36" s="1586"/>
      <c r="F36" s="1586"/>
      <c r="G36" s="1586"/>
      <c r="H36" s="1586"/>
      <c r="I36" s="1586"/>
      <c r="J36" s="1586"/>
      <c r="K36" s="1586"/>
      <c r="L36" s="1586"/>
      <c r="M36" s="1586"/>
      <c r="N36" s="1586"/>
      <c r="O36" s="1586"/>
      <c r="P36" s="1586"/>
      <c r="Q36" s="1586"/>
      <c r="R36" s="1586"/>
      <c r="S36" s="1586"/>
      <c r="T36" s="1586"/>
      <c r="U36" s="1586"/>
      <c r="V36" s="1586"/>
      <c r="W36" s="1586"/>
      <c r="X36" s="1586"/>
      <c r="Y36" s="1586"/>
      <c r="Z36" s="1586"/>
      <c r="AA36" s="1586"/>
      <c r="AB36" s="1586"/>
      <c r="AC36" s="1586"/>
      <c r="AD36" s="1586"/>
      <c r="AE36" s="1586"/>
      <c r="AF36" s="1586"/>
      <c r="AG36" s="1586"/>
      <c r="AH36" s="1586"/>
      <c r="AI36" s="1586"/>
      <c r="AJ36" s="1586"/>
      <c r="AK36" s="1586"/>
      <c r="AL36" s="1586"/>
      <c r="AM36" s="1586"/>
      <c r="AN36" s="1586"/>
      <c r="AO36" s="1586"/>
      <c r="AP36" s="1586"/>
      <c r="AQ36" s="1586"/>
      <c r="AR36" s="1586"/>
      <c r="AS36" s="1586"/>
      <c r="AT36" s="1586"/>
      <c r="AU36" s="18"/>
      <c r="AV36" s="18"/>
      <c r="AW36" s="18"/>
      <c r="AX36" s="18"/>
      <c r="AY36" s="18"/>
      <c r="AZ36" s="18"/>
    </row>
    <row r="37" spans="1:52" ht="12.95" customHeight="1">
      <c r="A37" s="1586"/>
      <c r="B37" s="1586"/>
      <c r="C37" s="1586"/>
      <c r="D37" s="1586"/>
      <c r="E37" s="1586"/>
      <c r="F37" s="1586"/>
      <c r="G37" s="1586"/>
      <c r="H37" s="1586"/>
      <c r="I37" s="1586"/>
      <c r="J37" s="1586"/>
      <c r="K37" s="1586"/>
      <c r="L37" s="1586"/>
      <c r="M37" s="1586"/>
      <c r="N37" s="1586"/>
      <c r="O37" s="1586"/>
      <c r="P37" s="1586"/>
      <c r="Q37" s="1586"/>
      <c r="R37" s="1586"/>
      <c r="S37" s="1586"/>
      <c r="T37" s="1586"/>
      <c r="U37" s="1586"/>
      <c r="V37" s="1586"/>
      <c r="W37" s="1586"/>
      <c r="X37" s="1586"/>
      <c r="Y37" s="1586"/>
      <c r="Z37" s="1586"/>
      <c r="AA37" s="1586"/>
      <c r="AB37" s="1586"/>
      <c r="AC37" s="1586"/>
      <c r="AD37" s="1586"/>
      <c r="AE37" s="1586"/>
      <c r="AF37" s="1586"/>
      <c r="AG37" s="1586"/>
      <c r="AH37" s="1586"/>
      <c r="AI37" s="1586"/>
      <c r="AJ37" s="1586"/>
      <c r="AK37" s="1586"/>
      <c r="AL37" s="1586"/>
      <c r="AM37" s="1586"/>
      <c r="AN37" s="1586"/>
      <c r="AO37" s="1586"/>
      <c r="AP37" s="1586"/>
      <c r="AQ37" s="1586"/>
      <c r="AR37" s="1586"/>
      <c r="AS37" s="1586"/>
      <c r="AT37" s="1586"/>
      <c r="AZ37" s="18"/>
    </row>
    <row r="38" spans="1:52" ht="12.95" customHeight="1">
      <c r="A38" s="3"/>
      <c r="AZ38" s="18"/>
    </row>
    <row r="39" spans="1:52" ht="12.95" customHeight="1">
      <c r="A39" s="1149" t="s">
        <v>840</v>
      </c>
      <c r="B39" s="1149"/>
      <c r="C39" s="1149"/>
      <c r="D39" s="1149"/>
      <c r="E39" s="1149"/>
      <c r="F39" s="1149"/>
      <c r="G39" s="1149"/>
      <c r="H39" s="1149"/>
      <c r="I39" s="1149"/>
      <c r="J39" s="1149"/>
      <c r="K39" s="1149"/>
      <c r="L39" s="1149"/>
      <c r="M39" s="1149"/>
      <c r="N39" s="1149"/>
      <c r="O39" s="1149"/>
      <c r="P39" s="1149"/>
      <c r="Q39" s="1149"/>
      <c r="R39" s="1149"/>
      <c r="S39" s="1149"/>
      <c r="T39" s="1149"/>
      <c r="U39" s="1149"/>
      <c r="V39" s="1149"/>
      <c r="W39" s="1149"/>
      <c r="X39" s="1149"/>
      <c r="Y39" s="1149"/>
      <c r="Z39" s="1149"/>
      <c r="AA39" s="1149"/>
      <c r="AB39" s="1149"/>
      <c r="AC39" s="1149"/>
      <c r="AD39" s="1149"/>
      <c r="AE39" s="1149"/>
      <c r="AF39" s="1149"/>
      <c r="AG39" s="1149"/>
      <c r="AH39" s="1149"/>
      <c r="AI39" s="1149"/>
      <c r="AJ39" s="1149"/>
      <c r="AK39" s="1149"/>
      <c r="AL39" s="1149"/>
      <c r="AM39" s="1149"/>
      <c r="AN39" s="1149"/>
      <c r="AO39" s="1149"/>
      <c r="AP39" s="1149"/>
      <c r="AQ39" s="1149"/>
      <c r="AR39" s="1149"/>
      <c r="AS39" s="1149"/>
      <c r="AT39" s="1149"/>
      <c r="AZ39" s="18"/>
    </row>
    <row r="40" spans="1:52" ht="12.95" customHeight="1">
      <c r="A40" s="1149"/>
      <c r="B40" s="1149"/>
      <c r="C40" s="1149"/>
      <c r="D40" s="1149"/>
      <c r="E40" s="1149"/>
      <c r="F40" s="1149"/>
      <c r="G40" s="1149"/>
      <c r="H40" s="1149"/>
      <c r="I40" s="1149"/>
      <c r="J40" s="1149"/>
      <c r="K40" s="1149"/>
      <c r="L40" s="1149"/>
      <c r="M40" s="1149"/>
      <c r="N40" s="1149"/>
      <c r="O40" s="1149"/>
      <c r="P40" s="1149"/>
      <c r="Q40" s="1149"/>
      <c r="R40" s="1149"/>
      <c r="S40" s="1149"/>
      <c r="T40" s="1149"/>
      <c r="U40" s="1149"/>
      <c r="V40" s="1149"/>
      <c r="W40" s="1149"/>
      <c r="X40" s="1149"/>
      <c r="Y40" s="1149"/>
      <c r="Z40" s="1149"/>
      <c r="AA40" s="1149"/>
      <c r="AB40" s="1149"/>
      <c r="AC40" s="1149"/>
      <c r="AD40" s="1149"/>
      <c r="AE40" s="1149"/>
      <c r="AF40" s="1149"/>
      <c r="AG40" s="1149"/>
      <c r="AH40" s="1149"/>
      <c r="AI40" s="1149"/>
      <c r="AJ40" s="1149"/>
      <c r="AK40" s="1149"/>
      <c r="AL40" s="1149"/>
      <c r="AM40" s="1149"/>
      <c r="AN40" s="1149"/>
      <c r="AO40" s="1149"/>
      <c r="AP40" s="1149"/>
      <c r="AQ40" s="1149"/>
      <c r="AR40" s="1149"/>
      <c r="AS40" s="1149"/>
      <c r="AT40" s="1149"/>
      <c r="AU40" s="18"/>
      <c r="AV40" s="18"/>
      <c r="AW40" s="18"/>
      <c r="AX40" s="18"/>
      <c r="AY40" s="18"/>
      <c r="AZ40" s="18"/>
    </row>
    <row r="41" spans="1:52" ht="12.95" customHeight="1">
      <c r="A41" s="1149"/>
      <c r="B41" s="1149"/>
      <c r="C41" s="1149"/>
      <c r="D41" s="1149"/>
      <c r="E41" s="1149"/>
      <c r="F41" s="1149"/>
      <c r="G41" s="1149"/>
      <c r="H41" s="1149"/>
      <c r="I41" s="1149"/>
      <c r="J41" s="1149"/>
      <c r="K41" s="1149"/>
      <c r="L41" s="1149"/>
      <c r="M41" s="1149"/>
      <c r="N41" s="1149"/>
      <c r="O41" s="1149"/>
      <c r="P41" s="1149"/>
      <c r="Q41" s="1149"/>
      <c r="R41" s="1149"/>
      <c r="S41" s="1149"/>
      <c r="T41" s="1149"/>
      <c r="U41" s="1149"/>
      <c r="V41" s="1149"/>
      <c r="W41" s="1149"/>
      <c r="X41" s="1149"/>
      <c r="Y41" s="1149"/>
      <c r="Z41" s="1149"/>
      <c r="AA41" s="1149"/>
      <c r="AB41" s="1149"/>
      <c r="AC41" s="1149"/>
      <c r="AD41" s="1149"/>
      <c r="AE41" s="1149"/>
      <c r="AF41" s="1149"/>
      <c r="AG41" s="1149"/>
      <c r="AH41" s="1149"/>
      <c r="AI41" s="1149"/>
      <c r="AJ41" s="1149"/>
      <c r="AK41" s="1149"/>
      <c r="AL41" s="1149"/>
      <c r="AM41" s="1149"/>
      <c r="AN41" s="1149"/>
      <c r="AO41" s="1149"/>
      <c r="AP41" s="1149"/>
      <c r="AQ41" s="1149"/>
      <c r="AR41" s="1149"/>
      <c r="AS41" s="1149"/>
      <c r="AT41" s="1149"/>
      <c r="AU41" s="18"/>
      <c r="AV41" s="18"/>
      <c r="AW41" s="18"/>
      <c r="AX41" s="18"/>
      <c r="AY41" s="18"/>
      <c r="AZ41" s="18"/>
    </row>
    <row r="42" spans="1:52" ht="12.95" customHeight="1">
      <c r="A42" s="1149"/>
      <c r="B42" s="1149"/>
      <c r="C42" s="1149"/>
      <c r="D42" s="1149"/>
      <c r="E42" s="1149"/>
      <c r="F42" s="1149"/>
      <c r="G42" s="1149"/>
      <c r="H42" s="1149"/>
      <c r="I42" s="1149"/>
      <c r="J42" s="1149"/>
      <c r="K42" s="1149"/>
      <c r="L42" s="1149"/>
      <c r="M42" s="1149"/>
      <c r="N42" s="1149"/>
      <c r="O42" s="1149"/>
      <c r="P42" s="1149"/>
      <c r="Q42" s="1149"/>
      <c r="R42" s="1149"/>
      <c r="S42" s="1149"/>
      <c r="T42" s="1149"/>
      <c r="U42" s="1149"/>
      <c r="V42" s="1149"/>
      <c r="W42" s="1149"/>
      <c r="X42" s="1149"/>
      <c r="Y42" s="1149"/>
      <c r="Z42" s="1149"/>
      <c r="AA42" s="1149"/>
      <c r="AB42" s="1149"/>
      <c r="AC42" s="1149"/>
      <c r="AD42" s="1149"/>
      <c r="AE42" s="1149"/>
      <c r="AF42" s="1149"/>
      <c r="AG42" s="1149"/>
      <c r="AH42" s="1149"/>
      <c r="AI42" s="1149"/>
      <c r="AJ42" s="1149"/>
      <c r="AK42" s="1149"/>
      <c r="AL42" s="1149"/>
      <c r="AM42" s="1149"/>
      <c r="AN42" s="1149"/>
      <c r="AO42" s="1149"/>
      <c r="AP42" s="1149"/>
      <c r="AQ42" s="1149"/>
      <c r="AR42" s="1149"/>
      <c r="AS42" s="1149"/>
      <c r="AT42" s="1149"/>
      <c r="AZ42" s="18"/>
    </row>
    <row r="43" spans="1:52" ht="12.95" customHeight="1">
      <c r="A43" s="1149"/>
      <c r="B43" s="1149"/>
      <c r="C43" s="1149"/>
      <c r="D43" s="1149"/>
      <c r="E43" s="1149"/>
      <c r="F43" s="1149"/>
      <c r="G43" s="1149"/>
      <c r="H43" s="1149"/>
      <c r="I43" s="1149"/>
      <c r="J43" s="1149"/>
      <c r="K43" s="1149"/>
      <c r="L43" s="1149"/>
      <c r="M43" s="1149"/>
      <c r="N43" s="1149"/>
      <c r="O43" s="1149"/>
      <c r="P43" s="1149"/>
      <c r="Q43" s="1149"/>
      <c r="R43" s="1149"/>
      <c r="S43" s="1149"/>
      <c r="T43" s="1149"/>
      <c r="U43" s="1149"/>
      <c r="V43" s="1149"/>
      <c r="W43" s="1149"/>
      <c r="X43" s="1149"/>
      <c r="Y43" s="1149"/>
      <c r="Z43" s="1149"/>
      <c r="AA43" s="1149"/>
      <c r="AB43" s="1149"/>
      <c r="AC43" s="1149"/>
      <c r="AD43" s="1149"/>
      <c r="AE43" s="1149"/>
      <c r="AF43" s="1149"/>
      <c r="AG43" s="1149"/>
      <c r="AH43" s="1149"/>
      <c r="AI43" s="1149"/>
      <c r="AJ43" s="1149"/>
      <c r="AK43" s="1149"/>
      <c r="AL43" s="1149"/>
      <c r="AM43" s="1149"/>
      <c r="AN43" s="1149"/>
      <c r="AO43" s="1149"/>
      <c r="AP43" s="1149"/>
      <c r="AQ43" s="1149"/>
      <c r="AR43" s="1149"/>
      <c r="AS43" s="1149"/>
      <c r="AT43" s="1149"/>
      <c r="AU43" s="18"/>
      <c r="AV43" s="18"/>
      <c r="AW43" s="18"/>
      <c r="AX43" s="18"/>
      <c r="AY43" s="18"/>
      <c r="AZ43" s="18"/>
    </row>
    <row r="44" spans="1:52" ht="12.95" customHeight="1">
      <c r="A44" s="1149"/>
      <c r="B44" s="1149"/>
      <c r="C44" s="1149"/>
      <c r="D44" s="1149"/>
      <c r="E44" s="1149"/>
      <c r="F44" s="1149"/>
      <c r="G44" s="1149"/>
      <c r="H44" s="1149"/>
      <c r="I44" s="1149"/>
      <c r="J44" s="1149"/>
      <c r="K44" s="1149"/>
      <c r="L44" s="1149"/>
      <c r="M44" s="1149"/>
      <c r="N44" s="1149"/>
      <c r="O44" s="1149"/>
      <c r="P44" s="1149"/>
      <c r="Q44" s="1149"/>
      <c r="R44" s="1149"/>
      <c r="S44" s="1149"/>
      <c r="T44" s="1149"/>
      <c r="U44" s="1149"/>
      <c r="V44" s="1149"/>
      <c r="W44" s="1149"/>
      <c r="X44" s="1149"/>
      <c r="Y44" s="1149"/>
      <c r="Z44" s="1149"/>
      <c r="AA44" s="1149"/>
      <c r="AB44" s="1149"/>
      <c r="AC44" s="1149"/>
      <c r="AD44" s="1149"/>
      <c r="AE44" s="1149"/>
      <c r="AF44" s="1149"/>
      <c r="AG44" s="1149"/>
      <c r="AH44" s="1149"/>
      <c r="AI44" s="1149"/>
      <c r="AJ44" s="1149"/>
      <c r="AK44" s="1149"/>
      <c r="AL44" s="1149"/>
      <c r="AM44" s="1149"/>
      <c r="AN44" s="1149"/>
      <c r="AO44" s="1149"/>
      <c r="AP44" s="1149"/>
      <c r="AQ44" s="1149"/>
      <c r="AR44" s="1149"/>
      <c r="AS44" s="1149"/>
      <c r="AT44" s="1149"/>
      <c r="AU44" s="18"/>
      <c r="AV44" s="18"/>
      <c r="AW44" s="18"/>
      <c r="AX44" s="18"/>
      <c r="AY44" s="18"/>
      <c r="AZ44" s="18"/>
    </row>
    <row r="45" spans="1:52" ht="12.95" customHeight="1">
      <c r="A45" s="444"/>
      <c r="C45" s="444"/>
      <c r="D45" s="444"/>
      <c r="E45" s="444"/>
      <c r="F45" s="444"/>
      <c r="G45" s="444"/>
      <c r="H45" s="444"/>
      <c r="I45" s="444"/>
      <c r="J45" s="444"/>
      <c r="K45" s="444"/>
      <c r="L45" s="444"/>
      <c r="M45" s="444"/>
      <c r="N45" s="444"/>
      <c r="O45" s="444"/>
      <c r="P45" s="444"/>
      <c r="Q45" s="444"/>
      <c r="R45" s="444"/>
      <c r="S45" s="444"/>
      <c r="T45" s="444"/>
      <c r="U45" s="444"/>
      <c r="V45" s="444"/>
      <c r="W45" s="444"/>
      <c r="X45" s="444"/>
      <c r="Y45" s="444"/>
      <c r="Z45" s="444"/>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row>
    <row r="46" spans="1:52" ht="12.95" customHeight="1">
      <c r="A46" s="1229" t="s">
        <v>841</v>
      </c>
      <c r="B46" s="1229"/>
      <c r="C46" s="1229"/>
      <c r="D46" s="1229"/>
      <c r="E46" s="1229"/>
      <c r="F46" s="1229"/>
      <c r="G46" s="1229"/>
      <c r="H46" s="1229"/>
      <c r="I46" s="1229"/>
      <c r="J46" s="1229"/>
      <c r="K46" s="1229"/>
      <c r="L46" s="1229"/>
      <c r="M46" s="1229"/>
      <c r="N46" s="1229"/>
      <c r="O46" s="1229"/>
      <c r="P46" s="1229"/>
      <c r="Q46" s="1229"/>
      <c r="R46" s="1229"/>
      <c r="S46" s="1229"/>
      <c r="T46" s="1229"/>
      <c r="U46" s="1229"/>
      <c r="V46" s="1229"/>
      <c r="W46" s="1229"/>
      <c r="X46" s="1229"/>
      <c r="Y46" s="1229"/>
      <c r="Z46" s="1229"/>
      <c r="AA46" s="1229"/>
      <c r="AB46" s="1229"/>
      <c r="AC46" s="1229"/>
      <c r="AD46" s="1229"/>
      <c r="AE46" s="1229"/>
      <c r="AF46" s="1229"/>
      <c r="AG46" s="1229"/>
      <c r="AH46" s="1229"/>
      <c r="AI46" s="1229"/>
      <c r="AJ46" s="1229"/>
      <c r="AK46" s="1229"/>
      <c r="AL46" s="1229"/>
      <c r="AM46" s="1229"/>
      <c r="AN46" s="1229"/>
      <c r="AO46" s="1229"/>
      <c r="AP46" s="1229"/>
      <c r="AQ46" s="1229"/>
      <c r="AR46" s="1229"/>
      <c r="AS46" s="1229"/>
      <c r="AT46" s="1229"/>
      <c r="AU46" s="18"/>
      <c r="AV46" s="18"/>
      <c r="AW46" s="18"/>
      <c r="AX46" s="18"/>
      <c r="AY46" s="18"/>
      <c r="AZ46" s="18"/>
    </row>
    <row r="47" spans="1:52" ht="12.95" customHeight="1">
      <c r="A47" s="1229"/>
      <c r="B47" s="1229"/>
      <c r="C47" s="1229"/>
      <c r="D47" s="1229"/>
      <c r="E47" s="1229"/>
      <c r="F47" s="1229"/>
      <c r="G47" s="1229"/>
      <c r="H47" s="1229"/>
      <c r="I47" s="1229"/>
      <c r="J47" s="1229"/>
      <c r="K47" s="1229"/>
      <c r="L47" s="1229"/>
      <c r="M47" s="1229"/>
      <c r="N47" s="1229"/>
      <c r="O47" s="1229"/>
      <c r="P47" s="1229"/>
      <c r="Q47" s="1229"/>
      <c r="R47" s="1229"/>
      <c r="S47" s="1229"/>
      <c r="T47" s="1229"/>
      <c r="U47" s="1229"/>
      <c r="V47" s="1229"/>
      <c r="W47" s="1229"/>
      <c r="X47" s="1229"/>
      <c r="Y47" s="1229"/>
      <c r="Z47" s="1229"/>
      <c r="AA47" s="1229"/>
      <c r="AB47" s="1229"/>
      <c r="AC47" s="1229"/>
      <c r="AD47" s="1229"/>
      <c r="AE47" s="1229"/>
      <c r="AF47" s="1229"/>
      <c r="AG47" s="1229"/>
      <c r="AH47" s="1229"/>
      <c r="AI47" s="1229"/>
      <c r="AJ47" s="1229"/>
      <c r="AK47" s="1229"/>
      <c r="AL47" s="1229"/>
      <c r="AM47" s="1229"/>
      <c r="AN47" s="1229"/>
      <c r="AO47" s="1229"/>
      <c r="AP47" s="1229"/>
      <c r="AQ47" s="1229"/>
      <c r="AR47" s="1229"/>
      <c r="AS47" s="1229"/>
      <c r="AT47" s="1229"/>
      <c r="AU47" s="18"/>
      <c r="AV47" s="18"/>
      <c r="AW47" s="18"/>
      <c r="AX47" s="18"/>
      <c r="AY47" s="18"/>
      <c r="AZ47" s="18"/>
    </row>
    <row r="48" spans="1:52" ht="12.95" customHeight="1">
      <c r="A48" s="1229"/>
      <c r="B48" s="1229"/>
      <c r="C48" s="1229"/>
      <c r="D48" s="1229"/>
      <c r="E48" s="1229"/>
      <c r="F48" s="1229"/>
      <c r="G48" s="1229"/>
      <c r="H48" s="1229"/>
      <c r="I48" s="1229"/>
      <c r="J48" s="1229"/>
      <c r="K48" s="1229"/>
      <c r="L48" s="1229"/>
      <c r="M48" s="1229"/>
      <c r="N48" s="1229"/>
      <c r="O48" s="1229"/>
      <c r="P48" s="1229"/>
      <c r="Q48" s="1229"/>
      <c r="R48" s="1229"/>
      <c r="S48" s="1229"/>
      <c r="T48" s="1229"/>
      <c r="U48" s="1229"/>
      <c r="V48" s="1229"/>
      <c r="W48" s="1229"/>
      <c r="X48" s="1229"/>
      <c r="Y48" s="1229"/>
      <c r="Z48" s="1229"/>
      <c r="AA48" s="1229"/>
      <c r="AB48" s="1229"/>
      <c r="AC48" s="1229"/>
      <c r="AD48" s="1229"/>
      <c r="AE48" s="1229"/>
      <c r="AF48" s="1229"/>
      <c r="AG48" s="1229"/>
      <c r="AH48" s="1229"/>
      <c r="AI48" s="1229"/>
      <c r="AJ48" s="1229"/>
      <c r="AK48" s="1229"/>
      <c r="AL48" s="1229"/>
      <c r="AM48" s="1229"/>
      <c r="AN48" s="1229"/>
      <c r="AO48" s="1229"/>
      <c r="AP48" s="1229"/>
      <c r="AQ48" s="1229"/>
      <c r="AR48" s="1229"/>
      <c r="AS48" s="1229"/>
      <c r="AT48" s="1229"/>
      <c r="AU48" s="18"/>
      <c r="AV48" s="18"/>
      <c r="AW48" s="18"/>
      <c r="AX48" s="18"/>
      <c r="AY48" s="18"/>
      <c r="AZ48" s="18"/>
    </row>
    <row r="49" spans="1:52" ht="12.95" customHeight="1">
      <c r="A49" s="1229"/>
      <c r="B49" s="1229"/>
      <c r="C49" s="1229"/>
      <c r="D49" s="1229"/>
      <c r="E49" s="1229"/>
      <c r="F49" s="1229"/>
      <c r="G49" s="1229"/>
      <c r="H49" s="1229"/>
      <c r="I49" s="1229"/>
      <c r="J49" s="1229"/>
      <c r="K49" s="1229"/>
      <c r="L49" s="1229"/>
      <c r="M49" s="1229"/>
      <c r="N49" s="1229"/>
      <c r="O49" s="1229"/>
      <c r="P49" s="1229"/>
      <c r="Q49" s="1229"/>
      <c r="R49" s="1229"/>
      <c r="S49" s="1229"/>
      <c r="T49" s="1229"/>
      <c r="U49" s="1229"/>
      <c r="V49" s="1229"/>
      <c r="W49" s="1229"/>
      <c r="X49" s="1229"/>
      <c r="Y49" s="1229"/>
      <c r="Z49" s="1229"/>
      <c r="AA49" s="1229"/>
      <c r="AB49" s="1229"/>
      <c r="AC49" s="1229"/>
      <c r="AD49" s="1229"/>
      <c r="AE49" s="1229"/>
      <c r="AF49" s="1229"/>
      <c r="AG49" s="1229"/>
      <c r="AH49" s="1229"/>
      <c r="AI49" s="1229"/>
      <c r="AJ49" s="1229"/>
      <c r="AK49" s="1229"/>
      <c r="AL49" s="1229"/>
      <c r="AM49" s="1229"/>
      <c r="AN49" s="1229"/>
      <c r="AO49" s="1229"/>
      <c r="AP49" s="1229"/>
      <c r="AQ49" s="1229"/>
      <c r="AR49" s="1229"/>
      <c r="AS49" s="1229"/>
      <c r="AT49" s="1229"/>
      <c r="AU49" s="18"/>
      <c r="AV49" s="18"/>
      <c r="AW49" s="18"/>
      <c r="AX49" s="18"/>
      <c r="AY49" s="18"/>
      <c r="AZ49" s="18"/>
    </row>
    <row r="50" spans="1:52" ht="12.95" customHeight="1">
      <c r="A50" s="382"/>
      <c r="B50" s="382"/>
      <c r="C50" s="382"/>
      <c r="D50" s="382"/>
      <c r="E50" s="382"/>
      <c r="F50" s="382"/>
      <c r="G50" s="382"/>
      <c r="H50" s="382"/>
      <c r="I50" s="382"/>
      <c r="J50" s="382"/>
      <c r="K50" s="382"/>
      <c r="L50" s="382"/>
      <c r="M50" s="382"/>
      <c r="N50" s="382"/>
      <c r="O50" s="382"/>
      <c r="P50" s="382"/>
      <c r="Q50" s="382"/>
      <c r="R50" s="382"/>
      <c r="S50" s="382"/>
      <c r="T50" s="382"/>
      <c r="U50" s="382"/>
      <c r="V50" s="382"/>
      <c r="W50" s="382"/>
      <c r="X50" s="382"/>
      <c r="Y50" s="382"/>
      <c r="Z50" s="382"/>
      <c r="AA50" s="382"/>
      <c r="AB50" s="382"/>
      <c r="AC50" s="382"/>
      <c r="AD50" s="382"/>
      <c r="AE50" s="382"/>
      <c r="AF50" s="382"/>
      <c r="AG50" s="382"/>
      <c r="AH50" s="382"/>
      <c r="AI50" s="382"/>
      <c r="AJ50" s="382"/>
      <c r="AK50" s="382"/>
      <c r="AL50" s="382"/>
      <c r="AM50" s="382"/>
      <c r="AN50" s="382"/>
      <c r="AO50" s="382"/>
      <c r="AP50" s="382"/>
      <c r="AQ50" s="382"/>
      <c r="AR50" s="382"/>
      <c r="AS50" s="382"/>
      <c r="AT50" s="382"/>
      <c r="AU50" s="18"/>
      <c r="AV50" s="18"/>
      <c r="AW50" s="18"/>
      <c r="AX50" s="18"/>
      <c r="AY50" s="18"/>
      <c r="AZ50" s="18"/>
    </row>
    <row r="51" spans="1:52" ht="12.95" customHeight="1">
      <c r="A51" s="1149" t="s">
        <v>842</v>
      </c>
      <c r="B51" s="1149"/>
      <c r="C51" s="1149"/>
      <c r="D51" s="1149"/>
      <c r="E51" s="1149"/>
      <c r="F51" s="1149"/>
      <c r="G51" s="1149"/>
      <c r="H51" s="1149"/>
      <c r="I51" s="1149"/>
      <c r="J51" s="1149"/>
      <c r="K51" s="1149"/>
      <c r="L51" s="1149"/>
      <c r="M51" s="1149"/>
      <c r="N51" s="1149"/>
      <c r="O51" s="1149"/>
      <c r="P51" s="1149"/>
      <c r="Q51" s="1149"/>
      <c r="R51" s="1149"/>
      <c r="S51" s="1149"/>
      <c r="T51" s="1149"/>
      <c r="U51" s="1149"/>
      <c r="V51" s="1149"/>
      <c r="W51" s="1149"/>
      <c r="X51" s="1149"/>
      <c r="Y51" s="1149"/>
      <c r="Z51" s="1149"/>
      <c r="AA51" s="1149"/>
      <c r="AB51" s="1149"/>
      <c r="AC51" s="1149"/>
      <c r="AD51" s="1149"/>
      <c r="AE51" s="1149"/>
      <c r="AF51" s="1149"/>
      <c r="AG51" s="1149"/>
      <c r="AH51" s="1149"/>
      <c r="AI51" s="1149"/>
      <c r="AJ51" s="1149"/>
      <c r="AK51" s="1149"/>
      <c r="AL51" s="1149"/>
      <c r="AM51" s="1149"/>
      <c r="AN51" s="1149"/>
      <c r="AO51" s="1149"/>
      <c r="AP51" s="1149"/>
      <c r="AQ51" s="1149"/>
      <c r="AR51" s="1149"/>
      <c r="AS51" s="1149"/>
      <c r="AT51" s="1149"/>
      <c r="AU51" s="18"/>
      <c r="AV51" s="18"/>
      <c r="AW51" s="18"/>
      <c r="AX51" s="18"/>
      <c r="AY51" s="18"/>
      <c r="AZ51" s="18"/>
    </row>
    <row r="52" spans="1:52" ht="12.95" customHeight="1">
      <c r="A52" s="1149"/>
      <c r="B52" s="1149"/>
      <c r="C52" s="1149"/>
      <c r="D52" s="1149"/>
      <c r="E52" s="1149"/>
      <c r="F52" s="1149"/>
      <c r="G52" s="1149"/>
      <c r="H52" s="1149"/>
      <c r="I52" s="1149"/>
      <c r="J52" s="1149"/>
      <c r="K52" s="1149"/>
      <c r="L52" s="1149"/>
      <c r="M52" s="1149"/>
      <c r="N52" s="1149"/>
      <c r="O52" s="1149"/>
      <c r="P52" s="1149"/>
      <c r="Q52" s="1149"/>
      <c r="R52" s="1149"/>
      <c r="S52" s="1149"/>
      <c r="T52" s="1149"/>
      <c r="U52" s="1149"/>
      <c r="V52" s="1149"/>
      <c r="W52" s="1149"/>
      <c r="X52" s="1149"/>
      <c r="Y52" s="1149"/>
      <c r="Z52" s="1149"/>
      <c r="AA52" s="1149"/>
      <c r="AB52" s="1149"/>
      <c r="AC52" s="1149"/>
      <c r="AD52" s="1149"/>
      <c r="AE52" s="1149"/>
      <c r="AF52" s="1149"/>
      <c r="AG52" s="1149"/>
      <c r="AH52" s="1149"/>
      <c r="AI52" s="1149"/>
      <c r="AJ52" s="1149"/>
      <c r="AK52" s="1149"/>
      <c r="AL52" s="1149"/>
      <c r="AM52" s="1149"/>
      <c r="AN52" s="1149"/>
      <c r="AO52" s="1149"/>
      <c r="AP52" s="1149"/>
      <c r="AQ52" s="1149"/>
      <c r="AR52" s="1149"/>
      <c r="AS52" s="1149"/>
      <c r="AT52" s="1149"/>
      <c r="AU52" s="18"/>
      <c r="AV52" s="18"/>
      <c r="AW52" s="18"/>
      <c r="AX52" s="18"/>
      <c r="AY52" s="18"/>
      <c r="AZ52" s="18"/>
    </row>
    <row r="53" spans="1:52" ht="12.95" customHeight="1">
      <c r="C53" s="444"/>
      <c r="D53" s="444"/>
      <c r="E53" s="444"/>
      <c r="F53" s="444"/>
      <c r="G53" s="444"/>
      <c r="H53" s="444"/>
      <c r="I53" s="444"/>
      <c r="J53" s="444"/>
      <c r="K53" s="444"/>
      <c r="L53" s="444"/>
      <c r="M53" s="444"/>
      <c r="N53" s="444"/>
      <c r="O53" s="444"/>
      <c r="P53" s="444"/>
      <c r="Q53" s="444"/>
      <c r="R53" s="444"/>
      <c r="S53" s="444"/>
      <c r="T53" s="444"/>
      <c r="U53" s="444"/>
      <c r="V53" s="444"/>
      <c r="W53" s="444"/>
      <c r="X53" s="444"/>
      <c r="Y53" s="444"/>
      <c r="Z53" s="444"/>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row>
    <row r="54" spans="1:52" ht="12.95" customHeight="1">
      <c r="A54" s="1149" t="s">
        <v>843</v>
      </c>
      <c r="B54" s="1149"/>
      <c r="C54" s="1149"/>
      <c r="D54" s="1149"/>
      <c r="E54" s="1149"/>
      <c r="F54" s="1149"/>
      <c r="G54" s="1149"/>
      <c r="H54" s="1149"/>
      <c r="I54" s="1149"/>
      <c r="J54" s="1149"/>
      <c r="K54" s="1149"/>
      <c r="L54" s="1149"/>
      <c r="M54" s="1149"/>
      <c r="N54" s="1149"/>
      <c r="O54" s="1149"/>
      <c r="P54" s="1149"/>
      <c r="Q54" s="1149"/>
      <c r="R54" s="1149"/>
      <c r="S54" s="1149"/>
      <c r="T54" s="1149"/>
      <c r="U54" s="1149"/>
      <c r="V54" s="1149"/>
      <c r="W54" s="1149"/>
      <c r="X54" s="1149"/>
      <c r="Y54" s="1149"/>
      <c r="Z54" s="1149"/>
      <c r="AA54" s="1149"/>
      <c r="AB54" s="1149"/>
      <c r="AC54" s="1149"/>
      <c r="AD54" s="1149"/>
      <c r="AE54" s="1149"/>
      <c r="AF54" s="1149"/>
      <c r="AG54" s="1149"/>
      <c r="AH54" s="1149"/>
      <c r="AI54" s="1149"/>
      <c r="AJ54" s="1149"/>
      <c r="AK54" s="1149"/>
      <c r="AL54" s="1149"/>
      <c r="AM54" s="1149"/>
      <c r="AN54" s="1149"/>
      <c r="AO54" s="1149"/>
      <c r="AP54" s="1149"/>
      <c r="AQ54" s="1149"/>
      <c r="AR54" s="1149"/>
      <c r="AS54" s="1149"/>
      <c r="AT54" s="1149"/>
      <c r="AU54" s="18"/>
      <c r="AV54" s="18"/>
      <c r="AW54" s="18"/>
      <c r="AX54" s="18"/>
      <c r="AY54" s="18"/>
      <c r="AZ54" s="19"/>
    </row>
    <row r="55" spans="1:52" ht="12.95" customHeight="1">
      <c r="A55" s="1149"/>
      <c r="B55" s="1149"/>
      <c r="C55" s="1149"/>
      <c r="D55" s="1149"/>
      <c r="E55" s="1149"/>
      <c r="F55" s="1149"/>
      <c r="G55" s="1149"/>
      <c r="H55" s="1149"/>
      <c r="I55" s="1149"/>
      <c r="J55" s="1149"/>
      <c r="K55" s="1149"/>
      <c r="L55" s="1149"/>
      <c r="M55" s="1149"/>
      <c r="N55" s="1149"/>
      <c r="O55" s="1149"/>
      <c r="P55" s="1149"/>
      <c r="Q55" s="1149"/>
      <c r="R55" s="1149"/>
      <c r="S55" s="1149"/>
      <c r="T55" s="1149"/>
      <c r="U55" s="1149"/>
      <c r="V55" s="1149"/>
      <c r="W55" s="1149"/>
      <c r="X55" s="1149"/>
      <c r="Y55" s="1149"/>
      <c r="Z55" s="1149"/>
      <c r="AA55" s="1149"/>
      <c r="AB55" s="1149"/>
      <c r="AC55" s="1149"/>
      <c r="AD55" s="1149"/>
      <c r="AE55" s="1149"/>
      <c r="AF55" s="1149"/>
      <c r="AG55" s="1149"/>
      <c r="AH55" s="1149"/>
      <c r="AI55" s="1149"/>
      <c r="AJ55" s="1149"/>
      <c r="AK55" s="1149"/>
      <c r="AL55" s="1149"/>
      <c r="AM55" s="1149"/>
      <c r="AN55" s="1149"/>
      <c r="AO55" s="1149"/>
      <c r="AP55" s="1149"/>
      <c r="AQ55" s="1149"/>
      <c r="AR55" s="1149"/>
      <c r="AS55" s="1149"/>
      <c r="AT55" s="1149"/>
      <c r="AZ55" s="19"/>
    </row>
    <row r="56" spans="1:52" ht="12.95" customHeight="1">
      <c r="A56" s="1149"/>
      <c r="B56" s="1149"/>
      <c r="C56" s="1149"/>
      <c r="D56" s="1149"/>
      <c r="E56" s="1149"/>
      <c r="F56" s="1149"/>
      <c r="G56" s="1149"/>
      <c r="H56" s="1149"/>
      <c r="I56" s="1149"/>
      <c r="J56" s="1149"/>
      <c r="K56" s="1149"/>
      <c r="L56" s="1149"/>
      <c r="M56" s="1149"/>
      <c r="N56" s="1149"/>
      <c r="O56" s="1149"/>
      <c r="P56" s="1149"/>
      <c r="Q56" s="1149"/>
      <c r="R56" s="1149"/>
      <c r="S56" s="1149"/>
      <c r="T56" s="1149"/>
      <c r="U56" s="1149"/>
      <c r="V56" s="1149"/>
      <c r="W56" s="1149"/>
      <c r="X56" s="1149"/>
      <c r="Y56" s="1149"/>
      <c r="Z56" s="1149"/>
      <c r="AA56" s="1149"/>
      <c r="AB56" s="1149"/>
      <c r="AC56" s="1149"/>
      <c r="AD56" s="1149"/>
      <c r="AE56" s="1149"/>
      <c r="AF56" s="1149"/>
      <c r="AG56" s="1149"/>
      <c r="AH56" s="1149"/>
      <c r="AI56" s="1149"/>
      <c r="AJ56" s="1149"/>
      <c r="AK56" s="1149"/>
      <c r="AL56" s="1149"/>
      <c r="AM56" s="1149"/>
      <c r="AN56" s="1149"/>
      <c r="AO56" s="1149"/>
      <c r="AP56" s="1149"/>
      <c r="AQ56" s="1149"/>
      <c r="AR56" s="1149"/>
      <c r="AS56" s="1149"/>
      <c r="AT56" s="1149"/>
    </row>
    <row r="57" spans="1:52" ht="12.95" customHeight="1">
      <c r="A57" s="1149"/>
      <c r="B57" s="1149"/>
      <c r="C57" s="1149"/>
      <c r="D57" s="1149"/>
      <c r="E57" s="1149"/>
      <c r="F57" s="1149"/>
      <c r="G57" s="1149"/>
      <c r="H57" s="1149"/>
      <c r="I57" s="1149"/>
      <c r="J57" s="1149"/>
      <c r="K57" s="1149"/>
      <c r="L57" s="1149"/>
      <c r="M57" s="1149"/>
      <c r="N57" s="1149"/>
      <c r="O57" s="1149"/>
      <c r="P57" s="1149"/>
      <c r="Q57" s="1149"/>
      <c r="R57" s="1149"/>
      <c r="S57" s="1149"/>
      <c r="T57" s="1149"/>
      <c r="U57" s="1149"/>
      <c r="V57" s="1149"/>
      <c r="W57" s="1149"/>
      <c r="X57" s="1149"/>
      <c r="Y57" s="1149"/>
      <c r="Z57" s="1149"/>
      <c r="AA57" s="1149"/>
      <c r="AB57" s="1149"/>
      <c r="AC57" s="1149"/>
      <c r="AD57" s="1149"/>
      <c r="AE57" s="1149"/>
      <c r="AF57" s="1149"/>
      <c r="AG57" s="1149"/>
      <c r="AH57" s="1149"/>
      <c r="AI57" s="1149"/>
      <c r="AJ57" s="1149"/>
      <c r="AK57" s="1149"/>
      <c r="AL57" s="1149"/>
      <c r="AM57" s="1149"/>
      <c r="AN57" s="1149"/>
      <c r="AO57" s="1149"/>
      <c r="AP57" s="1149"/>
      <c r="AQ57" s="1149"/>
      <c r="AR57" s="1149"/>
      <c r="AS57" s="1149"/>
      <c r="AT57" s="1149"/>
    </row>
    <row r="58" spans="1:52" ht="12.95" customHeight="1">
      <c r="A58" s="1149"/>
      <c r="B58" s="1149"/>
      <c r="C58" s="1149"/>
      <c r="D58" s="1149"/>
      <c r="E58" s="1149"/>
      <c r="F58" s="1149"/>
      <c r="G58" s="1149"/>
      <c r="H58" s="1149"/>
      <c r="I58" s="1149"/>
      <c r="J58" s="1149"/>
      <c r="K58" s="1149"/>
      <c r="L58" s="1149"/>
      <c r="M58" s="1149"/>
      <c r="N58" s="1149"/>
      <c r="O58" s="1149"/>
      <c r="P58" s="1149"/>
      <c r="Q58" s="1149"/>
      <c r="R58" s="1149"/>
      <c r="S58" s="1149"/>
      <c r="T58" s="1149"/>
      <c r="U58" s="1149"/>
      <c r="V58" s="1149"/>
      <c r="W58" s="1149"/>
      <c r="X58" s="1149"/>
      <c r="Y58" s="1149"/>
      <c r="Z58" s="1149"/>
      <c r="AA58" s="1149"/>
      <c r="AB58" s="1149"/>
      <c r="AC58" s="1149"/>
      <c r="AD58" s="1149"/>
      <c r="AE58" s="1149"/>
      <c r="AF58" s="1149"/>
      <c r="AG58" s="1149"/>
      <c r="AH58" s="1149"/>
      <c r="AI58" s="1149"/>
      <c r="AJ58" s="1149"/>
      <c r="AK58" s="1149"/>
      <c r="AL58" s="1149"/>
      <c r="AM58" s="1149"/>
      <c r="AN58" s="1149"/>
      <c r="AO58" s="1149"/>
      <c r="AP58" s="1149"/>
      <c r="AQ58" s="1149"/>
      <c r="AR58" s="1149"/>
      <c r="AS58" s="1149"/>
      <c r="AT58" s="1149"/>
    </row>
    <row r="59" spans="1:52" ht="12.95" customHeight="1">
      <c r="A59" s="444"/>
      <c r="C59" s="444"/>
      <c r="D59" s="444"/>
      <c r="E59" s="444"/>
      <c r="F59" s="444"/>
      <c r="G59" s="444"/>
      <c r="H59" s="444"/>
      <c r="I59" s="444"/>
      <c r="J59" s="444"/>
      <c r="K59" s="444"/>
      <c r="L59" s="444"/>
      <c r="M59" s="444"/>
      <c r="N59" s="444"/>
      <c r="O59" s="444"/>
      <c r="P59" s="444"/>
      <c r="Q59" s="444"/>
      <c r="R59" s="444"/>
      <c r="S59" s="444"/>
      <c r="T59" s="444"/>
      <c r="U59" s="444"/>
      <c r="V59" s="444"/>
      <c r="W59" s="444"/>
      <c r="X59" s="444"/>
      <c r="Y59" s="444"/>
      <c r="Z59" s="444"/>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row>
    <row r="60" spans="1:52" ht="12.95" customHeight="1">
      <c r="A60" s="1149" t="s">
        <v>844</v>
      </c>
      <c r="B60" s="1149"/>
      <c r="C60" s="1149"/>
      <c r="D60" s="1149"/>
      <c r="E60" s="1149"/>
      <c r="F60" s="1149"/>
      <c r="G60" s="1149"/>
      <c r="H60" s="1149"/>
      <c r="I60" s="1149"/>
      <c r="J60" s="1149"/>
      <c r="K60" s="1149"/>
      <c r="L60" s="1149"/>
      <c r="M60" s="1149"/>
      <c r="N60" s="1149"/>
      <c r="O60" s="1149"/>
      <c r="P60" s="1149"/>
      <c r="Q60" s="1149"/>
      <c r="R60" s="1149"/>
      <c r="S60" s="1149"/>
      <c r="T60" s="1149"/>
      <c r="U60" s="1149"/>
      <c r="V60" s="1149"/>
      <c r="W60" s="1149"/>
      <c r="X60" s="1149"/>
      <c r="Y60" s="1149"/>
      <c r="Z60" s="1149"/>
      <c r="AA60" s="1149"/>
      <c r="AB60" s="1149"/>
      <c r="AC60" s="1149"/>
      <c r="AD60" s="1149"/>
      <c r="AE60" s="1149"/>
      <c r="AF60" s="1149"/>
      <c r="AG60" s="1149"/>
      <c r="AH60" s="1149"/>
      <c r="AI60" s="1149"/>
      <c r="AJ60" s="1149"/>
      <c r="AK60" s="1149"/>
      <c r="AL60" s="1149"/>
      <c r="AM60" s="1149"/>
      <c r="AN60" s="1149"/>
      <c r="AO60" s="1149"/>
      <c r="AP60" s="1149"/>
      <c r="AQ60" s="1149"/>
      <c r="AR60" s="1149"/>
      <c r="AS60" s="1149"/>
      <c r="AT60" s="1149"/>
      <c r="AU60" s="18"/>
      <c r="AV60" s="18"/>
      <c r="AW60" s="18"/>
      <c r="AX60" s="18"/>
      <c r="AY60" s="18"/>
      <c r="AZ60" s="18"/>
    </row>
    <row r="61" spans="1:52" ht="12.95" customHeight="1">
      <c r="A61" s="1149"/>
      <c r="B61" s="1149"/>
      <c r="C61" s="1149"/>
      <c r="D61" s="1149"/>
      <c r="E61" s="1149"/>
      <c r="F61" s="1149"/>
      <c r="G61" s="1149"/>
      <c r="H61" s="1149"/>
      <c r="I61" s="1149"/>
      <c r="J61" s="1149"/>
      <c r="K61" s="1149"/>
      <c r="L61" s="1149"/>
      <c r="M61" s="1149"/>
      <c r="N61" s="1149"/>
      <c r="O61" s="1149"/>
      <c r="P61" s="1149"/>
      <c r="Q61" s="1149"/>
      <c r="R61" s="1149"/>
      <c r="S61" s="1149"/>
      <c r="T61" s="1149"/>
      <c r="U61" s="1149"/>
      <c r="V61" s="1149"/>
      <c r="W61" s="1149"/>
      <c r="X61" s="1149"/>
      <c r="Y61" s="1149"/>
      <c r="Z61" s="1149"/>
      <c r="AA61" s="1149"/>
      <c r="AB61" s="1149"/>
      <c r="AC61" s="1149"/>
      <c r="AD61" s="1149"/>
      <c r="AE61" s="1149"/>
      <c r="AF61" s="1149"/>
      <c r="AG61" s="1149"/>
      <c r="AH61" s="1149"/>
      <c r="AI61" s="1149"/>
      <c r="AJ61" s="1149"/>
      <c r="AK61" s="1149"/>
      <c r="AL61" s="1149"/>
      <c r="AM61" s="1149"/>
      <c r="AN61" s="1149"/>
      <c r="AO61" s="1149"/>
      <c r="AP61" s="1149"/>
      <c r="AQ61" s="1149"/>
      <c r="AR61" s="1149"/>
      <c r="AS61" s="1149"/>
      <c r="AT61" s="1149"/>
      <c r="AU61" s="18"/>
      <c r="AV61" s="18"/>
      <c r="AW61" s="18"/>
      <c r="AX61" s="18"/>
      <c r="AY61" s="18"/>
      <c r="AZ61" s="18"/>
    </row>
    <row r="62" spans="1:52" ht="12.95" customHeight="1">
      <c r="A62" s="444"/>
      <c r="C62" s="444"/>
      <c r="D62" s="444"/>
      <c r="E62" s="444"/>
      <c r="F62" s="444"/>
      <c r="G62" s="444"/>
      <c r="H62" s="444"/>
      <c r="I62" s="444"/>
      <c r="J62" s="444"/>
      <c r="K62" s="444"/>
      <c r="L62" s="444"/>
      <c r="M62" s="444"/>
      <c r="N62" s="444"/>
      <c r="O62" s="444"/>
      <c r="P62" s="444"/>
      <c r="Q62" s="444"/>
      <c r="R62" s="444"/>
      <c r="S62" s="444"/>
      <c r="T62" s="444"/>
      <c r="U62" s="444"/>
      <c r="V62" s="444"/>
      <c r="W62" s="444"/>
      <c r="X62" s="444"/>
      <c r="Y62" s="444"/>
      <c r="Z62" s="444"/>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row>
    <row r="63" spans="1:52" ht="12.95" customHeight="1">
      <c r="A63" s="444" t="s">
        <v>845</v>
      </c>
      <c r="C63" s="444"/>
      <c r="D63" s="444"/>
      <c r="E63" s="444"/>
      <c r="F63" s="444"/>
      <c r="G63" s="444"/>
      <c r="H63" s="444"/>
      <c r="I63" s="444"/>
      <c r="J63" s="444"/>
      <c r="K63" s="444"/>
      <c r="L63" s="444"/>
      <c r="M63" s="444"/>
      <c r="N63" s="444"/>
      <c r="O63" s="444"/>
      <c r="P63" s="444"/>
      <c r="Q63" s="444"/>
      <c r="R63" s="444"/>
      <c r="S63" s="444"/>
      <c r="T63" s="444"/>
      <c r="U63" s="444"/>
      <c r="V63" s="444"/>
      <c r="W63" s="444"/>
      <c r="X63" s="444"/>
      <c r="Y63" s="444"/>
      <c r="Z63" s="444"/>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row>
    <row r="64" spans="1:52" ht="12.95" customHeight="1">
      <c r="C64" s="444"/>
      <c r="D64" s="444"/>
      <c r="E64" s="444"/>
      <c r="F64" s="444"/>
      <c r="G64" s="444"/>
      <c r="H64" s="444"/>
      <c r="I64" s="444"/>
      <c r="J64" s="444"/>
      <c r="K64" s="444"/>
      <c r="L64" s="444"/>
      <c r="M64" s="444"/>
      <c r="N64" s="444"/>
      <c r="O64" s="444"/>
      <c r="P64" s="444"/>
      <c r="Q64" s="444"/>
      <c r="R64" s="444"/>
      <c r="S64" s="444"/>
      <c r="T64" s="444"/>
      <c r="U64" s="444"/>
      <c r="V64" s="444"/>
      <c r="W64" s="444"/>
      <c r="X64" s="444"/>
      <c r="Y64" s="444"/>
      <c r="Z64" s="444"/>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row>
    <row r="65" spans="1:52" ht="12.95" customHeight="1">
      <c r="A65" s="1149" t="s">
        <v>846</v>
      </c>
      <c r="B65" s="1149"/>
      <c r="C65" s="1149"/>
      <c r="D65" s="1149"/>
      <c r="E65" s="1149"/>
      <c r="F65" s="1149"/>
      <c r="G65" s="1149"/>
      <c r="H65" s="1149"/>
      <c r="I65" s="1149"/>
      <c r="J65" s="1149"/>
      <c r="K65" s="1149"/>
      <c r="L65" s="1149"/>
      <c r="M65" s="1149"/>
      <c r="N65" s="1149"/>
      <c r="O65" s="1149"/>
      <c r="P65" s="1149"/>
      <c r="Q65" s="1149"/>
      <c r="R65" s="1149"/>
      <c r="S65" s="1149"/>
      <c r="T65" s="1149"/>
      <c r="U65" s="1149"/>
      <c r="V65" s="1149"/>
      <c r="W65" s="1149"/>
      <c r="X65" s="1149"/>
      <c r="Y65" s="1149"/>
      <c r="Z65" s="1149"/>
      <c r="AA65" s="1149"/>
      <c r="AB65" s="1149"/>
      <c r="AC65" s="1149"/>
      <c r="AD65" s="1149"/>
      <c r="AE65" s="1149"/>
      <c r="AF65" s="1149"/>
      <c r="AG65" s="1149"/>
      <c r="AH65" s="1149"/>
      <c r="AI65" s="1149"/>
      <c r="AJ65" s="1149"/>
      <c r="AK65" s="1149"/>
      <c r="AL65" s="1149"/>
      <c r="AM65" s="1149"/>
      <c r="AN65" s="1149"/>
      <c r="AO65" s="1149"/>
      <c r="AP65" s="1149"/>
      <c r="AQ65" s="1149"/>
      <c r="AR65" s="1149"/>
      <c r="AS65" s="1149"/>
      <c r="AT65" s="1149"/>
      <c r="AU65" s="19"/>
      <c r="AV65" s="19"/>
      <c r="AW65" s="19"/>
      <c r="AX65" s="19"/>
      <c r="AY65" s="19"/>
      <c r="AZ65" s="18"/>
    </row>
    <row r="66" spans="1:52" ht="12.95" customHeight="1">
      <c r="A66" s="1149"/>
      <c r="B66" s="1149"/>
      <c r="C66" s="1149"/>
      <c r="D66" s="1149"/>
      <c r="E66" s="1149"/>
      <c r="F66" s="1149"/>
      <c r="G66" s="1149"/>
      <c r="H66" s="1149"/>
      <c r="I66" s="1149"/>
      <c r="J66" s="1149"/>
      <c r="K66" s="1149"/>
      <c r="L66" s="1149"/>
      <c r="M66" s="1149"/>
      <c r="N66" s="1149"/>
      <c r="O66" s="1149"/>
      <c r="P66" s="1149"/>
      <c r="Q66" s="1149"/>
      <c r="R66" s="1149"/>
      <c r="S66" s="1149"/>
      <c r="T66" s="1149"/>
      <c r="U66" s="1149"/>
      <c r="V66" s="1149"/>
      <c r="W66" s="1149"/>
      <c r="X66" s="1149"/>
      <c r="Y66" s="1149"/>
      <c r="Z66" s="1149"/>
      <c r="AA66" s="1149"/>
      <c r="AB66" s="1149"/>
      <c r="AC66" s="1149"/>
      <c r="AD66" s="1149"/>
      <c r="AE66" s="1149"/>
      <c r="AF66" s="1149"/>
      <c r="AG66" s="1149"/>
      <c r="AH66" s="1149"/>
      <c r="AI66" s="1149"/>
      <c r="AJ66" s="1149"/>
      <c r="AK66" s="1149"/>
      <c r="AL66" s="1149"/>
      <c r="AM66" s="1149"/>
      <c r="AN66" s="1149"/>
      <c r="AO66" s="1149"/>
      <c r="AP66" s="1149"/>
      <c r="AQ66" s="1149"/>
      <c r="AR66" s="1149"/>
      <c r="AS66" s="1149"/>
      <c r="AT66" s="1149"/>
      <c r="AU66" s="19"/>
      <c r="AV66" s="19"/>
      <c r="AW66" s="19"/>
      <c r="AX66" s="19"/>
      <c r="AY66" s="19"/>
      <c r="AZ66" s="18"/>
    </row>
    <row r="67" spans="1:52" ht="12.95" customHeight="1">
      <c r="A67" s="1149"/>
      <c r="B67" s="1149"/>
      <c r="C67" s="1149"/>
      <c r="D67" s="1149"/>
      <c r="E67" s="1149"/>
      <c r="F67" s="1149"/>
      <c r="G67" s="1149"/>
      <c r="H67" s="1149"/>
      <c r="I67" s="1149"/>
      <c r="J67" s="1149"/>
      <c r="K67" s="1149"/>
      <c r="L67" s="1149"/>
      <c r="M67" s="1149"/>
      <c r="N67" s="1149"/>
      <c r="O67" s="1149"/>
      <c r="P67" s="1149"/>
      <c r="Q67" s="1149"/>
      <c r="R67" s="1149"/>
      <c r="S67" s="1149"/>
      <c r="T67" s="1149"/>
      <c r="U67" s="1149"/>
      <c r="V67" s="1149"/>
      <c r="W67" s="1149"/>
      <c r="X67" s="1149"/>
      <c r="Y67" s="1149"/>
      <c r="Z67" s="1149"/>
      <c r="AA67" s="1149"/>
      <c r="AB67" s="1149"/>
      <c r="AC67" s="1149"/>
      <c r="AD67" s="1149"/>
      <c r="AE67" s="1149"/>
      <c r="AF67" s="1149"/>
      <c r="AG67" s="1149"/>
      <c r="AH67" s="1149"/>
      <c r="AI67" s="1149"/>
      <c r="AJ67" s="1149"/>
      <c r="AK67" s="1149"/>
      <c r="AL67" s="1149"/>
      <c r="AM67" s="1149"/>
      <c r="AN67" s="1149"/>
      <c r="AO67" s="1149"/>
      <c r="AP67" s="1149"/>
      <c r="AQ67" s="1149"/>
      <c r="AR67" s="1149"/>
      <c r="AS67" s="1149"/>
      <c r="AT67" s="1149"/>
      <c r="AZ67" s="18"/>
    </row>
    <row r="68" spans="1:52" ht="12.95" customHeight="1">
      <c r="A68" s="85"/>
      <c r="C68" s="3"/>
      <c r="D68" s="3"/>
      <c r="E68" s="3"/>
      <c r="F68" s="3"/>
      <c r="G68" s="3"/>
      <c r="H68" s="3"/>
      <c r="I68" s="3"/>
      <c r="J68" s="3"/>
      <c r="K68" s="3"/>
      <c r="L68" s="3"/>
      <c r="M68" s="3"/>
      <c r="N68" s="3"/>
      <c r="O68" s="3"/>
      <c r="P68" s="3"/>
      <c r="Q68" s="3"/>
      <c r="R68" s="3"/>
      <c r="S68" s="3"/>
      <c r="T68" s="3"/>
      <c r="U68" s="3"/>
      <c r="V68" s="3"/>
      <c r="W68" s="3"/>
      <c r="X68" s="3"/>
      <c r="Y68" s="3"/>
      <c r="Z68" s="3"/>
      <c r="AZ68" s="18"/>
    </row>
    <row r="69" spans="1:52" ht="12.95" customHeight="1">
      <c r="A69" s="1149" t="s">
        <v>847</v>
      </c>
      <c r="B69" s="1149"/>
      <c r="C69" s="1149"/>
      <c r="D69" s="1149"/>
      <c r="E69" s="1149"/>
      <c r="F69" s="1149"/>
      <c r="G69" s="1149"/>
      <c r="H69" s="1149"/>
      <c r="I69" s="1149"/>
      <c r="J69" s="1149"/>
      <c r="K69" s="1149"/>
      <c r="L69" s="1149"/>
      <c r="M69" s="1149"/>
      <c r="N69" s="1149"/>
      <c r="O69" s="1149"/>
      <c r="P69" s="1149"/>
      <c r="Q69" s="1149"/>
      <c r="R69" s="1149"/>
      <c r="S69" s="1149"/>
      <c r="T69" s="1149"/>
      <c r="U69" s="1149"/>
      <c r="V69" s="1149"/>
      <c r="W69" s="1149"/>
      <c r="X69" s="1149"/>
      <c r="Y69" s="1149"/>
      <c r="Z69" s="1149"/>
      <c r="AA69" s="1149"/>
      <c r="AB69" s="1149"/>
      <c r="AC69" s="1149"/>
      <c r="AD69" s="1149"/>
      <c r="AE69" s="1149"/>
      <c r="AF69" s="1149"/>
      <c r="AG69" s="1149"/>
      <c r="AH69" s="1149"/>
      <c r="AI69" s="1149"/>
      <c r="AJ69" s="1149"/>
      <c r="AK69" s="1149"/>
      <c r="AL69" s="1149"/>
      <c r="AM69" s="1149"/>
      <c r="AN69" s="1149"/>
      <c r="AO69" s="1149"/>
      <c r="AP69" s="1149"/>
      <c r="AQ69" s="1149"/>
      <c r="AR69" s="1149"/>
      <c r="AS69" s="1149"/>
      <c r="AT69" s="1149"/>
      <c r="AZ69" s="18"/>
    </row>
    <row r="70" spans="1:52" ht="12.95" customHeight="1">
      <c r="A70" s="1149"/>
      <c r="B70" s="1149"/>
      <c r="C70" s="1149"/>
      <c r="D70" s="1149"/>
      <c r="E70" s="1149"/>
      <c r="F70" s="1149"/>
      <c r="G70" s="1149"/>
      <c r="H70" s="1149"/>
      <c r="I70" s="1149"/>
      <c r="J70" s="1149"/>
      <c r="K70" s="1149"/>
      <c r="L70" s="1149"/>
      <c r="M70" s="1149"/>
      <c r="N70" s="1149"/>
      <c r="O70" s="1149"/>
      <c r="P70" s="1149"/>
      <c r="Q70" s="1149"/>
      <c r="R70" s="1149"/>
      <c r="S70" s="1149"/>
      <c r="T70" s="1149"/>
      <c r="U70" s="1149"/>
      <c r="V70" s="1149"/>
      <c r="W70" s="1149"/>
      <c r="X70" s="1149"/>
      <c r="Y70" s="1149"/>
      <c r="Z70" s="1149"/>
      <c r="AA70" s="1149"/>
      <c r="AB70" s="1149"/>
      <c r="AC70" s="1149"/>
      <c r="AD70" s="1149"/>
      <c r="AE70" s="1149"/>
      <c r="AF70" s="1149"/>
      <c r="AG70" s="1149"/>
      <c r="AH70" s="1149"/>
      <c r="AI70" s="1149"/>
      <c r="AJ70" s="1149"/>
      <c r="AK70" s="1149"/>
      <c r="AL70" s="1149"/>
      <c r="AM70" s="1149"/>
      <c r="AN70" s="1149"/>
      <c r="AO70" s="1149"/>
      <c r="AP70" s="1149"/>
      <c r="AQ70" s="1149"/>
      <c r="AR70" s="1149"/>
      <c r="AS70" s="1149"/>
      <c r="AT70" s="1149"/>
      <c r="AU70" s="18"/>
      <c r="AV70" s="18"/>
      <c r="AW70" s="18"/>
      <c r="AX70" s="18"/>
      <c r="AY70" s="18"/>
      <c r="AZ70" s="18"/>
    </row>
    <row r="71" spans="1:52" ht="12.95" customHeight="1">
      <c r="A71" s="444"/>
      <c r="C71" s="444"/>
      <c r="D71" s="444"/>
      <c r="E71" s="444"/>
      <c r="F71" s="444"/>
      <c r="G71" s="444"/>
      <c r="H71" s="444"/>
      <c r="I71" s="444"/>
      <c r="J71" s="444"/>
      <c r="K71" s="444"/>
      <c r="L71" s="444"/>
      <c r="M71" s="444"/>
      <c r="N71" s="444"/>
      <c r="O71" s="444"/>
      <c r="P71" s="444"/>
      <c r="Q71" s="444"/>
      <c r="R71" s="444"/>
      <c r="S71" s="444"/>
      <c r="T71" s="444"/>
      <c r="U71" s="444"/>
      <c r="V71" s="444"/>
      <c r="W71" s="444"/>
      <c r="X71" s="444"/>
      <c r="Y71" s="444"/>
      <c r="Z71" s="444"/>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row>
    <row r="72" spans="1:52" ht="12.95" customHeight="1">
      <c r="A72" s="1586" t="s">
        <v>848</v>
      </c>
      <c r="B72" s="1586"/>
      <c r="C72" s="1586"/>
      <c r="D72" s="1586"/>
      <c r="E72" s="1586"/>
      <c r="F72" s="1586"/>
      <c r="G72" s="1586"/>
      <c r="H72" s="1586"/>
      <c r="I72" s="1586"/>
      <c r="J72" s="1586"/>
      <c r="K72" s="1586"/>
      <c r="L72" s="1586"/>
      <c r="M72" s="1586"/>
      <c r="N72" s="1586"/>
      <c r="O72" s="1586"/>
      <c r="P72" s="1586"/>
      <c r="Q72" s="1586"/>
      <c r="R72" s="1586"/>
      <c r="S72" s="1586"/>
      <c r="T72" s="1586"/>
      <c r="U72" s="1586"/>
      <c r="V72" s="1586"/>
      <c r="W72" s="1586"/>
      <c r="X72" s="1586"/>
      <c r="Y72" s="1586"/>
      <c r="Z72" s="1586"/>
      <c r="AA72" s="1586"/>
      <c r="AB72" s="1586"/>
      <c r="AC72" s="1586"/>
      <c r="AD72" s="1586"/>
      <c r="AE72" s="1586"/>
      <c r="AF72" s="1586"/>
      <c r="AG72" s="1586"/>
      <c r="AH72" s="1586"/>
      <c r="AI72" s="1586"/>
      <c r="AJ72" s="1586"/>
      <c r="AK72" s="1586"/>
      <c r="AL72" s="1586"/>
      <c r="AM72" s="1586"/>
      <c r="AN72" s="1586"/>
      <c r="AO72" s="1586"/>
      <c r="AP72" s="1586"/>
      <c r="AQ72" s="1586"/>
      <c r="AR72" s="1586"/>
      <c r="AS72" s="1586"/>
      <c r="AT72" s="1586"/>
      <c r="AU72" s="18"/>
      <c r="AV72" s="18"/>
      <c r="AW72" s="18"/>
      <c r="AX72" s="18"/>
      <c r="AY72" s="18"/>
      <c r="AZ72" s="18"/>
    </row>
    <row r="73" spans="1:52" ht="12.95" customHeight="1">
      <c r="A73" s="1586"/>
      <c r="B73" s="1586"/>
      <c r="C73" s="1586"/>
      <c r="D73" s="1586"/>
      <c r="E73" s="1586"/>
      <c r="F73" s="1586"/>
      <c r="G73" s="1586"/>
      <c r="H73" s="1586"/>
      <c r="I73" s="1586"/>
      <c r="J73" s="1586"/>
      <c r="K73" s="1586"/>
      <c r="L73" s="1586"/>
      <c r="M73" s="1586"/>
      <c r="N73" s="1586"/>
      <c r="O73" s="1586"/>
      <c r="P73" s="1586"/>
      <c r="Q73" s="1586"/>
      <c r="R73" s="1586"/>
      <c r="S73" s="1586"/>
      <c r="T73" s="1586"/>
      <c r="U73" s="1586"/>
      <c r="V73" s="1586"/>
      <c r="W73" s="1586"/>
      <c r="X73" s="1586"/>
      <c r="Y73" s="1586"/>
      <c r="Z73" s="1586"/>
      <c r="AA73" s="1586"/>
      <c r="AB73" s="1586"/>
      <c r="AC73" s="1586"/>
      <c r="AD73" s="1586"/>
      <c r="AE73" s="1586"/>
      <c r="AF73" s="1586"/>
      <c r="AG73" s="1586"/>
      <c r="AH73" s="1586"/>
      <c r="AI73" s="1586"/>
      <c r="AJ73" s="1586"/>
      <c r="AK73" s="1586"/>
      <c r="AL73" s="1586"/>
      <c r="AM73" s="1586"/>
      <c r="AN73" s="1586"/>
      <c r="AO73" s="1586"/>
      <c r="AP73" s="1586"/>
      <c r="AQ73" s="1586"/>
      <c r="AR73" s="1586"/>
      <c r="AS73" s="1586"/>
      <c r="AT73" s="1586"/>
      <c r="AU73" s="18"/>
      <c r="AV73" s="18"/>
      <c r="AW73" s="18"/>
      <c r="AX73" s="18"/>
      <c r="AY73" s="18"/>
      <c r="AZ73" s="18"/>
    </row>
    <row r="74" spans="1:52" ht="12.95" customHeight="1">
      <c r="A74" s="444"/>
      <c r="C74" s="444"/>
      <c r="D74" s="444"/>
      <c r="E74" s="444"/>
      <c r="F74" s="444"/>
      <c r="G74" s="444"/>
      <c r="H74" s="444"/>
      <c r="I74" s="444"/>
      <c r="J74" s="444"/>
      <c r="K74" s="444"/>
      <c r="L74" s="444"/>
      <c r="M74" s="444"/>
      <c r="N74" s="444"/>
      <c r="O74" s="444"/>
      <c r="P74" s="444"/>
      <c r="Q74" s="444"/>
      <c r="R74" s="444"/>
      <c r="S74" s="444"/>
      <c r="T74" s="444"/>
      <c r="U74" s="444"/>
      <c r="V74" s="444"/>
      <c r="W74" s="444"/>
      <c r="X74" s="444"/>
      <c r="Y74" s="444"/>
      <c r="Z74" s="444"/>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row>
    <row r="75" spans="1:52" ht="12.95" customHeight="1">
      <c r="A75" s="1346" t="s">
        <v>849</v>
      </c>
      <c r="B75" s="1346"/>
      <c r="C75" s="1346"/>
      <c r="D75" s="1346"/>
      <c r="E75" s="1346"/>
      <c r="F75" s="1346"/>
      <c r="G75" s="1346"/>
      <c r="H75" s="1346"/>
      <c r="I75" s="1346"/>
      <c r="J75" s="1346"/>
      <c r="K75" s="1346"/>
      <c r="L75" s="1346"/>
      <c r="M75" s="1346"/>
      <c r="N75" s="1346"/>
      <c r="O75" s="1346"/>
      <c r="P75" s="1346"/>
      <c r="Q75" s="1346"/>
      <c r="R75" s="1346"/>
      <c r="S75" s="1346"/>
      <c r="T75" s="1346"/>
      <c r="U75" s="1346"/>
      <c r="V75" s="1346"/>
      <c r="W75" s="1346"/>
      <c r="X75" s="1346"/>
      <c r="Y75" s="1346"/>
      <c r="Z75" s="1346"/>
      <c r="AA75" s="1346"/>
      <c r="AB75" s="1346"/>
      <c r="AC75" s="1346"/>
      <c r="AD75" s="1346"/>
      <c r="AE75" s="1346"/>
      <c r="AF75" s="1346"/>
      <c r="AG75" s="1346"/>
      <c r="AH75" s="1346"/>
      <c r="AI75" s="1346"/>
      <c r="AJ75" s="1346"/>
      <c r="AK75" s="1346"/>
      <c r="AL75" s="1346"/>
      <c r="AM75" s="1346"/>
      <c r="AN75" s="1346"/>
      <c r="AO75" s="1346"/>
      <c r="AP75" s="1346"/>
      <c r="AQ75" s="1346"/>
      <c r="AR75" s="1346"/>
      <c r="AS75" s="1346"/>
      <c r="AT75" s="1346"/>
      <c r="AU75" s="18"/>
      <c r="AV75" s="18"/>
      <c r="AW75" s="18"/>
      <c r="AX75" s="18"/>
      <c r="AY75" s="18"/>
      <c r="AZ75" s="18"/>
    </row>
    <row r="76" spans="1:52" ht="12.95" customHeight="1">
      <c r="A76" s="1346"/>
      <c r="B76" s="1346"/>
      <c r="C76" s="1346"/>
      <c r="D76" s="1346"/>
      <c r="E76" s="1346"/>
      <c r="F76" s="1346"/>
      <c r="G76" s="1346"/>
      <c r="H76" s="1346"/>
      <c r="I76" s="1346"/>
      <c r="J76" s="1346"/>
      <c r="K76" s="1346"/>
      <c r="L76" s="1346"/>
      <c r="M76" s="1346"/>
      <c r="N76" s="1346"/>
      <c r="O76" s="1346"/>
      <c r="P76" s="1346"/>
      <c r="Q76" s="1346"/>
      <c r="R76" s="1346"/>
      <c r="S76" s="1346"/>
      <c r="T76" s="1346"/>
      <c r="U76" s="1346"/>
      <c r="V76" s="1346"/>
      <c r="W76" s="1346"/>
      <c r="X76" s="1346"/>
      <c r="Y76" s="1346"/>
      <c r="Z76" s="1346"/>
      <c r="AA76" s="1346"/>
      <c r="AB76" s="1346"/>
      <c r="AC76" s="1346"/>
      <c r="AD76" s="1346"/>
      <c r="AE76" s="1346"/>
      <c r="AF76" s="1346"/>
      <c r="AG76" s="1346"/>
      <c r="AH76" s="1346"/>
      <c r="AI76" s="1346"/>
      <c r="AJ76" s="1346"/>
      <c r="AK76" s="1346"/>
      <c r="AL76" s="1346"/>
      <c r="AM76" s="1346"/>
      <c r="AN76" s="1346"/>
      <c r="AO76" s="1346"/>
      <c r="AP76" s="1346"/>
      <c r="AQ76" s="1346"/>
      <c r="AR76" s="1346"/>
      <c r="AS76" s="1346"/>
      <c r="AT76" s="1346"/>
      <c r="AU76" s="18"/>
      <c r="AV76" s="18"/>
      <c r="AW76" s="18"/>
      <c r="AX76" s="18"/>
      <c r="AY76" s="18"/>
      <c r="AZ76" s="16"/>
    </row>
    <row r="77" spans="1:52" ht="12.95" customHeight="1">
      <c r="A77" s="1346"/>
      <c r="B77" s="1346"/>
      <c r="C77" s="1346"/>
      <c r="D77" s="1346"/>
      <c r="E77" s="1346"/>
      <c r="F77" s="1346"/>
      <c r="G77" s="1346"/>
      <c r="H77" s="1346"/>
      <c r="I77" s="1346"/>
      <c r="J77" s="1346"/>
      <c r="K77" s="1346"/>
      <c r="L77" s="1346"/>
      <c r="M77" s="1346"/>
      <c r="N77" s="1346"/>
      <c r="O77" s="1346"/>
      <c r="P77" s="1346"/>
      <c r="Q77" s="1346"/>
      <c r="R77" s="1346"/>
      <c r="S77" s="1346"/>
      <c r="T77" s="1346"/>
      <c r="U77" s="1346"/>
      <c r="V77" s="1346"/>
      <c r="W77" s="1346"/>
      <c r="X77" s="1346"/>
      <c r="Y77" s="1346"/>
      <c r="Z77" s="1346"/>
      <c r="AA77" s="1346"/>
      <c r="AB77" s="1346"/>
      <c r="AC77" s="1346"/>
      <c r="AD77" s="1346"/>
      <c r="AE77" s="1346"/>
      <c r="AF77" s="1346"/>
      <c r="AG77" s="1346"/>
      <c r="AH77" s="1346"/>
      <c r="AI77" s="1346"/>
      <c r="AJ77" s="1346"/>
      <c r="AK77" s="1346"/>
      <c r="AL77" s="1346"/>
      <c r="AM77" s="1346"/>
      <c r="AN77" s="1346"/>
      <c r="AO77" s="1346"/>
      <c r="AP77" s="1346"/>
      <c r="AQ77" s="1346"/>
      <c r="AR77" s="1346"/>
      <c r="AS77" s="1346"/>
      <c r="AT77" s="1346"/>
      <c r="AU77" s="18"/>
      <c r="AV77" s="18"/>
      <c r="AW77" s="18"/>
      <c r="AX77" s="18"/>
      <c r="AY77" s="18"/>
      <c r="AZ77" s="16"/>
    </row>
    <row r="78" spans="1:52" ht="12.95" customHeight="1">
      <c r="C78" s="444"/>
      <c r="D78" s="444"/>
      <c r="E78" s="444"/>
      <c r="F78" s="444"/>
      <c r="G78" s="444"/>
      <c r="H78" s="444"/>
      <c r="I78" s="444"/>
      <c r="J78" s="444"/>
      <c r="K78" s="444"/>
      <c r="L78" s="444"/>
      <c r="M78" s="444"/>
      <c r="N78" s="444"/>
      <c r="O78" s="444"/>
      <c r="P78" s="444"/>
      <c r="Q78" s="444"/>
      <c r="R78" s="444"/>
      <c r="S78" s="444"/>
      <c r="T78" s="444"/>
      <c r="U78" s="444"/>
      <c r="V78" s="444"/>
      <c r="W78" s="444"/>
      <c r="X78" s="444"/>
      <c r="Y78" s="444"/>
      <c r="Z78" s="444"/>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6"/>
    </row>
    <row r="79" spans="1:52" ht="12.95" customHeight="1">
      <c r="A79" s="1149" t="s">
        <v>850</v>
      </c>
      <c r="B79" s="1149"/>
      <c r="C79" s="1149"/>
      <c r="D79" s="1149"/>
      <c r="E79" s="1149"/>
      <c r="F79" s="1149"/>
      <c r="G79" s="1149"/>
      <c r="H79" s="1149"/>
      <c r="I79" s="1149"/>
      <c r="J79" s="1149"/>
      <c r="K79" s="1149"/>
      <c r="L79" s="1149"/>
      <c r="M79" s="1149"/>
      <c r="N79" s="1149"/>
      <c r="O79" s="1149"/>
      <c r="P79" s="1149"/>
      <c r="Q79" s="1149"/>
      <c r="R79" s="1149"/>
      <c r="S79" s="1149"/>
      <c r="T79" s="1149"/>
      <c r="U79" s="1149"/>
      <c r="V79" s="1149"/>
      <c r="W79" s="1149"/>
      <c r="X79" s="1149"/>
      <c r="Y79" s="1149"/>
      <c r="Z79" s="1149"/>
      <c r="AA79" s="1149"/>
      <c r="AB79" s="1149"/>
      <c r="AC79" s="1149"/>
      <c r="AD79" s="1149"/>
      <c r="AE79" s="1149"/>
      <c r="AF79" s="1149"/>
      <c r="AG79" s="1149"/>
      <c r="AH79" s="1149"/>
      <c r="AI79" s="1149"/>
      <c r="AJ79" s="1149"/>
      <c r="AK79" s="1149"/>
      <c r="AL79" s="1149"/>
      <c r="AM79" s="1149"/>
      <c r="AN79" s="1149"/>
      <c r="AO79" s="1149"/>
      <c r="AP79" s="1149"/>
      <c r="AQ79" s="1149"/>
      <c r="AR79" s="1149"/>
      <c r="AS79" s="1149"/>
      <c r="AT79" s="1149"/>
      <c r="AU79" s="18"/>
      <c r="AV79" s="18"/>
      <c r="AW79" s="18"/>
      <c r="AX79" s="18"/>
      <c r="AY79" s="18"/>
      <c r="AZ79" s="18"/>
    </row>
    <row r="80" spans="1:52" ht="12.95" customHeight="1">
      <c r="A80" s="1149"/>
      <c r="B80" s="1149"/>
      <c r="C80" s="1149"/>
      <c r="D80" s="1149"/>
      <c r="E80" s="1149"/>
      <c r="F80" s="1149"/>
      <c r="G80" s="1149"/>
      <c r="H80" s="1149"/>
      <c r="I80" s="1149"/>
      <c r="J80" s="1149"/>
      <c r="K80" s="1149"/>
      <c r="L80" s="1149"/>
      <c r="M80" s="1149"/>
      <c r="N80" s="1149"/>
      <c r="O80" s="1149"/>
      <c r="P80" s="1149"/>
      <c r="Q80" s="1149"/>
      <c r="R80" s="1149"/>
      <c r="S80" s="1149"/>
      <c r="T80" s="1149"/>
      <c r="U80" s="1149"/>
      <c r="V80" s="1149"/>
      <c r="W80" s="1149"/>
      <c r="X80" s="1149"/>
      <c r="Y80" s="1149"/>
      <c r="Z80" s="1149"/>
      <c r="AA80" s="1149"/>
      <c r="AB80" s="1149"/>
      <c r="AC80" s="1149"/>
      <c r="AD80" s="1149"/>
      <c r="AE80" s="1149"/>
      <c r="AF80" s="1149"/>
      <c r="AG80" s="1149"/>
      <c r="AH80" s="1149"/>
      <c r="AI80" s="1149"/>
      <c r="AJ80" s="1149"/>
      <c r="AK80" s="1149"/>
      <c r="AL80" s="1149"/>
      <c r="AM80" s="1149"/>
      <c r="AN80" s="1149"/>
      <c r="AO80" s="1149"/>
      <c r="AP80" s="1149"/>
      <c r="AQ80" s="1149"/>
      <c r="AR80" s="1149"/>
      <c r="AS80" s="1149"/>
      <c r="AT80" s="1149"/>
      <c r="AU80" s="18"/>
      <c r="AV80" s="18"/>
      <c r="AW80" s="18"/>
      <c r="AX80" s="18"/>
      <c r="AY80" s="18"/>
      <c r="AZ80" s="18"/>
    </row>
    <row r="81" spans="1:52" ht="12.95" customHeight="1">
      <c r="A81" s="1149"/>
      <c r="B81" s="1149"/>
      <c r="C81" s="1149"/>
      <c r="D81" s="1149"/>
      <c r="E81" s="1149"/>
      <c r="F81" s="1149"/>
      <c r="G81" s="1149"/>
      <c r="H81" s="1149"/>
      <c r="I81" s="1149"/>
      <c r="J81" s="1149"/>
      <c r="K81" s="1149"/>
      <c r="L81" s="1149"/>
      <c r="M81" s="1149"/>
      <c r="N81" s="1149"/>
      <c r="O81" s="1149"/>
      <c r="P81" s="1149"/>
      <c r="Q81" s="1149"/>
      <c r="R81" s="1149"/>
      <c r="S81" s="1149"/>
      <c r="T81" s="1149"/>
      <c r="U81" s="1149"/>
      <c r="V81" s="1149"/>
      <c r="W81" s="1149"/>
      <c r="X81" s="1149"/>
      <c r="Y81" s="1149"/>
      <c r="Z81" s="1149"/>
      <c r="AA81" s="1149"/>
      <c r="AB81" s="1149"/>
      <c r="AC81" s="1149"/>
      <c r="AD81" s="1149"/>
      <c r="AE81" s="1149"/>
      <c r="AF81" s="1149"/>
      <c r="AG81" s="1149"/>
      <c r="AH81" s="1149"/>
      <c r="AI81" s="1149"/>
      <c r="AJ81" s="1149"/>
      <c r="AK81" s="1149"/>
      <c r="AL81" s="1149"/>
      <c r="AM81" s="1149"/>
      <c r="AN81" s="1149"/>
      <c r="AO81" s="1149"/>
      <c r="AP81" s="1149"/>
      <c r="AQ81" s="1149"/>
      <c r="AR81" s="1149"/>
      <c r="AS81" s="1149"/>
      <c r="AT81" s="1149"/>
      <c r="AU81" s="18"/>
      <c r="AV81" s="18"/>
      <c r="AW81" s="18"/>
      <c r="AX81" s="18"/>
      <c r="AY81" s="18"/>
      <c r="AZ81" s="18"/>
    </row>
    <row r="82" spans="1:52" ht="12.95" customHeight="1">
      <c r="A82" s="444"/>
      <c r="C82" s="444"/>
      <c r="D82" s="444"/>
      <c r="E82" s="444"/>
      <c r="F82" s="444"/>
      <c r="G82" s="444"/>
      <c r="H82" s="444"/>
      <c r="I82" s="444"/>
      <c r="J82" s="444"/>
      <c r="K82" s="444"/>
      <c r="L82" s="444"/>
      <c r="M82" s="444"/>
      <c r="N82" s="444"/>
      <c r="O82" s="444"/>
      <c r="P82" s="444"/>
      <c r="Q82" s="444"/>
      <c r="R82" s="444"/>
      <c r="S82" s="444"/>
      <c r="T82" s="444"/>
      <c r="U82" s="444"/>
      <c r="V82" s="444"/>
      <c r="W82" s="444"/>
      <c r="X82" s="444"/>
      <c r="Y82" s="444"/>
      <c r="Z82" s="444"/>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row>
    <row r="83" spans="1:52" ht="12.95" customHeight="1">
      <c r="A83" s="1149" t="s">
        <v>851</v>
      </c>
      <c r="B83" s="1149"/>
      <c r="C83" s="1149"/>
      <c r="D83" s="1149"/>
      <c r="E83" s="1149"/>
      <c r="F83" s="1149"/>
      <c r="G83" s="1149"/>
      <c r="H83" s="1149"/>
      <c r="I83" s="1149"/>
      <c r="J83" s="1149"/>
      <c r="K83" s="1149"/>
      <c r="L83" s="1149"/>
      <c r="M83" s="1149"/>
      <c r="N83" s="1149"/>
      <c r="O83" s="1149"/>
      <c r="P83" s="1149"/>
      <c r="Q83" s="1149"/>
      <c r="R83" s="1149"/>
      <c r="S83" s="1149"/>
      <c r="T83" s="1149"/>
      <c r="U83" s="1149"/>
      <c r="V83" s="1149"/>
      <c r="W83" s="1149"/>
      <c r="X83" s="1149"/>
      <c r="Y83" s="1149"/>
      <c r="Z83" s="1149"/>
      <c r="AA83" s="1149"/>
      <c r="AB83" s="1149"/>
      <c r="AC83" s="1149"/>
      <c r="AD83" s="1149"/>
      <c r="AE83" s="1149"/>
      <c r="AF83" s="1149"/>
      <c r="AG83" s="1149"/>
      <c r="AH83" s="1149"/>
      <c r="AI83" s="1149"/>
      <c r="AJ83" s="1149"/>
      <c r="AK83" s="1149"/>
      <c r="AL83" s="1149"/>
      <c r="AM83" s="1149"/>
      <c r="AN83" s="1149"/>
      <c r="AO83" s="1149"/>
      <c r="AP83" s="1149"/>
      <c r="AQ83" s="1149"/>
      <c r="AR83" s="1149"/>
      <c r="AS83" s="1149"/>
      <c r="AT83" s="1149"/>
      <c r="AU83" s="18"/>
      <c r="AV83" s="18"/>
      <c r="AW83" s="18"/>
      <c r="AX83" s="18"/>
      <c r="AY83" s="18"/>
      <c r="AZ83" s="18"/>
    </row>
    <row r="84" spans="1:52" ht="12.95" customHeight="1">
      <c r="A84" s="1149"/>
      <c r="B84" s="1149"/>
      <c r="C84" s="1149"/>
      <c r="D84" s="1149"/>
      <c r="E84" s="1149"/>
      <c r="F84" s="1149"/>
      <c r="G84" s="1149"/>
      <c r="H84" s="1149"/>
      <c r="I84" s="1149"/>
      <c r="J84" s="1149"/>
      <c r="K84" s="1149"/>
      <c r="L84" s="1149"/>
      <c r="M84" s="1149"/>
      <c r="N84" s="1149"/>
      <c r="O84" s="1149"/>
      <c r="P84" s="1149"/>
      <c r="Q84" s="1149"/>
      <c r="R84" s="1149"/>
      <c r="S84" s="1149"/>
      <c r="T84" s="1149"/>
      <c r="U84" s="1149"/>
      <c r="V84" s="1149"/>
      <c r="W84" s="1149"/>
      <c r="X84" s="1149"/>
      <c r="Y84" s="1149"/>
      <c r="Z84" s="1149"/>
      <c r="AA84" s="1149"/>
      <c r="AB84" s="1149"/>
      <c r="AC84" s="1149"/>
      <c r="AD84" s="1149"/>
      <c r="AE84" s="1149"/>
      <c r="AF84" s="1149"/>
      <c r="AG84" s="1149"/>
      <c r="AH84" s="1149"/>
      <c r="AI84" s="1149"/>
      <c r="AJ84" s="1149"/>
      <c r="AK84" s="1149"/>
      <c r="AL84" s="1149"/>
      <c r="AM84" s="1149"/>
      <c r="AN84" s="1149"/>
      <c r="AO84" s="1149"/>
      <c r="AP84" s="1149"/>
      <c r="AQ84" s="1149"/>
      <c r="AR84" s="1149"/>
      <c r="AS84" s="1149"/>
      <c r="AT84" s="1149"/>
      <c r="AU84" s="18"/>
      <c r="AV84" s="18"/>
      <c r="AW84" s="18"/>
      <c r="AX84" s="18"/>
      <c r="AY84" s="18"/>
      <c r="AZ84" s="18"/>
    </row>
    <row r="85" spans="1:52" ht="12.95" customHeight="1">
      <c r="C85" s="444"/>
      <c r="D85" s="444"/>
      <c r="E85" s="444"/>
      <c r="F85" s="444"/>
      <c r="G85" s="444"/>
      <c r="H85" s="444"/>
      <c r="I85" s="444"/>
      <c r="J85" s="444"/>
      <c r="K85" s="444"/>
      <c r="L85" s="444"/>
      <c r="M85" s="444"/>
      <c r="N85" s="444"/>
      <c r="O85" s="444"/>
      <c r="P85" s="444"/>
      <c r="Q85" s="444"/>
      <c r="R85" s="444"/>
      <c r="S85" s="444"/>
      <c r="T85" s="444"/>
      <c r="U85" s="444"/>
      <c r="V85" s="444"/>
      <c r="W85" s="444"/>
      <c r="X85" s="444"/>
      <c r="Y85" s="444"/>
      <c r="Z85" s="444"/>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row>
    <row r="86" spans="1:52" ht="12.95" customHeight="1">
      <c r="A86" s="1149" t="s">
        <v>852</v>
      </c>
      <c r="B86" s="1149"/>
      <c r="C86" s="1149"/>
      <c r="D86" s="1149"/>
      <c r="E86" s="1149"/>
      <c r="F86" s="1149"/>
      <c r="G86" s="1149"/>
      <c r="H86" s="1149"/>
      <c r="I86" s="1149"/>
      <c r="J86" s="1149"/>
      <c r="K86" s="1149"/>
      <c r="L86" s="1149"/>
      <c r="M86" s="1149"/>
      <c r="N86" s="1149"/>
      <c r="O86" s="1149"/>
      <c r="P86" s="1149"/>
      <c r="Q86" s="1149"/>
      <c r="R86" s="1149"/>
      <c r="S86" s="1149"/>
      <c r="T86" s="1149"/>
      <c r="U86" s="1149"/>
      <c r="V86" s="1149"/>
      <c r="W86" s="1149"/>
      <c r="X86" s="1149"/>
      <c r="Y86" s="1149"/>
      <c r="Z86" s="1149"/>
      <c r="AA86" s="1149"/>
      <c r="AB86" s="1149"/>
      <c r="AC86" s="1149"/>
      <c r="AD86" s="1149"/>
      <c r="AE86" s="1149"/>
      <c r="AF86" s="1149"/>
      <c r="AG86" s="1149"/>
      <c r="AH86" s="1149"/>
      <c r="AI86" s="1149"/>
      <c r="AJ86" s="1149"/>
      <c r="AK86" s="1149"/>
      <c r="AL86" s="1149"/>
      <c r="AM86" s="1149"/>
      <c r="AN86" s="1149"/>
      <c r="AO86" s="1149"/>
      <c r="AP86" s="1149"/>
      <c r="AQ86" s="1149"/>
      <c r="AR86" s="1149"/>
      <c r="AS86" s="1149"/>
      <c r="AT86" s="1149"/>
      <c r="AU86" s="18"/>
      <c r="AV86" s="18"/>
      <c r="AW86" s="18"/>
      <c r="AX86" s="18"/>
      <c r="AY86" s="18"/>
      <c r="AZ86" s="18"/>
    </row>
    <row r="87" spans="1:52" ht="12.95" customHeight="1">
      <c r="A87" s="1149"/>
      <c r="B87" s="1149"/>
      <c r="C87" s="1149"/>
      <c r="D87" s="1149"/>
      <c r="E87" s="1149"/>
      <c r="F87" s="1149"/>
      <c r="G87" s="1149"/>
      <c r="H87" s="1149"/>
      <c r="I87" s="1149"/>
      <c r="J87" s="1149"/>
      <c r="K87" s="1149"/>
      <c r="L87" s="1149"/>
      <c r="M87" s="1149"/>
      <c r="N87" s="1149"/>
      <c r="O87" s="1149"/>
      <c r="P87" s="1149"/>
      <c r="Q87" s="1149"/>
      <c r="R87" s="1149"/>
      <c r="S87" s="1149"/>
      <c r="T87" s="1149"/>
      <c r="U87" s="1149"/>
      <c r="V87" s="1149"/>
      <c r="W87" s="1149"/>
      <c r="X87" s="1149"/>
      <c r="Y87" s="1149"/>
      <c r="Z87" s="1149"/>
      <c r="AA87" s="1149"/>
      <c r="AB87" s="1149"/>
      <c r="AC87" s="1149"/>
      <c r="AD87" s="1149"/>
      <c r="AE87" s="1149"/>
      <c r="AF87" s="1149"/>
      <c r="AG87" s="1149"/>
      <c r="AH87" s="1149"/>
      <c r="AI87" s="1149"/>
      <c r="AJ87" s="1149"/>
      <c r="AK87" s="1149"/>
      <c r="AL87" s="1149"/>
      <c r="AM87" s="1149"/>
      <c r="AN87" s="1149"/>
      <c r="AO87" s="1149"/>
      <c r="AP87" s="1149"/>
      <c r="AQ87" s="1149"/>
      <c r="AR87" s="1149"/>
      <c r="AS87" s="1149"/>
      <c r="AT87" s="1149"/>
      <c r="AU87" s="18"/>
      <c r="AV87" s="18"/>
      <c r="AW87" s="18"/>
      <c r="AX87" s="18"/>
      <c r="AY87" s="18"/>
      <c r="AZ87" s="18"/>
    </row>
    <row r="88" spans="1:52" ht="12.95" customHeight="1">
      <c r="A88" s="444"/>
      <c r="C88" s="444"/>
      <c r="D88" s="444"/>
      <c r="E88" s="444"/>
      <c r="F88" s="444"/>
      <c r="G88" s="444"/>
      <c r="H88" s="444"/>
      <c r="I88" s="444"/>
      <c r="J88" s="444"/>
      <c r="K88" s="444"/>
      <c r="L88" s="444"/>
      <c r="M88" s="444"/>
      <c r="N88" s="444"/>
      <c r="O88" s="444"/>
      <c r="P88" s="444"/>
      <c r="Q88" s="444"/>
      <c r="R88" s="444"/>
      <c r="S88" s="444"/>
      <c r="T88" s="444"/>
      <c r="U88" s="444"/>
      <c r="V88" s="444"/>
      <c r="W88" s="444"/>
      <c r="X88" s="444"/>
      <c r="Y88" s="444"/>
      <c r="Z88" s="444"/>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row>
    <row r="89" spans="1:52" ht="12.95" customHeight="1">
      <c r="A89" s="1359" t="s">
        <v>853</v>
      </c>
      <c r="B89" s="1359"/>
      <c r="C89" s="1359"/>
      <c r="D89" s="1359"/>
      <c r="E89" s="1359"/>
      <c r="F89" s="1359"/>
      <c r="G89" s="1359"/>
      <c r="H89" s="1359"/>
      <c r="I89" s="1359"/>
      <c r="J89" s="1359"/>
      <c r="K89" s="1359"/>
      <c r="L89" s="1359"/>
      <c r="M89" s="1359"/>
      <c r="N89" s="1359"/>
      <c r="O89" s="1359"/>
      <c r="P89" s="1359"/>
      <c r="Q89" s="1359"/>
      <c r="R89" s="1359"/>
      <c r="S89" s="1359"/>
      <c r="T89" s="1359"/>
      <c r="U89" s="1359"/>
      <c r="V89" s="1359"/>
      <c r="W89" s="1359"/>
      <c r="X89" s="1359"/>
      <c r="Y89" s="1359"/>
      <c r="Z89" s="1359"/>
      <c r="AA89" s="1359"/>
      <c r="AB89" s="1359"/>
      <c r="AC89" s="1359"/>
      <c r="AD89" s="1359"/>
      <c r="AE89" s="1359"/>
      <c r="AF89" s="1359"/>
      <c r="AG89" s="1359"/>
      <c r="AH89" s="1359"/>
      <c r="AI89" s="1359"/>
      <c r="AJ89" s="1359"/>
      <c r="AK89" s="1359"/>
      <c r="AL89" s="1359"/>
      <c r="AM89" s="1359"/>
      <c r="AN89" s="1359"/>
      <c r="AO89" s="1359"/>
      <c r="AP89" s="1359"/>
      <c r="AQ89" s="1359"/>
      <c r="AR89" s="1359"/>
      <c r="AS89" s="1359"/>
      <c r="AT89" s="1359"/>
      <c r="AU89" s="16"/>
      <c r="AV89" s="16"/>
      <c r="AW89" s="16"/>
      <c r="AX89" s="16"/>
      <c r="AY89" s="16"/>
      <c r="AZ89" s="18"/>
    </row>
    <row r="90" spans="1:52" ht="12.95" customHeight="1">
      <c r="A90" s="1359"/>
      <c r="B90" s="1359"/>
      <c r="C90" s="1359"/>
      <c r="D90" s="1359"/>
      <c r="E90" s="1359"/>
      <c r="F90" s="1359"/>
      <c r="G90" s="1359"/>
      <c r="H90" s="1359"/>
      <c r="I90" s="1359"/>
      <c r="J90" s="1359"/>
      <c r="K90" s="1359"/>
      <c r="L90" s="1359"/>
      <c r="M90" s="1359"/>
      <c r="N90" s="1359"/>
      <c r="O90" s="1359"/>
      <c r="P90" s="1359"/>
      <c r="Q90" s="1359"/>
      <c r="R90" s="1359"/>
      <c r="S90" s="1359"/>
      <c r="T90" s="1359"/>
      <c r="U90" s="1359"/>
      <c r="V90" s="1359"/>
      <c r="W90" s="1359"/>
      <c r="X90" s="1359"/>
      <c r="Y90" s="1359"/>
      <c r="Z90" s="1359"/>
      <c r="AA90" s="1359"/>
      <c r="AB90" s="1359"/>
      <c r="AC90" s="1359"/>
      <c r="AD90" s="1359"/>
      <c r="AE90" s="1359"/>
      <c r="AF90" s="1359"/>
      <c r="AG90" s="1359"/>
      <c r="AH90" s="1359"/>
      <c r="AI90" s="1359"/>
      <c r="AJ90" s="1359"/>
      <c r="AK90" s="1359"/>
      <c r="AL90" s="1359"/>
      <c r="AM90" s="1359"/>
      <c r="AN90" s="1359"/>
      <c r="AO90" s="1359"/>
      <c r="AP90" s="1359"/>
      <c r="AQ90" s="1359"/>
      <c r="AR90" s="1359"/>
      <c r="AS90" s="1359"/>
      <c r="AT90" s="1359"/>
      <c r="AU90" s="16"/>
      <c r="AV90" s="16"/>
      <c r="AW90" s="16"/>
      <c r="AX90" s="16"/>
      <c r="AY90" s="16"/>
      <c r="AZ90" s="18"/>
    </row>
    <row r="91" spans="1:52" ht="12.95" customHeight="1">
      <c r="A91" s="444"/>
      <c r="C91" s="86"/>
      <c r="D91" s="86"/>
      <c r="E91" s="86"/>
      <c r="F91" s="86"/>
      <c r="G91" s="86"/>
      <c r="H91" s="86"/>
      <c r="I91" s="86"/>
      <c r="J91" s="86"/>
      <c r="K91" s="86"/>
      <c r="L91" s="86"/>
      <c r="M91" s="86"/>
      <c r="N91" s="86"/>
      <c r="O91" s="86"/>
      <c r="P91" s="86"/>
      <c r="Q91" s="86"/>
      <c r="R91" s="86"/>
      <c r="S91" s="86"/>
      <c r="T91" s="86"/>
      <c r="U91" s="86"/>
      <c r="V91" s="86"/>
      <c r="W91" s="86"/>
      <c r="X91" s="86"/>
      <c r="Y91" s="86"/>
      <c r="Z91" s="8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8"/>
    </row>
    <row r="92" spans="1:52" ht="12.95" customHeight="1">
      <c r="A92" s="1346" t="s">
        <v>854</v>
      </c>
      <c r="B92" s="1346"/>
      <c r="C92" s="1346"/>
      <c r="D92" s="1346"/>
      <c r="E92" s="1346"/>
      <c r="F92" s="1346"/>
      <c r="G92" s="1346"/>
      <c r="H92" s="1346"/>
      <c r="I92" s="1346"/>
      <c r="J92" s="1346"/>
      <c r="K92" s="1346"/>
      <c r="L92" s="1346"/>
      <c r="M92" s="1346"/>
      <c r="N92" s="1346"/>
      <c r="O92" s="1346"/>
      <c r="P92" s="1346"/>
      <c r="Q92" s="1346"/>
      <c r="R92" s="1346"/>
      <c r="S92" s="1346"/>
      <c r="T92" s="1346"/>
      <c r="U92" s="1346"/>
      <c r="V92" s="1346"/>
      <c r="W92" s="1346"/>
      <c r="X92" s="1346"/>
      <c r="Y92" s="1346"/>
      <c r="Z92" s="1346"/>
      <c r="AA92" s="1346"/>
      <c r="AB92" s="1346"/>
      <c r="AC92" s="1346"/>
      <c r="AD92" s="1346"/>
      <c r="AE92" s="1346"/>
      <c r="AF92" s="1346"/>
      <c r="AG92" s="1346"/>
      <c r="AH92" s="1346"/>
      <c r="AI92" s="1346"/>
      <c r="AJ92" s="1346"/>
      <c r="AK92" s="1346"/>
      <c r="AL92" s="1346"/>
      <c r="AM92" s="1346"/>
      <c r="AN92" s="1346"/>
      <c r="AO92" s="1346"/>
      <c r="AP92" s="1346"/>
      <c r="AQ92" s="1346"/>
      <c r="AR92" s="1346"/>
      <c r="AS92" s="1346"/>
      <c r="AT92" s="1346"/>
      <c r="AU92" s="18"/>
      <c r="AV92" s="18"/>
      <c r="AW92" s="18"/>
      <c r="AX92" s="18"/>
      <c r="AY92" s="18"/>
      <c r="AZ92" s="18"/>
    </row>
    <row r="93" spans="1:52" ht="12.95" customHeight="1">
      <c r="A93" s="1346"/>
      <c r="B93" s="1346"/>
      <c r="C93" s="1346"/>
      <c r="D93" s="1346"/>
      <c r="E93" s="1346"/>
      <c r="F93" s="1346"/>
      <c r="G93" s="1346"/>
      <c r="H93" s="1346"/>
      <c r="I93" s="1346"/>
      <c r="J93" s="1346"/>
      <c r="K93" s="1346"/>
      <c r="L93" s="1346"/>
      <c r="M93" s="1346"/>
      <c r="N93" s="1346"/>
      <c r="O93" s="1346"/>
      <c r="P93" s="1346"/>
      <c r="Q93" s="1346"/>
      <c r="R93" s="1346"/>
      <c r="S93" s="1346"/>
      <c r="T93" s="1346"/>
      <c r="U93" s="1346"/>
      <c r="V93" s="1346"/>
      <c r="W93" s="1346"/>
      <c r="X93" s="1346"/>
      <c r="Y93" s="1346"/>
      <c r="Z93" s="1346"/>
      <c r="AA93" s="1346"/>
      <c r="AB93" s="1346"/>
      <c r="AC93" s="1346"/>
      <c r="AD93" s="1346"/>
      <c r="AE93" s="1346"/>
      <c r="AF93" s="1346"/>
      <c r="AG93" s="1346"/>
      <c r="AH93" s="1346"/>
      <c r="AI93" s="1346"/>
      <c r="AJ93" s="1346"/>
      <c r="AK93" s="1346"/>
      <c r="AL93" s="1346"/>
      <c r="AM93" s="1346"/>
      <c r="AN93" s="1346"/>
      <c r="AO93" s="1346"/>
      <c r="AP93" s="1346"/>
      <c r="AQ93" s="1346"/>
      <c r="AR93" s="1346"/>
      <c r="AS93" s="1346"/>
      <c r="AT93" s="1346"/>
      <c r="AU93" s="18"/>
      <c r="AV93" s="18"/>
      <c r="AW93" s="18"/>
      <c r="AX93" s="18"/>
      <c r="AY93" s="18"/>
      <c r="AZ93" s="18"/>
    </row>
    <row r="94" spans="1:52" ht="12.95" customHeight="1">
      <c r="A94" s="1346"/>
      <c r="B94" s="1346"/>
      <c r="C94" s="1346"/>
      <c r="D94" s="1346"/>
      <c r="E94" s="1346"/>
      <c r="F94" s="1346"/>
      <c r="G94" s="1346"/>
      <c r="H94" s="1346"/>
      <c r="I94" s="1346"/>
      <c r="J94" s="1346"/>
      <c r="K94" s="1346"/>
      <c r="L94" s="1346"/>
      <c r="M94" s="1346"/>
      <c r="N94" s="1346"/>
      <c r="O94" s="1346"/>
      <c r="P94" s="1346"/>
      <c r="Q94" s="1346"/>
      <c r="R94" s="1346"/>
      <c r="S94" s="1346"/>
      <c r="T94" s="1346"/>
      <c r="U94" s="1346"/>
      <c r="V94" s="1346"/>
      <c r="W94" s="1346"/>
      <c r="X94" s="1346"/>
      <c r="Y94" s="1346"/>
      <c r="Z94" s="1346"/>
      <c r="AA94" s="1346"/>
      <c r="AB94" s="1346"/>
      <c r="AC94" s="1346"/>
      <c r="AD94" s="1346"/>
      <c r="AE94" s="1346"/>
      <c r="AF94" s="1346"/>
      <c r="AG94" s="1346"/>
      <c r="AH94" s="1346"/>
      <c r="AI94" s="1346"/>
      <c r="AJ94" s="1346"/>
      <c r="AK94" s="1346"/>
      <c r="AL94" s="1346"/>
      <c r="AM94" s="1346"/>
      <c r="AN94" s="1346"/>
      <c r="AO94" s="1346"/>
      <c r="AP94" s="1346"/>
      <c r="AQ94" s="1346"/>
      <c r="AR94" s="1346"/>
      <c r="AS94" s="1346"/>
      <c r="AT94" s="1346"/>
      <c r="AU94" s="18"/>
      <c r="AV94" s="18"/>
      <c r="AW94" s="18"/>
      <c r="AX94" s="18"/>
      <c r="AY94" s="18"/>
      <c r="AZ94" s="18"/>
    </row>
    <row r="95" spans="1:52" ht="12.95" customHeight="1">
      <c r="A95" s="1346"/>
      <c r="B95" s="1346"/>
      <c r="C95" s="1346"/>
      <c r="D95" s="1346"/>
      <c r="E95" s="1346"/>
      <c r="F95" s="1346"/>
      <c r="G95" s="1346"/>
      <c r="H95" s="1346"/>
      <c r="I95" s="1346"/>
      <c r="J95" s="1346"/>
      <c r="K95" s="1346"/>
      <c r="L95" s="1346"/>
      <c r="M95" s="1346"/>
      <c r="N95" s="1346"/>
      <c r="O95" s="1346"/>
      <c r="P95" s="1346"/>
      <c r="Q95" s="1346"/>
      <c r="R95" s="1346"/>
      <c r="S95" s="1346"/>
      <c r="T95" s="1346"/>
      <c r="U95" s="1346"/>
      <c r="V95" s="1346"/>
      <c r="W95" s="1346"/>
      <c r="X95" s="1346"/>
      <c r="Y95" s="1346"/>
      <c r="Z95" s="1346"/>
      <c r="AA95" s="1346"/>
      <c r="AB95" s="1346"/>
      <c r="AC95" s="1346"/>
      <c r="AD95" s="1346"/>
      <c r="AE95" s="1346"/>
      <c r="AF95" s="1346"/>
      <c r="AG95" s="1346"/>
      <c r="AH95" s="1346"/>
      <c r="AI95" s="1346"/>
      <c r="AJ95" s="1346"/>
      <c r="AK95" s="1346"/>
      <c r="AL95" s="1346"/>
      <c r="AM95" s="1346"/>
      <c r="AN95" s="1346"/>
      <c r="AO95" s="1346"/>
      <c r="AP95" s="1346"/>
      <c r="AQ95" s="1346"/>
      <c r="AR95" s="1346"/>
      <c r="AS95" s="1346"/>
      <c r="AT95" s="1346"/>
      <c r="AU95" s="18"/>
      <c r="AV95" s="18"/>
      <c r="AW95" s="18"/>
      <c r="AX95" s="18"/>
      <c r="AY95" s="18"/>
      <c r="AZ95" s="18"/>
    </row>
    <row r="96" spans="1:52" ht="12.95" customHeight="1">
      <c r="A96" s="1346"/>
      <c r="B96" s="1346"/>
      <c r="C96" s="1346"/>
      <c r="D96" s="1346"/>
      <c r="E96" s="1346"/>
      <c r="F96" s="1346"/>
      <c r="G96" s="1346"/>
      <c r="H96" s="1346"/>
      <c r="I96" s="1346"/>
      <c r="J96" s="1346"/>
      <c r="K96" s="1346"/>
      <c r="L96" s="1346"/>
      <c r="M96" s="1346"/>
      <c r="N96" s="1346"/>
      <c r="O96" s="1346"/>
      <c r="P96" s="1346"/>
      <c r="Q96" s="1346"/>
      <c r="R96" s="1346"/>
      <c r="S96" s="1346"/>
      <c r="T96" s="1346"/>
      <c r="U96" s="1346"/>
      <c r="V96" s="1346"/>
      <c r="W96" s="1346"/>
      <c r="X96" s="1346"/>
      <c r="Y96" s="1346"/>
      <c r="Z96" s="1346"/>
      <c r="AA96" s="1346"/>
      <c r="AB96" s="1346"/>
      <c r="AC96" s="1346"/>
      <c r="AD96" s="1346"/>
      <c r="AE96" s="1346"/>
      <c r="AF96" s="1346"/>
      <c r="AG96" s="1346"/>
      <c r="AH96" s="1346"/>
      <c r="AI96" s="1346"/>
      <c r="AJ96" s="1346"/>
      <c r="AK96" s="1346"/>
      <c r="AL96" s="1346"/>
      <c r="AM96" s="1346"/>
      <c r="AN96" s="1346"/>
      <c r="AO96" s="1346"/>
      <c r="AP96" s="1346"/>
      <c r="AQ96" s="1346"/>
      <c r="AR96" s="1346"/>
      <c r="AS96" s="1346"/>
      <c r="AT96" s="1346"/>
      <c r="AU96" s="18"/>
      <c r="AV96" s="18"/>
      <c r="AW96" s="18"/>
      <c r="AX96" s="18"/>
      <c r="AY96" s="18"/>
      <c r="AZ96" s="18"/>
    </row>
    <row r="97" spans="1:52" ht="12.95" customHeight="1">
      <c r="A97" s="1346"/>
      <c r="B97" s="1346"/>
      <c r="C97" s="1346"/>
      <c r="D97" s="1346"/>
      <c r="E97" s="1346"/>
      <c r="F97" s="1346"/>
      <c r="G97" s="1346"/>
      <c r="H97" s="1346"/>
      <c r="I97" s="1346"/>
      <c r="J97" s="1346"/>
      <c r="K97" s="1346"/>
      <c r="L97" s="1346"/>
      <c r="M97" s="1346"/>
      <c r="N97" s="1346"/>
      <c r="O97" s="1346"/>
      <c r="P97" s="1346"/>
      <c r="Q97" s="1346"/>
      <c r="R97" s="1346"/>
      <c r="S97" s="1346"/>
      <c r="T97" s="1346"/>
      <c r="U97" s="1346"/>
      <c r="V97" s="1346"/>
      <c r="W97" s="1346"/>
      <c r="X97" s="1346"/>
      <c r="Y97" s="1346"/>
      <c r="Z97" s="1346"/>
      <c r="AA97" s="1346"/>
      <c r="AB97" s="1346"/>
      <c r="AC97" s="1346"/>
      <c r="AD97" s="1346"/>
      <c r="AE97" s="1346"/>
      <c r="AF97" s="1346"/>
      <c r="AG97" s="1346"/>
      <c r="AH97" s="1346"/>
      <c r="AI97" s="1346"/>
      <c r="AJ97" s="1346"/>
      <c r="AK97" s="1346"/>
      <c r="AL97" s="1346"/>
      <c r="AM97" s="1346"/>
      <c r="AN97" s="1346"/>
      <c r="AO97" s="1346"/>
      <c r="AP97" s="1346"/>
      <c r="AQ97" s="1346"/>
      <c r="AR97" s="1346"/>
      <c r="AS97" s="1346"/>
      <c r="AT97" s="1346"/>
      <c r="AU97" s="18"/>
      <c r="AV97" s="18"/>
      <c r="AW97" s="18"/>
      <c r="AX97" s="18"/>
      <c r="AY97" s="18"/>
      <c r="AZ97" s="18"/>
    </row>
    <row r="98" spans="1:52" ht="12.95" customHeight="1">
      <c r="A98" s="1346"/>
      <c r="B98" s="1346"/>
      <c r="C98" s="1346"/>
      <c r="D98" s="1346"/>
      <c r="E98" s="1346"/>
      <c r="F98" s="1346"/>
      <c r="G98" s="1346"/>
      <c r="H98" s="1346"/>
      <c r="I98" s="1346"/>
      <c r="J98" s="1346"/>
      <c r="K98" s="1346"/>
      <c r="L98" s="1346"/>
      <c r="M98" s="1346"/>
      <c r="N98" s="1346"/>
      <c r="O98" s="1346"/>
      <c r="P98" s="1346"/>
      <c r="Q98" s="1346"/>
      <c r="R98" s="1346"/>
      <c r="S98" s="1346"/>
      <c r="T98" s="1346"/>
      <c r="U98" s="1346"/>
      <c r="V98" s="1346"/>
      <c r="W98" s="1346"/>
      <c r="X98" s="1346"/>
      <c r="Y98" s="1346"/>
      <c r="Z98" s="1346"/>
      <c r="AA98" s="1346"/>
      <c r="AB98" s="1346"/>
      <c r="AC98" s="1346"/>
      <c r="AD98" s="1346"/>
      <c r="AE98" s="1346"/>
      <c r="AF98" s="1346"/>
      <c r="AG98" s="1346"/>
      <c r="AH98" s="1346"/>
      <c r="AI98" s="1346"/>
      <c r="AJ98" s="1346"/>
      <c r="AK98" s="1346"/>
      <c r="AL98" s="1346"/>
      <c r="AM98" s="1346"/>
      <c r="AN98" s="1346"/>
      <c r="AO98" s="1346"/>
      <c r="AP98" s="1346"/>
      <c r="AQ98" s="1346"/>
      <c r="AR98" s="1346"/>
      <c r="AS98" s="1346"/>
      <c r="AT98" s="1346"/>
      <c r="AU98" s="18"/>
      <c r="AV98" s="18"/>
      <c r="AW98" s="18"/>
      <c r="AX98" s="18"/>
      <c r="AY98" s="18"/>
      <c r="AZ98" s="18"/>
    </row>
    <row r="99" spans="1:52" ht="12.95" customHeight="1">
      <c r="C99" s="444"/>
      <c r="D99" s="444"/>
      <c r="E99" s="444"/>
      <c r="F99" s="444"/>
      <c r="G99" s="444"/>
      <c r="H99" s="444"/>
      <c r="I99" s="444"/>
      <c r="J99" s="444"/>
      <c r="K99" s="444"/>
      <c r="L99" s="444"/>
      <c r="M99" s="444"/>
      <c r="N99" s="444"/>
      <c r="O99" s="444"/>
      <c r="P99" s="444"/>
      <c r="Q99" s="444"/>
      <c r="R99" s="444"/>
      <c r="S99" s="444"/>
      <c r="T99" s="444"/>
      <c r="U99" s="444"/>
      <c r="V99" s="444"/>
      <c r="W99" s="444"/>
      <c r="X99" s="444"/>
      <c r="Y99" s="444"/>
      <c r="Z99" s="444"/>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row>
    <row r="100" spans="1:52" ht="12.95" customHeight="1">
      <c r="A100" s="1181" t="s">
        <v>855</v>
      </c>
      <c r="B100" s="1181"/>
      <c r="C100" s="1181"/>
      <c r="D100" s="1181"/>
      <c r="E100" s="1181"/>
      <c r="F100" s="1181"/>
      <c r="G100" s="1181"/>
      <c r="H100" s="1181"/>
      <c r="I100" s="1181"/>
      <c r="J100" s="1181"/>
      <c r="K100" s="1181"/>
      <c r="L100" s="1181"/>
      <c r="M100" s="1181"/>
      <c r="N100" s="1181"/>
      <c r="O100" s="1181"/>
      <c r="P100" s="1181"/>
      <c r="Q100" s="1181"/>
      <c r="R100" s="1181"/>
      <c r="S100" s="1181"/>
      <c r="T100" s="1181"/>
      <c r="U100" s="1181"/>
      <c r="V100" s="1181"/>
      <c r="W100" s="1181"/>
      <c r="X100" s="1181"/>
      <c r="Y100" s="1181"/>
      <c r="Z100" s="1181"/>
      <c r="AA100" s="1181"/>
      <c r="AB100" s="1181"/>
      <c r="AC100" s="1181"/>
      <c r="AD100" s="1181"/>
      <c r="AE100" s="1181"/>
      <c r="AF100" s="1181"/>
      <c r="AG100" s="1181"/>
      <c r="AH100" s="1181"/>
      <c r="AI100" s="1181"/>
      <c r="AJ100" s="1181"/>
      <c r="AK100" s="1181"/>
      <c r="AL100" s="1181"/>
      <c r="AM100" s="1181"/>
      <c r="AN100" s="1181"/>
      <c r="AO100" s="1181"/>
      <c r="AP100" s="1181"/>
      <c r="AQ100" s="1181"/>
      <c r="AR100" s="1181"/>
      <c r="AS100" s="1181"/>
      <c r="AT100" s="1181"/>
      <c r="AU100" s="18"/>
      <c r="AV100" s="18"/>
      <c r="AW100" s="18"/>
      <c r="AX100" s="18"/>
      <c r="AY100" s="18"/>
      <c r="AZ100" s="18"/>
    </row>
    <row r="101" spans="1:52" ht="12.95" customHeight="1">
      <c r="A101" s="1181"/>
      <c r="B101" s="1181"/>
      <c r="C101" s="1181"/>
      <c r="D101" s="1181"/>
      <c r="E101" s="1181"/>
      <c r="F101" s="1181"/>
      <c r="G101" s="1181"/>
      <c r="H101" s="1181"/>
      <c r="I101" s="1181"/>
      <c r="J101" s="1181"/>
      <c r="K101" s="1181"/>
      <c r="L101" s="1181"/>
      <c r="M101" s="1181"/>
      <c r="N101" s="1181"/>
      <c r="O101" s="1181"/>
      <c r="P101" s="1181"/>
      <c r="Q101" s="1181"/>
      <c r="R101" s="1181"/>
      <c r="S101" s="1181"/>
      <c r="T101" s="1181"/>
      <c r="U101" s="1181"/>
      <c r="V101" s="1181"/>
      <c r="W101" s="1181"/>
      <c r="X101" s="1181"/>
      <c r="Y101" s="1181"/>
      <c r="Z101" s="1181"/>
      <c r="AA101" s="1181"/>
      <c r="AB101" s="1181"/>
      <c r="AC101" s="1181"/>
      <c r="AD101" s="1181"/>
      <c r="AE101" s="1181"/>
      <c r="AF101" s="1181"/>
      <c r="AG101" s="1181"/>
      <c r="AH101" s="1181"/>
      <c r="AI101" s="1181"/>
      <c r="AJ101" s="1181"/>
      <c r="AK101" s="1181"/>
      <c r="AL101" s="1181"/>
      <c r="AM101" s="1181"/>
      <c r="AN101" s="1181"/>
      <c r="AO101" s="1181"/>
      <c r="AP101" s="1181"/>
      <c r="AQ101" s="1181"/>
      <c r="AR101" s="1181"/>
      <c r="AS101" s="1181"/>
      <c r="AT101" s="1181"/>
      <c r="AU101" s="18"/>
      <c r="AV101" s="18"/>
      <c r="AW101" s="18"/>
      <c r="AX101" s="18"/>
      <c r="AY101" s="18"/>
      <c r="AZ101" s="18"/>
    </row>
    <row r="102" spans="1:52" ht="12.95" customHeight="1">
      <c r="A102" s="1181"/>
      <c r="B102" s="1181"/>
      <c r="C102" s="1181"/>
      <c r="D102" s="1181"/>
      <c r="E102" s="1181"/>
      <c r="F102" s="1181"/>
      <c r="G102" s="1181"/>
      <c r="H102" s="1181"/>
      <c r="I102" s="1181"/>
      <c r="J102" s="1181"/>
      <c r="K102" s="1181"/>
      <c r="L102" s="1181"/>
      <c r="M102" s="1181"/>
      <c r="N102" s="1181"/>
      <c r="O102" s="1181"/>
      <c r="P102" s="1181"/>
      <c r="Q102" s="1181"/>
      <c r="R102" s="1181"/>
      <c r="S102" s="1181"/>
      <c r="T102" s="1181"/>
      <c r="U102" s="1181"/>
      <c r="V102" s="1181"/>
      <c r="W102" s="1181"/>
      <c r="X102" s="1181"/>
      <c r="Y102" s="1181"/>
      <c r="Z102" s="1181"/>
      <c r="AA102" s="1181"/>
      <c r="AB102" s="1181"/>
      <c r="AC102" s="1181"/>
      <c r="AD102" s="1181"/>
      <c r="AE102" s="1181"/>
      <c r="AF102" s="1181"/>
      <c r="AG102" s="1181"/>
      <c r="AH102" s="1181"/>
      <c r="AI102" s="1181"/>
      <c r="AJ102" s="1181"/>
      <c r="AK102" s="1181"/>
      <c r="AL102" s="1181"/>
      <c r="AM102" s="1181"/>
      <c r="AN102" s="1181"/>
      <c r="AO102" s="1181"/>
      <c r="AP102" s="1181"/>
      <c r="AQ102" s="1181"/>
      <c r="AR102" s="1181"/>
      <c r="AS102" s="1181"/>
      <c r="AT102" s="1181"/>
      <c r="AU102" s="18"/>
      <c r="AV102" s="18"/>
      <c r="AW102" s="18"/>
      <c r="AX102" s="18"/>
      <c r="AY102" s="18"/>
      <c r="AZ102" s="18"/>
    </row>
    <row r="103" spans="1:52" ht="12.95" customHeight="1">
      <c r="A103" s="1181"/>
      <c r="B103" s="1181"/>
      <c r="C103" s="1181"/>
      <c r="D103" s="1181"/>
      <c r="E103" s="1181"/>
      <c r="F103" s="1181"/>
      <c r="G103" s="1181"/>
      <c r="H103" s="1181"/>
      <c r="I103" s="1181"/>
      <c r="J103" s="1181"/>
      <c r="K103" s="1181"/>
      <c r="L103" s="1181"/>
      <c r="M103" s="1181"/>
      <c r="N103" s="1181"/>
      <c r="O103" s="1181"/>
      <c r="P103" s="1181"/>
      <c r="Q103" s="1181"/>
      <c r="R103" s="1181"/>
      <c r="S103" s="1181"/>
      <c r="T103" s="1181"/>
      <c r="U103" s="1181"/>
      <c r="V103" s="1181"/>
      <c r="W103" s="1181"/>
      <c r="X103" s="1181"/>
      <c r="Y103" s="1181"/>
      <c r="Z103" s="1181"/>
      <c r="AA103" s="1181"/>
      <c r="AB103" s="1181"/>
      <c r="AC103" s="1181"/>
      <c r="AD103" s="1181"/>
      <c r="AE103" s="1181"/>
      <c r="AF103" s="1181"/>
      <c r="AG103" s="1181"/>
      <c r="AH103" s="1181"/>
      <c r="AI103" s="1181"/>
      <c r="AJ103" s="1181"/>
      <c r="AK103" s="1181"/>
      <c r="AL103" s="1181"/>
      <c r="AM103" s="1181"/>
      <c r="AN103" s="1181"/>
      <c r="AO103" s="1181"/>
      <c r="AP103" s="1181"/>
      <c r="AQ103" s="1181"/>
      <c r="AR103" s="1181"/>
      <c r="AS103" s="1181"/>
      <c r="AT103" s="1181"/>
      <c r="AU103" s="18"/>
      <c r="AV103" s="18"/>
      <c r="AW103" s="18"/>
      <c r="AX103" s="18"/>
      <c r="AY103" s="18"/>
    </row>
    <row r="104" spans="1:52" ht="12.95" customHeight="1">
      <c r="C104" s="444"/>
      <c r="D104" s="444"/>
      <c r="E104" s="444"/>
      <c r="F104" s="444"/>
      <c r="G104" s="444"/>
      <c r="H104" s="444"/>
      <c r="I104" s="444"/>
      <c r="J104" s="444"/>
      <c r="K104" s="444"/>
      <c r="L104" s="444"/>
      <c r="M104" s="444"/>
      <c r="N104" s="444"/>
      <c r="O104" s="444"/>
      <c r="P104" s="444"/>
      <c r="Q104" s="444"/>
      <c r="R104" s="444"/>
      <c r="S104" s="444"/>
      <c r="T104" s="444"/>
      <c r="U104" s="444"/>
      <c r="V104" s="444"/>
      <c r="W104" s="444"/>
      <c r="X104" s="444"/>
      <c r="Y104" s="444"/>
      <c r="Z104" s="444"/>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row>
    <row r="105" spans="1:52" ht="12.95" customHeight="1">
      <c r="A105" s="1181" t="s">
        <v>856</v>
      </c>
      <c r="B105" s="1181"/>
      <c r="C105" s="1181"/>
      <c r="D105" s="1181"/>
      <c r="E105" s="1181"/>
      <c r="F105" s="1181"/>
      <c r="G105" s="1181"/>
      <c r="H105" s="1181"/>
      <c r="I105" s="1181"/>
      <c r="J105" s="1181"/>
      <c r="K105" s="1181"/>
      <c r="L105" s="1181"/>
      <c r="M105" s="1181"/>
      <c r="N105" s="1181"/>
      <c r="O105" s="1181"/>
      <c r="P105" s="1181"/>
      <c r="Q105" s="1181"/>
      <c r="R105" s="1181"/>
      <c r="S105" s="1181"/>
      <c r="T105" s="1181"/>
      <c r="U105" s="1181"/>
      <c r="V105" s="1181"/>
      <c r="W105" s="1181"/>
      <c r="X105" s="1181"/>
      <c r="Y105" s="1181"/>
      <c r="Z105" s="1181"/>
      <c r="AA105" s="1181"/>
      <c r="AB105" s="1181"/>
      <c r="AC105" s="1181"/>
      <c r="AD105" s="1181"/>
      <c r="AE105" s="1181"/>
      <c r="AF105" s="1181"/>
      <c r="AG105" s="1181"/>
      <c r="AH105" s="1181"/>
      <c r="AI105" s="1181"/>
      <c r="AJ105" s="1181"/>
      <c r="AK105" s="1181"/>
      <c r="AL105" s="1181"/>
      <c r="AM105" s="1181"/>
      <c r="AN105" s="1181"/>
      <c r="AO105" s="1181"/>
      <c r="AP105" s="1181"/>
      <c r="AQ105" s="1181"/>
      <c r="AR105" s="1181"/>
      <c r="AS105" s="1181"/>
      <c r="AT105" s="1181"/>
      <c r="AU105" s="18"/>
      <c r="AV105" s="18"/>
      <c r="AW105" s="18"/>
      <c r="AX105" s="18"/>
      <c r="AY105" s="18"/>
    </row>
    <row r="106" spans="1:52" ht="12.95" customHeight="1">
      <c r="A106" s="1181"/>
      <c r="B106" s="1181"/>
      <c r="C106" s="1181"/>
      <c r="D106" s="1181"/>
      <c r="E106" s="1181"/>
      <c r="F106" s="1181"/>
      <c r="G106" s="1181"/>
      <c r="H106" s="1181"/>
      <c r="I106" s="1181"/>
      <c r="J106" s="1181"/>
      <c r="K106" s="1181"/>
      <c r="L106" s="1181"/>
      <c r="M106" s="1181"/>
      <c r="N106" s="1181"/>
      <c r="O106" s="1181"/>
      <c r="P106" s="1181"/>
      <c r="Q106" s="1181"/>
      <c r="R106" s="1181"/>
      <c r="S106" s="1181"/>
      <c r="T106" s="1181"/>
      <c r="U106" s="1181"/>
      <c r="V106" s="1181"/>
      <c r="W106" s="1181"/>
      <c r="X106" s="1181"/>
      <c r="Y106" s="1181"/>
      <c r="Z106" s="1181"/>
      <c r="AA106" s="1181"/>
      <c r="AB106" s="1181"/>
      <c r="AC106" s="1181"/>
      <c r="AD106" s="1181"/>
      <c r="AE106" s="1181"/>
      <c r="AF106" s="1181"/>
      <c r="AG106" s="1181"/>
      <c r="AH106" s="1181"/>
      <c r="AI106" s="1181"/>
      <c r="AJ106" s="1181"/>
      <c r="AK106" s="1181"/>
      <c r="AL106" s="1181"/>
      <c r="AM106" s="1181"/>
      <c r="AN106" s="1181"/>
      <c r="AO106" s="1181"/>
      <c r="AP106" s="1181"/>
      <c r="AQ106" s="1181"/>
      <c r="AR106" s="1181"/>
      <c r="AS106" s="1181"/>
      <c r="AT106" s="1181"/>
      <c r="AU106" s="18"/>
      <c r="AV106" s="18"/>
      <c r="AW106" s="18"/>
      <c r="AX106" s="18"/>
      <c r="AY106" s="18"/>
    </row>
    <row r="107" spans="1:52" ht="12.95" customHeight="1">
      <c r="A107" s="442"/>
      <c r="C107" s="444"/>
      <c r="D107" s="444"/>
      <c r="E107" s="444"/>
      <c r="F107" s="444"/>
      <c r="G107" s="444"/>
      <c r="H107" s="444"/>
      <c r="I107" s="444"/>
      <c r="J107" s="444"/>
      <c r="K107" s="444"/>
      <c r="L107" s="444"/>
      <c r="M107" s="444"/>
      <c r="N107" s="444"/>
      <c r="O107" s="444"/>
      <c r="P107" s="444"/>
      <c r="Q107" s="444"/>
      <c r="R107" s="444"/>
      <c r="S107" s="444"/>
      <c r="T107" s="444"/>
      <c r="U107" s="444"/>
      <c r="V107" s="444"/>
      <c r="W107" s="444"/>
      <c r="X107" s="444"/>
      <c r="Y107" s="444"/>
      <c r="Z107" s="444"/>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row>
    <row r="108" spans="1:52" ht="12.95" customHeight="1">
      <c r="A108" s="442" t="s">
        <v>857</v>
      </c>
      <c r="C108" s="444"/>
      <c r="D108" s="444"/>
      <c r="E108" s="444"/>
      <c r="F108" s="444"/>
      <c r="G108" s="444"/>
      <c r="H108" s="444"/>
      <c r="I108" s="444"/>
      <c r="J108" s="444"/>
      <c r="K108" s="444"/>
      <c r="L108" s="444"/>
      <c r="M108" s="444"/>
      <c r="N108" s="444"/>
      <c r="O108" s="444"/>
      <c r="P108" s="444"/>
      <c r="Q108" s="444"/>
      <c r="R108" s="444"/>
      <c r="S108" s="444"/>
      <c r="T108" s="444"/>
      <c r="U108" s="444"/>
      <c r="V108" s="444"/>
      <c r="W108" s="444"/>
      <c r="X108" s="444"/>
      <c r="Y108" s="444"/>
      <c r="Z108" s="444"/>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row>
    <row r="109" spans="1:52" ht="12.95" customHeight="1">
      <c r="C109" s="444"/>
      <c r="D109" s="444"/>
      <c r="E109" s="444"/>
      <c r="F109" s="444"/>
      <c r="G109" s="444"/>
      <c r="H109" s="444"/>
      <c r="I109" s="444"/>
      <c r="J109" s="444"/>
      <c r="K109" s="444"/>
      <c r="L109" s="444"/>
      <c r="M109" s="444"/>
      <c r="N109" s="444"/>
      <c r="O109" s="444"/>
      <c r="P109" s="444"/>
      <c r="Q109" s="444"/>
      <c r="R109" s="444"/>
      <c r="S109" s="444"/>
      <c r="T109" s="444"/>
      <c r="U109" s="444"/>
      <c r="V109" s="444"/>
      <c r="W109" s="444"/>
      <c r="X109" s="444"/>
      <c r="Y109" s="444"/>
      <c r="Z109" s="444"/>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row>
    <row r="110" spans="1:52" ht="12.95" customHeight="1">
      <c r="A110" s="442"/>
      <c r="C110" s="444"/>
      <c r="D110" s="444"/>
      <c r="E110" s="444"/>
      <c r="F110" s="444"/>
      <c r="G110" s="444"/>
      <c r="H110" s="444"/>
      <c r="I110" s="444"/>
      <c r="J110" s="444"/>
      <c r="K110" s="444"/>
      <c r="L110" s="444"/>
      <c r="M110" s="444"/>
      <c r="N110" s="444"/>
      <c r="O110" s="444"/>
      <c r="P110" s="444"/>
      <c r="Q110" s="444"/>
      <c r="R110" s="444"/>
      <c r="S110" s="444"/>
      <c r="T110" s="444"/>
      <c r="U110" s="444"/>
      <c r="V110" s="444"/>
      <c r="W110" s="444"/>
      <c r="X110" s="444"/>
      <c r="Y110" s="444"/>
      <c r="Z110" s="444"/>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row>
    <row r="111" spans="1:52" ht="12.95" customHeight="1">
      <c r="A111" s="442"/>
      <c r="C111" s="444"/>
      <c r="D111" s="444"/>
      <c r="E111" s="444"/>
      <c r="F111" s="444"/>
      <c r="G111" s="444"/>
      <c r="H111" s="444"/>
      <c r="I111" s="444"/>
      <c r="J111" s="444"/>
      <c r="K111" s="444"/>
      <c r="L111" s="444"/>
      <c r="M111" s="444"/>
      <c r="N111" s="444"/>
      <c r="O111" s="444"/>
      <c r="P111" s="444"/>
      <c r="Q111" s="444"/>
      <c r="R111" s="444"/>
      <c r="S111" s="444"/>
      <c r="T111" s="444"/>
      <c r="U111" s="444"/>
      <c r="V111" s="444"/>
      <c r="W111" s="444"/>
      <c r="X111" s="444"/>
      <c r="Y111" s="444"/>
      <c r="Z111" s="444"/>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row>
    <row r="112" spans="1:52" ht="12.95" customHeight="1">
      <c r="A112" s="442"/>
      <c r="C112" s="444"/>
      <c r="D112" s="444"/>
      <c r="E112" s="444"/>
      <c r="F112" s="444"/>
      <c r="G112" s="444"/>
      <c r="H112" s="444"/>
      <c r="I112" s="444"/>
      <c r="J112" s="444"/>
      <c r="K112" s="444"/>
      <c r="L112" s="444"/>
      <c r="M112" s="444"/>
      <c r="N112" s="444"/>
      <c r="O112" s="444"/>
      <c r="P112" s="444"/>
      <c r="Q112" s="444"/>
      <c r="R112" s="444"/>
      <c r="S112" s="444"/>
      <c r="T112" s="444"/>
      <c r="U112" s="444"/>
      <c r="V112" s="444"/>
      <c r="W112" s="444"/>
      <c r="X112" s="444"/>
      <c r="Y112" s="444"/>
      <c r="Z112" s="444"/>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row>
    <row r="113" spans="1:51" ht="12.95" customHeight="1">
      <c r="A113" s="213"/>
      <c r="C113" s="3" t="s">
        <v>858</v>
      </c>
      <c r="G113" s="1349"/>
      <c r="H113" s="1349"/>
      <c r="I113" s="3" t="s">
        <v>859</v>
      </c>
      <c r="L113" s="1349"/>
      <c r="M113" s="1349"/>
      <c r="N113" s="1349"/>
      <c r="O113" s="1349"/>
      <c r="P113" s="1366" t="s">
        <v>860</v>
      </c>
      <c r="Q113" s="1366"/>
      <c r="R113" s="1366"/>
      <c r="S113" s="1366"/>
      <c r="T113" s="444"/>
      <c r="U113" s="444"/>
      <c r="V113" s="444"/>
      <c r="W113" s="444"/>
      <c r="X113" s="444"/>
      <c r="Y113" s="444"/>
      <c r="Z113" s="444"/>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row>
    <row r="114" spans="1:51" ht="12.95" customHeight="1">
      <c r="M114" s="3"/>
      <c r="S114" s="3"/>
      <c r="T114" s="444"/>
      <c r="U114" s="444"/>
      <c r="V114" s="444"/>
      <c r="W114" s="444"/>
      <c r="X114" s="444"/>
      <c r="Y114" s="444"/>
      <c r="Z114" s="444"/>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row>
    <row r="115" spans="1:51" ht="12.95" customHeight="1">
      <c r="A115" s="444"/>
      <c r="C115" s="1350"/>
      <c r="D115" s="1350"/>
      <c r="E115" s="1350"/>
      <c r="F115" s="1350"/>
      <c r="G115" s="1350"/>
      <c r="H115" s="1350"/>
      <c r="I115" s="1350"/>
      <c r="J115" s="1350"/>
      <c r="K115" s="1350"/>
      <c r="L115" s="141" t="s">
        <v>861</v>
      </c>
      <c r="S115" s="3"/>
      <c r="T115" s="444"/>
      <c r="U115" s="444"/>
      <c r="V115" s="444"/>
      <c r="W115" s="444"/>
      <c r="X115" s="444"/>
      <c r="Y115" s="444"/>
      <c r="Z115" s="444"/>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row>
    <row r="116" spans="1:51" ht="12.95" customHeight="1">
      <c r="A116" s="444"/>
      <c r="C116" s="444"/>
      <c r="D116" s="444"/>
      <c r="E116" s="444"/>
      <c r="F116" s="444"/>
      <c r="G116" s="444"/>
      <c r="H116" s="444"/>
      <c r="I116" s="444"/>
      <c r="J116" s="444"/>
      <c r="K116" s="444"/>
      <c r="L116" s="444"/>
      <c r="M116" s="444"/>
      <c r="N116" s="444"/>
      <c r="O116" s="444"/>
      <c r="P116" s="444"/>
      <c r="Q116" s="444"/>
      <c r="R116" s="444"/>
      <c r="S116" s="444"/>
      <c r="T116" s="444"/>
      <c r="U116" s="444"/>
      <c r="V116" s="444"/>
      <c r="W116" s="444"/>
      <c r="X116" s="444"/>
      <c r="Y116" s="444"/>
      <c r="Z116" s="444"/>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row>
    <row r="117" spans="1:51" ht="12.95" customHeight="1">
      <c r="A117" s="444"/>
      <c r="B117" s="20"/>
      <c r="C117" s="20"/>
      <c r="X117" s="3" t="s">
        <v>862</v>
      </c>
      <c r="Y117" s="1349"/>
      <c r="Z117" s="1349"/>
      <c r="AA117" s="1349"/>
      <c r="AB117" s="1349"/>
      <c r="AC117" s="1349"/>
      <c r="AD117" s="1349"/>
      <c r="AE117" s="1349"/>
      <c r="AF117" s="1349"/>
      <c r="AG117" s="1349"/>
      <c r="AH117" s="1349"/>
      <c r="AI117" s="1349"/>
      <c r="AJ117" s="1349"/>
      <c r="AK117" s="1349"/>
    </row>
    <row r="118" spans="1:51" ht="12.95" customHeight="1">
      <c r="X118" s="3"/>
      <c r="Y118" s="3"/>
      <c r="Z118" s="3" t="s">
        <v>863</v>
      </c>
      <c r="AA118" s="3"/>
      <c r="AB118" s="3"/>
      <c r="AC118" s="3"/>
      <c r="AD118" s="3"/>
      <c r="AE118" s="3"/>
      <c r="AF118" s="3"/>
      <c r="AG118" s="3"/>
      <c r="AH118" s="3"/>
      <c r="AI118" s="3"/>
      <c r="AJ118" s="3"/>
      <c r="AK118" s="3"/>
    </row>
    <row r="119" spans="1:51" ht="12.95" customHeight="1">
      <c r="A119" s="444"/>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444"/>
      <c r="B120" s="3"/>
      <c r="P120" s="3"/>
      <c r="Q120" s="3"/>
      <c r="R120" s="3"/>
      <c r="S120" s="3"/>
      <c r="T120" s="3"/>
      <c r="U120" s="3"/>
      <c r="V120" s="3"/>
      <c r="W120" s="3"/>
      <c r="X120" s="3"/>
      <c r="Y120" s="1349" t="s">
        <v>864</v>
      </c>
      <c r="Z120" s="1349"/>
      <c r="AA120" s="1349"/>
      <c r="AB120" s="1349"/>
      <c r="AC120" s="1349"/>
      <c r="AD120" s="1349"/>
      <c r="AE120" s="1349"/>
      <c r="AF120" s="1349"/>
      <c r="AG120" s="1349"/>
      <c r="AH120" s="1349"/>
      <c r="AI120" s="1349"/>
      <c r="AJ120" s="1349"/>
      <c r="AK120" s="1349"/>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865</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349" t="s">
        <v>866</v>
      </c>
      <c r="Z123" s="1349"/>
      <c r="AA123" s="1349"/>
      <c r="AB123" s="1349"/>
      <c r="AC123" s="1349"/>
      <c r="AD123" s="1349"/>
      <c r="AE123" s="1349"/>
      <c r="AF123" s="1349"/>
      <c r="AG123" s="1349"/>
      <c r="AH123" s="1349"/>
      <c r="AI123" s="1349"/>
      <c r="AJ123" s="1349"/>
      <c r="AK123" s="1349"/>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867</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279"/>
      <c r="AL128" s="279"/>
      <c r="AM128" s="279"/>
      <c r="AN128" s="279"/>
      <c r="AO128" s="279"/>
      <c r="AP128" s="279"/>
      <c r="AQ128" s="279"/>
      <c r="AR128" s="279"/>
      <c r="AS128" s="279"/>
      <c r="AT128" s="279"/>
      <c r="AU128" s="279"/>
      <c r="AV128" s="279"/>
      <c r="AW128" s="279"/>
      <c r="AX128" s="279"/>
      <c r="AY128" s="279"/>
    </row>
    <row r="129" spans="1:51" ht="12.95" hidden="1" customHeight="1">
      <c r="A129" s="279"/>
      <c r="B129" s="3"/>
      <c r="R129" s="279"/>
      <c r="S129" s="279"/>
      <c r="T129" s="279"/>
      <c r="U129" s="279"/>
      <c r="V129" s="279"/>
      <c r="W129" s="279"/>
      <c r="AL129" s="279"/>
      <c r="AM129" s="279"/>
      <c r="AN129" s="279"/>
      <c r="AO129" s="279"/>
      <c r="AP129" s="279"/>
      <c r="AQ129" s="279"/>
      <c r="AR129" s="279"/>
      <c r="AS129" s="279"/>
      <c r="AT129" s="279"/>
      <c r="AU129" s="279"/>
      <c r="AV129" s="279"/>
      <c r="AW129" s="279"/>
      <c r="AX129" s="279"/>
      <c r="AY129" s="279"/>
    </row>
    <row r="130" spans="1:51" ht="12.95" hidden="1" customHeight="1">
      <c r="A130" s="3"/>
      <c r="B130" s="85"/>
      <c r="C130" s="279"/>
      <c r="R130" s="279"/>
      <c r="S130" s="279"/>
      <c r="T130" s="279"/>
      <c r="U130" s="279"/>
      <c r="V130" s="279"/>
      <c r="W130" s="279"/>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141"/>
      <c r="G132" s="141"/>
      <c r="H132" s="141"/>
      <c r="I132" s="141"/>
      <c r="J132" s="141"/>
      <c r="K132" s="141"/>
      <c r="L132" s="141"/>
      <c r="M132" s="141"/>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85"/>
      <c r="T139" s="382"/>
      <c r="U139" s="382"/>
      <c r="V139" s="382"/>
      <c r="W139" s="382"/>
      <c r="X139" s="382"/>
      <c r="Y139" s="382"/>
      <c r="Z139" s="382"/>
      <c r="AA139" s="382"/>
      <c r="AB139" s="382"/>
      <c r="AC139" s="382"/>
      <c r="AD139" s="382"/>
      <c r="AE139" s="382"/>
      <c r="AF139" s="382"/>
      <c r="AG139" s="382"/>
      <c r="AH139" s="382"/>
      <c r="AI139" s="382"/>
      <c r="AJ139" s="382"/>
      <c r="AK139" s="3"/>
      <c r="AL139" s="3"/>
      <c r="AM139" s="3"/>
      <c r="AN139" s="3"/>
      <c r="AO139" s="3"/>
      <c r="AP139" s="3"/>
      <c r="AQ139" s="3"/>
      <c r="AR139" s="3"/>
      <c r="AS139" s="3"/>
      <c r="AT139" s="3"/>
      <c r="AU139" s="3"/>
      <c r="AV139" s="3"/>
      <c r="AW139" s="3"/>
      <c r="AX139" s="3"/>
      <c r="AY139" s="3"/>
    </row>
    <row r="140" spans="1:51" ht="12.95" hidden="1" customHeight="1">
      <c r="A140" s="3"/>
      <c r="B140" s="86"/>
      <c r="C140" s="382"/>
      <c r="D140" s="382"/>
      <c r="E140" s="382"/>
      <c r="F140" s="382"/>
      <c r="G140" s="382"/>
      <c r="H140" s="382"/>
      <c r="I140" s="382"/>
      <c r="J140" s="382"/>
      <c r="K140" s="382"/>
      <c r="L140" s="382"/>
      <c r="M140" s="382"/>
      <c r="N140" s="382"/>
      <c r="O140" s="382"/>
      <c r="P140" s="382"/>
      <c r="Q140" s="382"/>
      <c r="R140" s="382"/>
      <c r="S140" s="382"/>
      <c r="T140" s="382"/>
      <c r="U140" s="382"/>
      <c r="V140" s="382"/>
      <c r="W140" s="382"/>
      <c r="X140" s="382"/>
      <c r="Y140" s="382"/>
      <c r="Z140" s="382"/>
      <c r="AA140" s="382"/>
      <c r="AB140" s="382"/>
      <c r="AC140" s="382"/>
      <c r="AD140" s="382"/>
      <c r="AE140" s="382"/>
      <c r="AF140" s="382"/>
      <c r="AG140" s="382"/>
      <c r="AH140" s="382"/>
      <c r="AI140" s="382"/>
      <c r="AJ140" s="382"/>
      <c r="AK140" s="3"/>
      <c r="AL140" s="3"/>
      <c r="AM140" s="3"/>
      <c r="AN140" s="3"/>
      <c r="AO140" s="3"/>
      <c r="AP140" s="3"/>
      <c r="AQ140" s="3"/>
      <c r="AR140" s="3"/>
      <c r="AS140" s="3"/>
      <c r="AT140" s="3"/>
      <c r="AU140" s="3"/>
      <c r="AV140" s="3"/>
      <c r="AW140" s="3"/>
      <c r="AX140" s="3"/>
      <c r="AY140" s="3"/>
    </row>
    <row r="141" spans="1:51" ht="12.95" hidden="1" customHeight="1">
      <c r="A141" s="3"/>
      <c r="B141" s="86"/>
      <c r="C141" s="382"/>
      <c r="D141" s="382"/>
      <c r="E141" s="382"/>
      <c r="F141" s="382"/>
      <c r="G141" s="382"/>
      <c r="H141" s="382"/>
      <c r="I141" s="382"/>
      <c r="J141" s="382"/>
      <c r="K141" s="382"/>
      <c r="L141" s="382"/>
      <c r="M141" s="382"/>
      <c r="N141" s="382"/>
      <c r="O141" s="382"/>
      <c r="P141" s="382"/>
      <c r="Q141" s="382"/>
      <c r="R141" s="382"/>
      <c r="S141" s="382"/>
      <c r="T141" s="382"/>
      <c r="U141" s="382"/>
      <c r="V141" s="382"/>
      <c r="W141" s="382"/>
      <c r="X141" s="382"/>
      <c r="Y141" s="382"/>
      <c r="Z141" s="382"/>
      <c r="AA141" s="382"/>
      <c r="AB141" s="382"/>
      <c r="AC141" s="382"/>
      <c r="AD141" s="382"/>
      <c r="AE141" s="382"/>
      <c r="AF141" s="382"/>
      <c r="AG141" s="382"/>
      <c r="AH141" s="382"/>
      <c r="AI141" s="382"/>
      <c r="AJ141" s="382"/>
      <c r="AK141" s="3"/>
      <c r="AL141" s="3"/>
      <c r="AM141" s="3"/>
      <c r="AN141" s="3"/>
      <c r="AO141" s="3"/>
      <c r="AP141" s="3"/>
      <c r="AQ141" s="3"/>
      <c r="AR141" s="3"/>
      <c r="AS141" s="3"/>
      <c r="AT141" s="3"/>
      <c r="AU141" s="3"/>
      <c r="AV141" s="3"/>
      <c r="AW141" s="3"/>
      <c r="AX141" s="3"/>
      <c r="AY141" s="3"/>
    </row>
    <row r="142" spans="1:51" ht="12.95" hidden="1" customHeight="1">
      <c r="A142" s="3"/>
      <c r="B142" s="86"/>
      <c r="C142" s="368"/>
      <c r="D142" s="368"/>
      <c r="E142" s="368"/>
      <c r="F142" s="368"/>
      <c r="G142" s="368"/>
      <c r="H142" s="368"/>
      <c r="I142" s="368"/>
      <c r="J142" s="368"/>
      <c r="K142" s="368"/>
      <c r="L142" s="368"/>
      <c r="M142" s="368"/>
      <c r="N142" s="368"/>
      <c r="O142" s="368"/>
      <c r="P142" s="368"/>
      <c r="Q142" s="368"/>
      <c r="R142" s="368"/>
      <c r="S142" s="368"/>
      <c r="T142" s="368"/>
      <c r="U142" s="368"/>
      <c r="V142" s="368"/>
      <c r="W142" s="368"/>
      <c r="X142" s="368"/>
      <c r="Y142" s="368"/>
      <c r="Z142" s="368"/>
      <c r="AA142" s="368"/>
      <c r="AB142" s="368"/>
      <c r="AC142" s="368"/>
      <c r="AD142" s="368"/>
      <c r="AE142" s="368"/>
      <c r="AF142" s="368"/>
      <c r="AG142" s="368"/>
      <c r="AH142" s="368"/>
      <c r="AI142" s="368"/>
      <c r="AJ142" s="368"/>
      <c r="AK142" s="3"/>
      <c r="AL142" s="3"/>
      <c r="AM142" s="3"/>
      <c r="AN142" s="3"/>
      <c r="AO142" s="3"/>
      <c r="AP142" s="3"/>
      <c r="AQ142" s="3"/>
      <c r="AR142" s="3"/>
      <c r="AS142" s="3"/>
      <c r="AT142" s="3"/>
      <c r="AU142" s="3"/>
      <c r="AV142" s="3"/>
      <c r="AW142" s="3"/>
      <c r="AX142" s="3"/>
      <c r="AY142" s="3"/>
    </row>
    <row r="143" spans="1:51" ht="12.95" hidden="1" customHeight="1">
      <c r="A143" s="3"/>
      <c r="D143" s="368"/>
      <c r="E143" s="368"/>
      <c r="F143" s="368"/>
      <c r="G143" s="368"/>
      <c r="H143" s="368"/>
      <c r="I143" s="368"/>
      <c r="J143" s="368"/>
      <c r="K143" s="368"/>
      <c r="L143" s="368"/>
      <c r="M143" s="368"/>
      <c r="N143" s="368"/>
      <c r="O143" s="368"/>
      <c r="P143" s="368"/>
      <c r="Q143" s="368"/>
      <c r="R143" s="368"/>
      <c r="S143" s="368"/>
      <c r="T143" s="368"/>
      <c r="U143" s="368"/>
      <c r="V143" s="368"/>
      <c r="W143" s="368"/>
      <c r="X143" s="368"/>
      <c r="Y143" s="368"/>
      <c r="Z143" s="368"/>
      <c r="AA143" s="368"/>
      <c r="AB143" s="368"/>
      <c r="AC143" s="368"/>
      <c r="AD143" s="368"/>
      <c r="AE143" s="368"/>
      <c r="AF143" s="368"/>
      <c r="AG143" s="368"/>
      <c r="AH143" s="368"/>
      <c r="AI143" s="368"/>
      <c r="AJ143" s="368"/>
      <c r="AK143" s="3"/>
      <c r="AL143" s="3"/>
      <c r="AM143" s="3"/>
      <c r="AN143" s="3"/>
      <c r="AO143" s="3"/>
      <c r="AP143" s="3"/>
      <c r="AQ143" s="3"/>
      <c r="AR143" s="3"/>
      <c r="AS143" s="3"/>
      <c r="AT143" s="3"/>
      <c r="AU143" s="3"/>
      <c r="AV143" s="3"/>
      <c r="AW143" s="3"/>
      <c r="AX143" s="3"/>
      <c r="AY143" s="3"/>
    </row>
    <row r="144" spans="1:51" ht="12.95" hidden="1" customHeight="1">
      <c r="A144" s="3"/>
      <c r="B144" s="444"/>
      <c r="C144" s="368"/>
      <c r="D144" s="368"/>
      <c r="E144" s="368"/>
      <c r="F144" s="368"/>
      <c r="G144" s="368"/>
      <c r="H144" s="368"/>
      <c r="I144" s="368"/>
      <c r="J144" s="368"/>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68"/>
      <c r="AJ144" s="368"/>
      <c r="AK144" s="3"/>
      <c r="AL144" s="3"/>
      <c r="AM144" s="3"/>
      <c r="AN144" s="3"/>
      <c r="AO144" s="3"/>
      <c r="AP144" s="3"/>
      <c r="AQ144" s="3"/>
      <c r="AR144" s="3"/>
      <c r="AS144" s="3"/>
      <c r="AT144" s="3"/>
      <c r="AU144" s="3"/>
      <c r="AV144" s="3"/>
      <c r="AW144" s="3"/>
      <c r="AX144" s="3"/>
      <c r="AY144" s="3"/>
    </row>
    <row r="145" spans="1:72" ht="12.95" hidden="1" customHeight="1">
      <c r="A145" s="3"/>
      <c r="B145" s="3"/>
      <c r="C145" s="368"/>
      <c r="D145" s="368"/>
      <c r="E145" s="368"/>
      <c r="F145" s="368"/>
      <c r="G145" s="368"/>
      <c r="H145" s="368"/>
      <c r="I145" s="368"/>
      <c r="J145" s="368"/>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68"/>
      <c r="AJ145" s="368"/>
      <c r="AK145" s="3"/>
      <c r="AL145" s="3"/>
      <c r="AM145" s="3"/>
      <c r="AN145" s="3"/>
      <c r="AO145" s="3"/>
      <c r="AP145" s="3"/>
      <c r="AQ145" s="3"/>
      <c r="AR145" s="3"/>
      <c r="AS145" s="3"/>
      <c r="AT145" s="3"/>
      <c r="AU145" s="3"/>
      <c r="AV145" s="3"/>
      <c r="AW145" s="3"/>
      <c r="AX145" s="3"/>
      <c r="AY145" s="3"/>
    </row>
    <row r="146" spans="1:72" ht="12.95" hidden="1" customHeight="1">
      <c r="A146" s="3"/>
      <c r="D146" s="368"/>
      <c r="E146" s="368"/>
      <c r="F146" s="368"/>
      <c r="G146" s="368"/>
      <c r="H146" s="368"/>
      <c r="I146" s="368"/>
      <c r="J146" s="368"/>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68"/>
      <c r="AJ146" s="368"/>
      <c r="AK146" s="3"/>
      <c r="AL146" s="3"/>
      <c r="AM146" s="3"/>
      <c r="AN146" s="3"/>
      <c r="AO146" s="3"/>
      <c r="AP146" s="3"/>
      <c r="AQ146" s="3"/>
      <c r="AR146" s="3"/>
      <c r="AS146" s="3"/>
      <c r="AT146" s="3"/>
      <c r="AU146" s="3"/>
      <c r="AV146" s="3"/>
      <c r="AW146" s="3"/>
      <c r="AX146" s="3"/>
      <c r="AY146" s="3"/>
    </row>
    <row r="147" spans="1:72" ht="12.95" hidden="1" customHeight="1">
      <c r="A147" s="3"/>
      <c r="B147" s="444"/>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184"/>
      <c r="G150" s="1184"/>
      <c r="H150" s="1184"/>
      <c r="I150" s="1184"/>
      <c r="J150" s="1184"/>
      <c r="K150" s="1184"/>
      <c r="L150" s="1184"/>
      <c r="M150" s="1184"/>
      <c r="N150" s="1184"/>
      <c r="O150" s="1184"/>
      <c r="P150" s="1184"/>
      <c r="Q150" s="1184"/>
      <c r="R150" s="1184"/>
      <c r="S150" s="1184"/>
      <c r="T150" s="1184"/>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868</v>
      </c>
      <c r="O153" s="1317" t="s">
        <v>869</v>
      </c>
      <c r="P153" s="1317"/>
      <c r="Q153" s="1317"/>
      <c r="R153" s="1317"/>
      <c r="S153" s="1317"/>
      <c r="T153" s="1317"/>
      <c r="U153" s="1317"/>
      <c r="V153" s="1317"/>
      <c r="W153" s="1317"/>
      <c r="X153" s="1317"/>
      <c r="Y153" s="1317"/>
      <c r="Z153" s="1317"/>
      <c r="AA153" s="1317"/>
      <c r="AB153" s="1317"/>
      <c r="AC153" s="1317"/>
      <c r="AD153" s="1317"/>
      <c r="AE153" s="1317"/>
      <c r="AF153" s="1317"/>
      <c r="AG153" s="1317"/>
      <c r="AH153" s="1317"/>
    </row>
    <row r="154" spans="1:72" ht="12.95" customHeight="1">
      <c r="D154" s="224" t="s">
        <v>870</v>
      </c>
      <c r="O154" s="1309" t="s">
        <v>871</v>
      </c>
      <c r="P154" s="1309"/>
      <c r="Q154" s="1309"/>
      <c r="R154" s="1309"/>
      <c r="S154" s="1309"/>
      <c r="T154" s="1309"/>
      <c r="U154" s="1309"/>
      <c r="V154" s="1309"/>
      <c r="W154" s="1309"/>
      <c r="X154" s="1309"/>
      <c r="Y154" s="1309"/>
      <c r="Z154" s="1309"/>
      <c r="AA154" s="1309"/>
      <c r="AB154" s="1309"/>
      <c r="AC154" s="1309"/>
      <c r="AD154" s="1309"/>
      <c r="AE154" s="1309"/>
      <c r="AF154" s="1309"/>
      <c r="AG154" s="1309"/>
      <c r="AH154" s="1309"/>
    </row>
    <row r="155" spans="1:72" ht="12.95" customHeight="1">
      <c r="D155" s="8" t="s">
        <v>872</v>
      </c>
      <c r="F155" s="8"/>
      <c r="G155" s="8"/>
      <c r="H155" s="8"/>
      <c r="I155" s="8"/>
      <c r="J155" s="8"/>
      <c r="K155" s="8"/>
      <c r="L155" s="8"/>
      <c r="M155" s="8"/>
      <c r="N155" s="8"/>
      <c r="O155" s="2409" t="s">
        <v>873</v>
      </c>
      <c r="P155" s="2409"/>
      <c r="Q155" s="2409"/>
      <c r="R155" s="2409"/>
      <c r="S155" s="2409"/>
      <c r="T155" s="2409"/>
      <c r="U155" s="2409"/>
      <c r="V155" s="2409"/>
      <c r="W155" s="2409"/>
      <c r="X155" s="2409"/>
      <c r="Y155" s="2409"/>
      <c r="Z155" s="2409"/>
      <c r="AA155" s="2409"/>
      <c r="AB155" s="2409"/>
      <c r="AC155" s="2409"/>
      <c r="AD155" s="2409"/>
      <c r="AE155" s="2409"/>
      <c r="AF155" s="2409"/>
      <c r="AG155" s="2409"/>
      <c r="AH155" s="2409"/>
    </row>
    <row r="156" spans="1:72" ht="12.95" customHeight="1">
      <c r="D156" t="s">
        <v>874</v>
      </c>
      <c r="O156" s="1232" t="s">
        <v>875</v>
      </c>
      <c r="P156" s="1232"/>
      <c r="Q156" s="1232"/>
      <c r="R156" s="1232"/>
      <c r="S156" s="1232"/>
      <c r="T156" s="1232"/>
      <c r="U156" s="1232"/>
      <c r="V156" s="1232"/>
      <c r="W156" s="1232"/>
      <c r="X156" s="1232"/>
      <c r="Y156" s="1232"/>
      <c r="Z156" s="1232"/>
      <c r="AA156" s="1232"/>
      <c r="AB156" s="1232"/>
      <c r="AC156" s="1232"/>
      <c r="AD156" s="1232"/>
      <c r="AE156" s="1232"/>
      <c r="AF156" s="1232"/>
      <c r="AG156" s="1232"/>
      <c r="AH156" s="1232"/>
      <c r="BT156" t="s">
        <v>294</v>
      </c>
    </row>
    <row r="157" spans="1:72" ht="12.95" customHeight="1">
      <c r="D157" t="s">
        <v>876</v>
      </c>
      <c r="O157" s="1317" t="s">
        <v>877</v>
      </c>
      <c r="P157" s="1317"/>
      <c r="Q157" s="1317"/>
      <c r="R157" s="1317"/>
      <c r="S157" s="1317"/>
      <c r="T157" s="1317"/>
      <c r="U157" s="1317"/>
      <c r="V157" s="1317"/>
      <c r="W157" s="1317"/>
      <c r="X157" s="1317"/>
      <c r="Y157" s="8"/>
      <c r="Z157" s="8"/>
      <c r="AA157" s="8"/>
      <c r="AB157" s="8"/>
      <c r="AC157" s="8"/>
      <c r="AD157" s="8"/>
      <c r="AE157" s="8"/>
      <c r="AF157" s="8"/>
      <c r="BN157" s="140" t="s">
        <v>878</v>
      </c>
      <c r="BT157" t="s">
        <v>879</v>
      </c>
    </row>
    <row r="158" spans="1:72" ht="12.95" customHeight="1">
      <c r="D158" t="s">
        <v>880</v>
      </c>
      <c r="O158" s="1364">
        <v>92101</v>
      </c>
      <c r="P158" s="1364"/>
      <c r="Q158" s="1364"/>
      <c r="R158" s="1364"/>
      <c r="S158" s="9"/>
      <c r="T158" s="9"/>
      <c r="U158" s="9"/>
      <c r="V158" s="9"/>
      <c r="W158" s="9"/>
      <c r="X158" s="9"/>
      <c r="Y158" s="9"/>
      <c r="Z158" s="9"/>
      <c r="AA158" s="9"/>
      <c r="AB158" s="9"/>
      <c r="AC158" s="9"/>
      <c r="AD158" s="9"/>
      <c r="AE158" s="9"/>
      <c r="AF158" s="9"/>
      <c r="BN158" s="140" t="s">
        <v>881</v>
      </c>
      <c r="BT158" t="s">
        <v>882</v>
      </c>
    </row>
    <row r="159" spans="1:72" ht="12.95" customHeight="1">
      <c r="D159" t="s">
        <v>883</v>
      </c>
      <c r="O159" s="1355" t="s">
        <v>884</v>
      </c>
      <c r="P159" s="1355"/>
      <c r="Q159" s="1355"/>
      <c r="R159" s="1355"/>
      <c r="S159" s="1355"/>
      <c r="T159" s="1355"/>
      <c r="V159" s="73" t="s">
        <v>885</v>
      </c>
      <c r="W159" s="1365"/>
      <c r="X159" s="1365"/>
      <c r="Y159" s="10"/>
      <c r="Z159" s="10"/>
      <c r="AA159" s="10"/>
      <c r="AB159" s="10"/>
      <c r="AC159" s="10"/>
      <c r="AD159" s="10"/>
      <c r="AE159" s="10"/>
      <c r="AF159" s="10"/>
      <c r="BN159" s="140" t="s">
        <v>886</v>
      </c>
      <c r="BT159" t="s">
        <v>887</v>
      </c>
    </row>
    <row r="160" spans="1:72" ht="12.95" customHeight="1">
      <c r="D160" t="s">
        <v>888</v>
      </c>
      <c r="O160" s="1355" t="s">
        <v>889</v>
      </c>
      <c r="P160" s="1355"/>
      <c r="Q160" s="1355"/>
      <c r="R160" s="1355"/>
      <c r="S160" s="1355"/>
      <c r="T160" s="1355"/>
      <c r="U160" s="10"/>
      <c r="V160" s="10"/>
      <c r="W160" s="10"/>
      <c r="X160" s="10"/>
      <c r="Y160" s="10"/>
      <c r="Z160" s="10"/>
      <c r="AA160" s="10"/>
      <c r="AB160" s="10"/>
      <c r="AC160" s="10"/>
      <c r="AD160" s="10"/>
      <c r="AE160" s="10"/>
      <c r="AF160" s="10"/>
      <c r="BN160" s="140" t="s">
        <v>890</v>
      </c>
      <c r="BT160" t="s">
        <v>891</v>
      </c>
    </row>
    <row r="161" spans="1:72" ht="12.95" customHeight="1">
      <c r="D161" t="s">
        <v>892</v>
      </c>
      <c r="O161" s="1339" t="s">
        <v>893</v>
      </c>
      <c r="P161" s="1339"/>
      <c r="Q161" s="1339"/>
      <c r="R161" s="1339"/>
      <c r="S161" s="1339"/>
      <c r="T161" s="1339"/>
      <c r="U161" s="1339"/>
      <c r="V161" s="1339"/>
      <c r="W161" s="1339"/>
      <c r="X161" s="1339"/>
      <c r="Y161" s="1339"/>
      <c r="Z161" s="1339"/>
      <c r="AA161" s="1339"/>
      <c r="AB161" s="1339"/>
      <c r="AC161" s="1339"/>
      <c r="AD161" s="1339"/>
      <c r="AE161" s="1339"/>
      <c r="AF161" s="1339"/>
      <c r="AG161" s="1339"/>
      <c r="AH161" s="1339"/>
      <c r="BJ161" t="s">
        <v>894</v>
      </c>
      <c r="BN161" s="140" t="s">
        <v>895</v>
      </c>
      <c r="BT161" t="s">
        <v>896</v>
      </c>
    </row>
    <row r="162" spans="1:72" ht="12.95" customHeight="1">
      <c r="O162" s="117"/>
      <c r="P162" s="117"/>
      <c r="Q162" s="117"/>
      <c r="R162" s="117"/>
      <c r="S162" s="117"/>
      <c r="T162" s="117"/>
      <c r="U162" s="117"/>
      <c r="V162" s="117"/>
      <c r="W162" s="117"/>
      <c r="X162" s="117"/>
      <c r="Y162" s="117"/>
      <c r="Z162" s="117"/>
      <c r="AA162" s="117"/>
      <c r="AB162" s="117"/>
      <c r="AC162" s="117"/>
      <c r="AD162" s="117"/>
      <c r="AE162" s="117"/>
      <c r="AF162" s="117"/>
      <c r="AG162" s="117"/>
      <c r="AH162" s="117"/>
      <c r="BJ162" t="s">
        <v>837</v>
      </c>
      <c r="BN162" s="140" t="s">
        <v>897</v>
      </c>
      <c r="BT162" t="s">
        <v>898</v>
      </c>
    </row>
    <row r="163" spans="1:72" ht="12.95" customHeight="1">
      <c r="C163" s="24" t="s">
        <v>899</v>
      </c>
      <c r="D163" s="3" t="s">
        <v>900</v>
      </c>
      <c r="O163" s="117"/>
      <c r="P163" s="117"/>
      <c r="Q163" s="117"/>
      <c r="R163" s="117"/>
      <c r="S163" s="117"/>
      <c r="T163" s="117"/>
      <c r="U163" s="117"/>
      <c r="V163" s="117"/>
      <c r="W163" s="117"/>
      <c r="X163" s="117"/>
      <c r="Y163" s="117"/>
      <c r="Z163" s="117"/>
      <c r="AA163" s="117"/>
      <c r="AB163" s="117"/>
      <c r="AC163" s="117"/>
      <c r="AD163" s="117"/>
      <c r="AE163" s="117"/>
      <c r="AF163" s="117"/>
      <c r="AG163" s="117"/>
      <c r="AH163" s="117"/>
      <c r="BN163" s="140" t="s">
        <v>901</v>
      </c>
      <c r="BT163" t="s">
        <v>902</v>
      </c>
    </row>
    <row r="164" spans="1:72" ht="12.95" customHeight="1">
      <c r="C164" s="24"/>
      <c r="D164" s="1351" t="s">
        <v>903</v>
      </c>
      <c r="E164" s="1351"/>
      <c r="F164" s="1351"/>
      <c r="G164" s="1351"/>
      <c r="H164" s="1351"/>
      <c r="I164" s="1351"/>
      <c r="J164" s="1351"/>
      <c r="K164" s="1351"/>
      <c r="L164" s="1351"/>
      <c r="M164" s="1351"/>
      <c r="N164" s="1351"/>
      <c r="O164" s="1351"/>
      <c r="P164" s="1351"/>
      <c r="Q164" s="1351"/>
      <c r="R164" s="1351"/>
      <c r="S164" s="1351"/>
      <c r="T164" s="1351"/>
      <c r="U164" s="1351"/>
      <c r="V164" s="1351"/>
      <c r="W164" s="1351"/>
      <c r="X164" s="1351"/>
      <c r="Y164" s="1351"/>
      <c r="Z164" s="1351"/>
      <c r="AA164" s="1351"/>
      <c r="AB164" s="1351"/>
      <c r="AC164" s="1351"/>
      <c r="AD164" s="1351"/>
      <c r="AE164" s="1351"/>
      <c r="AF164" s="1351"/>
      <c r="AG164" s="1351"/>
      <c r="AH164" s="1351"/>
      <c r="BN164" s="140" t="s">
        <v>904</v>
      </c>
      <c r="BT164" t="s">
        <v>905</v>
      </c>
    </row>
    <row r="165" spans="1:72" ht="12.95" customHeight="1">
      <c r="C165" s="24"/>
      <c r="D165" s="74"/>
      <c r="E165" s="74"/>
      <c r="F165" s="74"/>
      <c r="G165" s="74"/>
      <c r="H165" s="74"/>
      <c r="I165" s="74"/>
      <c r="J165" s="74"/>
      <c r="K165" s="74"/>
      <c r="L165" s="74"/>
      <c r="M165" s="74"/>
      <c r="N165" s="74"/>
      <c r="O165" s="2410"/>
      <c r="P165" s="2410"/>
      <c r="Q165" s="2410"/>
      <c r="R165" s="2410"/>
      <c r="S165" s="2410"/>
      <c r="T165" s="2410"/>
      <c r="U165" s="2410"/>
      <c r="V165" s="2410"/>
      <c r="W165" s="2410"/>
      <c r="X165" s="2410"/>
      <c r="Y165" s="2410"/>
      <c r="Z165" s="2410"/>
      <c r="AA165" s="117"/>
      <c r="AB165" s="117"/>
      <c r="AC165" s="117"/>
      <c r="AD165" s="117"/>
      <c r="AE165" s="117"/>
      <c r="AF165" s="117"/>
      <c r="AG165" s="117"/>
      <c r="AH165" s="117"/>
      <c r="BN165" s="140" t="s">
        <v>906</v>
      </c>
      <c r="BT165" t="s">
        <v>907</v>
      </c>
    </row>
    <row r="166" spans="1:72" ht="12.95" customHeight="1">
      <c r="B166" s="2"/>
      <c r="C166" s="24"/>
      <c r="D166" s="74"/>
      <c r="E166" s="74"/>
      <c r="F166" s="74"/>
      <c r="G166" s="74"/>
      <c r="H166" s="74"/>
      <c r="I166" s="74"/>
      <c r="J166" s="74"/>
      <c r="K166" s="74"/>
      <c r="L166" s="74"/>
      <c r="M166" s="74"/>
      <c r="N166" s="74"/>
      <c r="O166" s="2410"/>
      <c r="P166" s="2410"/>
      <c r="Q166" s="2410"/>
      <c r="R166" s="2410"/>
      <c r="S166" s="2410"/>
      <c r="T166" s="2410"/>
      <c r="U166" s="2410"/>
      <c r="V166" s="2410"/>
      <c r="W166" s="2410"/>
      <c r="X166" s="2410"/>
      <c r="Y166" s="2410"/>
      <c r="Z166" s="2410"/>
      <c r="AA166" s="117"/>
      <c r="AB166" s="117"/>
      <c r="AC166" s="117"/>
      <c r="AD166" s="117"/>
      <c r="AE166" s="117"/>
      <c r="AF166" s="117"/>
      <c r="AG166" s="117"/>
      <c r="AH166" s="117"/>
      <c r="BN166" s="140" t="s">
        <v>908</v>
      </c>
      <c r="BT166" t="s">
        <v>909</v>
      </c>
    </row>
    <row r="167" spans="1:72" ht="12.95" customHeight="1">
      <c r="B167" s="2"/>
      <c r="C167" s="24"/>
      <c r="D167" s="74"/>
      <c r="E167" s="74"/>
      <c r="F167" s="74"/>
      <c r="G167" s="74"/>
      <c r="H167" s="74"/>
      <c r="I167" s="74"/>
      <c r="J167" s="74"/>
      <c r="K167" s="74"/>
      <c r="L167" s="74"/>
      <c r="M167" s="74"/>
      <c r="N167" s="74"/>
      <c r="O167" s="2410"/>
      <c r="P167" s="2410"/>
      <c r="Q167" s="2410"/>
      <c r="R167" s="2410"/>
      <c r="S167" s="2410"/>
      <c r="T167" s="2410"/>
      <c r="U167" s="2410"/>
      <c r="V167" s="2410"/>
      <c r="W167" s="2410"/>
      <c r="X167" s="2410"/>
      <c r="Y167" s="2410"/>
      <c r="Z167" s="2410"/>
      <c r="AA167" s="117"/>
      <c r="AB167" s="117"/>
      <c r="AC167" s="117"/>
      <c r="AD167" s="117"/>
      <c r="AE167" s="117"/>
      <c r="AF167" s="117"/>
      <c r="AG167" s="117"/>
      <c r="AH167" s="117"/>
      <c r="BN167" s="140" t="s">
        <v>910</v>
      </c>
      <c r="BT167" t="s">
        <v>911</v>
      </c>
    </row>
    <row r="168" spans="1:72" ht="12.95" customHeight="1">
      <c r="O168" s="117"/>
      <c r="P168" s="117"/>
      <c r="Q168" s="117"/>
      <c r="R168" s="117"/>
      <c r="S168" s="117"/>
      <c r="T168" s="117"/>
      <c r="U168" s="117"/>
      <c r="V168" s="117"/>
      <c r="W168" s="117"/>
      <c r="X168" s="117"/>
      <c r="Y168" s="117"/>
      <c r="Z168" s="117"/>
      <c r="AA168" s="117"/>
      <c r="AB168" s="117"/>
      <c r="AC168" s="117"/>
      <c r="AD168" s="117"/>
      <c r="AE168" s="117"/>
      <c r="AF168" s="117"/>
      <c r="AG168" s="117"/>
      <c r="AH168" s="117"/>
      <c r="BN168" s="140" t="s">
        <v>912</v>
      </c>
      <c r="BT168" t="s">
        <v>913</v>
      </c>
    </row>
    <row r="169" spans="1:72" ht="12.95" customHeight="1">
      <c r="A169" s="1437" t="s">
        <v>914</v>
      </c>
      <c r="B169" s="1437"/>
      <c r="C169" s="1437"/>
      <c r="D169" s="1437"/>
      <c r="E169" s="1437"/>
      <c r="F169" s="1437"/>
      <c r="G169" s="1437"/>
      <c r="H169" s="1437"/>
      <c r="I169" s="1437"/>
      <c r="J169" s="1437"/>
      <c r="K169" s="1437"/>
      <c r="L169" s="1437"/>
      <c r="M169" s="1437"/>
      <c r="N169" s="1437"/>
      <c r="O169" s="1437"/>
      <c r="P169" s="1437"/>
      <c r="Q169" s="1437"/>
      <c r="R169" s="1437"/>
      <c r="S169" s="1437"/>
      <c r="T169" s="1437"/>
      <c r="U169" s="1437"/>
      <c r="V169" s="1437"/>
      <c r="W169" s="1437"/>
      <c r="X169" s="1437"/>
      <c r="Y169" s="1437"/>
      <c r="Z169" s="1437"/>
      <c r="AA169" s="1437"/>
      <c r="AB169" s="1437"/>
      <c r="AC169" s="1437"/>
      <c r="AD169" s="1437"/>
      <c r="AE169" s="1437"/>
      <c r="AF169" s="1437"/>
      <c r="AG169" s="1437"/>
      <c r="AH169" s="1437"/>
      <c r="AI169" s="1437"/>
      <c r="AJ169" s="1437"/>
      <c r="AK169" s="1437"/>
      <c r="AL169" s="1437"/>
      <c r="AM169" s="1437"/>
      <c r="AN169" s="1437"/>
      <c r="AO169" s="1437"/>
      <c r="AP169" s="1437"/>
      <c r="AQ169" s="1437"/>
      <c r="AR169" s="1437"/>
      <c r="AS169" s="1437"/>
      <c r="AT169" s="1437"/>
      <c r="AU169" s="71"/>
      <c r="AV169" s="71"/>
      <c r="AW169" s="71"/>
      <c r="AX169" s="71"/>
      <c r="AY169" s="71"/>
      <c r="BN169" s="140" t="s">
        <v>915</v>
      </c>
      <c r="BT169" t="s">
        <v>916</v>
      </c>
    </row>
    <row r="170" spans="1:72" ht="12.95" customHeight="1">
      <c r="A170" s="1437"/>
      <c r="B170" s="1437"/>
      <c r="C170" s="1437"/>
      <c r="D170" s="1437"/>
      <c r="E170" s="1437"/>
      <c r="F170" s="1437"/>
      <c r="G170" s="1437"/>
      <c r="H170" s="1437"/>
      <c r="I170" s="1437"/>
      <c r="J170" s="1437"/>
      <c r="K170" s="1437"/>
      <c r="L170" s="1437"/>
      <c r="M170" s="1437"/>
      <c r="N170" s="1437"/>
      <c r="O170" s="1437"/>
      <c r="P170" s="1437"/>
      <c r="Q170" s="1437"/>
      <c r="R170" s="1437"/>
      <c r="S170" s="1437"/>
      <c r="T170" s="1437"/>
      <c r="U170" s="1437"/>
      <c r="V170" s="1437"/>
      <c r="W170" s="1437"/>
      <c r="X170" s="1437"/>
      <c r="Y170" s="1437"/>
      <c r="Z170" s="1437"/>
      <c r="AA170" s="1437"/>
      <c r="AB170" s="1437"/>
      <c r="AC170" s="1437"/>
      <c r="AD170" s="1437"/>
      <c r="AE170" s="1437"/>
      <c r="AF170" s="1437"/>
      <c r="AG170" s="1437"/>
      <c r="AH170" s="1437"/>
      <c r="AI170" s="1437"/>
      <c r="AJ170" s="1437"/>
      <c r="AK170" s="1437"/>
      <c r="AL170" s="1437"/>
      <c r="AM170" s="1437"/>
      <c r="AN170" s="1437"/>
      <c r="AO170" s="1437"/>
      <c r="AP170" s="1437"/>
      <c r="AQ170" s="1437"/>
      <c r="AR170" s="1437"/>
      <c r="AS170" s="1437"/>
      <c r="AT170" s="1437"/>
      <c r="AU170" s="71"/>
      <c r="AV170" s="71"/>
      <c r="AW170" s="71"/>
      <c r="AX170" s="71"/>
      <c r="AY170" s="71"/>
      <c r="BN170" s="140" t="s">
        <v>917</v>
      </c>
      <c r="BT170" t="s">
        <v>918</v>
      </c>
    </row>
    <row r="171" spans="1:72" ht="12.95" customHeight="1">
      <c r="BN171" s="140" t="s">
        <v>919</v>
      </c>
      <c r="BT171" t="s">
        <v>920</v>
      </c>
    </row>
    <row r="172" spans="1:72" ht="12.95" customHeight="1">
      <c r="A172" s="2" t="s">
        <v>921</v>
      </c>
      <c r="C172" s="2" t="s">
        <v>90</v>
      </c>
      <c r="BN172" s="140" t="s">
        <v>922</v>
      </c>
      <c r="BT172" t="s">
        <v>923</v>
      </c>
    </row>
    <row r="173" spans="1:72" ht="12.95" customHeight="1">
      <c r="C173" s="21"/>
      <c r="D173" t="s">
        <v>924</v>
      </c>
      <c r="J173" s="2411" t="s">
        <v>925</v>
      </c>
      <c r="K173" s="2411"/>
      <c r="L173" s="2411"/>
      <c r="M173" s="2411"/>
      <c r="N173" s="2411"/>
      <c r="O173" s="2411"/>
      <c r="P173" s="2411"/>
      <c r="Q173" s="2411"/>
      <c r="R173" s="2411"/>
      <c r="S173" s="2411"/>
      <c r="U173" s="22"/>
      <c r="X173" s="22"/>
      <c r="BB173" s="3" t="s">
        <v>294</v>
      </c>
      <c r="BN173" s="140" t="s">
        <v>926</v>
      </c>
      <c r="BT173" t="s">
        <v>927</v>
      </c>
    </row>
    <row r="174" spans="1:72" ht="12.95" customHeight="1">
      <c r="C174" s="21"/>
      <c r="D174" s="3" t="s">
        <v>928</v>
      </c>
      <c r="J174" s="1232" t="s">
        <v>929</v>
      </c>
      <c r="K174" s="1232"/>
      <c r="L174" s="1232"/>
      <c r="M174" s="1232"/>
      <c r="N174" s="1232"/>
      <c r="O174" s="1232"/>
      <c r="P174" s="1232"/>
      <c r="Q174" s="1232"/>
      <c r="R174" s="1232"/>
      <c r="S174" s="1232"/>
      <c r="T174" s="1232"/>
      <c r="U174" s="1232"/>
      <c r="V174" s="1232"/>
      <c r="W174" s="1232"/>
      <c r="X174" s="1232"/>
      <c r="Y174" s="1232"/>
      <c r="Z174" s="1232"/>
      <c r="AA174" s="1232"/>
      <c r="AB174" s="1232"/>
      <c r="BB174" t="s">
        <v>930</v>
      </c>
      <c r="BN174" s="140" t="s">
        <v>931</v>
      </c>
      <c r="BT174" t="s">
        <v>932</v>
      </c>
    </row>
    <row r="175" spans="1:72" ht="12.95" customHeight="1">
      <c r="C175" s="8"/>
      <c r="D175" s="3" t="s">
        <v>933</v>
      </c>
      <c r="O175" s="24"/>
      <c r="U175" s="1234" t="s">
        <v>837</v>
      </c>
      <c r="V175" s="1234"/>
      <c r="BB175" t="s">
        <v>934</v>
      </c>
      <c r="BN175" s="140" t="s">
        <v>935</v>
      </c>
      <c r="BT175" t="s">
        <v>936</v>
      </c>
    </row>
    <row r="176" spans="1:72" ht="12.95" customHeight="1">
      <c r="C176" s="8"/>
      <c r="D176" s="23"/>
      <c r="E176" t="s">
        <v>937</v>
      </c>
      <c r="O176" s="24"/>
      <c r="P176" t="s">
        <v>938</v>
      </c>
      <c r="T176" s="24" t="s">
        <v>939</v>
      </c>
      <c r="U176" s="1354"/>
      <c r="V176" s="1354"/>
      <c r="W176" s="1" t="s">
        <v>940</v>
      </c>
      <c r="X176" s="1360"/>
      <c r="Y176" s="1360"/>
      <c r="BB176" t="s">
        <v>941</v>
      </c>
      <c r="BN176" s="140" t="s">
        <v>942</v>
      </c>
      <c r="BT176" t="s">
        <v>943</v>
      </c>
    </row>
    <row r="177" spans="1:72" ht="12.95" customHeight="1">
      <c r="C177" s="21"/>
      <c r="D177" t="s">
        <v>944</v>
      </c>
      <c r="R177" s="1234"/>
      <c r="S177" s="1234"/>
      <c r="BB177" t="s">
        <v>945</v>
      </c>
      <c r="BN177" s="140" t="s">
        <v>946</v>
      </c>
      <c r="BT177" t="s">
        <v>947</v>
      </c>
    </row>
    <row r="178" spans="1:72" ht="12.95" customHeight="1">
      <c r="C178" s="21"/>
      <c r="D178" s="3" t="s">
        <v>948</v>
      </c>
      <c r="AA178" t="s">
        <v>938</v>
      </c>
      <c r="AE178" s="24" t="s">
        <v>939</v>
      </c>
      <c r="AF178" s="1368"/>
      <c r="AG178" s="1368"/>
      <c r="AH178" s="1" t="s">
        <v>940</v>
      </c>
      <c r="AI178" s="1337"/>
      <c r="AJ178" s="1337"/>
      <c r="AK178" s="1337"/>
      <c r="BB178" t="s">
        <v>949</v>
      </c>
      <c r="BN178" s="140" t="s">
        <v>950</v>
      </c>
      <c r="BT178" t="s">
        <v>951</v>
      </c>
    </row>
    <row r="179" spans="1:72" ht="12.95" customHeight="1">
      <c r="C179" s="21"/>
      <c r="BN179" s="140" t="s">
        <v>952</v>
      </c>
      <c r="BT179" t="s">
        <v>953</v>
      </c>
    </row>
    <row r="180" spans="1:72" ht="12.95" customHeight="1">
      <c r="C180" s="21"/>
      <c r="D180" t="s">
        <v>954</v>
      </c>
      <c r="X180" s="1234" t="s">
        <v>894</v>
      </c>
      <c r="Y180" s="1234"/>
      <c r="BN180" s="140" t="s">
        <v>955</v>
      </c>
      <c r="BT180" t="s">
        <v>956</v>
      </c>
    </row>
    <row r="181" spans="1:72" ht="12.95" customHeight="1">
      <c r="C181" s="8"/>
      <c r="E181" s="3" t="s">
        <v>957</v>
      </c>
      <c r="BN181" s="140" t="s">
        <v>958</v>
      </c>
      <c r="BT181" t="s">
        <v>959</v>
      </c>
    </row>
    <row r="182" spans="1:72" ht="12.95" customHeight="1">
      <c r="C182" s="455"/>
      <c r="BN182" s="140" t="s">
        <v>960</v>
      </c>
      <c r="BT182" t="s">
        <v>961</v>
      </c>
    </row>
    <row r="183" spans="1:72" ht="12.95" customHeight="1">
      <c r="A183" s="2" t="s">
        <v>962</v>
      </c>
      <c r="C183" s="2" t="s">
        <v>92</v>
      </c>
      <c r="BN183" s="140" t="s">
        <v>963</v>
      </c>
      <c r="BT183" t="s">
        <v>964</v>
      </c>
    </row>
    <row r="184" spans="1:72" ht="12.95" customHeight="1">
      <c r="C184" s="19"/>
      <c r="D184" t="s">
        <v>965</v>
      </c>
      <c r="I184" s="1290" t="str">
        <f>H18</f>
        <v xml:space="preserve">The Grant at Mission Trails </v>
      </c>
      <c r="J184" s="1290"/>
      <c r="K184" s="1290"/>
      <c r="L184" s="1290"/>
      <c r="M184" s="1290"/>
      <c r="N184" s="1290"/>
      <c r="O184" s="1290"/>
      <c r="P184" s="1290"/>
      <c r="Q184" s="1290"/>
      <c r="R184" s="1290"/>
      <c r="S184" s="1290"/>
      <c r="T184" s="1290"/>
      <c r="U184" s="1290"/>
      <c r="V184" s="1290"/>
      <c r="W184" s="1290"/>
      <c r="X184" s="1290"/>
      <c r="Y184" s="1290"/>
      <c r="Z184" s="1290"/>
      <c r="AA184" s="1290"/>
      <c r="AB184" s="1290"/>
      <c r="AC184" s="1290"/>
      <c r="AD184" s="1290"/>
      <c r="AE184" s="1290"/>
      <c r="BC184" t="s">
        <v>966</v>
      </c>
      <c r="BN184" s="140" t="s">
        <v>967</v>
      </c>
      <c r="BT184" t="s">
        <v>968</v>
      </c>
    </row>
    <row r="185" spans="1:72" ht="12.95" customHeight="1">
      <c r="C185" s="19"/>
      <c r="D185" t="s">
        <v>969</v>
      </c>
      <c r="I185" s="1292" t="s">
        <v>970</v>
      </c>
      <c r="J185" s="1292"/>
      <c r="K185" s="1292"/>
      <c r="L185" s="1292"/>
      <c r="M185" s="1292"/>
      <c r="N185" s="1292"/>
      <c r="O185" s="1292"/>
      <c r="P185" s="1292"/>
      <c r="Q185" s="1292"/>
      <c r="R185" s="1292"/>
      <c r="S185" s="1292"/>
      <c r="T185" s="1292"/>
      <c r="U185" s="1292"/>
      <c r="V185" s="1292"/>
      <c r="W185" s="1292"/>
      <c r="X185" s="1292"/>
      <c r="Y185" s="1292"/>
      <c r="Z185" s="1292"/>
      <c r="AA185" s="1292"/>
      <c r="AB185" s="1292"/>
      <c r="AC185" s="1292"/>
      <c r="AD185" s="1292"/>
      <c r="AE185" s="1292"/>
      <c r="BC185" t="s">
        <v>971</v>
      </c>
      <c r="BN185" s="140" t="s">
        <v>972</v>
      </c>
      <c r="BT185" t="s">
        <v>973</v>
      </c>
    </row>
    <row r="186" spans="1:72" ht="12.95" customHeight="1">
      <c r="C186" s="19"/>
      <c r="E186" t="s">
        <v>974</v>
      </c>
      <c r="BN186" s="140" t="s">
        <v>975</v>
      </c>
      <c r="BT186" t="s">
        <v>976</v>
      </c>
    </row>
    <row r="187" spans="1:72" ht="12.95" customHeight="1">
      <c r="C187" s="19"/>
      <c r="E187" s="1306"/>
      <c r="F187" s="1306"/>
      <c r="G187" s="1306"/>
      <c r="H187" s="1306"/>
      <c r="I187" s="1306"/>
      <c r="J187" s="1306"/>
      <c r="K187" s="1306"/>
      <c r="L187" s="1306"/>
      <c r="M187" s="1306"/>
      <c r="N187" s="1306"/>
      <c r="O187" s="1306"/>
      <c r="P187" s="1306"/>
      <c r="Q187" s="1306"/>
      <c r="R187" s="1306"/>
      <c r="S187" s="1306"/>
      <c r="T187" s="1306"/>
      <c r="U187" s="1306"/>
      <c r="V187" s="1306"/>
      <c r="W187" s="1306"/>
      <c r="X187" s="1306"/>
      <c r="Y187" s="1306"/>
      <c r="Z187" s="1306"/>
      <c r="AA187" s="1306"/>
      <c r="AB187" s="1306"/>
      <c r="AC187" s="1306"/>
      <c r="AD187" s="1306"/>
      <c r="AE187" s="1306"/>
      <c r="BN187" s="140" t="s">
        <v>977</v>
      </c>
      <c r="BT187" t="s">
        <v>978</v>
      </c>
    </row>
    <row r="188" spans="1:72" ht="12.95" customHeight="1">
      <c r="C188" s="19"/>
      <c r="E188" s="1307"/>
      <c r="F188" s="1307"/>
      <c r="G188" s="1307"/>
      <c r="H188" s="1307"/>
      <c r="I188" s="1307"/>
      <c r="J188" s="1307"/>
      <c r="K188" s="1307"/>
      <c r="L188" s="1307"/>
      <c r="M188" s="1307"/>
      <c r="N188" s="1307"/>
      <c r="O188" s="1307"/>
      <c r="P188" s="1307"/>
      <c r="Q188" s="1307"/>
      <c r="R188" s="1307"/>
      <c r="S188" s="1307"/>
      <c r="T188" s="1307"/>
      <c r="U188" s="1307"/>
      <c r="V188" s="1307"/>
      <c r="W188" s="1307"/>
      <c r="X188" s="1307"/>
      <c r="Y188" s="1307"/>
      <c r="Z188" s="1307"/>
      <c r="AA188" s="1307"/>
      <c r="AB188" s="1307"/>
      <c r="AC188" s="1307"/>
      <c r="AD188" s="1307"/>
      <c r="AE188" s="1307"/>
      <c r="BN188" s="140" t="s">
        <v>979</v>
      </c>
      <c r="BT188" t="s">
        <v>980</v>
      </c>
    </row>
    <row r="189" spans="1:72" ht="12.95" customHeight="1">
      <c r="C189" s="19"/>
      <c r="D189" t="s">
        <v>981</v>
      </c>
      <c r="I189" s="1232" t="s">
        <v>877</v>
      </c>
      <c r="J189" s="1232"/>
      <c r="K189" s="1232"/>
      <c r="L189" s="1232"/>
      <c r="M189" s="1232"/>
      <c r="N189" s="1232"/>
      <c r="O189" s="1232"/>
      <c r="P189" s="1232"/>
      <c r="Q189" t="s">
        <v>982</v>
      </c>
      <c r="T189" s="1232" t="s">
        <v>877</v>
      </c>
      <c r="U189" s="1232"/>
      <c r="V189" s="1232"/>
      <c r="W189" s="1232"/>
      <c r="X189" s="1232"/>
      <c r="Y189" s="1232"/>
      <c r="Z189" s="1232"/>
      <c r="AA189" s="1232"/>
      <c r="AB189" s="1232"/>
      <c r="AC189" s="1232"/>
      <c r="AD189" s="1232"/>
      <c r="AE189" s="1232"/>
      <c r="BC189" t="s">
        <v>294</v>
      </c>
      <c r="BH189" s="3" t="s">
        <v>299</v>
      </c>
      <c r="BN189" s="140" t="s">
        <v>983</v>
      </c>
      <c r="BT189" t="s">
        <v>984</v>
      </c>
    </row>
    <row r="190" spans="1:72" ht="12.95" customHeight="1">
      <c r="C190" s="19"/>
      <c r="D190" t="s">
        <v>985</v>
      </c>
      <c r="I190" s="1292">
        <v>92120</v>
      </c>
      <c r="J190" s="1292"/>
      <c r="K190" s="1292"/>
      <c r="L190" s="1292"/>
      <c r="M190" s="1292"/>
      <c r="N190" s="1292"/>
      <c r="O190" t="s">
        <v>986</v>
      </c>
      <c r="T190" s="1361">
        <v>96.04</v>
      </c>
      <c r="U190" s="1361"/>
      <c r="V190" s="1361"/>
      <c r="W190" s="1361"/>
      <c r="X190" s="1361"/>
      <c r="Y190" s="1361"/>
      <c r="Z190" s="1361"/>
      <c r="AA190" s="1361"/>
      <c r="AB190" s="1361"/>
      <c r="AC190" s="1361"/>
      <c r="AD190" s="1361"/>
      <c r="AE190" s="1361"/>
      <c r="BC190" t="s">
        <v>987</v>
      </c>
      <c r="BH190" t="s">
        <v>987</v>
      </c>
      <c r="BN190" s="140" t="s">
        <v>988</v>
      </c>
      <c r="BT190" t="s">
        <v>989</v>
      </c>
    </row>
    <row r="191" spans="1:72" ht="12.95" customHeight="1">
      <c r="C191" s="19"/>
      <c r="D191" t="s">
        <v>990</v>
      </c>
      <c r="N191" s="1306" t="s">
        <v>991</v>
      </c>
      <c r="O191" s="1306"/>
      <c r="P191" s="1306"/>
      <c r="Q191" s="1306"/>
      <c r="R191" s="1306"/>
      <c r="S191" s="1306"/>
      <c r="T191" s="1306"/>
      <c r="U191" s="1306"/>
      <c r="V191" s="1306"/>
      <c r="W191" s="1306"/>
      <c r="X191" s="1306"/>
      <c r="Y191" s="1306"/>
      <c r="Z191" s="1306"/>
      <c r="AA191" s="1306"/>
      <c r="AB191" s="1306"/>
      <c r="AC191" s="1306"/>
      <c r="AD191" s="1306"/>
      <c r="AE191" s="1306"/>
      <c r="BC191" t="s">
        <v>992</v>
      </c>
      <c r="BH191" t="s">
        <v>992</v>
      </c>
      <c r="BN191" s="140" t="s">
        <v>993</v>
      </c>
      <c r="BT191" t="s">
        <v>994</v>
      </c>
    </row>
    <row r="192" spans="1:72" ht="12.95" customHeight="1">
      <c r="C192" s="19"/>
      <c r="M192" s="33"/>
      <c r="N192" s="1307"/>
      <c r="O192" s="1307"/>
      <c r="P192" s="1307"/>
      <c r="Q192" s="1307"/>
      <c r="R192" s="1307"/>
      <c r="S192" s="1307"/>
      <c r="T192" s="1307"/>
      <c r="U192" s="1307"/>
      <c r="V192" s="1307"/>
      <c r="W192" s="1307"/>
      <c r="X192" s="1307"/>
      <c r="Y192" s="1307"/>
      <c r="Z192" s="1307"/>
      <c r="AA192" s="1307"/>
      <c r="AB192" s="1307"/>
      <c r="AC192" s="1307"/>
      <c r="AD192" s="1307"/>
      <c r="AE192" s="1307"/>
      <c r="BC192" t="s">
        <v>995</v>
      </c>
      <c r="BH192" s="3" t="s">
        <v>996</v>
      </c>
      <c r="BN192" s="140" t="s">
        <v>997</v>
      </c>
      <c r="BT192" t="s">
        <v>998</v>
      </c>
    </row>
    <row r="193" spans="1:74" ht="12.95" customHeight="1">
      <c r="C193" s="19"/>
      <c r="D193" t="s">
        <v>999</v>
      </c>
      <c r="M193" s="33"/>
      <c r="N193" s="815"/>
      <c r="O193" s="815"/>
      <c r="P193" s="815"/>
      <c r="Q193" s="815"/>
      <c r="R193" s="815"/>
      <c r="S193" s="815"/>
      <c r="T193" s="1358" t="s">
        <v>934</v>
      </c>
      <c r="U193" s="1358"/>
      <c r="V193" s="1358"/>
      <c r="W193" s="1358"/>
      <c r="X193" s="1358"/>
      <c r="Y193" s="1358"/>
      <c r="Z193" s="1358"/>
      <c r="AA193" s="1358"/>
      <c r="AB193" s="1358"/>
      <c r="AC193" s="1358"/>
      <c r="AD193" s="1358"/>
      <c r="AE193" s="1358"/>
      <c r="AF193" s="1358"/>
      <c r="AG193" s="1358"/>
      <c r="AH193" s="1358"/>
      <c r="AI193" s="1358"/>
      <c r="BC193" t="s">
        <v>1000</v>
      </c>
      <c r="BH193" s="3" t="s">
        <v>1001</v>
      </c>
      <c r="BN193" s="140" t="s">
        <v>1002</v>
      </c>
      <c r="BT193" t="s">
        <v>877</v>
      </c>
    </row>
    <row r="194" spans="1:74" ht="12.95" customHeight="1">
      <c r="C194" s="19"/>
      <c r="D194" s="3" t="s">
        <v>1003</v>
      </c>
      <c r="M194" s="33"/>
      <c r="N194" s="815"/>
      <c r="O194" s="815"/>
      <c r="P194" s="815"/>
      <c r="Q194" s="815"/>
      <c r="R194" s="815"/>
      <c r="S194" s="815"/>
      <c r="AH194" s="1234" t="s">
        <v>894</v>
      </c>
      <c r="AI194" s="1234"/>
      <c r="BC194" t="s">
        <v>996</v>
      </c>
      <c r="BN194" s="140" t="s">
        <v>1004</v>
      </c>
      <c r="BT194" t="s">
        <v>1005</v>
      </c>
    </row>
    <row r="195" spans="1:74" ht="12.95" customHeight="1">
      <c r="C195" s="19"/>
      <c r="D195" t="s">
        <v>1006</v>
      </c>
      <c r="T195" s="1234" t="s">
        <v>837</v>
      </c>
      <c r="U195" s="1234"/>
      <c r="W195" t="s">
        <v>1007</v>
      </c>
      <c r="AH195" s="1234">
        <v>51</v>
      </c>
      <c r="AI195" s="1234"/>
      <c r="BC195" t="s">
        <v>1008</v>
      </c>
      <c r="BN195" s="140" t="s">
        <v>1009</v>
      </c>
      <c r="BT195" t="s">
        <v>1010</v>
      </c>
    </row>
    <row r="196" spans="1:74" ht="12.95" customHeight="1">
      <c r="C196" s="19"/>
      <c r="D196" t="s">
        <v>1011</v>
      </c>
      <c r="T196" s="1260" t="s">
        <v>894</v>
      </c>
      <c r="U196" s="1260"/>
      <c r="W196" t="s">
        <v>1012</v>
      </c>
      <c r="AH196" s="1234">
        <v>78</v>
      </c>
      <c r="AI196" s="1234"/>
      <c r="BN196" s="140" t="s">
        <v>1013</v>
      </c>
      <c r="BT196" t="s">
        <v>1014</v>
      </c>
    </row>
    <row r="197" spans="1:74" ht="12.95" customHeight="1">
      <c r="C197" s="19"/>
      <c r="D197" s="3" t="s">
        <v>1015</v>
      </c>
      <c r="T197" s="1260" t="s">
        <v>894</v>
      </c>
      <c r="U197" s="1260"/>
      <c r="W197" t="s">
        <v>1016</v>
      </c>
      <c r="AH197" s="1234">
        <v>39</v>
      </c>
      <c r="AI197" s="1234"/>
      <c r="BC197" t="s">
        <v>294</v>
      </c>
      <c r="BN197" s="140" t="s">
        <v>1017</v>
      </c>
      <c r="BT197" t="s">
        <v>1018</v>
      </c>
    </row>
    <row r="198" spans="1:74" s="14" customFormat="1" ht="12.95" customHeight="1">
      <c r="A198"/>
      <c r="B198"/>
      <c r="C198" s="19"/>
      <c r="D198" s="3" t="s">
        <v>1019</v>
      </c>
      <c r="E198"/>
      <c r="F198"/>
      <c r="G198"/>
      <c r="H198"/>
      <c r="I198"/>
      <c r="J198"/>
      <c r="K198"/>
      <c r="L198"/>
      <c r="M198"/>
      <c r="N198"/>
      <c r="O198"/>
      <c r="P198"/>
      <c r="Q198"/>
      <c r="R198"/>
      <c r="S198"/>
      <c r="T198" s="1260" t="s">
        <v>299</v>
      </c>
      <c r="U198" s="1260"/>
      <c r="V198"/>
      <c r="W198"/>
      <c r="X198"/>
      <c r="Y198"/>
      <c r="Z198"/>
      <c r="AA198"/>
      <c r="AB198"/>
      <c r="AC198"/>
      <c r="AD198"/>
      <c r="AE198"/>
      <c r="AF198"/>
      <c r="AG198"/>
      <c r="AJ198"/>
      <c r="AK198"/>
      <c r="AL198"/>
      <c r="AM198"/>
      <c r="AN198"/>
      <c r="AO198"/>
      <c r="AP198"/>
      <c r="AQ198"/>
      <c r="AR198"/>
      <c r="AS198"/>
      <c r="AT198"/>
      <c r="AU198"/>
      <c r="AV198"/>
      <c r="AW198"/>
      <c r="AX198"/>
      <c r="AY198"/>
      <c r="AZ198" s="26"/>
      <c r="BA198" s="26"/>
      <c r="BC198" t="s">
        <v>1020</v>
      </c>
      <c r="BD198"/>
      <c r="BN198" s="140" t="s">
        <v>1021</v>
      </c>
      <c r="BO198"/>
      <c r="BP198"/>
      <c r="BQ198"/>
      <c r="BR198"/>
      <c r="BS198"/>
      <c r="BT198" t="s">
        <v>1022</v>
      </c>
      <c r="BU198"/>
      <c r="BV198" s="27"/>
    </row>
    <row r="199" spans="1:74" s="14" customFormat="1" ht="12.95" customHeight="1">
      <c r="A199"/>
      <c r="B199"/>
      <c r="C199" s="19"/>
      <c r="D199" s="85" t="s">
        <v>1023</v>
      </c>
      <c r="E199"/>
      <c r="F199"/>
      <c r="G199"/>
      <c r="H199"/>
      <c r="I199"/>
      <c r="J199"/>
      <c r="K199"/>
      <c r="L199"/>
      <c r="M199"/>
      <c r="N199"/>
      <c r="O199"/>
      <c r="P199"/>
      <c r="Q199"/>
      <c r="R199"/>
      <c r="S199"/>
      <c r="T199"/>
      <c r="U199"/>
      <c r="V199"/>
      <c r="W199"/>
      <c r="Z199" s="1234" t="s">
        <v>894</v>
      </c>
      <c r="AA199" s="1234"/>
      <c r="AC199"/>
      <c r="AD199"/>
      <c r="AE199"/>
      <c r="AF199"/>
      <c r="AG199"/>
      <c r="AJ199"/>
      <c r="AK199"/>
      <c r="AL199"/>
      <c r="AM199"/>
      <c r="AN199"/>
      <c r="AO199"/>
      <c r="AP199"/>
      <c r="AQ199"/>
      <c r="AR199"/>
      <c r="AS199"/>
      <c r="AT199"/>
      <c r="AU199"/>
      <c r="AV199"/>
      <c r="AW199"/>
      <c r="AX199"/>
      <c r="AY199"/>
      <c r="AZ199" s="26"/>
      <c r="BA199" s="26"/>
      <c r="BC199" s="3" t="s">
        <v>1024</v>
      </c>
      <c r="BD199"/>
      <c r="BN199" s="140" t="s">
        <v>1025</v>
      </c>
      <c r="BO199"/>
      <c r="BP199"/>
      <c r="BQ199"/>
      <c r="BR199"/>
      <c r="BS199"/>
      <c r="BT199" s="28" t="s">
        <v>1026</v>
      </c>
      <c r="BU199"/>
      <c r="BV199" s="27"/>
    </row>
    <row r="200" spans="1:74" s="14" customFormat="1" ht="12.95" customHeight="1">
      <c r="A200"/>
      <c r="B200"/>
      <c r="C200" s="19"/>
      <c r="D200" t="s">
        <v>1027</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26"/>
      <c r="BA200" s="26"/>
      <c r="BC200" s="3" t="s">
        <v>1028</v>
      </c>
      <c r="BD200" s="363"/>
      <c r="BN200" s="140" t="s">
        <v>1029</v>
      </c>
      <c r="BO200"/>
      <c r="BP200"/>
      <c r="BQ200"/>
      <c r="BR200"/>
      <c r="BS200"/>
      <c r="BT200" s="28" t="s">
        <v>1030</v>
      </c>
      <c r="BU200"/>
    </row>
    <row r="201" spans="1:74" s="14" customFormat="1" ht="12.95" customHeight="1">
      <c r="A201"/>
      <c r="B201"/>
      <c r="C201" s="19"/>
      <c r="D201" s="146" t="s">
        <v>1031</v>
      </c>
      <c r="E201"/>
      <c r="F201"/>
      <c r="G201"/>
      <c r="H201"/>
      <c r="I201"/>
      <c r="J201"/>
      <c r="K201"/>
      <c r="L201"/>
      <c r="M201"/>
      <c r="N201"/>
      <c r="O201"/>
      <c r="P201"/>
      <c r="Q201"/>
      <c r="R201"/>
      <c r="S201"/>
      <c r="T201" s="1"/>
      <c r="U201" s="1"/>
      <c r="V201"/>
      <c r="W201" s="146" t="s">
        <v>1032</v>
      </c>
      <c r="X201"/>
      <c r="Y201"/>
      <c r="Z201"/>
      <c r="AA201"/>
      <c r="AB201"/>
      <c r="AC201"/>
      <c r="AD201"/>
      <c r="AE201"/>
      <c r="AF201"/>
      <c r="AG201"/>
      <c r="AH201" s="1"/>
      <c r="AI201" s="1"/>
      <c r="AJ201"/>
      <c r="AK201"/>
      <c r="AL201"/>
      <c r="AM201"/>
      <c r="AN201"/>
      <c r="AO201"/>
      <c r="AP201"/>
      <c r="AQ201"/>
      <c r="AR201"/>
      <c r="AS201"/>
      <c r="AT201"/>
      <c r="AU201"/>
      <c r="AV201"/>
      <c r="AW201"/>
      <c r="AX201"/>
      <c r="AY201"/>
      <c r="AZ201" s="26"/>
      <c r="BA201" s="26"/>
      <c r="BC201" t="s">
        <v>1033</v>
      </c>
      <c r="BD201" s="363"/>
      <c r="BN201" s="140" t="s">
        <v>1034</v>
      </c>
      <c r="BO201" s="27"/>
      <c r="BP201" s="28"/>
      <c r="BQ201" s="28"/>
      <c r="BR201" s="28"/>
      <c r="BS201" s="28"/>
      <c r="BT201" s="28" t="s">
        <v>1035</v>
      </c>
      <c r="BU201"/>
    </row>
    <row r="202" spans="1:74" ht="12.95" customHeight="1">
      <c r="C202" s="19"/>
      <c r="D202" s="437"/>
      <c r="BC202" t="s">
        <v>1036</v>
      </c>
      <c r="BD202" s="363"/>
      <c r="BN202" s="140" t="s">
        <v>1037</v>
      </c>
      <c r="BO202" s="14"/>
      <c r="BP202" s="28"/>
      <c r="BQ202" s="28"/>
      <c r="BR202" s="28"/>
      <c r="BS202" s="28"/>
      <c r="BT202" s="28" t="s">
        <v>1038</v>
      </c>
    </row>
    <row r="203" spans="1:74" ht="12.95" customHeight="1">
      <c r="A203" s="2" t="s">
        <v>1039</v>
      </c>
      <c r="C203" s="2" t="s">
        <v>1040</v>
      </c>
      <c r="BC203" t="s">
        <v>1041</v>
      </c>
      <c r="BN203" s="140" t="s">
        <v>1042</v>
      </c>
      <c r="BO203" s="14"/>
      <c r="BP203" s="28"/>
      <c r="BQ203" s="28"/>
      <c r="BR203" s="28"/>
      <c r="BS203" s="28"/>
      <c r="BT203" s="28" t="s">
        <v>1043</v>
      </c>
    </row>
    <row r="204" spans="1:74" ht="12.95" customHeight="1">
      <c r="D204" s="1290" t="s">
        <v>1044</v>
      </c>
      <c r="E204" s="1290"/>
      <c r="F204" s="1290"/>
      <c r="G204" s="1290"/>
      <c r="H204" s="1290"/>
      <c r="I204" s="1290"/>
      <c r="J204" s="1290"/>
      <c r="K204" s="1290"/>
      <c r="L204" s="1290"/>
      <c r="M204" s="1290"/>
      <c r="P204" s="1352">
        <f>M26</f>
        <v>1612900</v>
      </c>
      <c r="Q204" s="1353"/>
      <c r="R204" s="1353"/>
      <c r="S204" s="1353"/>
      <c r="T204" s="1353"/>
      <c r="U204" s="1353"/>
      <c r="BC204" t="s">
        <v>1045</v>
      </c>
      <c r="BN204" s="140" t="s">
        <v>1046</v>
      </c>
      <c r="BT204" s="28" t="s">
        <v>1047</v>
      </c>
      <c r="BU204" s="14"/>
    </row>
    <row r="205" spans="1:74" ht="12.95" customHeight="1">
      <c r="C205" s="19"/>
      <c r="D205" s="1367" t="s">
        <v>1048</v>
      </c>
      <c r="E205" s="1290"/>
      <c r="F205" s="1290"/>
      <c r="G205" s="1290"/>
      <c r="H205" s="1290"/>
      <c r="I205" s="1290"/>
      <c r="J205" s="1290"/>
      <c r="K205" s="1290"/>
      <c r="L205" s="1290"/>
      <c r="M205" s="1290"/>
      <c r="P205" s="1353">
        <f>M27</f>
        <v>8617124</v>
      </c>
      <c r="Q205" s="1353"/>
      <c r="R205" s="1353"/>
      <c r="S205" s="1353"/>
      <c r="T205" s="1353"/>
      <c r="U205" s="1353"/>
      <c r="V205" s="20"/>
      <c r="W205" s="3" t="s">
        <v>1049</v>
      </c>
      <c r="Z205" s="1362" t="s">
        <v>1050</v>
      </c>
      <c r="AA205" s="1362"/>
      <c r="AB205" s="1362"/>
      <c r="AC205" s="1362"/>
      <c r="AD205" s="1362"/>
      <c r="AE205" s="1362"/>
      <c r="AF205" s="1362"/>
      <c r="AG205" s="1362"/>
      <c r="AH205" s="1362"/>
      <c r="AI205" s="1362"/>
      <c r="AJ205" s="1362"/>
      <c r="AK205" s="1362"/>
      <c r="AL205" s="1362"/>
      <c r="AM205" s="1362"/>
      <c r="AN205" s="1362"/>
      <c r="AP205" s="1184"/>
      <c r="AQ205" s="1184"/>
      <c r="BC205" t="s">
        <v>1051</v>
      </c>
      <c r="BN205" s="140" t="s">
        <v>1052</v>
      </c>
      <c r="BT205" s="28" t="s">
        <v>1053</v>
      </c>
      <c r="BU205" s="14"/>
    </row>
    <row r="206" spans="1:74" ht="12.95" customHeight="1">
      <c r="D206" s="25"/>
      <c r="E206" s="25"/>
      <c r="F206" s="25"/>
      <c r="G206" s="25"/>
      <c r="H206" s="25"/>
      <c r="I206" s="25"/>
      <c r="J206" s="25"/>
      <c r="K206" s="25"/>
      <c r="L206" s="25"/>
      <c r="M206" s="25"/>
      <c r="N206" s="25"/>
      <c r="O206" s="25"/>
      <c r="P206" s="25"/>
      <c r="BC206" s="364" t="s">
        <v>1054</v>
      </c>
      <c r="BN206" s="140" t="s">
        <v>1055</v>
      </c>
      <c r="BT206" s="28" t="s">
        <v>1056</v>
      </c>
      <c r="BU206" s="14"/>
    </row>
    <row r="207" spans="1:74" ht="12.95" customHeight="1">
      <c r="A207" s="2" t="s">
        <v>1057</v>
      </c>
      <c r="C207" s="2" t="s">
        <v>1058</v>
      </c>
      <c r="BC207" s="3" t="s">
        <v>1059</v>
      </c>
      <c r="BN207" s="140" t="s">
        <v>1060</v>
      </c>
      <c r="BT207" s="28" t="s">
        <v>1061</v>
      </c>
    </row>
    <row r="208" spans="1:74" ht="12.95" customHeight="1">
      <c r="C208" s="19"/>
      <c r="D208" s="1317" t="s">
        <v>1062</v>
      </c>
      <c r="E208" s="1317"/>
      <c r="F208" s="1317"/>
      <c r="G208" s="1317"/>
      <c r="H208" s="1317"/>
      <c r="I208" s="1317"/>
      <c r="J208" s="1317"/>
      <c r="K208" s="1317"/>
      <c r="L208" s="1317"/>
      <c r="M208" s="1317"/>
      <c r="BC208" t="s">
        <v>1063</v>
      </c>
      <c r="BN208" s="140" t="s">
        <v>1064</v>
      </c>
      <c r="BT208" s="28" t="s">
        <v>1065</v>
      </c>
    </row>
    <row r="209" spans="1:72" ht="12.95" customHeight="1">
      <c r="BC209" t="s">
        <v>1066</v>
      </c>
      <c r="BN209" s="140" t="s">
        <v>1067</v>
      </c>
      <c r="BT209" s="28" t="s">
        <v>1068</v>
      </c>
    </row>
    <row r="210" spans="1:72" ht="12.95" customHeight="1">
      <c r="A210" s="2" t="s">
        <v>1069</v>
      </c>
      <c r="C210" s="2" t="s">
        <v>1070</v>
      </c>
      <c r="BN210" s="140" t="s">
        <v>1071</v>
      </c>
      <c r="BT210" s="28" t="s">
        <v>1072</v>
      </c>
    </row>
    <row r="211" spans="1:72" ht="12.95" customHeight="1">
      <c r="C211" s="19"/>
      <c r="D211" s="1317" t="s">
        <v>987</v>
      </c>
      <c r="E211" s="1317"/>
      <c r="F211" s="1317"/>
      <c r="G211" s="1317"/>
      <c r="H211" s="1317"/>
      <c r="I211" s="1317"/>
      <c r="J211" s="1317"/>
      <c r="K211" s="1317"/>
      <c r="L211" s="1317"/>
      <c r="M211" s="1317"/>
      <c r="BN211" s="140" t="s">
        <v>1073</v>
      </c>
      <c r="BT211" s="28" t="s">
        <v>1074</v>
      </c>
    </row>
    <row r="212" spans="1:72" ht="12.95" customHeight="1">
      <c r="C212" s="19"/>
      <c r="D212" t="s">
        <v>1075</v>
      </c>
      <c r="Y212" s="1234"/>
      <c r="Z212" s="1234"/>
      <c r="AB212" s="1356">
        <f>IFERROR(Y212/AG440,"")</f>
        <v>0</v>
      </c>
      <c r="AC212" s="1357"/>
      <c r="BC212" t="s">
        <v>294</v>
      </c>
      <c r="BI212" t="s">
        <v>1076</v>
      </c>
      <c r="BN212" s="140" t="s">
        <v>1077</v>
      </c>
      <c r="BT212" s="28" t="s">
        <v>1078</v>
      </c>
    </row>
    <row r="213" spans="1:72" ht="12.95" customHeight="1">
      <c r="D213" s="1069" t="s">
        <v>1079</v>
      </c>
      <c r="BC213" t="s">
        <v>1080</v>
      </c>
      <c r="BI213" t="s">
        <v>1050</v>
      </c>
      <c r="BN213" s="140" t="s">
        <v>1081</v>
      </c>
      <c r="BT213" s="28" t="s">
        <v>1082</v>
      </c>
    </row>
    <row r="214" spans="1:72" ht="12.95" customHeight="1">
      <c r="D214" s="1347" t="s">
        <v>299</v>
      </c>
      <c r="E214" s="1347"/>
      <c r="F214" s="1347"/>
      <c r="G214" s="1347"/>
      <c r="H214" s="1347"/>
      <c r="I214" s="1347"/>
      <c r="J214" s="1347"/>
      <c r="K214" s="1347"/>
      <c r="L214" s="1347"/>
      <c r="M214" s="1347"/>
      <c r="N214" s="1347"/>
      <c r="O214" s="1347"/>
      <c r="P214" s="1347"/>
      <c r="Q214" s="1347"/>
      <c r="R214" s="1347"/>
      <c r="S214" s="1347"/>
      <c r="T214" s="1347"/>
      <c r="U214" s="1347"/>
      <c r="V214" s="1347"/>
      <c r="W214" s="1347"/>
      <c r="X214" s="1347"/>
      <c r="Y214" s="1347"/>
      <c r="Z214" s="1347"/>
      <c r="AU214" s="19"/>
      <c r="AV214" s="19"/>
      <c r="AW214" s="19"/>
      <c r="AX214" s="19"/>
      <c r="AY214" s="19"/>
      <c r="BC214" t="s">
        <v>1083</v>
      </c>
      <c r="BI214" t="s">
        <v>1084</v>
      </c>
      <c r="BN214" s="140" t="s">
        <v>1085</v>
      </c>
      <c r="BT214" s="28" t="s">
        <v>1086</v>
      </c>
    </row>
    <row r="215" spans="1:72" ht="12.95" customHeight="1">
      <c r="D215" s="3" t="s">
        <v>1087</v>
      </c>
      <c r="Z215" s="33"/>
      <c r="AB215" s="1314"/>
      <c r="AC215" s="1314"/>
      <c r="AD215" s="1314"/>
      <c r="AE215" s="1314"/>
      <c r="AF215" s="1314"/>
      <c r="AG215" s="1314"/>
      <c r="AH215" s="1314"/>
      <c r="AI215" s="1314"/>
      <c r="AJ215" s="1314"/>
      <c r="AK215" s="1314"/>
      <c r="AL215" s="1314"/>
      <c r="AM215" s="19"/>
      <c r="AN215" s="19"/>
      <c r="AO215" s="19"/>
      <c r="AP215" s="19"/>
      <c r="AQ215" s="19"/>
      <c r="AR215" s="19"/>
      <c r="AS215" s="19"/>
      <c r="AT215" s="19"/>
      <c r="AU215" s="19"/>
      <c r="AV215" s="19"/>
      <c r="AW215" s="19"/>
      <c r="AX215" s="19"/>
      <c r="AY215" s="19"/>
      <c r="BC215" t="s">
        <v>1088</v>
      </c>
      <c r="BI215" s="3" t="s">
        <v>1089</v>
      </c>
    </row>
    <row r="216" spans="1:72" ht="12.95" customHeight="1">
      <c r="D216" s="3" t="s">
        <v>1090</v>
      </c>
      <c r="Z216" s="33"/>
      <c r="AB216" s="1314"/>
      <c r="AC216" s="1314"/>
      <c r="AD216" s="1314"/>
      <c r="AE216" s="1314"/>
      <c r="AF216" s="1314"/>
      <c r="AG216" s="1314"/>
      <c r="AH216" s="1314"/>
      <c r="AI216" s="1314"/>
      <c r="AJ216" s="1314"/>
      <c r="AK216" s="1314"/>
      <c r="AL216" s="1314"/>
      <c r="AM216" s="19"/>
      <c r="AN216" s="19"/>
      <c r="AO216" s="19"/>
      <c r="AP216" s="19"/>
      <c r="AQ216" s="19"/>
      <c r="AR216" s="19"/>
      <c r="AS216" s="19"/>
      <c r="AT216" s="19"/>
      <c r="AU216" s="19"/>
      <c r="AV216" s="19"/>
      <c r="AW216" s="19"/>
      <c r="AX216" s="19"/>
      <c r="AY216" s="19"/>
      <c r="BC216" t="s">
        <v>1091</v>
      </c>
      <c r="BI216" s="3" t="s">
        <v>1092</v>
      </c>
    </row>
    <row r="217" spans="1:72" ht="12.95" customHeight="1">
      <c r="D217" s="3"/>
      <c r="Z217" s="33"/>
      <c r="AB217" s="19"/>
      <c r="AC217" s="19"/>
      <c r="AD217" s="19"/>
      <c r="AE217" s="19"/>
      <c r="AF217" s="19"/>
      <c r="AG217" s="19"/>
      <c r="AH217" s="19"/>
      <c r="AI217" s="19"/>
      <c r="AJ217" s="19"/>
      <c r="AK217" s="19"/>
      <c r="AL217" s="19"/>
      <c r="AM217" s="19"/>
      <c r="AN217" s="19"/>
      <c r="AO217" s="19"/>
      <c r="AP217" s="19"/>
      <c r="AQ217" s="19"/>
      <c r="AR217" s="19"/>
      <c r="AS217" s="19"/>
      <c r="AT217" s="19"/>
      <c r="BC217" t="s">
        <v>1093</v>
      </c>
      <c r="BI217" s="3" t="s">
        <v>1094</v>
      </c>
    </row>
    <row r="218" spans="1:72" ht="12.95" customHeight="1">
      <c r="A218" s="2" t="s">
        <v>1095</v>
      </c>
      <c r="C218" s="2" t="s">
        <v>1096</v>
      </c>
      <c r="D218" s="20"/>
      <c r="BC218" t="s">
        <v>1097</v>
      </c>
    </row>
    <row r="219" spans="1:72" ht="12.95" customHeight="1">
      <c r="A219" s="2"/>
      <c r="C219" s="2"/>
      <c r="D219" s="3" t="s">
        <v>1098</v>
      </c>
      <c r="AZ219" s="3"/>
      <c r="BA219" s="3"/>
      <c r="BC219" t="s">
        <v>1099</v>
      </c>
    </row>
    <row r="220" spans="1:72" ht="12.95" customHeight="1">
      <c r="A220" s="2"/>
      <c r="C220" s="2"/>
      <c r="D220" s="1317" t="s">
        <v>1033</v>
      </c>
      <c r="E220" s="1317"/>
      <c r="F220" s="1317"/>
      <c r="G220" s="1317"/>
      <c r="H220" s="1317"/>
      <c r="I220" s="1317"/>
      <c r="J220" s="1317"/>
      <c r="K220" s="1317"/>
      <c r="L220" s="1317"/>
      <c r="M220" s="1317"/>
      <c r="N220" s="1317"/>
      <c r="O220" s="1317"/>
      <c r="P220" s="1317"/>
      <c r="Q220" s="1317"/>
      <c r="R220" s="1317"/>
      <c r="S220" s="1317"/>
      <c r="T220" s="1317"/>
      <c r="U220" s="1317"/>
      <c r="V220" s="1317"/>
      <c r="W220" s="1317"/>
      <c r="X220" s="1317"/>
      <c r="Y220" s="1317"/>
      <c r="Z220" s="1317"/>
      <c r="BA220" s="3"/>
      <c r="BC220" t="s">
        <v>1100</v>
      </c>
    </row>
    <row r="221" spans="1:72" ht="12.95" customHeight="1">
      <c r="A221" s="2"/>
      <c r="B221" s="14"/>
      <c r="C221" s="2"/>
      <c r="AU221" s="71"/>
      <c r="AV221" s="71"/>
      <c r="AW221" s="71"/>
      <c r="AX221" s="71"/>
      <c r="AY221" s="71"/>
      <c r="BA221" s="3"/>
    </row>
    <row r="222" spans="1:72" ht="12.95" customHeight="1">
      <c r="A222" s="1437" t="s">
        <v>1101</v>
      </c>
      <c r="B222" s="1437"/>
      <c r="C222" s="1437"/>
      <c r="D222" s="1437"/>
      <c r="E222" s="1437"/>
      <c r="F222" s="1437"/>
      <c r="G222" s="1437"/>
      <c r="H222" s="1437"/>
      <c r="I222" s="1437"/>
      <c r="J222" s="1437"/>
      <c r="K222" s="1437"/>
      <c r="L222" s="1437"/>
      <c r="M222" s="1437"/>
      <c r="N222" s="1437"/>
      <c r="O222" s="1437"/>
      <c r="P222" s="1437"/>
      <c r="Q222" s="1437"/>
      <c r="R222" s="1437"/>
      <c r="S222" s="1437"/>
      <c r="T222" s="1437"/>
      <c r="U222" s="1437"/>
      <c r="V222" s="1437"/>
      <c r="W222" s="1437"/>
      <c r="X222" s="1437"/>
      <c r="Y222" s="1437"/>
      <c r="Z222" s="1437"/>
      <c r="AA222" s="1437"/>
      <c r="AB222" s="1437"/>
      <c r="AC222" s="1437"/>
      <c r="AD222" s="1437"/>
      <c r="AE222" s="1437"/>
      <c r="AF222" s="1437"/>
      <c r="AG222" s="1437"/>
      <c r="AH222" s="1437"/>
      <c r="AI222" s="1437"/>
      <c r="AJ222" s="1437"/>
      <c r="AK222" s="1437"/>
      <c r="AL222" s="1437"/>
      <c r="AM222" s="1437"/>
      <c r="AN222" s="1437"/>
      <c r="AO222" s="1437"/>
      <c r="AP222" s="1437"/>
      <c r="AQ222" s="1437"/>
      <c r="AR222" s="1437"/>
      <c r="AS222" s="1437"/>
      <c r="AT222" s="1437"/>
      <c r="AU222" s="71"/>
      <c r="AV222" s="71"/>
      <c r="AW222" s="71"/>
      <c r="AX222" s="71"/>
      <c r="AY222" s="71"/>
      <c r="AZ222" s="3"/>
      <c r="BA222" s="3"/>
      <c r="BP222" s="3"/>
    </row>
    <row r="223" spans="1:72" ht="12.95" customHeight="1">
      <c r="A223" s="1437"/>
      <c r="B223" s="1437"/>
      <c r="C223" s="1437"/>
      <c r="D223" s="1437"/>
      <c r="E223" s="1437"/>
      <c r="F223" s="1437"/>
      <c r="G223" s="1437"/>
      <c r="H223" s="1437"/>
      <c r="I223" s="1437"/>
      <c r="J223" s="1437"/>
      <c r="K223" s="1437"/>
      <c r="L223" s="1437"/>
      <c r="M223" s="1437"/>
      <c r="N223" s="1437"/>
      <c r="O223" s="1437"/>
      <c r="P223" s="1437"/>
      <c r="Q223" s="1437"/>
      <c r="R223" s="1437"/>
      <c r="S223" s="1437"/>
      <c r="T223" s="1437"/>
      <c r="U223" s="1437"/>
      <c r="V223" s="1437"/>
      <c r="W223" s="1437"/>
      <c r="X223" s="1437"/>
      <c r="Y223" s="1437"/>
      <c r="Z223" s="1437"/>
      <c r="AA223" s="1437"/>
      <c r="AB223" s="1437"/>
      <c r="AC223" s="1437"/>
      <c r="AD223" s="1437"/>
      <c r="AE223" s="1437"/>
      <c r="AF223" s="1437"/>
      <c r="AG223" s="1437"/>
      <c r="AH223" s="1437"/>
      <c r="AI223" s="1437"/>
      <c r="AJ223" s="1437"/>
      <c r="AK223" s="1437"/>
      <c r="AL223" s="1437"/>
      <c r="AM223" s="1437"/>
      <c r="AN223" s="1437"/>
      <c r="AO223" s="1437"/>
      <c r="AP223" s="1437"/>
      <c r="AQ223" s="1437"/>
      <c r="AR223" s="1437"/>
      <c r="AS223" s="1437"/>
      <c r="AT223" s="1437"/>
      <c r="BA223" s="3"/>
      <c r="BB223" s="3"/>
      <c r="BQ223" s="3"/>
    </row>
    <row r="224" spans="1:72" ht="12.95" customHeight="1">
      <c r="AZ224" s="3"/>
      <c r="BA224" s="3"/>
      <c r="BB224" s="3"/>
      <c r="BQ224" s="3"/>
    </row>
    <row r="225" spans="1:69" ht="12.95" customHeight="1">
      <c r="A225" s="2" t="s">
        <v>921</v>
      </c>
      <c r="B225" s="2"/>
      <c r="C225" s="2" t="s">
        <v>1102</v>
      </c>
      <c r="D225" s="2"/>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U225" s="3"/>
      <c r="AV225" s="3"/>
      <c r="AW225" s="3"/>
      <c r="AX225" s="3"/>
      <c r="AY225" s="3"/>
      <c r="BO225" s="3"/>
    </row>
    <row r="226" spans="1:69" ht="12.95" customHeight="1">
      <c r="B226" s="3"/>
      <c r="D226" s="3" t="s">
        <v>1103</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1234" t="s">
        <v>299</v>
      </c>
      <c r="AJ226" s="1234"/>
      <c r="AL226" s="3"/>
      <c r="AM226" s="3"/>
      <c r="AN226" s="3"/>
      <c r="AO226" s="3"/>
      <c r="AP226" s="3"/>
      <c r="AQ226" s="3"/>
      <c r="AR226" s="3"/>
      <c r="AS226" s="3"/>
      <c r="AT226" s="3"/>
      <c r="AU226" s="3"/>
      <c r="AV226" s="3"/>
      <c r="AW226" s="3"/>
      <c r="AX226" s="3"/>
      <c r="AY226" s="3"/>
      <c r="AZ226" s="3"/>
      <c r="BB226" s="143" t="s">
        <v>1104</v>
      </c>
      <c r="BG226" s="177">
        <f>IF(AND(AND($M$249="for profit",$M$257="for profit",$M$265="nonprofit")),2,0)</f>
        <v>0</v>
      </c>
      <c r="BO226" s="3"/>
    </row>
    <row r="227" spans="1:69" ht="12.95" customHeight="1">
      <c r="B227" s="3"/>
      <c r="D227" s="3" t="s">
        <v>1105</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1234" t="s">
        <v>299</v>
      </c>
      <c r="AJ227" s="1234"/>
      <c r="AL227" s="3"/>
      <c r="AM227" s="3"/>
      <c r="AN227" s="3"/>
      <c r="AO227" s="3"/>
      <c r="AP227" s="3"/>
      <c r="AQ227" s="3"/>
      <c r="AR227" s="3"/>
      <c r="AS227" s="3"/>
      <c r="AT227" s="3"/>
      <c r="AU227" s="3"/>
      <c r="AV227" s="3"/>
      <c r="AW227" s="3"/>
      <c r="AX227" s="3"/>
      <c r="AY227" s="3"/>
      <c r="BA227" s="3"/>
      <c r="BB227" s="143" t="s">
        <v>1104</v>
      </c>
      <c r="BG227" s="177">
        <f>IF(AND(AND($M$249="for profit",$M$257="nonprofit",$M$265="for profit")),2,0)</f>
        <v>0</v>
      </c>
      <c r="BQ227" s="3"/>
    </row>
    <row r="228" spans="1:69" ht="12.95" customHeight="1">
      <c r="B228" s="3"/>
      <c r="D228" s="3" t="s">
        <v>1106</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1234" t="s">
        <v>299</v>
      </c>
      <c r="AJ228" s="1234"/>
      <c r="AL228" s="3"/>
      <c r="AM228" s="3"/>
      <c r="AN228" s="3"/>
      <c r="AO228" s="3"/>
      <c r="AP228" s="3"/>
      <c r="AQ228" s="3"/>
      <c r="AR228" s="3"/>
      <c r="AS228" s="3"/>
      <c r="AT228" s="3"/>
      <c r="AU228" s="3"/>
      <c r="AV228" s="3"/>
      <c r="AW228" s="3"/>
      <c r="AX228" s="3"/>
      <c r="AY228" s="3"/>
      <c r="AZ228" s="3"/>
      <c r="BA228" s="3"/>
      <c r="BB228" s="143" t="s">
        <v>1104</v>
      </c>
      <c r="BG228" s="177">
        <f>IF(AND(AND($M$249="nonprofit",$M$257="for profit",$M$265="for profit")),2,0)</f>
        <v>0</v>
      </c>
      <c r="BQ228" s="3"/>
    </row>
    <row r="229" spans="1:69" ht="12.95" customHeight="1">
      <c r="B229" s="3"/>
      <c r="D229" s="3" t="s">
        <v>1107</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1234" t="s">
        <v>299</v>
      </c>
      <c r="AJ229" s="1234"/>
      <c r="AL229" s="3"/>
      <c r="AM229" s="3"/>
      <c r="AN229" s="3"/>
      <c r="AO229" s="3"/>
      <c r="AP229" s="3"/>
      <c r="AQ229" s="3"/>
      <c r="AR229" s="3"/>
      <c r="AS229" s="3"/>
      <c r="AT229" s="3"/>
      <c r="AU229" s="3"/>
      <c r="AV229" s="3"/>
      <c r="AW229" s="3"/>
      <c r="AX229" s="3"/>
      <c r="AY229" s="3"/>
      <c r="BA229" s="3"/>
      <c r="BB229" s="143" t="s">
        <v>1104</v>
      </c>
      <c r="BG229" s="177">
        <f>IF(AND(AND($M$249="for profit",$M$257="nonprofit",$M$265="(select one)")),2,0)</f>
        <v>0</v>
      </c>
      <c r="BO229" s="3"/>
    </row>
    <row r="230" spans="1:69" ht="12.95" customHeight="1">
      <c r="B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L230" s="3"/>
      <c r="AM230" s="3"/>
      <c r="AN230" s="3"/>
      <c r="AO230" s="3"/>
      <c r="AP230" s="3"/>
      <c r="AQ230" s="3"/>
      <c r="AR230" s="3"/>
      <c r="AS230" s="3"/>
      <c r="AT230" s="3"/>
      <c r="AU230" s="3"/>
      <c r="AV230" s="3"/>
      <c r="AW230" s="3"/>
      <c r="AX230" s="3"/>
      <c r="AY230" s="3"/>
      <c r="BA230" s="3"/>
      <c r="BB230" s="143" t="s">
        <v>1104</v>
      </c>
      <c r="BG230" s="176">
        <f>IF(AND(AND($M$249="nonprofit",$M$257="for profit",$M$265="(select one)")),2,0)</f>
        <v>2</v>
      </c>
      <c r="BO230" s="3"/>
    </row>
    <row r="231" spans="1:69" ht="12.95" customHeight="1">
      <c r="A231" s="2" t="s">
        <v>962</v>
      </c>
      <c r="B231" s="3"/>
      <c r="C231" s="2" t="s">
        <v>1108</v>
      </c>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L231" s="3"/>
      <c r="AM231" s="3"/>
      <c r="AN231" s="3"/>
      <c r="AO231" s="3"/>
      <c r="AP231" s="3"/>
      <c r="AQ231" s="3"/>
      <c r="AR231" s="3"/>
      <c r="AS231" s="3"/>
      <c r="AT231" s="3"/>
      <c r="BA231" s="3"/>
      <c r="BB231" s="143"/>
      <c r="BG231" s="143"/>
      <c r="BQ231" s="3"/>
    </row>
    <row r="232" spans="1:69" ht="12.95" customHeight="1">
      <c r="D232" s="3" t="s">
        <v>1109</v>
      </c>
      <c r="E232" s="3"/>
      <c r="F232" s="3"/>
      <c r="G232" s="3"/>
      <c r="H232" s="3"/>
      <c r="I232" s="3"/>
      <c r="J232" s="3"/>
      <c r="K232" s="3"/>
      <c r="M232" s="1534" t="str">
        <f>H16</f>
        <v>The Grant at Mssion Trails LP</v>
      </c>
      <c r="N232" s="1534"/>
      <c r="O232" s="1534"/>
      <c r="P232" s="1534"/>
      <c r="Q232" s="1534"/>
      <c r="R232" s="1534"/>
      <c r="S232" s="1534"/>
      <c r="T232" s="1534"/>
      <c r="U232" s="1534"/>
      <c r="V232" s="1534"/>
      <c r="W232" s="1534"/>
      <c r="X232" s="1534"/>
      <c r="Y232" s="1534"/>
      <c r="Z232" s="1534"/>
      <c r="AA232" s="1534"/>
      <c r="AB232" s="1534"/>
      <c r="AC232" s="1534"/>
      <c r="AD232" s="1534"/>
      <c r="AE232" s="1534"/>
      <c r="AF232" s="1534"/>
      <c r="AG232" s="1534"/>
      <c r="AH232" s="1534"/>
      <c r="AI232" s="1534"/>
      <c r="AJ232" s="1534"/>
      <c r="AK232" s="1534"/>
      <c r="AZ232" s="3"/>
      <c r="BA232" s="3"/>
      <c r="BB232" s="144" t="s">
        <v>1104</v>
      </c>
      <c r="BG232" s="177">
        <f>IF(AND(AND($M$249="nonprofit",$M$257="nonprofit",$M$265="for profit")),2,0)</f>
        <v>0</v>
      </c>
      <c r="BQ232" s="3"/>
    </row>
    <row r="233" spans="1:69" ht="12.95" customHeight="1">
      <c r="D233" s="3" t="s">
        <v>1110</v>
      </c>
      <c r="E233" s="3"/>
      <c r="F233" s="3"/>
      <c r="G233" s="3"/>
      <c r="H233" s="3"/>
      <c r="I233" s="3"/>
      <c r="J233" s="3"/>
      <c r="K233" s="3"/>
      <c r="M233" s="1317" t="s">
        <v>1111</v>
      </c>
      <c r="N233" s="1317"/>
      <c r="O233" s="1317"/>
      <c r="P233" s="1317"/>
      <c r="Q233" s="1317"/>
      <c r="R233" s="1317"/>
      <c r="S233" s="1317"/>
      <c r="T233" s="1317"/>
      <c r="U233" s="1317"/>
      <c r="V233" s="1317"/>
      <c r="W233" s="1317"/>
      <c r="X233" s="1317"/>
      <c r="Y233" s="1317"/>
      <c r="Z233" s="1317"/>
      <c r="AA233" s="1317"/>
      <c r="AB233" s="1317"/>
      <c r="AC233" s="1317"/>
      <c r="AD233" s="1317"/>
      <c r="AE233" s="1317"/>
      <c r="BB233" s="144" t="s">
        <v>1104</v>
      </c>
      <c r="BG233" s="177">
        <f>IF(AND(AND($M$249="nonprofit",$M$257="for profit",$M$265="nonprofit")),2,0)</f>
        <v>0</v>
      </c>
    </row>
    <row r="234" spans="1:69" ht="12.95" customHeight="1">
      <c r="D234" s="3" t="s">
        <v>981</v>
      </c>
      <c r="E234" s="3"/>
      <c r="M234" s="1317" t="s">
        <v>1112</v>
      </c>
      <c r="N234" s="1317"/>
      <c r="O234" s="1317"/>
      <c r="P234" s="1317"/>
      <c r="Q234" s="1317"/>
      <c r="R234" s="1317"/>
      <c r="S234" s="1317"/>
      <c r="T234" s="1317"/>
      <c r="V234" s="949" t="s">
        <v>1113</v>
      </c>
      <c r="W234" s="1309" t="s">
        <v>1114</v>
      </c>
      <c r="X234" s="1309"/>
      <c r="Y234" s="3" t="s">
        <v>985</v>
      </c>
      <c r="AC234" s="1317">
        <v>10168</v>
      </c>
      <c r="AD234" s="1317"/>
      <c r="AE234" s="1317"/>
      <c r="AU234" s="3"/>
      <c r="AV234" s="3"/>
      <c r="AW234" s="3"/>
      <c r="AX234" s="3"/>
      <c r="AY234" s="3"/>
      <c r="AZ234" s="3"/>
      <c r="BB234" s="144" t="s">
        <v>1104</v>
      </c>
      <c r="BG234" s="176">
        <f>IF(AND(AND($M$249="for profit",$M$257="nonprofit",$M$265="nonprofit")),2,0)</f>
        <v>0</v>
      </c>
      <c r="BO234" s="3"/>
    </row>
    <row r="235" spans="1:69" ht="12.95" customHeight="1">
      <c r="D235" s="3" t="s">
        <v>1115</v>
      </c>
      <c r="E235" s="3"/>
      <c r="F235" s="3"/>
      <c r="G235" s="3"/>
      <c r="H235" s="3"/>
      <c r="I235" s="3"/>
      <c r="J235" s="3"/>
      <c r="K235" s="2405"/>
      <c r="M235" s="1317" t="s">
        <v>1116</v>
      </c>
      <c r="N235" s="1317"/>
      <c r="O235" s="1317"/>
      <c r="P235" s="1317"/>
      <c r="Q235" s="1317"/>
      <c r="R235" s="1317"/>
      <c r="S235" s="1317"/>
      <c r="T235" s="1317"/>
      <c r="U235" s="1317"/>
      <c r="V235" s="1317"/>
      <c r="W235" s="1317"/>
      <c r="X235" s="1317"/>
      <c r="Y235" s="1317"/>
      <c r="Z235" s="1317"/>
      <c r="AA235" s="1317"/>
      <c r="AB235" s="1317"/>
      <c r="AC235" s="1317"/>
      <c r="AD235" s="1317"/>
      <c r="AE235" s="1317"/>
      <c r="AI235" s="3"/>
      <c r="AJ235" s="3"/>
      <c r="AK235" s="3"/>
      <c r="AL235" s="3"/>
      <c r="AM235" s="3"/>
      <c r="AN235" s="3"/>
      <c r="AO235" s="3"/>
      <c r="AP235" s="3"/>
      <c r="AQ235" s="3"/>
      <c r="AR235" s="3"/>
      <c r="AS235" s="3"/>
      <c r="AT235" s="3"/>
      <c r="BB235" s="144"/>
      <c r="BG235" s="143"/>
    </row>
    <row r="236" spans="1:69" ht="12.95" customHeight="1">
      <c r="D236" s="3" t="s">
        <v>1117</v>
      </c>
      <c r="E236" s="3"/>
      <c r="F236" s="3"/>
      <c r="M236" s="1348" t="s">
        <v>1118</v>
      </c>
      <c r="N236" s="1348"/>
      <c r="O236" s="1348"/>
      <c r="P236" s="1348"/>
      <c r="Q236" s="1348"/>
      <c r="R236" s="1348"/>
      <c r="S236" s="3" t="s">
        <v>1119</v>
      </c>
      <c r="T236" s="3"/>
      <c r="U236" s="1309"/>
      <c r="V236" s="1309"/>
      <c r="W236" s="1309"/>
      <c r="X236" s="3" t="s">
        <v>1120</v>
      </c>
      <c r="Z236" s="1348"/>
      <c r="AA236" s="1348"/>
      <c r="AB236" s="1348"/>
      <c r="AC236" s="1348"/>
      <c r="AD236" s="1348"/>
      <c r="AE236" s="1348"/>
      <c r="AU236" s="3"/>
      <c r="AV236" s="3"/>
      <c r="AW236" s="3"/>
      <c r="AX236" s="3"/>
      <c r="AY236" s="3"/>
      <c r="AZ236" s="3"/>
      <c r="BB236" s="143" t="s">
        <v>1121</v>
      </c>
      <c r="BG236" s="177">
        <f>IF(AND(AND($M$249="nonprofit",$M$257="nonprofit",$M$265="(select one)")),1,0)</f>
        <v>0</v>
      </c>
    </row>
    <row r="237" spans="1:69" ht="12.95" customHeight="1">
      <c r="D237" s="3" t="s">
        <v>1122</v>
      </c>
      <c r="E237" s="3"/>
      <c r="F237" s="3"/>
      <c r="M237" s="1339" t="s">
        <v>1123</v>
      </c>
      <c r="N237" s="1339"/>
      <c r="O237" s="1339"/>
      <c r="P237" s="1339"/>
      <c r="Q237" s="1339"/>
      <c r="R237" s="1339"/>
      <c r="S237" s="1339"/>
      <c r="T237" s="1339"/>
      <c r="U237" s="1339"/>
      <c r="V237" s="1339"/>
      <c r="W237" s="1339"/>
      <c r="X237" s="1339"/>
      <c r="Y237" s="1339"/>
      <c r="Z237" s="1339"/>
      <c r="AA237" s="1339"/>
      <c r="AB237" s="1339"/>
      <c r="AC237" s="1339"/>
      <c r="AD237" s="1339"/>
      <c r="AE237" s="1339"/>
      <c r="AF237" s="3"/>
      <c r="AG237" s="3"/>
      <c r="AH237" s="3"/>
      <c r="AI237" s="3"/>
      <c r="AJ237" s="3"/>
      <c r="AK237" s="3"/>
      <c r="AL237" s="3"/>
      <c r="AM237" s="3"/>
      <c r="AN237" s="3"/>
      <c r="AO237" s="3"/>
      <c r="AP237" s="3"/>
      <c r="AQ237" s="3"/>
      <c r="AR237" s="3"/>
      <c r="AS237" s="3"/>
      <c r="AT237" s="3"/>
      <c r="AU237" s="3"/>
      <c r="AV237" s="3"/>
      <c r="AW237" s="3"/>
      <c r="AX237" s="3"/>
      <c r="AY237" s="3"/>
      <c r="BB237" s="143" t="s">
        <v>1121</v>
      </c>
      <c r="BG237" s="177">
        <f>IF(AND(AND($M$249="nonprofit",$M$257="nonprofit",$M$265="nonprofit")),1,0)</f>
        <v>0</v>
      </c>
    </row>
    <row r="238" spans="1:69" ht="12.95" customHeight="1">
      <c r="A238" s="2" t="s">
        <v>1039</v>
      </c>
      <c r="C238" s="2" t="s">
        <v>1124</v>
      </c>
      <c r="M238" s="1292" t="s">
        <v>1093</v>
      </c>
      <c r="N238" s="1292"/>
      <c r="O238" s="1292"/>
      <c r="P238" s="1292"/>
      <c r="Q238" s="1292"/>
      <c r="R238" s="1292"/>
      <c r="S238" s="1292"/>
      <c r="T238" s="1292"/>
      <c r="U238" s="143" t="s">
        <v>1125</v>
      </c>
      <c r="V238" s="143"/>
      <c r="W238" s="143"/>
      <c r="X238" s="143"/>
      <c r="Y238" s="143"/>
      <c r="Z238" s="143"/>
      <c r="AA238" s="1342"/>
      <c r="AB238" s="1343"/>
      <c r="AC238" s="1343"/>
      <c r="AD238" s="1343"/>
      <c r="AE238" s="1343"/>
      <c r="AF238" s="1343"/>
      <c r="AG238" s="1343"/>
      <c r="AH238" s="1343"/>
      <c r="AI238" s="1343"/>
      <c r="AJ238" s="1343"/>
      <c r="AK238" s="1343"/>
      <c r="AL238" s="3"/>
      <c r="AM238" s="3"/>
      <c r="AN238" s="3"/>
      <c r="AO238" s="3"/>
      <c r="AP238" s="3"/>
      <c r="AQ238" s="3"/>
      <c r="AR238" s="3"/>
      <c r="AS238" s="3"/>
      <c r="AT238" s="3"/>
      <c r="AU238" s="3"/>
      <c r="AV238" s="3"/>
      <c r="AW238" s="3"/>
      <c r="AX238" s="3"/>
      <c r="AY238" s="3"/>
      <c r="BB238" s="143" t="s">
        <v>1121</v>
      </c>
      <c r="BG238" s="177">
        <f>IF(AND(AND($M$249="nonprofit",$M$257="(select one)",$M$265="(select one)")),1,0)</f>
        <v>0</v>
      </c>
      <c r="BN238" s="3"/>
    </row>
    <row r="239" spans="1:69" ht="12.95" customHeight="1">
      <c r="D239" t="s">
        <v>1126</v>
      </c>
      <c r="M239" s="1232"/>
      <c r="N239" s="1232"/>
      <c r="O239" s="1232"/>
      <c r="P239" s="1232"/>
      <c r="Q239" s="1232"/>
      <c r="R239" s="1232"/>
      <c r="S239" s="1232"/>
      <c r="T239" s="1232"/>
      <c r="U239" s="1232"/>
      <c r="V239" s="1232"/>
      <c r="W239" s="1232"/>
      <c r="X239" s="1232"/>
      <c r="Y239" s="1232"/>
      <c r="Z239" s="1232"/>
      <c r="AA239" s="1232"/>
      <c r="AB239" s="1232"/>
      <c r="AC239" s="1232"/>
      <c r="AD239" s="1232"/>
      <c r="AE239" s="1232"/>
      <c r="AF239" s="3"/>
      <c r="AG239" s="3"/>
      <c r="AH239" s="3"/>
      <c r="AI239" s="3"/>
      <c r="AJ239" s="3"/>
      <c r="AK239" s="3"/>
      <c r="AL239" s="3"/>
      <c r="AM239" s="3"/>
      <c r="AN239" s="3"/>
      <c r="AO239" s="3"/>
      <c r="AP239" s="3"/>
      <c r="AQ239" s="3"/>
      <c r="AR239" s="3"/>
      <c r="AS239" s="3"/>
      <c r="AT239" s="3"/>
      <c r="BB239" s="143" t="s">
        <v>1127</v>
      </c>
      <c r="BG239" s="177">
        <f>IF(AND(AND($M$249="for profit",$M$257="for profit",$M$265="(select one)")),3,0)</f>
        <v>0</v>
      </c>
    </row>
    <row r="240" spans="1:69" ht="12.95" customHeight="1">
      <c r="D240" s="3"/>
      <c r="BB240" s="143" t="s">
        <v>1127</v>
      </c>
      <c r="BG240" s="177">
        <f>IF(AND(AND($M$249="for profit",$M$257="for profit",$M$265="for profit")),3,0)</f>
        <v>0</v>
      </c>
    </row>
    <row r="241" spans="1:71" ht="12.95" customHeight="1">
      <c r="A241" s="2" t="s">
        <v>1057</v>
      </c>
      <c r="C241" s="2" t="s">
        <v>1128</v>
      </c>
      <c r="D241" s="3"/>
      <c r="L241" s="8"/>
      <c r="M241" s="8"/>
      <c r="N241" s="8"/>
      <c r="AU241" s="3"/>
      <c r="AV241" s="3"/>
      <c r="AW241" s="3"/>
      <c r="AX241" s="3"/>
      <c r="AY241" s="3"/>
      <c r="BB241" s="143" t="s">
        <v>1127</v>
      </c>
      <c r="BG241" s="177">
        <f>IF(AND(AND($M$249="for profit",$M$257="(select one)",$M$265="(select one)")),3,0)</f>
        <v>0</v>
      </c>
    </row>
    <row r="242" spans="1:71" ht="12.95" customHeight="1">
      <c r="D242" s="3"/>
      <c r="L242" s="8"/>
      <c r="M242" s="8"/>
      <c r="N242" s="8"/>
      <c r="O242" s="8"/>
      <c r="P242" s="8"/>
      <c r="Q242" s="8"/>
      <c r="R242" s="8"/>
      <c r="S242" s="8"/>
      <c r="T242" s="8"/>
      <c r="U242" s="8"/>
      <c r="V242" s="8"/>
      <c r="W242" s="8"/>
      <c r="X242" s="8"/>
      <c r="Y242" s="8"/>
      <c r="Z242" s="8"/>
      <c r="AA242" s="8"/>
      <c r="AB242" s="8"/>
      <c r="AC242" s="8"/>
      <c r="AD242" s="8"/>
      <c r="AE242" s="3"/>
      <c r="AF242" s="3"/>
      <c r="AG242" s="3"/>
      <c r="AH242" s="3"/>
      <c r="AI242" s="3"/>
      <c r="AJ242" s="3"/>
      <c r="AK242" s="3"/>
      <c r="AL242" s="3"/>
      <c r="AM242" s="3"/>
      <c r="AN242" s="3"/>
      <c r="AO242" s="3"/>
      <c r="AP242" s="3"/>
      <c r="AQ242" s="3"/>
      <c r="AR242" s="3"/>
      <c r="AS242" s="3"/>
      <c r="AT242" s="3"/>
      <c r="BO242" s="3"/>
      <c r="BP242" s="3"/>
      <c r="BQ242" s="3"/>
      <c r="BR242" s="3"/>
      <c r="BS242" s="3"/>
    </row>
    <row r="243" spans="1:71" ht="12.95" customHeight="1">
      <c r="A243" s="2405"/>
      <c r="B243" s="3"/>
      <c r="C243" s="49" t="s">
        <v>1129</v>
      </c>
      <c r="D243" s="3" t="s">
        <v>1130</v>
      </c>
      <c r="E243" s="3"/>
      <c r="F243" s="3"/>
      <c r="G243" s="3"/>
      <c r="H243" s="3"/>
      <c r="I243" s="3"/>
      <c r="J243" s="3"/>
      <c r="K243" s="3"/>
      <c r="L243" s="3"/>
      <c r="M243" s="1344" t="s">
        <v>1131</v>
      </c>
      <c r="N243" s="1344"/>
      <c r="O243" s="1344"/>
      <c r="P243" s="1344"/>
      <c r="Q243" s="1344"/>
      <c r="R243" s="1344"/>
      <c r="S243" s="1344"/>
      <c r="T243" s="1344"/>
      <c r="U243" s="1344"/>
      <c r="V243" s="1344"/>
      <c r="W243" s="1344"/>
      <c r="X243" s="1344"/>
      <c r="Y243" s="1344"/>
      <c r="Z243" s="1344"/>
      <c r="AA243" s="1344"/>
      <c r="AB243" s="1344"/>
      <c r="AC243" s="1344"/>
      <c r="AD243" s="1344"/>
      <c r="AE243" s="1344"/>
      <c r="AF243" s="1344" t="s">
        <v>1132</v>
      </c>
      <c r="AG243" s="1344"/>
      <c r="AH243" s="1344"/>
      <c r="AI243" s="1344"/>
      <c r="AJ243" s="1344"/>
      <c r="AK243" s="1344"/>
      <c r="AU243" s="3"/>
      <c r="AV243" s="3"/>
      <c r="AW243" s="3"/>
      <c r="AX243" s="3"/>
      <c r="AY243" s="3"/>
      <c r="BG243">
        <f>SUM(BG226:BG241)</f>
        <v>2</v>
      </c>
    </row>
    <row r="244" spans="1:71" ht="12.95" customHeight="1">
      <c r="A244" s="2405"/>
      <c r="B244" s="3"/>
      <c r="C244" s="3"/>
      <c r="D244" s="3" t="s">
        <v>1110</v>
      </c>
      <c r="E244" s="3"/>
      <c r="F244" s="3"/>
      <c r="G244" s="3"/>
      <c r="H244" s="3"/>
      <c r="I244" s="3"/>
      <c r="J244" s="3"/>
      <c r="K244" s="3"/>
      <c r="L244" s="3"/>
      <c r="M244" s="1317" t="str">
        <f>M233</f>
        <v>122 East 42nd ST Suite 1903</v>
      </c>
      <c r="N244" s="1317"/>
      <c r="O244" s="1317"/>
      <c r="P244" s="1317"/>
      <c r="Q244" s="1317"/>
      <c r="R244" s="1317"/>
      <c r="S244" s="1317"/>
      <c r="T244" s="1317"/>
      <c r="U244" s="1317"/>
      <c r="V244" s="1317"/>
      <c r="W244" s="1317"/>
      <c r="X244" s="1317"/>
      <c r="Y244" s="1317"/>
      <c r="Z244" s="1317"/>
      <c r="AA244" s="1317"/>
      <c r="AB244" s="1317"/>
      <c r="AC244" s="1317"/>
      <c r="AD244" s="1317"/>
      <c r="AE244" s="1317"/>
      <c r="AF244" s="3" t="s">
        <v>1133</v>
      </c>
      <c r="AL244" s="3"/>
      <c r="AM244" s="3"/>
      <c r="AN244" s="3"/>
      <c r="AO244" s="3"/>
      <c r="AP244" s="3"/>
      <c r="AQ244" s="3"/>
      <c r="AR244" s="3"/>
      <c r="AS244" s="3"/>
      <c r="AT244" s="3"/>
      <c r="BB244" t="s">
        <v>294</v>
      </c>
      <c r="BG244">
        <v>1</v>
      </c>
      <c r="BH244" t="s">
        <v>1134</v>
      </c>
    </row>
    <row r="245" spans="1:71" ht="12.95" customHeight="1">
      <c r="A245" s="2405"/>
      <c r="B245" s="3"/>
      <c r="C245" s="3"/>
      <c r="D245" s="3" t="s">
        <v>981</v>
      </c>
      <c r="E245" s="3"/>
      <c r="M245" s="1317" t="str">
        <f>M234</f>
        <v>New York</v>
      </c>
      <c r="N245" s="1317"/>
      <c r="O245" s="1317"/>
      <c r="P245" s="1317"/>
      <c r="Q245" s="1317"/>
      <c r="R245" s="1317"/>
      <c r="S245" s="1317"/>
      <c r="T245" s="1317"/>
      <c r="V245" s="949" t="s">
        <v>1113</v>
      </c>
      <c r="W245" s="1309" t="s">
        <v>1135</v>
      </c>
      <c r="X245" s="1309"/>
      <c r="Y245" s="3" t="s">
        <v>985</v>
      </c>
      <c r="AC245" s="1317">
        <v>92127</v>
      </c>
      <c r="AD245" s="1317"/>
      <c r="AE245" s="1317"/>
      <c r="AF245" s="3" t="s">
        <v>1136</v>
      </c>
      <c r="AU245" s="3"/>
      <c r="AV245" s="3"/>
      <c r="AW245" s="3"/>
      <c r="AX245" s="3"/>
      <c r="AY245" s="3"/>
      <c r="BB245" s="3" t="s">
        <v>1137</v>
      </c>
      <c r="BG245">
        <v>2</v>
      </c>
      <c r="BH245" t="s">
        <v>1091</v>
      </c>
      <c r="BO245" s="2412" t="str">
        <f>VLOOKUP(BG243,BG244:BH247,2,FALSE)</f>
        <v>Joint Venture</v>
      </c>
    </row>
    <row r="246" spans="1:71" ht="12.95" customHeight="1">
      <c r="A246" s="2405"/>
      <c r="B246" s="3"/>
      <c r="C246" s="3"/>
      <c r="D246" s="3" t="s">
        <v>1115</v>
      </c>
      <c r="E246" s="3"/>
      <c r="F246" s="3"/>
      <c r="G246" s="3"/>
      <c r="H246" s="3"/>
      <c r="I246" s="3"/>
      <c r="J246" s="3"/>
      <c r="K246" s="3"/>
      <c r="L246" s="2405"/>
      <c r="M246" s="1317" t="str">
        <f>M235</f>
        <v>Paul Salib</v>
      </c>
      <c r="N246" s="1317"/>
      <c r="O246" s="1317"/>
      <c r="P246" s="1317"/>
      <c r="Q246" s="1317"/>
      <c r="R246" s="1317"/>
      <c r="S246" s="1317"/>
      <c r="T246" s="1317"/>
      <c r="U246" s="1317"/>
      <c r="V246" s="1317"/>
      <c r="W246" s="1317"/>
      <c r="X246" s="1317"/>
      <c r="Y246" s="1317"/>
      <c r="Z246" s="1317"/>
      <c r="AA246" s="1317"/>
      <c r="AB246" s="1317"/>
      <c r="AC246" s="1317"/>
      <c r="AD246" s="1317"/>
      <c r="AE246" s="1317"/>
      <c r="AH246" s="1312">
        <v>5.1000000000000004E-4</v>
      </c>
      <c r="AI246" s="1313"/>
      <c r="AJ246" s="1313"/>
      <c r="AK246" s="1313"/>
      <c r="AL246" s="3"/>
      <c r="AM246" s="3"/>
      <c r="AN246" s="3"/>
      <c r="AO246" s="3"/>
      <c r="AP246" s="3"/>
      <c r="AQ246" s="3"/>
      <c r="AR246" s="3"/>
      <c r="AS246" s="3"/>
      <c r="AT246" s="3"/>
      <c r="BB246" s="3" t="s">
        <v>1138</v>
      </c>
      <c r="BG246">
        <v>3</v>
      </c>
      <c r="BH246" t="s">
        <v>1139</v>
      </c>
      <c r="BN246" s="3"/>
    </row>
    <row r="247" spans="1:71" ht="12.95" customHeight="1">
      <c r="A247" s="2405"/>
      <c r="B247" s="3"/>
      <c r="C247" s="3"/>
      <c r="D247" s="3" t="s">
        <v>1117</v>
      </c>
      <c r="E247" s="3"/>
      <c r="F247" s="3"/>
      <c r="M247" s="1348" t="str">
        <f>M236</f>
        <v>212-776-1619</v>
      </c>
      <c r="N247" s="1348"/>
      <c r="O247" s="1348"/>
      <c r="P247" s="1348"/>
      <c r="Q247" s="1348"/>
      <c r="R247" s="1348"/>
      <c r="S247" s="3" t="s">
        <v>1119</v>
      </c>
      <c r="T247" s="3"/>
      <c r="U247" s="1309"/>
      <c r="V247" s="1309"/>
      <c r="W247" s="1309"/>
      <c r="X247" s="3" t="s">
        <v>1120</v>
      </c>
      <c r="Z247" s="1348"/>
      <c r="AA247" s="1348"/>
      <c r="AB247" s="1348"/>
      <c r="AC247" s="1348"/>
      <c r="AD247" s="1348"/>
      <c r="AE247" s="1348"/>
      <c r="AU247" s="3"/>
      <c r="AV247" s="3"/>
      <c r="AW247" s="3"/>
      <c r="AX247" s="3"/>
      <c r="AY247" s="3"/>
      <c r="BG247">
        <v>0</v>
      </c>
      <c r="BH247" s="3"/>
      <c r="BN247" s="3"/>
    </row>
    <row r="248" spans="1:71" ht="12.95" customHeight="1">
      <c r="A248" s="2405"/>
      <c r="B248" s="3"/>
      <c r="C248" s="3"/>
      <c r="D248" s="3" t="s">
        <v>1122</v>
      </c>
      <c r="E248" s="3"/>
      <c r="F248" s="3"/>
      <c r="M248" s="1339" t="str">
        <f>M237</f>
        <v>psalib@crpaffordable.com</v>
      </c>
      <c r="N248" s="1339"/>
      <c r="O248" s="1339"/>
      <c r="P248" s="1339"/>
      <c r="Q248" s="1339"/>
      <c r="R248" s="1339"/>
      <c r="S248" s="1339"/>
      <c r="T248" s="1339"/>
      <c r="U248" s="1339"/>
      <c r="V248" s="1339"/>
      <c r="W248" s="1339"/>
      <c r="X248" s="1339"/>
      <c r="Y248" s="1339"/>
      <c r="Z248" s="1339"/>
      <c r="AA248" s="1339"/>
      <c r="AB248" s="1339"/>
      <c r="AC248" s="1339"/>
      <c r="AD248" s="1339"/>
      <c r="AE248" s="1339"/>
      <c r="AG248" s="3"/>
      <c r="AH248" s="3"/>
      <c r="AI248" s="3"/>
      <c r="AJ248" s="3"/>
      <c r="AK248" s="3"/>
      <c r="AL248" s="3"/>
      <c r="AM248" s="3"/>
      <c r="AN248" s="3"/>
      <c r="AO248" s="3"/>
      <c r="AP248" s="3"/>
      <c r="AQ248" s="3"/>
      <c r="AR248" s="3"/>
      <c r="AS248" s="3"/>
      <c r="AT248" s="3"/>
      <c r="BN248" s="3"/>
    </row>
    <row r="249" spans="1:71" ht="12.95" customHeight="1">
      <c r="A249" s="13"/>
      <c r="B249" s="3"/>
      <c r="C249" s="49"/>
      <c r="D249" s="3" t="s">
        <v>1140</v>
      </c>
      <c r="E249" s="3"/>
      <c r="F249" s="3"/>
      <c r="G249" s="3"/>
      <c r="H249" s="3"/>
      <c r="I249" s="3"/>
      <c r="J249" s="3"/>
      <c r="K249" s="3"/>
      <c r="L249" s="3"/>
      <c r="M249" s="1292" t="s">
        <v>1134</v>
      </c>
      <c r="N249" s="1292"/>
      <c r="O249" s="1292"/>
      <c r="P249" s="1292"/>
      <c r="Q249" s="1292"/>
      <c r="R249" s="1292"/>
      <c r="S249" s="1292"/>
      <c r="T249" s="1292"/>
      <c r="U249" s="143" t="s">
        <v>1125</v>
      </c>
      <c r="V249" s="143"/>
      <c r="W249" s="143"/>
      <c r="X249" s="143"/>
      <c r="Y249" s="143"/>
      <c r="Z249" s="143"/>
      <c r="AA249" s="1342" t="s">
        <v>1141</v>
      </c>
      <c r="AB249" s="1343"/>
      <c r="AC249" s="1343"/>
      <c r="AD249" s="1343"/>
      <c r="AE249" s="1343"/>
      <c r="AF249" s="1343"/>
      <c r="AG249" s="1343"/>
      <c r="AH249" s="1343"/>
      <c r="AI249" s="1343"/>
      <c r="AJ249" s="1343"/>
      <c r="AK249" s="1343"/>
      <c r="BN249" s="3"/>
    </row>
    <row r="250" spans="1:71" ht="12.95" customHeight="1">
      <c r="A250" s="2405"/>
      <c r="B250" s="3"/>
      <c r="C250" s="3"/>
      <c r="D250" s="3"/>
      <c r="E250" s="3"/>
      <c r="F250" s="3"/>
      <c r="G250" s="3"/>
      <c r="H250" s="3"/>
      <c r="I250" s="3"/>
      <c r="J250" s="3"/>
      <c r="K250" s="3"/>
      <c r="L250" s="3"/>
      <c r="AG250" s="3"/>
      <c r="AH250" s="3"/>
      <c r="AI250" s="3"/>
      <c r="AJ250" s="3"/>
      <c r="BN250" s="3"/>
    </row>
    <row r="251" spans="1:71" ht="12.95" customHeight="1">
      <c r="A251" s="2"/>
      <c r="B251" s="3"/>
      <c r="C251" s="49" t="s">
        <v>1142</v>
      </c>
      <c r="D251" s="3" t="s">
        <v>1143</v>
      </c>
      <c r="E251" s="3"/>
      <c r="F251" s="3"/>
      <c r="G251" s="3"/>
      <c r="H251" s="3"/>
      <c r="I251" s="3"/>
      <c r="J251" s="3"/>
      <c r="K251" s="3"/>
      <c r="L251" s="3"/>
      <c r="M251" s="1344" t="s">
        <v>1144</v>
      </c>
      <c r="N251" s="1344"/>
      <c r="O251" s="1344"/>
      <c r="P251" s="1344"/>
      <c r="Q251" s="1344"/>
      <c r="R251" s="1344"/>
      <c r="S251" s="1344"/>
      <c r="T251" s="1344"/>
      <c r="U251" s="1344"/>
      <c r="V251" s="1344"/>
      <c r="W251" s="1344"/>
      <c r="X251" s="1344"/>
      <c r="Y251" s="1344"/>
      <c r="Z251" s="1344"/>
      <c r="AA251" s="1344"/>
      <c r="AB251" s="1344"/>
      <c r="AC251" s="1344"/>
      <c r="AD251" s="1344"/>
      <c r="AE251" s="1344"/>
      <c r="AF251" s="1344" t="s">
        <v>1145</v>
      </c>
      <c r="AG251" s="1344"/>
      <c r="AH251" s="1344"/>
      <c r="AI251" s="1344"/>
      <c r="AJ251" s="1344"/>
      <c r="AK251" s="1344"/>
      <c r="AU251" s="3"/>
      <c r="AV251" s="3"/>
      <c r="AW251" s="3"/>
      <c r="AX251" s="3"/>
      <c r="AY251" s="3"/>
      <c r="BN251" s="3"/>
    </row>
    <row r="252" spans="1:71" ht="12.95" customHeight="1">
      <c r="A252" s="2405"/>
      <c r="B252" s="3"/>
      <c r="C252" s="3"/>
      <c r="D252" s="3" t="s">
        <v>1110</v>
      </c>
      <c r="E252" s="3"/>
      <c r="F252" s="3"/>
      <c r="G252" s="3"/>
      <c r="H252" s="3"/>
      <c r="I252" s="3"/>
      <c r="J252" s="3"/>
      <c r="K252" s="3"/>
      <c r="L252" s="3"/>
      <c r="M252" s="1317" t="s">
        <v>1146</v>
      </c>
      <c r="N252" s="1317"/>
      <c r="O252" s="1317"/>
      <c r="P252" s="1317"/>
      <c r="Q252" s="1317"/>
      <c r="R252" s="1317"/>
      <c r="S252" s="1317"/>
      <c r="T252" s="1317"/>
      <c r="U252" s="1317"/>
      <c r="V252" s="1317"/>
      <c r="W252" s="1317"/>
      <c r="X252" s="1317"/>
      <c r="Y252" s="1317"/>
      <c r="Z252" s="1317"/>
      <c r="AA252" s="1317"/>
      <c r="AB252" s="1317"/>
      <c r="AC252" s="1317"/>
      <c r="AD252" s="1317"/>
      <c r="AE252" s="1317"/>
      <c r="AF252" s="3" t="s">
        <v>1133</v>
      </c>
      <c r="AL252" s="3"/>
      <c r="AM252" s="3"/>
      <c r="AN252" s="3"/>
      <c r="AO252" s="3"/>
      <c r="AP252" s="3"/>
      <c r="AQ252" s="3"/>
      <c r="AR252" s="3"/>
      <c r="AS252" s="3"/>
      <c r="AT252" s="3"/>
      <c r="BN252" s="3"/>
    </row>
    <row r="253" spans="1:71" ht="12.95" customHeight="1">
      <c r="A253" s="2405"/>
      <c r="B253" s="3"/>
      <c r="C253" s="3"/>
      <c r="D253" s="3" t="s">
        <v>981</v>
      </c>
      <c r="E253" s="3"/>
      <c r="M253" s="1317" t="s">
        <v>877</v>
      </c>
      <c r="N253" s="1317"/>
      <c r="O253" s="1317"/>
      <c r="P253" s="1317"/>
      <c r="Q253" s="1317"/>
      <c r="R253" s="1317"/>
      <c r="S253" s="1317"/>
      <c r="T253" s="1317"/>
      <c r="V253" s="949" t="s">
        <v>1113</v>
      </c>
      <c r="W253" s="1309" t="s">
        <v>1135</v>
      </c>
      <c r="X253" s="1309"/>
      <c r="Y253" s="3" t="s">
        <v>985</v>
      </c>
      <c r="AC253" s="1317">
        <v>92117</v>
      </c>
      <c r="AD253" s="1317"/>
      <c r="AE253" s="1317"/>
      <c r="AF253" s="3" t="s">
        <v>1136</v>
      </c>
      <c r="AU253" s="3"/>
      <c r="AV253" s="3"/>
      <c r="AW253" s="3"/>
      <c r="AX253" s="3"/>
      <c r="AY253" s="3"/>
      <c r="BN253" s="3"/>
    </row>
    <row r="254" spans="1:71" ht="12.95" customHeight="1">
      <c r="A254" s="2405"/>
      <c r="B254" s="3"/>
      <c r="C254" s="3"/>
      <c r="D254" s="3" t="s">
        <v>1115</v>
      </c>
      <c r="E254" s="3"/>
      <c r="F254" s="3"/>
      <c r="G254" s="3"/>
      <c r="H254" s="3"/>
      <c r="I254" s="3"/>
      <c r="J254" s="3"/>
      <c r="K254" s="3"/>
      <c r="L254" s="2405"/>
      <c r="M254" s="1317" t="s">
        <v>1147</v>
      </c>
      <c r="N254" s="1317"/>
      <c r="O254" s="1317"/>
      <c r="P254" s="1317"/>
      <c r="Q254" s="1317"/>
      <c r="R254" s="1317"/>
      <c r="S254" s="1317"/>
      <c r="T254" s="1317"/>
      <c r="U254" s="1317"/>
      <c r="V254" s="1317"/>
      <c r="W254" s="1317"/>
      <c r="X254" s="1317"/>
      <c r="Y254" s="1317"/>
      <c r="Z254" s="1317"/>
      <c r="AA254" s="1317"/>
      <c r="AB254" s="1317"/>
      <c r="AC254" s="1317"/>
      <c r="AD254" s="1317"/>
      <c r="AE254" s="1317"/>
      <c r="AH254" s="1313">
        <v>4.8999999999999998E-4</v>
      </c>
      <c r="AI254" s="1313"/>
      <c r="AJ254" s="1313"/>
      <c r="AK254" s="1313"/>
      <c r="AL254" s="3"/>
      <c r="AM254" s="3"/>
      <c r="AN254" s="3"/>
      <c r="AO254" s="3"/>
      <c r="AP254" s="3"/>
      <c r="AQ254" s="3"/>
      <c r="AR254" s="3"/>
      <c r="AS254" s="3"/>
      <c r="AT254" s="3"/>
    </row>
    <row r="255" spans="1:71" ht="12.95" customHeight="1">
      <c r="A255" s="2405"/>
      <c r="B255" s="3"/>
      <c r="C255" s="3"/>
      <c r="D255" s="3" t="s">
        <v>1117</v>
      </c>
      <c r="E255" s="3"/>
      <c r="F255" s="3"/>
      <c r="M255" s="1348" t="s">
        <v>1148</v>
      </c>
      <c r="N255" s="1348"/>
      <c r="O255" s="1348"/>
      <c r="P255" s="1348"/>
      <c r="Q255" s="1348"/>
      <c r="R255" s="1348"/>
      <c r="S255" s="3" t="s">
        <v>1119</v>
      </c>
      <c r="T255" s="3"/>
      <c r="U255" s="1309"/>
      <c r="V255" s="1309"/>
      <c r="W255" s="1309"/>
      <c r="X255" s="3" t="s">
        <v>1120</v>
      </c>
      <c r="Z255" s="1348"/>
      <c r="AA255" s="1348"/>
      <c r="AB255" s="1348"/>
      <c r="AC255" s="1348"/>
      <c r="AD255" s="1348"/>
      <c r="AE255" s="1348"/>
      <c r="AU255" s="3"/>
      <c r="AV255" s="3"/>
      <c r="AW255" s="3"/>
      <c r="AX255" s="3"/>
      <c r="AY255" s="3"/>
      <c r="BN255" s="3"/>
    </row>
    <row r="256" spans="1:71" ht="12.95" customHeight="1">
      <c r="A256" s="2405"/>
      <c r="B256" s="3"/>
      <c r="C256" s="3"/>
      <c r="D256" s="3" t="s">
        <v>1122</v>
      </c>
      <c r="E256" s="3"/>
      <c r="F256" s="3"/>
      <c r="M256" s="1339" t="s">
        <v>1149</v>
      </c>
      <c r="N256" s="1339"/>
      <c r="O256" s="1339"/>
      <c r="P256" s="1339"/>
      <c r="Q256" s="1339"/>
      <c r="R256" s="1339"/>
      <c r="S256" s="1339"/>
      <c r="T256" s="1339"/>
      <c r="U256" s="1339"/>
      <c r="V256" s="1339"/>
      <c r="W256" s="1339"/>
      <c r="X256" s="1339"/>
      <c r="Y256" s="1339"/>
      <c r="Z256" s="1339"/>
      <c r="AA256" s="1339"/>
      <c r="AB256" s="1339"/>
      <c r="AC256" s="1339"/>
      <c r="AD256" s="1339"/>
      <c r="AE256" s="1339"/>
      <c r="AG256" s="3"/>
      <c r="AH256" s="3"/>
      <c r="AI256" s="3"/>
      <c r="AJ256" s="3"/>
      <c r="AK256" s="3"/>
      <c r="AL256" s="3"/>
      <c r="AM256" s="3"/>
      <c r="AN256" s="3"/>
      <c r="AO256" s="3"/>
      <c r="AP256" s="3"/>
      <c r="AQ256" s="3"/>
      <c r="AR256" s="3"/>
      <c r="AS256" s="3"/>
      <c r="AT256" s="3"/>
      <c r="AU256" s="3"/>
      <c r="AV256" s="3"/>
      <c r="AW256" s="3"/>
      <c r="AX256" s="3"/>
      <c r="AY256" s="3"/>
      <c r="BN256" s="3"/>
    </row>
    <row r="257" spans="1:66" ht="12.95" customHeight="1">
      <c r="A257" s="13"/>
      <c r="B257" s="3"/>
      <c r="C257" s="49"/>
      <c r="D257" s="3" t="s">
        <v>1140</v>
      </c>
      <c r="E257" s="3"/>
      <c r="F257" s="3"/>
      <c r="G257" s="3"/>
      <c r="H257" s="3"/>
      <c r="I257" s="3"/>
      <c r="J257" s="3"/>
      <c r="K257" s="3"/>
      <c r="L257" s="3"/>
      <c r="M257" s="1292" t="s">
        <v>1139</v>
      </c>
      <c r="N257" s="1292"/>
      <c r="O257" s="1292"/>
      <c r="P257" s="1292"/>
      <c r="Q257" s="1292"/>
      <c r="R257" s="1292"/>
      <c r="S257" s="1292"/>
      <c r="T257" s="1292"/>
      <c r="U257" s="143" t="s">
        <v>1125</v>
      </c>
      <c r="V257" s="143"/>
      <c r="W257" s="143"/>
      <c r="X257" s="143"/>
      <c r="Y257" s="143"/>
      <c r="Z257" s="143"/>
      <c r="AA257" s="1343"/>
      <c r="AB257" s="1343"/>
      <c r="AC257" s="1343"/>
      <c r="AD257" s="1343"/>
      <c r="AE257" s="1343"/>
      <c r="AF257" s="1343"/>
      <c r="AG257" s="1343"/>
      <c r="AH257" s="1343"/>
      <c r="AI257" s="1343"/>
      <c r="AJ257" s="1343"/>
      <c r="AK257" s="1343"/>
      <c r="AL257" s="3"/>
      <c r="AM257" s="3"/>
      <c r="AN257" s="3"/>
      <c r="AO257" s="3"/>
      <c r="AP257" s="3"/>
      <c r="AQ257" s="3"/>
      <c r="AR257" s="3"/>
      <c r="AS257" s="3"/>
      <c r="AT257" s="3"/>
      <c r="AU257" s="3"/>
      <c r="AV257" s="3"/>
      <c r="AW257" s="3"/>
      <c r="AX257" s="3"/>
      <c r="AY257" s="3"/>
      <c r="BN257" s="3"/>
    </row>
    <row r="258" spans="1:66" ht="12.95" customHeight="1">
      <c r="A258" s="13"/>
      <c r="B258" s="3"/>
      <c r="C258" s="49"/>
      <c r="D258" s="3"/>
      <c r="E258" s="3"/>
      <c r="F258" s="3"/>
      <c r="G258" s="3"/>
      <c r="H258" s="3"/>
      <c r="I258" s="3"/>
      <c r="J258" s="3"/>
      <c r="K258" s="3"/>
      <c r="L258" s="3"/>
      <c r="M258" s="8"/>
      <c r="N258" s="8"/>
      <c r="O258" s="8"/>
      <c r="P258" s="8"/>
      <c r="Q258" s="8"/>
      <c r="R258" s="8"/>
      <c r="S258" s="8"/>
      <c r="T258" s="8"/>
      <c r="U258" s="85"/>
      <c r="V258" s="85"/>
      <c r="W258" s="85"/>
      <c r="X258" s="85"/>
      <c r="Y258" s="85"/>
      <c r="Z258" s="85"/>
      <c r="AA258" s="85"/>
      <c r="AB258" s="85"/>
      <c r="AC258" s="85"/>
      <c r="AD258" s="85"/>
      <c r="AE258" s="3"/>
      <c r="AF258" s="3"/>
      <c r="AG258" s="3"/>
      <c r="AH258" s="3"/>
      <c r="AI258" s="3"/>
      <c r="AJ258" s="3"/>
      <c r="AK258" s="3"/>
      <c r="AL258" s="3"/>
      <c r="AM258" s="3"/>
      <c r="AN258" s="3"/>
      <c r="AO258" s="3"/>
      <c r="AP258" s="3"/>
      <c r="AQ258" s="3"/>
      <c r="AR258" s="3"/>
      <c r="AS258" s="3"/>
      <c r="AT258" s="3"/>
      <c r="AU258" s="3"/>
      <c r="AV258" s="3"/>
      <c r="AW258" s="3"/>
      <c r="AX258" s="3"/>
      <c r="AY258" s="3"/>
      <c r="BN258" s="3"/>
    </row>
    <row r="259" spans="1:66" ht="12.95" customHeight="1">
      <c r="A259" s="13"/>
      <c r="B259" s="3"/>
      <c r="C259" s="49" t="s">
        <v>1150</v>
      </c>
      <c r="D259" s="3" t="s">
        <v>1130</v>
      </c>
      <c r="E259" s="3"/>
      <c r="F259" s="3"/>
      <c r="G259" s="3"/>
      <c r="H259" s="3"/>
      <c r="I259" s="3"/>
      <c r="J259" s="3"/>
      <c r="K259" s="3"/>
      <c r="L259" s="3"/>
      <c r="M259" s="1344"/>
      <c r="N259" s="1344"/>
      <c r="O259" s="1344"/>
      <c r="P259" s="1344"/>
      <c r="Q259" s="1344"/>
      <c r="R259" s="1344"/>
      <c r="S259" s="1344"/>
      <c r="T259" s="1344"/>
      <c r="U259" s="1344"/>
      <c r="V259" s="1344"/>
      <c r="W259" s="1344"/>
      <c r="X259" s="1344"/>
      <c r="Y259" s="1344"/>
      <c r="Z259" s="1344"/>
      <c r="AA259" s="1344"/>
      <c r="AB259" s="1344"/>
      <c r="AC259" s="1344"/>
      <c r="AD259" s="1344"/>
      <c r="AE259" s="1344"/>
      <c r="AF259" s="1344" t="s">
        <v>294</v>
      </c>
      <c r="AG259" s="1344"/>
      <c r="AH259" s="1344"/>
      <c r="AI259" s="1344"/>
      <c r="AJ259" s="1344"/>
      <c r="AK259" s="1344"/>
      <c r="AL259" s="3"/>
      <c r="AM259" s="3"/>
      <c r="AN259" s="3"/>
      <c r="AO259" s="3"/>
      <c r="AP259" s="3"/>
      <c r="AQ259" s="3"/>
      <c r="AR259" s="3"/>
      <c r="AS259" s="3"/>
      <c r="AT259" s="3"/>
      <c r="AU259" s="3"/>
      <c r="AV259" s="3"/>
      <c r="AW259" s="3"/>
      <c r="AX259" s="3"/>
      <c r="AY259" s="3"/>
      <c r="BN259" s="3"/>
    </row>
    <row r="260" spans="1:66" ht="12.95" customHeight="1">
      <c r="A260" s="13"/>
      <c r="B260" s="3"/>
      <c r="C260" s="3"/>
      <c r="D260" s="3" t="s">
        <v>1110</v>
      </c>
      <c r="E260" s="3"/>
      <c r="F260" s="3"/>
      <c r="G260" s="3"/>
      <c r="H260" s="3"/>
      <c r="I260" s="3"/>
      <c r="J260" s="3"/>
      <c r="K260" s="3"/>
      <c r="L260" s="3"/>
      <c r="M260" s="1317"/>
      <c r="N260" s="1317"/>
      <c r="O260" s="1317"/>
      <c r="P260" s="1317"/>
      <c r="Q260" s="1317"/>
      <c r="R260" s="1317"/>
      <c r="S260" s="1317"/>
      <c r="T260" s="1317"/>
      <c r="U260" s="1317"/>
      <c r="V260" s="1317"/>
      <c r="W260" s="1317"/>
      <c r="X260" s="1317"/>
      <c r="Y260" s="1317"/>
      <c r="Z260" s="1317"/>
      <c r="AA260" s="1317"/>
      <c r="AB260" s="1317"/>
      <c r="AC260" s="1317"/>
      <c r="AD260" s="1317"/>
      <c r="AE260" s="1317"/>
      <c r="AF260" s="3" t="s">
        <v>1133</v>
      </c>
      <c r="AL260" s="3"/>
      <c r="AM260" s="3"/>
      <c r="AN260" s="3"/>
      <c r="AO260" s="3"/>
      <c r="AP260" s="3"/>
      <c r="AQ260" s="3"/>
      <c r="AR260" s="3"/>
      <c r="AS260" s="3"/>
      <c r="AT260" s="3"/>
      <c r="AU260" s="3"/>
      <c r="AV260" s="3"/>
      <c r="AW260" s="3"/>
      <c r="AX260" s="3"/>
      <c r="AY260" s="3"/>
      <c r="BN260" s="3"/>
    </row>
    <row r="261" spans="1:66" ht="12.95" customHeight="1">
      <c r="A261" s="13"/>
      <c r="B261" s="3"/>
      <c r="C261" s="3"/>
      <c r="D261" s="3" t="s">
        <v>981</v>
      </c>
      <c r="E261" s="3"/>
      <c r="M261" s="1317"/>
      <c r="N261" s="1317"/>
      <c r="O261" s="1317"/>
      <c r="P261" s="1317"/>
      <c r="Q261" s="1317"/>
      <c r="R261" s="1317"/>
      <c r="S261" s="1317"/>
      <c r="T261" s="1317"/>
      <c r="V261" s="949" t="s">
        <v>1113</v>
      </c>
      <c r="W261" s="1309"/>
      <c r="X261" s="1309"/>
      <c r="Y261" s="3" t="s">
        <v>985</v>
      </c>
      <c r="AC261" s="1317"/>
      <c r="AD261" s="1317"/>
      <c r="AE261" s="1317"/>
      <c r="AF261" s="3" t="s">
        <v>1136</v>
      </c>
      <c r="AL261" s="3"/>
      <c r="AM261" s="3"/>
      <c r="AN261" s="3"/>
      <c r="AO261" s="3"/>
      <c r="AP261" s="3"/>
      <c r="AQ261" s="3"/>
      <c r="AR261" s="3"/>
      <c r="AS261" s="3"/>
      <c r="AT261" s="3"/>
      <c r="AU261" s="3"/>
      <c r="AV261" s="3"/>
      <c r="AW261" s="3"/>
      <c r="AX261" s="3"/>
      <c r="AY261" s="3"/>
      <c r="BN261" s="3"/>
    </row>
    <row r="262" spans="1:66" ht="12.95" customHeight="1">
      <c r="A262" s="13"/>
      <c r="B262" s="3"/>
      <c r="C262" s="3"/>
      <c r="D262" s="3" t="s">
        <v>1115</v>
      </c>
      <c r="E262" s="3"/>
      <c r="F262" s="3"/>
      <c r="G262" s="3"/>
      <c r="H262" s="3"/>
      <c r="I262" s="3"/>
      <c r="J262" s="3"/>
      <c r="K262" s="3"/>
      <c r="L262" s="2405"/>
      <c r="M262" s="1317"/>
      <c r="N262" s="1317"/>
      <c r="O262" s="1317"/>
      <c r="P262" s="1317"/>
      <c r="Q262" s="1317"/>
      <c r="R262" s="1317"/>
      <c r="S262" s="1317"/>
      <c r="T262" s="1317"/>
      <c r="U262" s="1317"/>
      <c r="V262" s="1317"/>
      <c r="W262" s="1317"/>
      <c r="X262" s="1317"/>
      <c r="Y262" s="1317"/>
      <c r="Z262" s="1317"/>
      <c r="AA262" s="1317"/>
      <c r="AB262" s="1317"/>
      <c r="AC262" s="1317"/>
      <c r="AD262" s="1317"/>
      <c r="AE262" s="1317"/>
      <c r="AH262" s="1313"/>
      <c r="AI262" s="1313"/>
      <c r="AJ262" s="1313"/>
      <c r="AK262" s="1313"/>
      <c r="AL262" s="3"/>
      <c r="AM262" s="3"/>
      <c r="AN262" s="3"/>
      <c r="AO262" s="3"/>
      <c r="AP262" s="3"/>
      <c r="AQ262" s="3"/>
      <c r="AR262" s="3"/>
      <c r="AS262" s="3"/>
      <c r="AT262" s="3"/>
      <c r="AU262" s="3"/>
      <c r="AV262" s="3"/>
      <c r="AW262" s="3"/>
      <c r="AX262" s="3"/>
      <c r="AY262" s="3"/>
      <c r="BN262" s="3"/>
    </row>
    <row r="263" spans="1:66" ht="12.95" customHeight="1">
      <c r="A263" s="13"/>
      <c r="B263" s="3"/>
      <c r="C263" s="3"/>
      <c r="D263" s="3" t="s">
        <v>1117</v>
      </c>
      <c r="E263" s="3"/>
      <c r="F263" s="3"/>
      <c r="M263" s="1348"/>
      <c r="N263" s="1348"/>
      <c r="O263" s="1348"/>
      <c r="P263" s="1348"/>
      <c r="Q263" s="1348"/>
      <c r="R263" s="1348"/>
      <c r="S263" s="3" t="s">
        <v>1119</v>
      </c>
      <c r="T263" s="3"/>
      <c r="U263" s="1309"/>
      <c r="V263" s="1309"/>
      <c r="W263" s="1309"/>
      <c r="X263" s="3" t="s">
        <v>1120</v>
      </c>
      <c r="Z263" s="1348"/>
      <c r="AA263" s="1348"/>
      <c r="AB263" s="1348"/>
      <c r="AC263" s="1348"/>
      <c r="AD263" s="1348"/>
      <c r="AE263" s="1348"/>
      <c r="AL263" s="3"/>
      <c r="AM263" s="3"/>
      <c r="AN263" s="3"/>
      <c r="AO263" s="3"/>
      <c r="AP263" s="3"/>
      <c r="AQ263" s="3"/>
      <c r="AR263" s="3"/>
      <c r="AS263" s="3"/>
      <c r="AT263" s="3"/>
      <c r="AU263" s="3"/>
      <c r="AV263" s="3"/>
      <c r="AW263" s="3"/>
      <c r="AX263" s="3"/>
      <c r="AY263" s="3"/>
      <c r="BN263" s="3"/>
    </row>
    <row r="264" spans="1:66" ht="12.95" customHeight="1">
      <c r="A264" s="13"/>
      <c r="B264" s="3"/>
      <c r="C264" s="3"/>
      <c r="D264" s="3" t="s">
        <v>1122</v>
      </c>
      <c r="E264" s="3"/>
      <c r="F264" s="3"/>
      <c r="M264" s="1339"/>
      <c r="N264" s="1339"/>
      <c r="O264" s="1339"/>
      <c r="P264" s="1339"/>
      <c r="Q264" s="1339"/>
      <c r="R264" s="1339"/>
      <c r="S264" s="1339"/>
      <c r="T264" s="1339"/>
      <c r="U264" s="1339"/>
      <c r="V264" s="1339"/>
      <c r="W264" s="1339"/>
      <c r="X264" s="1339"/>
      <c r="Y264" s="1339"/>
      <c r="Z264" s="1339"/>
      <c r="AA264" s="1340"/>
      <c r="AB264" s="1340"/>
      <c r="AC264" s="1340"/>
      <c r="AD264" s="1340"/>
      <c r="AE264" s="1340"/>
      <c r="AG264" s="3"/>
      <c r="AH264" s="3"/>
      <c r="AI264" s="3"/>
      <c r="AJ264" s="3"/>
      <c r="AK264" s="3"/>
      <c r="AL264" s="3"/>
      <c r="AM264" s="3"/>
      <c r="AN264" s="3"/>
      <c r="AO264" s="3"/>
      <c r="AP264" s="3"/>
      <c r="AQ264" s="3"/>
      <c r="AR264" s="3"/>
      <c r="AS264" s="3"/>
      <c r="AT264" s="3"/>
      <c r="AU264" s="3"/>
      <c r="AV264" s="3"/>
      <c r="AW264" s="3"/>
      <c r="AX264" s="3"/>
      <c r="AY264" s="3"/>
      <c r="BN264" s="3"/>
    </row>
    <row r="265" spans="1:66" ht="12.95" customHeight="1">
      <c r="A265" s="13"/>
      <c r="B265" s="3"/>
      <c r="C265" s="49"/>
      <c r="D265" s="3" t="s">
        <v>1140</v>
      </c>
      <c r="E265" s="3"/>
      <c r="F265" s="3"/>
      <c r="G265" s="3"/>
      <c r="H265" s="3"/>
      <c r="I265" s="3"/>
      <c r="J265" s="3"/>
      <c r="K265" s="3"/>
      <c r="L265" s="3"/>
      <c r="M265" s="1292" t="s">
        <v>294</v>
      </c>
      <c r="N265" s="1292"/>
      <c r="O265" s="1292"/>
      <c r="P265" s="1292"/>
      <c r="Q265" s="1292"/>
      <c r="R265" s="1292"/>
      <c r="S265" s="1292"/>
      <c r="T265" s="1292"/>
      <c r="U265" s="143" t="s">
        <v>1125</v>
      </c>
      <c r="V265" s="143"/>
      <c r="W265" s="143"/>
      <c r="X265" s="143"/>
      <c r="Y265" s="143"/>
      <c r="Z265" s="143"/>
      <c r="AA265" s="1345"/>
      <c r="AB265" s="1345"/>
      <c r="AC265" s="1345"/>
      <c r="AD265" s="1345"/>
      <c r="AE265" s="1345"/>
      <c r="AF265" s="1345"/>
      <c r="AG265" s="1345"/>
      <c r="AH265" s="1345"/>
      <c r="AI265" s="1345"/>
      <c r="AJ265" s="1345"/>
      <c r="AK265" s="1345"/>
      <c r="AL265" s="3"/>
      <c r="AM265" s="3"/>
      <c r="AN265" s="3"/>
      <c r="AO265" s="3"/>
      <c r="AP265" s="3"/>
      <c r="AQ265" s="3"/>
      <c r="AR265" s="3"/>
      <c r="AS265" s="3"/>
      <c r="AT265" s="3"/>
      <c r="BN265" s="3"/>
    </row>
    <row r="266" spans="1:66" ht="12.95" customHeight="1">
      <c r="A266" s="2405"/>
      <c r="B266" s="3"/>
      <c r="C266" s="3"/>
      <c r="D266" s="3"/>
      <c r="E266" s="3"/>
      <c r="F266" s="3"/>
      <c r="J266" s="117"/>
      <c r="K266" s="85"/>
      <c r="L266" s="85"/>
      <c r="M266" s="85"/>
      <c r="N266" s="85"/>
      <c r="O266" s="85"/>
      <c r="P266" s="85"/>
      <c r="Q266" s="85"/>
      <c r="R266" s="85"/>
      <c r="S266" s="85"/>
      <c r="T266" s="85"/>
      <c r="U266" s="85"/>
      <c r="V266" s="85"/>
      <c r="W266" s="85"/>
      <c r="X266" s="85"/>
      <c r="Y266" s="85"/>
      <c r="AD266" s="41"/>
      <c r="AE266" s="41"/>
      <c r="BN266" s="3"/>
    </row>
    <row r="267" spans="1:66" ht="12.95" customHeight="1">
      <c r="A267" s="50" t="s">
        <v>1069</v>
      </c>
      <c r="B267" s="3"/>
      <c r="C267" s="2" t="s">
        <v>1151</v>
      </c>
      <c r="D267" s="3"/>
      <c r="E267" s="3"/>
      <c r="F267" s="3"/>
      <c r="G267" s="3"/>
      <c r="H267" s="3"/>
      <c r="I267" s="3"/>
      <c r="J267" s="3"/>
      <c r="K267" s="3"/>
      <c r="L267" s="3"/>
      <c r="M267" s="85"/>
      <c r="N267" s="85"/>
      <c r="O267" s="85"/>
      <c r="P267" s="85"/>
      <c r="Q267" s="85"/>
      <c r="T267" s="1367" t="str">
        <f>IFERROR(BO245,"")</f>
        <v>Joint Venture</v>
      </c>
      <c r="U267" s="1367"/>
      <c r="V267" s="1367"/>
      <c r="W267" s="1367"/>
      <c r="X267" s="1367"/>
      <c r="Z267" s="230" t="s">
        <v>1152</v>
      </c>
      <c r="AA267" s="231"/>
      <c r="AB267" s="231"/>
      <c r="AC267" s="231"/>
      <c r="AD267" s="232"/>
      <c r="AE267" s="232"/>
      <c r="AF267" s="232"/>
      <c r="AG267" s="232"/>
      <c r="AH267" s="232"/>
      <c r="AI267" s="232"/>
      <c r="AJ267" s="232"/>
      <c r="AK267" s="232"/>
      <c r="AL267" s="51"/>
      <c r="BN267" s="3"/>
    </row>
    <row r="268" spans="1:66" ht="12.95" customHeight="1">
      <c r="A268" s="2"/>
      <c r="B268" s="3"/>
      <c r="C268" s="2"/>
      <c r="I268" s="3"/>
      <c r="J268" s="3"/>
      <c r="K268" s="3"/>
      <c r="L268" s="3"/>
      <c r="M268" s="85"/>
      <c r="N268" s="85"/>
      <c r="O268" s="85"/>
      <c r="P268" s="85"/>
      <c r="Q268" s="85"/>
      <c r="T268" s="3"/>
      <c r="U268" s="3"/>
      <c r="V268" s="3"/>
      <c r="W268" s="85"/>
      <c r="Z268" s="233" t="s">
        <v>1153</v>
      </c>
      <c r="AF268" s="3"/>
      <c r="AG268" s="3"/>
      <c r="AH268" s="3"/>
      <c r="AI268" s="3"/>
      <c r="AJ268" s="3"/>
      <c r="AL268" s="57"/>
      <c r="BN268" s="3"/>
    </row>
    <row r="269" spans="1:66" ht="12.95" customHeight="1">
      <c r="A269" s="2" t="s">
        <v>1095</v>
      </c>
      <c r="B269" s="3"/>
      <c r="C269" s="2" t="s">
        <v>123</v>
      </c>
      <c r="D269" s="3"/>
      <c r="E269" s="3"/>
      <c r="F269" s="3"/>
      <c r="G269" s="3"/>
      <c r="H269" s="3"/>
      <c r="I269" s="3"/>
      <c r="J269" s="3"/>
      <c r="K269" s="3"/>
      <c r="L269" s="3"/>
      <c r="M269" s="3"/>
      <c r="N269" s="3"/>
      <c r="O269" s="3"/>
      <c r="P269" s="3"/>
      <c r="Q269" s="3"/>
      <c r="R269" s="3"/>
      <c r="S269" s="3"/>
      <c r="T269" s="3"/>
      <c r="U269" s="3"/>
      <c r="V269" s="3"/>
      <c r="W269" s="3"/>
      <c r="Z269" s="234" t="s">
        <v>1154</v>
      </c>
      <c r="AA269" s="41"/>
      <c r="AB269" s="41"/>
      <c r="AC269" s="41"/>
      <c r="AD269" s="41"/>
      <c r="AE269" s="41"/>
      <c r="AF269" s="818"/>
      <c r="AG269" s="818"/>
      <c r="AH269" s="818"/>
      <c r="AI269" s="818"/>
      <c r="AJ269" s="818"/>
      <c r="AK269" s="41"/>
      <c r="AL269" s="42"/>
      <c r="BN269" s="3"/>
    </row>
    <row r="270" spans="1:66" ht="12.95" customHeight="1">
      <c r="A270" s="3"/>
      <c r="B270" s="29">
        <v>0</v>
      </c>
      <c r="D270" s="1317" t="s">
        <v>294</v>
      </c>
      <c r="E270" s="1317"/>
      <c r="F270" s="1317"/>
      <c r="G270" s="1317"/>
      <c r="H270" s="1317"/>
      <c r="J270" t="s">
        <v>1155</v>
      </c>
      <c r="X270" s="1338"/>
      <c r="Y270" s="1338"/>
      <c r="Z270" s="1338"/>
      <c r="AA270" s="1338"/>
      <c r="AB270" s="1338"/>
      <c r="AC270" s="1338"/>
      <c r="AU270" s="3"/>
      <c r="AV270" s="3"/>
      <c r="AW270" s="3"/>
      <c r="AX270" s="3"/>
      <c r="AY270" s="3"/>
      <c r="BN270" s="3"/>
    </row>
    <row r="271" spans="1:66" ht="12.95" customHeight="1">
      <c r="A271" s="3"/>
      <c r="B271" s="2405"/>
      <c r="D271" s="30" t="s">
        <v>1156</v>
      </c>
      <c r="E271" s="3"/>
      <c r="F271" s="3"/>
      <c r="G271" s="3"/>
      <c r="H271" s="3"/>
      <c r="I271" s="3"/>
      <c r="J271" s="3"/>
      <c r="K271" s="3"/>
      <c r="L271" s="3"/>
      <c r="M271" s="3"/>
      <c r="N271" s="3"/>
      <c r="O271" s="3"/>
      <c r="P271" s="3"/>
      <c r="Q271" s="3"/>
      <c r="R271" s="3"/>
      <c r="S271" s="3"/>
      <c r="T271" s="3"/>
      <c r="U271" s="3"/>
      <c r="V271" s="3"/>
      <c r="W271" s="3"/>
      <c r="X271" s="3"/>
      <c r="Y271" s="3"/>
      <c r="Z271" s="3"/>
      <c r="AA271" s="3"/>
      <c r="AH271" s="3"/>
      <c r="AI271" s="3"/>
      <c r="AJ271" s="3"/>
      <c r="AK271" s="3"/>
      <c r="AL271" s="3"/>
      <c r="AM271" s="3"/>
      <c r="AN271" s="3"/>
      <c r="AO271" s="3"/>
      <c r="AP271" s="3"/>
      <c r="AQ271" s="3"/>
      <c r="AR271" s="3"/>
      <c r="AS271" s="3"/>
      <c r="AT271" s="3"/>
      <c r="AU271" s="3"/>
      <c r="AV271" s="3"/>
      <c r="AW271" s="3"/>
      <c r="AX271" s="3"/>
      <c r="AY271" s="3"/>
      <c r="BN271" s="3"/>
    </row>
    <row r="272" spans="1:66" ht="12.95" customHeight="1">
      <c r="A272" s="85"/>
      <c r="B272" s="85"/>
      <c r="C272" s="85"/>
      <c r="D272" s="85"/>
      <c r="E272" s="85"/>
      <c r="F272" s="85"/>
      <c r="G272" s="85"/>
      <c r="H272" s="85"/>
      <c r="I272" s="85"/>
      <c r="J272" s="85"/>
      <c r="K272" s="85"/>
      <c r="L272" s="85"/>
      <c r="M272" s="85"/>
      <c r="N272" s="85"/>
      <c r="O272" s="85"/>
      <c r="P272" s="85"/>
      <c r="Q272" s="85"/>
      <c r="R272" s="85"/>
      <c r="S272" s="85"/>
      <c r="T272" s="85"/>
      <c r="U272" s="3"/>
      <c r="V272" s="3"/>
      <c r="W272" s="29"/>
      <c r="X272" s="3"/>
      <c r="Y272" s="3"/>
      <c r="Z272" s="279"/>
      <c r="AA272" s="279"/>
      <c r="AB272" s="279"/>
      <c r="AC272" s="279"/>
      <c r="AD272" s="279"/>
      <c r="AE272" s="3"/>
      <c r="AK272" s="3"/>
      <c r="AL272" s="3"/>
      <c r="AM272" s="3"/>
      <c r="AN272" s="3"/>
      <c r="AO272" s="3"/>
      <c r="AP272" s="3"/>
      <c r="AQ272" s="3"/>
      <c r="AR272" s="3"/>
      <c r="AS272" s="3"/>
      <c r="AT272" s="3"/>
      <c r="BN272" s="3"/>
    </row>
    <row r="273" spans="1:66" ht="12.95" customHeight="1">
      <c r="A273" s="2" t="s">
        <v>1157</v>
      </c>
      <c r="B273" s="2"/>
      <c r="C273" s="2" t="s">
        <v>127</v>
      </c>
      <c r="D273" s="3"/>
      <c r="E273" s="3"/>
      <c r="F273" s="3"/>
      <c r="G273" s="3"/>
      <c r="H273" s="3"/>
      <c r="I273" s="3"/>
      <c r="J273" s="3"/>
      <c r="K273" s="3"/>
      <c r="L273" s="3"/>
      <c r="M273" s="3"/>
      <c r="N273" s="3"/>
      <c r="O273" s="3"/>
      <c r="P273" s="3"/>
      <c r="Q273" s="3"/>
      <c r="R273" s="3"/>
      <c r="S273" s="3"/>
      <c r="T273" s="3"/>
      <c r="AU273" s="3"/>
      <c r="AV273" s="3"/>
      <c r="AW273" s="3"/>
      <c r="AX273" s="3"/>
      <c r="AY273" s="3"/>
      <c r="BN273" s="3"/>
    </row>
    <row r="274" spans="1:66" ht="12.95" customHeight="1">
      <c r="D274" s="3" t="s">
        <v>1158</v>
      </c>
      <c r="E274" s="3"/>
      <c r="F274" s="3"/>
      <c r="G274" s="3"/>
      <c r="H274" s="3"/>
      <c r="I274" s="3"/>
      <c r="J274" s="3"/>
      <c r="K274" s="3"/>
      <c r="L274" s="1344" t="s">
        <v>1159</v>
      </c>
      <c r="M274" s="1344"/>
      <c r="N274" s="1344"/>
      <c r="O274" s="1344"/>
      <c r="P274" s="1344"/>
      <c r="Q274" s="1344"/>
      <c r="R274" s="1344"/>
      <c r="S274" s="1344"/>
      <c r="T274" s="1344"/>
      <c r="U274" s="1344"/>
      <c r="V274" s="1344"/>
      <c r="W274" s="1344"/>
      <c r="X274" s="1344"/>
      <c r="Y274" s="1344"/>
      <c r="Z274" s="1344"/>
      <c r="AA274" s="1344"/>
      <c r="AB274" s="1344"/>
      <c r="AC274" s="1344"/>
      <c r="AD274" s="1344"/>
      <c r="AE274" s="1344"/>
      <c r="AF274" s="1344"/>
      <c r="AG274" s="1344"/>
      <c r="AH274" s="1344"/>
      <c r="AI274" s="1344"/>
      <c r="AJ274" s="1344"/>
      <c r="AK274" s="3"/>
      <c r="AL274" s="3"/>
      <c r="AM274" s="3"/>
      <c r="AN274" s="3"/>
      <c r="AO274" s="3"/>
      <c r="AP274" s="3"/>
      <c r="AQ274" s="3"/>
      <c r="AR274" s="3"/>
      <c r="AS274" s="3"/>
      <c r="AT274" s="3"/>
      <c r="AU274" s="3"/>
      <c r="AV274" s="3"/>
      <c r="AW274" s="3"/>
      <c r="AX274" s="3"/>
      <c r="AY274" s="3"/>
      <c r="BN274" s="3"/>
    </row>
    <row r="275" spans="1:66" ht="12.95" customHeight="1">
      <c r="D275" s="3" t="s">
        <v>1110</v>
      </c>
      <c r="E275" s="3"/>
      <c r="F275" s="3"/>
      <c r="G275" s="3"/>
      <c r="H275" s="3"/>
      <c r="I275" s="3"/>
      <c r="J275" s="3"/>
      <c r="K275" s="3"/>
      <c r="L275" s="1317" t="s">
        <v>1160</v>
      </c>
      <c r="M275" s="1317"/>
      <c r="N275" s="1317"/>
      <c r="O275" s="1317"/>
      <c r="P275" s="1317"/>
      <c r="Q275" s="1317"/>
      <c r="R275" s="1317"/>
      <c r="S275" s="1317"/>
      <c r="T275" s="1317"/>
      <c r="U275" s="1317"/>
      <c r="V275" s="1317"/>
      <c r="W275" s="1317"/>
      <c r="X275" s="1317"/>
      <c r="Y275" s="1317"/>
      <c r="Z275" s="1317"/>
      <c r="AA275" s="1317"/>
      <c r="AB275" s="1317"/>
      <c r="AC275" s="1317"/>
      <c r="AD275" s="1317"/>
      <c r="AK275" s="3"/>
      <c r="AL275" s="3"/>
      <c r="AM275" s="3"/>
      <c r="AN275" s="3"/>
      <c r="AO275" s="3"/>
      <c r="AP275" s="3"/>
      <c r="AQ275" s="3"/>
      <c r="AR275" s="3"/>
      <c r="AS275" s="3"/>
      <c r="AT275" s="3"/>
      <c r="AU275" s="3"/>
      <c r="AV275" s="3"/>
      <c r="AW275" s="3"/>
      <c r="AX275" s="3"/>
      <c r="AY275" s="3"/>
      <c r="BN275" s="3"/>
    </row>
    <row r="276" spans="1:66" ht="12.95" customHeight="1">
      <c r="D276" s="3" t="s">
        <v>981</v>
      </c>
      <c r="E276" s="3"/>
      <c r="L276" s="1317" t="s">
        <v>1112</v>
      </c>
      <c r="M276" s="1317"/>
      <c r="N276" s="1317"/>
      <c r="O276" s="1317"/>
      <c r="P276" s="1317"/>
      <c r="Q276" s="1317"/>
      <c r="R276" s="1317"/>
      <c r="S276" s="1317"/>
      <c r="U276" s="949" t="s">
        <v>1113</v>
      </c>
      <c r="V276" s="1309" t="s">
        <v>1114</v>
      </c>
      <c r="W276" s="1309"/>
      <c r="X276" s="3" t="s">
        <v>985</v>
      </c>
      <c r="AB276" s="1317">
        <v>10168</v>
      </c>
      <c r="AC276" s="1317"/>
      <c r="AD276" s="1317"/>
      <c r="AK276" s="3"/>
      <c r="AL276" s="3"/>
      <c r="AM276" s="3"/>
      <c r="AN276" s="3"/>
      <c r="AO276" s="3"/>
      <c r="AP276" s="3"/>
      <c r="AQ276" s="3"/>
      <c r="AR276" s="3"/>
      <c r="AS276" s="3"/>
      <c r="AT276" s="3"/>
      <c r="AU276" s="3"/>
      <c r="AV276" s="3"/>
      <c r="AW276" s="3"/>
      <c r="AX276" s="3"/>
      <c r="AY276" s="3"/>
      <c r="BN276" s="3"/>
    </row>
    <row r="277" spans="1:66" ht="12.95" customHeight="1">
      <c r="D277" s="3" t="s">
        <v>1115</v>
      </c>
      <c r="E277" s="3"/>
      <c r="F277" s="3"/>
      <c r="G277" s="3"/>
      <c r="H277" s="3"/>
      <c r="I277" s="3"/>
      <c r="J277" s="3"/>
      <c r="K277" s="2405"/>
      <c r="L277" s="1317" t="s">
        <v>1161</v>
      </c>
      <c r="M277" s="1317"/>
      <c r="N277" s="1317"/>
      <c r="O277" s="1317"/>
      <c r="P277" s="1317"/>
      <c r="Q277" s="1317"/>
      <c r="R277" s="1317"/>
      <c r="S277" s="1317"/>
      <c r="T277" s="1317"/>
      <c r="U277" s="1317"/>
      <c r="V277" s="1317"/>
      <c r="W277" s="1317"/>
      <c r="X277" s="1317"/>
      <c r="Y277" s="1317"/>
      <c r="Z277" s="1317"/>
      <c r="AA277" s="1317"/>
      <c r="AB277" s="1317"/>
      <c r="AC277" s="1317"/>
      <c r="AD277" s="1317"/>
      <c r="AI277" s="3"/>
      <c r="AJ277" s="3"/>
      <c r="AK277" s="3"/>
      <c r="AL277" s="3"/>
      <c r="AM277" s="3"/>
      <c r="AN277" s="3"/>
      <c r="AO277" s="3"/>
      <c r="AP277" s="3"/>
      <c r="AQ277" s="3"/>
      <c r="AR277" s="3"/>
      <c r="AS277" s="3"/>
      <c r="AT277" s="3"/>
      <c r="BN277" s="3"/>
    </row>
    <row r="278" spans="1:66" ht="12.95" customHeight="1">
      <c r="D278" s="3" t="s">
        <v>1117</v>
      </c>
      <c r="E278" s="3"/>
      <c r="F278" s="3"/>
      <c r="L278" s="1348">
        <v>6465187280</v>
      </c>
      <c r="M278" s="1348"/>
      <c r="N278" s="1348"/>
      <c r="O278" s="1348"/>
      <c r="P278" s="1348"/>
      <c r="Q278" s="1348"/>
      <c r="R278" s="3" t="s">
        <v>1119</v>
      </c>
      <c r="S278" s="3"/>
      <c r="T278" s="1309"/>
      <c r="U278" s="1309"/>
      <c r="V278" s="1309"/>
      <c r="W278" s="3" t="s">
        <v>1120</v>
      </c>
      <c r="Y278" s="1348"/>
      <c r="Z278" s="1348"/>
      <c r="AA278" s="1348"/>
      <c r="AB278" s="1348"/>
      <c r="AC278" s="1348"/>
      <c r="AD278" s="1348"/>
      <c r="BN278" s="3"/>
    </row>
    <row r="279" spans="1:66" ht="12.95" customHeight="1">
      <c r="D279" s="3" t="s">
        <v>1122</v>
      </c>
      <c r="E279" s="3"/>
      <c r="F279" s="3"/>
      <c r="L279" s="1339" t="s">
        <v>1162</v>
      </c>
      <c r="M279" s="1339"/>
      <c r="N279" s="1339"/>
      <c r="O279" s="1339"/>
      <c r="P279" s="1339"/>
      <c r="Q279" s="1339"/>
      <c r="R279" s="1339"/>
      <c r="S279" s="1339"/>
      <c r="T279" s="1339"/>
      <c r="U279" s="1339"/>
      <c r="V279" s="1339"/>
      <c r="W279" s="1339"/>
      <c r="X279" s="1339"/>
      <c r="Y279" s="1339"/>
      <c r="Z279" s="1339"/>
      <c r="AA279" s="1339"/>
      <c r="AB279" s="1339"/>
      <c r="AC279" s="1339"/>
      <c r="AD279" s="1339"/>
      <c r="AF279" s="3"/>
      <c r="AG279" s="3"/>
      <c r="AH279" s="3"/>
      <c r="AI279" s="3"/>
      <c r="AJ279" s="3"/>
      <c r="AU279" s="3"/>
      <c r="AV279" s="3"/>
      <c r="AW279" s="3"/>
      <c r="AX279" s="3"/>
      <c r="AY279" s="3"/>
      <c r="BN279" s="3"/>
    </row>
    <row r="280" spans="1:66" ht="12.95" customHeight="1">
      <c r="D280" s="3" t="s">
        <v>1163</v>
      </c>
      <c r="E280" s="3"/>
      <c r="F280" s="3"/>
      <c r="G280" s="3"/>
      <c r="H280" s="3"/>
      <c r="I280" s="3"/>
      <c r="L280" s="1309" t="s">
        <v>1164</v>
      </c>
      <c r="M280" s="1309"/>
      <c r="N280" s="1309"/>
      <c r="O280" s="1309"/>
      <c r="P280" s="1309"/>
      <c r="Q280" s="1309"/>
      <c r="R280" s="1309"/>
      <c r="S280" s="1309"/>
      <c r="T280" s="1309"/>
      <c r="U280" s="1309"/>
      <c r="V280" s="1309"/>
      <c r="W280" s="1309"/>
      <c r="X280" s="1309"/>
      <c r="Y280" s="1309"/>
      <c r="Z280" s="1309"/>
      <c r="AA280" s="1309"/>
      <c r="AB280" s="1309"/>
      <c r="AC280" s="1309"/>
      <c r="AD280" s="1309"/>
      <c r="AK280" s="3"/>
      <c r="AL280" s="3"/>
      <c r="AM280" s="3"/>
      <c r="AN280" s="3"/>
      <c r="AO280" s="3"/>
      <c r="AP280" s="3"/>
      <c r="AQ280" s="3"/>
      <c r="AR280" s="3"/>
      <c r="AS280" s="3"/>
      <c r="AT280" s="3"/>
      <c r="BN280" s="3"/>
    </row>
    <row r="281" spans="1:66" ht="12.95" customHeight="1">
      <c r="L281" s="20" t="s">
        <v>1165</v>
      </c>
      <c r="AU281" s="71"/>
      <c r="AV281" s="71"/>
      <c r="AW281" s="71"/>
      <c r="AX281" s="71"/>
      <c r="AY281" s="71"/>
      <c r="BN281" s="3"/>
    </row>
    <row r="282" spans="1:66" ht="12.95" customHeight="1">
      <c r="A282" s="1437" t="s">
        <v>1166</v>
      </c>
      <c r="B282" s="1437"/>
      <c r="C282" s="1437"/>
      <c r="D282" s="1437"/>
      <c r="E282" s="1437"/>
      <c r="F282" s="1437"/>
      <c r="G282" s="1437"/>
      <c r="H282" s="1437"/>
      <c r="I282" s="1437"/>
      <c r="J282" s="1437"/>
      <c r="K282" s="1437"/>
      <c r="L282" s="1437"/>
      <c r="M282" s="1437"/>
      <c r="N282" s="1437"/>
      <c r="O282" s="1437"/>
      <c r="P282" s="1437"/>
      <c r="Q282" s="1437"/>
      <c r="R282" s="1437"/>
      <c r="S282" s="1437"/>
      <c r="T282" s="1437"/>
      <c r="U282" s="1437"/>
      <c r="V282" s="1437"/>
      <c r="W282" s="1437"/>
      <c r="X282" s="1437"/>
      <c r="Y282" s="1437"/>
      <c r="Z282" s="1437"/>
      <c r="AA282" s="1437"/>
      <c r="AB282" s="1437"/>
      <c r="AC282" s="1437"/>
      <c r="AD282" s="1437"/>
      <c r="AE282" s="1437"/>
      <c r="AF282" s="1437"/>
      <c r="AG282" s="1437"/>
      <c r="AH282" s="1437"/>
      <c r="AI282" s="1437"/>
      <c r="AJ282" s="1437"/>
      <c r="AK282" s="1437"/>
      <c r="AL282" s="1437"/>
      <c r="AM282" s="1437"/>
      <c r="AN282" s="1437"/>
      <c r="AO282" s="1437"/>
      <c r="AP282" s="1437"/>
      <c r="AQ282" s="1437"/>
      <c r="AR282" s="1437"/>
      <c r="AS282" s="1437"/>
      <c r="AT282" s="1437"/>
      <c r="AU282" s="71"/>
      <c r="AV282" s="71"/>
      <c r="AW282" s="71"/>
      <c r="AX282" s="71"/>
      <c r="AY282" s="71"/>
      <c r="BN282" s="3"/>
    </row>
    <row r="283" spans="1:66" ht="12.95" customHeight="1">
      <c r="A283" s="1437"/>
      <c r="B283" s="1437"/>
      <c r="C283" s="1437"/>
      <c r="D283" s="1437"/>
      <c r="E283" s="1437"/>
      <c r="F283" s="1437"/>
      <c r="G283" s="1437"/>
      <c r="H283" s="1437"/>
      <c r="I283" s="1437"/>
      <c r="J283" s="1437"/>
      <c r="K283" s="1437"/>
      <c r="L283" s="1437"/>
      <c r="M283" s="1437"/>
      <c r="N283" s="1437"/>
      <c r="O283" s="1437"/>
      <c r="P283" s="1437"/>
      <c r="Q283" s="1437"/>
      <c r="R283" s="1437"/>
      <c r="S283" s="1437"/>
      <c r="T283" s="1437"/>
      <c r="U283" s="1437"/>
      <c r="V283" s="1437"/>
      <c r="W283" s="1437"/>
      <c r="X283" s="1437"/>
      <c r="Y283" s="1437"/>
      <c r="Z283" s="1437"/>
      <c r="AA283" s="1437"/>
      <c r="AB283" s="1437"/>
      <c r="AC283" s="1437"/>
      <c r="AD283" s="1437"/>
      <c r="AE283" s="1437"/>
      <c r="AF283" s="1437"/>
      <c r="AG283" s="1437"/>
      <c r="AH283" s="1437"/>
      <c r="AI283" s="1437"/>
      <c r="AJ283" s="1437"/>
      <c r="AK283" s="1437"/>
      <c r="AL283" s="1437"/>
      <c r="AM283" s="1437"/>
      <c r="AN283" s="1437"/>
      <c r="AO283" s="1437"/>
      <c r="AP283" s="1437"/>
      <c r="AQ283" s="1437"/>
      <c r="AR283" s="1437"/>
      <c r="AS283" s="1437"/>
      <c r="AT283" s="1437"/>
      <c r="AU283" s="22"/>
      <c r="AV283" s="22"/>
      <c r="AW283" s="22"/>
      <c r="AX283" s="22"/>
      <c r="AY283" s="22"/>
      <c r="BN283" s="3"/>
    </row>
    <row r="284" spans="1:66" ht="12.95" customHeight="1">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3"/>
      <c r="AL284" s="22"/>
      <c r="AM284" s="22"/>
      <c r="AN284" s="22"/>
      <c r="AO284" s="22"/>
      <c r="AP284" s="22"/>
      <c r="AQ284" s="22"/>
      <c r="AR284" s="22"/>
      <c r="AS284" s="22"/>
      <c r="AT284" s="22"/>
      <c r="BN284" s="3"/>
    </row>
    <row r="285" spans="1:66" ht="12.95" customHeight="1">
      <c r="A285" s="2" t="s">
        <v>921</v>
      </c>
      <c r="C285" s="2" t="s">
        <v>1167</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
    </row>
    <row r="287" spans="1:66" ht="12.95" customHeight="1">
      <c r="B287" s="3" t="s">
        <v>1168</v>
      </c>
      <c r="C287" s="3"/>
      <c r="D287" s="3"/>
      <c r="E287" s="3"/>
      <c r="F287" s="3"/>
      <c r="H287" s="1232" t="s">
        <v>1169</v>
      </c>
      <c r="I287" s="1232"/>
      <c r="J287" s="1232"/>
      <c r="K287" s="1232"/>
      <c r="L287" s="1232"/>
      <c r="M287" s="1232"/>
      <c r="N287" s="1232"/>
      <c r="O287" s="1232"/>
      <c r="P287" s="1232"/>
      <c r="Q287" s="1232"/>
      <c r="R287" s="1232"/>
      <c r="T287" s="3" t="s">
        <v>1170</v>
      </c>
      <c r="V287" s="3"/>
      <c r="W287" s="3"/>
      <c r="X287" s="3"/>
      <c r="Y287" s="3"/>
      <c r="AA287" s="1232" t="s">
        <v>1171</v>
      </c>
      <c r="AB287" s="1232"/>
      <c r="AC287" s="1232"/>
      <c r="AD287" s="1232"/>
      <c r="AE287" s="1232"/>
      <c r="AF287" s="1232"/>
      <c r="AG287" s="1232"/>
      <c r="AH287" s="1232"/>
      <c r="AI287" s="1232"/>
      <c r="AJ287" s="1232"/>
      <c r="AK287" s="1232"/>
      <c r="BN287" s="3"/>
    </row>
    <row r="288" spans="1:66" ht="12.95" customHeight="1">
      <c r="B288" s="3" t="s">
        <v>1172</v>
      </c>
      <c r="C288" s="3"/>
      <c r="D288" s="3"/>
      <c r="E288" s="3"/>
      <c r="F288" s="3"/>
      <c r="H288" s="1292" t="s">
        <v>1160</v>
      </c>
      <c r="I288" s="1292"/>
      <c r="J288" s="1292"/>
      <c r="K288" s="1292"/>
      <c r="L288" s="1292"/>
      <c r="M288" s="1292"/>
      <c r="N288" s="1292"/>
      <c r="O288" s="1292"/>
      <c r="P288" s="1292"/>
      <c r="Q288" s="1292"/>
      <c r="R288" s="1292"/>
      <c r="T288" s="3" t="s">
        <v>1172</v>
      </c>
      <c r="V288" s="3"/>
      <c r="W288" s="3"/>
      <c r="X288" s="3"/>
      <c r="Y288" s="3"/>
      <c r="AA288" s="1292" t="s">
        <v>1173</v>
      </c>
      <c r="AB288" s="1292"/>
      <c r="AC288" s="1292"/>
      <c r="AD288" s="1292"/>
      <c r="AE288" s="1292"/>
      <c r="AF288" s="1292"/>
      <c r="AG288" s="1292"/>
      <c r="AH288" s="1292"/>
      <c r="AI288" s="1292"/>
      <c r="AJ288" s="1292"/>
      <c r="AK288" s="1292"/>
      <c r="BN288" s="3"/>
    </row>
    <row r="289" spans="2:66" ht="12.95" customHeight="1">
      <c r="B289" s="3" t="s">
        <v>1174</v>
      </c>
      <c r="C289" s="3"/>
      <c r="D289" s="3"/>
      <c r="E289" s="3"/>
      <c r="F289" s="3"/>
      <c r="H289" s="1292" t="s">
        <v>1175</v>
      </c>
      <c r="I289" s="1292"/>
      <c r="J289" s="1292"/>
      <c r="K289" s="1292"/>
      <c r="L289" s="1292"/>
      <c r="M289" s="1292"/>
      <c r="N289" s="1292"/>
      <c r="O289" s="1292"/>
      <c r="P289" s="1292"/>
      <c r="Q289" s="1292"/>
      <c r="R289" s="1292"/>
      <c r="T289" s="3" t="s">
        <v>1176</v>
      </c>
      <c r="V289" s="3"/>
      <c r="W289" s="3"/>
      <c r="X289" s="3"/>
      <c r="Y289" s="3"/>
      <c r="AA289" s="1292" t="s">
        <v>1177</v>
      </c>
      <c r="AB289" s="1292"/>
      <c r="AC289" s="1292"/>
      <c r="AD289" s="1292"/>
      <c r="AE289" s="1292"/>
      <c r="AF289" s="1292"/>
      <c r="AG289" s="1292"/>
      <c r="AH289" s="1292"/>
      <c r="AI289" s="1292"/>
      <c r="AJ289" s="1292"/>
      <c r="AK289" s="1292"/>
      <c r="BN289" s="3"/>
    </row>
    <row r="290" spans="2:66" ht="12.95" customHeight="1">
      <c r="B290" s="3" t="s">
        <v>1115</v>
      </c>
      <c r="C290" s="3"/>
      <c r="D290" s="3"/>
      <c r="E290" s="3"/>
      <c r="F290" s="3"/>
      <c r="H290" s="1292" t="s">
        <v>1147</v>
      </c>
      <c r="I290" s="1292"/>
      <c r="J290" s="1292"/>
      <c r="K290" s="1292"/>
      <c r="L290" s="1292"/>
      <c r="M290" s="1292"/>
      <c r="N290" s="1292"/>
      <c r="O290" s="1292"/>
      <c r="P290" s="1292"/>
      <c r="Q290" s="1292"/>
      <c r="R290" s="1292"/>
      <c r="T290" s="3" t="s">
        <v>1115</v>
      </c>
      <c r="V290" s="3"/>
      <c r="W290" s="3"/>
      <c r="X290" s="3"/>
      <c r="Y290" s="3"/>
      <c r="AA290" s="1292" t="s">
        <v>1178</v>
      </c>
      <c r="AB290" s="1292"/>
      <c r="AC290" s="1292"/>
      <c r="AD290" s="1292"/>
      <c r="AE290" s="1292"/>
      <c r="AF290" s="1292"/>
      <c r="AG290" s="1292"/>
      <c r="AH290" s="1292"/>
      <c r="AI290" s="1292"/>
      <c r="AJ290" s="1292"/>
      <c r="AK290" s="1292"/>
      <c r="BN290" s="3"/>
    </row>
    <row r="291" spans="2:66" ht="12.95" customHeight="1">
      <c r="B291" s="3" t="s">
        <v>1117</v>
      </c>
      <c r="C291" s="3"/>
      <c r="D291" s="3"/>
      <c r="E291" s="3"/>
      <c r="F291" s="3"/>
      <c r="G291" s="3"/>
      <c r="H291" s="1341" t="str">
        <f>M255</f>
        <v>212-776-1914</v>
      </c>
      <c r="I291" s="1341"/>
      <c r="J291" s="1341"/>
      <c r="K291" s="1341"/>
      <c r="L291" s="1341"/>
      <c r="M291" s="1341"/>
      <c r="N291" s="3" t="s">
        <v>1119</v>
      </c>
      <c r="O291" s="3"/>
      <c r="P291" s="1317"/>
      <c r="Q291" s="1317"/>
      <c r="R291" s="1317"/>
      <c r="S291" s="3"/>
      <c r="T291" s="3" t="s">
        <v>1117</v>
      </c>
      <c r="V291" s="3"/>
      <c r="W291" s="3"/>
      <c r="X291" s="3"/>
      <c r="Y291" s="3"/>
      <c r="AA291" s="1341">
        <v>3102178885</v>
      </c>
      <c r="AB291" s="1341"/>
      <c r="AC291" s="1341"/>
      <c r="AD291" s="1341"/>
      <c r="AE291" s="1341"/>
      <c r="AF291" s="1341"/>
      <c r="AG291" s="3" t="s">
        <v>1119</v>
      </c>
      <c r="AH291" s="3"/>
      <c r="AI291" s="1317"/>
      <c r="AJ291" s="1317"/>
      <c r="AK291" s="1317"/>
      <c r="BN291" s="3"/>
    </row>
    <row r="292" spans="2:66" ht="12.95" customHeight="1">
      <c r="B292" s="3" t="s">
        <v>1120</v>
      </c>
      <c r="C292" s="3"/>
      <c r="D292" s="3"/>
      <c r="E292" s="3"/>
      <c r="F292" s="3"/>
      <c r="G292" s="3"/>
      <c r="H292" s="1348"/>
      <c r="I292" s="1348"/>
      <c r="J292" s="1348"/>
      <c r="K292" s="1348"/>
      <c r="L292" s="1348"/>
      <c r="M292" s="1348"/>
      <c r="N292" s="3"/>
      <c r="O292" s="3"/>
      <c r="P292" s="85"/>
      <c r="Q292" s="85"/>
      <c r="R292" s="85"/>
      <c r="S292" s="3"/>
      <c r="T292" s="3" t="s">
        <v>1120</v>
      </c>
      <c r="V292" s="3"/>
      <c r="W292" s="3"/>
      <c r="X292" s="3"/>
      <c r="Y292" s="3"/>
      <c r="AA292" s="1348"/>
      <c r="AB292" s="1348"/>
      <c r="AC292" s="1348"/>
      <c r="AD292" s="1348"/>
      <c r="AE292" s="1348"/>
      <c r="AF292" s="1348"/>
      <c r="AG292" s="3"/>
      <c r="AH292" s="3"/>
      <c r="AI292" s="85"/>
      <c r="AJ292" s="85"/>
      <c r="AK292" s="85"/>
      <c r="BN292" s="3"/>
    </row>
    <row r="293" spans="2:66" ht="12.95" customHeight="1">
      <c r="B293" s="3" t="s">
        <v>1179</v>
      </c>
      <c r="C293" s="3"/>
      <c r="D293" s="3"/>
      <c r="E293" s="3"/>
      <c r="F293" s="3"/>
      <c r="G293" s="3"/>
      <c r="H293" s="1292" t="str">
        <f>M256</f>
        <v>psalib@crpaffrodable.com</v>
      </c>
      <c r="I293" s="1292"/>
      <c r="J293" s="1292"/>
      <c r="K293" s="1292"/>
      <c r="L293" s="1292"/>
      <c r="M293" s="1292"/>
      <c r="N293" s="1232"/>
      <c r="O293" s="1232"/>
      <c r="P293" s="1232"/>
      <c r="Q293" s="1232"/>
      <c r="R293" s="1232"/>
      <c r="S293" s="3"/>
      <c r="T293" s="3" t="s">
        <v>1179</v>
      </c>
      <c r="V293" s="3"/>
      <c r="W293" s="3"/>
      <c r="X293" s="3"/>
      <c r="Y293" s="3"/>
      <c r="AA293" s="1292" t="s">
        <v>1180</v>
      </c>
      <c r="AB293" s="1292"/>
      <c r="AC293" s="1292"/>
      <c r="AD293" s="1292"/>
      <c r="AE293" s="1292"/>
      <c r="AF293" s="1292"/>
      <c r="AG293" s="1232"/>
      <c r="AH293" s="1232"/>
      <c r="AI293" s="1232"/>
      <c r="AJ293" s="1232"/>
      <c r="AK293" s="1232"/>
      <c r="BN293" s="3"/>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
    </row>
    <row r="295" spans="2:66" ht="12.95" customHeight="1">
      <c r="B295" s="3" t="s">
        <v>1181</v>
      </c>
      <c r="C295" s="3"/>
      <c r="D295" s="3"/>
      <c r="E295" s="3"/>
      <c r="F295" s="3"/>
      <c r="H295" s="1232" t="s">
        <v>1182</v>
      </c>
      <c r="I295" s="1232"/>
      <c r="J295" s="1232"/>
      <c r="K295" s="1232"/>
      <c r="L295" s="1232"/>
      <c r="M295" s="1232"/>
      <c r="N295" s="1232"/>
      <c r="O295" s="1232"/>
      <c r="P295" s="1232"/>
      <c r="Q295" s="1232"/>
      <c r="R295" s="1232"/>
      <c r="T295" s="3" t="s">
        <v>1183</v>
      </c>
      <c r="V295" s="3"/>
      <c r="W295" s="3"/>
      <c r="X295" s="3"/>
      <c r="Y295" s="3"/>
      <c r="AA295" s="1232" t="s">
        <v>1184</v>
      </c>
      <c r="AB295" s="1232"/>
      <c r="AC295" s="1232"/>
      <c r="AD295" s="1232"/>
      <c r="AE295" s="1232"/>
      <c r="AF295" s="1232"/>
      <c r="AG295" s="1232"/>
      <c r="AH295" s="1232"/>
      <c r="AI295" s="1232"/>
      <c r="AJ295" s="1232"/>
      <c r="AK295" s="1232"/>
      <c r="BN295" s="3"/>
    </row>
    <row r="296" spans="2:66" ht="12.95" customHeight="1">
      <c r="B296" s="3" t="s">
        <v>1172</v>
      </c>
      <c r="C296" s="3"/>
      <c r="D296" s="3"/>
      <c r="E296" s="3"/>
      <c r="F296" s="3"/>
      <c r="H296" s="1292" t="s">
        <v>1185</v>
      </c>
      <c r="I296" s="1292"/>
      <c r="J296" s="1292"/>
      <c r="K296" s="1292"/>
      <c r="L296" s="1292"/>
      <c r="M296" s="1292"/>
      <c r="N296" s="1292"/>
      <c r="O296" s="1292"/>
      <c r="P296" s="1292"/>
      <c r="Q296" s="1292"/>
      <c r="R296" s="1292"/>
      <c r="T296" s="3" t="s">
        <v>1172</v>
      </c>
      <c r="V296" s="3"/>
      <c r="W296" s="3"/>
      <c r="X296" s="3"/>
      <c r="Y296" s="3"/>
      <c r="AA296" s="1292" t="s">
        <v>1146</v>
      </c>
      <c r="AB296" s="1292"/>
      <c r="AC296" s="1292"/>
      <c r="AD296" s="1292"/>
      <c r="AE296" s="1292"/>
      <c r="AF296" s="1292"/>
      <c r="AG296" s="1292"/>
      <c r="AH296" s="1292"/>
      <c r="AI296" s="1292"/>
      <c r="AJ296" s="1292"/>
      <c r="AK296" s="1292"/>
      <c r="BN296" s="3"/>
    </row>
    <row r="297" spans="2:66" ht="12.95" customHeight="1">
      <c r="B297" s="3" t="s">
        <v>1174</v>
      </c>
      <c r="C297" s="3"/>
      <c r="D297" s="3"/>
      <c r="E297" s="3"/>
      <c r="F297" s="3"/>
      <c r="H297" s="1292" t="s">
        <v>1186</v>
      </c>
      <c r="I297" s="1292"/>
      <c r="J297" s="1292"/>
      <c r="K297" s="1292"/>
      <c r="L297" s="1292"/>
      <c r="M297" s="1292"/>
      <c r="N297" s="1292"/>
      <c r="O297" s="1292"/>
      <c r="P297" s="1292"/>
      <c r="Q297" s="1292"/>
      <c r="R297" s="1292"/>
      <c r="T297" s="3" t="s">
        <v>1176</v>
      </c>
      <c r="V297" s="3"/>
      <c r="W297" s="3"/>
      <c r="X297" s="3"/>
      <c r="Y297" s="3"/>
      <c r="AA297" s="1292" t="s">
        <v>1187</v>
      </c>
      <c r="AB297" s="1292"/>
      <c r="AC297" s="1292"/>
      <c r="AD297" s="1292"/>
      <c r="AE297" s="1292"/>
      <c r="AF297" s="1292"/>
      <c r="AG297" s="1292"/>
      <c r="AH297" s="1292"/>
      <c r="AI297" s="1292"/>
      <c r="AJ297" s="1292"/>
      <c r="AK297" s="1292"/>
      <c r="BN297" s="3"/>
    </row>
    <row r="298" spans="2:66" ht="12.95" customHeight="1">
      <c r="B298" s="3" t="s">
        <v>1115</v>
      </c>
      <c r="C298" s="3"/>
      <c r="D298" s="3"/>
      <c r="E298" s="3"/>
      <c r="F298" s="3"/>
      <c r="H298" s="1292" t="s">
        <v>1188</v>
      </c>
      <c r="I298" s="1292"/>
      <c r="J298" s="1292"/>
      <c r="K298" s="1292"/>
      <c r="L298" s="1292"/>
      <c r="M298" s="1292"/>
      <c r="N298" s="1292"/>
      <c r="O298" s="1292"/>
      <c r="P298" s="1292"/>
      <c r="Q298" s="1292"/>
      <c r="R298" s="1292"/>
      <c r="T298" s="3" t="s">
        <v>1115</v>
      </c>
      <c r="V298" s="3"/>
      <c r="W298" s="3"/>
      <c r="X298" s="3"/>
      <c r="Y298" s="3"/>
      <c r="AA298" s="1292" t="s">
        <v>1189</v>
      </c>
      <c r="AB298" s="1292"/>
      <c r="AC298" s="1292"/>
      <c r="AD298" s="1292"/>
      <c r="AE298" s="1292"/>
      <c r="AF298" s="1292"/>
      <c r="AG298" s="1292"/>
      <c r="AH298" s="1292"/>
      <c r="AI298" s="1292"/>
      <c r="AJ298" s="1292"/>
      <c r="AK298" s="1292"/>
      <c r="BN298" s="3"/>
    </row>
    <row r="299" spans="2:66" ht="12.95" customHeight="1">
      <c r="B299" s="3" t="s">
        <v>1117</v>
      </c>
      <c r="C299" s="3"/>
      <c r="D299" s="3"/>
      <c r="E299" s="3"/>
      <c r="F299" s="3"/>
      <c r="G299" s="3"/>
      <c r="H299" s="1341" t="s">
        <v>1190</v>
      </c>
      <c r="I299" s="1341"/>
      <c r="J299" s="1341"/>
      <c r="K299" s="1341"/>
      <c r="L299" s="1341"/>
      <c r="M299" s="1341"/>
      <c r="N299" s="3" t="s">
        <v>1119</v>
      </c>
      <c r="O299" s="3"/>
      <c r="P299" s="1317"/>
      <c r="Q299" s="1317"/>
      <c r="R299" s="1317"/>
      <c r="S299" s="3"/>
      <c r="T299" s="3" t="s">
        <v>1117</v>
      </c>
      <c r="V299" s="3"/>
      <c r="W299" s="3"/>
      <c r="X299" s="3"/>
      <c r="Y299" s="3"/>
      <c r="AA299" s="1341">
        <v>6193787878</v>
      </c>
      <c r="AB299" s="1341"/>
      <c r="AC299" s="1341"/>
      <c r="AD299" s="1341"/>
      <c r="AE299" s="1341"/>
      <c r="AF299" s="1341"/>
      <c r="AG299" s="3" t="s">
        <v>1119</v>
      </c>
      <c r="AH299" s="3"/>
      <c r="AI299" s="1317"/>
      <c r="AJ299" s="1317"/>
      <c r="AK299" s="1317"/>
      <c r="BN299" s="3"/>
    </row>
    <row r="300" spans="2:66" ht="12.95" customHeight="1">
      <c r="B300" s="3" t="s">
        <v>1120</v>
      </c>
      <c r="C300" s="3"/>
      <c r="D300" s="3"/>
      <c r="E300" s="3"/>
      <c r="F300" s="3"/>
      <c r="G300" s="3"/>
      <c r="H300" s="1348"/>
      <c r="I300" s="1348"/>
      <c r="J300" s="1348"/>
      <c r="K300" s="1348"/>
      <c r="L300" s="1348"/>
      <c r="M300" s="1348"/>
      <c r="N300" s="3"/>
      <c r="O300" s="3"/>
      <c r="P300" s="85"/>
      <c r="Q300" s="85"/>
      <c r="R300" s="85"/>
      <c r="S300" s="3"/>
      <c r="T300" s="3" t="s">
        <v>1120</v>
      </c>
      <c r="V300" s="3"/>
      <c r="W300" s="3"/>
      <c r="X300" s="3"/>
      <c r="Y300" s="3"/>
      <c r="AA300" s="1348"/>
      <c r="AB300" s="1348"/>
      <c r="AC300" s="1348"/>
      <c r="AD300" s="1348"/>
      <c r="AE300" s="1348"/>
      <c r="AF300" s="1348"/>
      <c r="AG300" s="3"/>
      <c r="AH300" s="3"/>
      <c r="AI300" s="85"/>
      <c r="AJ300" s="85"/>
      <c r="AK300" s="85"/>
      <c r="BN300" s="3"/>
    </row>
    <row r="301" spans="2:66" ht="12.95" customHeight="1">
      <c r="B301" s="3" t="s">
        <v>1179</v>
      </c>
      <c r="C301" s="3"/>
      <c r="D301" s="3"/>
      <c r="E301" s="3"/>
      <c r="F301" s="3"/>
      <c r="G301" s="3"/>
      <c r="H301" s="1292" t="s">
        <v>1191</v>
      </c>
      <c r="I301" s="1292"/>
      <c r="J301" s="1292"/>
      <c r="K301" s="1292"/>
      <c r="L301" s="1292"/>
      <c r="M301" s="1292"/>
      <c r="N301" s="1232"/>
      <c r="O301" s="1232"/>
      <c r="P301" s="1232"/>
      <c r="Q301" s="1232"/>
      <c r="R301" s="1232"/>
      <c r="S301" s="3"/>
      <c r="T301" s="3" t="s">
        <v>1179</v>
      </c>
      <c r="V301" s="3"/>
      <c r="W301" s="3"/>
      <c r="X301" s="3"/>
      <c r="Y301" s="3"/>
      <c r="AA301" s="1292" t="s">
        <v>1192</v>
      </c>
      <c r="AB301" s="1292"/>
      <c r="AC301" s="1292"/>
      <c r="AD301" s="1292"/>
      <c r="AE301" s="1292"/>
      <c r="AF301" s="1292"/>
      <c r="AG301" s="1232"/>
      <c r="AH301" s="1232"/>
      <c r="AI301" s="1232"/>
      <c r="AJ301" s="1232"/>
      <c r="AK301" s="1232"/>
      <c r="BN301" s="3"/>
    </row>
    <row r="302" spans="2:66" ht="12.95" customHeight="1">
      <c r="BN302" s="3"/>
    </row>
    <row r="303" spans="2:66" ht="12.95" customHeight="1">
      <c r="B303" s="3" t="s">
        <v>1193</v>
      </c>
      <c r="C303" s="3"/>
      <c r="D303" s="3"/>
      <c r="E303" s="3"/>
      <c r="F303" s="3"/>
      <c r="H303" s="1232" t="s">
        <v>1194</v>
      </c>
      <c r="I303" s="1232"/>
      <c r="J303" s="1232"/>
      <c r="K303" s="1232"/>
      <c r="L303" s="1232"/>
      <c r="M303" s="1232"/>
      <c r="N303" s="1232"/>
      <c r="O303" s="1232"/>
      <c r="P303" s="1232"/>
      <c r="Q303" s="1232"/>
      <c r="R303" s="1232"/>
      <c r="T303" s="3" t="s">
        <v>1195</v>
      </c>
      <c r="V303" s="3"/>
      <c r="W303" s="3"/>
      <c r="X303" s="3"/>
      <c r="Y303" s="3"/>
      <c r="AA303" s="1317" t="s">
        <v>1196</v>
      </c>
      <c r="AB303" s="1232"/>
      <c r="AC303" s="1232"/>
      <c r="AD303" s="1232"/>
      <c r="AE303" s="1232"/>
      <c r="AF303" s="1232"/>
      <c r="AG303" s="1232"/>
      <c r="AH303" s="1232"/>
      <c r="AI303" s="1232"/>
      <c r="AJ303" s="1232"/>
      <c r="AK303" s="1232"/>
      <c r="BN303" s="3"/>
    </row>
    <row r="304" spans="2:66" ht="12.95" customHeight="1">
      <c r="B304" s="3" t="s">
        <v>1172</v>
      </c>
      <c r="C304" s="3"/>
      <c r="D304" s="3"/>
      <c r="E304" s="3"/>
      <c r="F304" s="3"/>
      <c r="H304" s="1292" t="s">
        <v>1197</v>
      </c>
      <c r="I304" s="1292"/>
      <c r="J304" s="1292"/>
      <c r="K304" s="1292"/>
      <c r="L304" s="1292"/>
      <c r="M304" s="1292"/>
      <c r="N304" s="1292"/>
      <c r="O304" s="1292"/>
      <c r="P304" s="1292"/>
      <c r="Q304" s="1292"/>
      <c r="R304" s="1292"/>
      <c r="T304" s="3" t="s">
        <v>1172</v>
      </c>
      <c r="V304" s="3"/>
      <c r="W304" s="3"/>
      <c r="X304" s="3"/>
      <c r="Y304" s="3"/>
      <c r="AA304" s="1309" t="s">
        <v>1198</v>
      </c>
      <c r="AB304" s="1292"/>
      <c r="AC304" s="1292"/>
      <c r="AD304" s="1292"/>
      <c r="AE304" s="1292"/>
      <c r="AF304" s="1292"/>
      <c r="AG304" s="1292"/>
      <c r="AH304" s="1292"/>
      <c r="AI304" s="1292"/>
      <c r="AJ304" s="1292"/>
      <c r="AK304" s="1292"/>
      <c r="BN304" s="3"/>
    </row>
    <row r="305" spans="2:66" ht="12.95" customHeight="1">
      <c r="B305" s="3" t="s">
        <v>1174</v>
      </c>
      <c r="C305" s="3"/>
      <c r="D305" s="3"/>
      <c r="E305" s="3"/>
      <c r="F305" s="3"/>
      <c r="H305" s="1292" t="s">
        <v>1199</v>
      </c>
      <c r="I305" s="1292"/>
      <c r="J305" s="1292"/>
      <c r="K305" s="1292"/>
      <c r="L305" s="1292"/>
      <c r="M305" s="1292"/>
      <c r="N305" s="1292"/>
      <c r="O305" s="1292"/>
      <c r="P305" s="1292"/>
      <c r="Q305" s="1292"/>
      <c r="R305" s="1292"/>
      <c r="T305" s="3" t="s">
        <v>1176</v>
      </c>
      <c r="V305" s="3"/>
      <c r="W305" s="3"/>
      <c r="X305" s="3"/>
      <c r="Y305" s="3"/>
      <c r="AA305" s="1309" t="s">
        <v>1200</v>
      </c>
      <c r="AB305" s="1292"/>
      <c r="AC305" s="1292"/>
      <c r="AD305" s="1292"/>
      <c r="AE305" s="1292"/>
      <c r="AF305" s="1292"/>
      <c r="AG305" s="1292"/>
      <c r="AH305" s="1292"/>
      <c r="AI305" s="1292"/>
      <c r="AJ305" s="1292"/>
      <c r="AK305" s="1292"/>
      <c r="BN305" s="3"/>
    </row>
    <row r="306" spans="2:66" ht="12.95" customHeight="1">
      <c r="B306" s="3" t="s">
        <v>1115</v>
      </c>
      <c r="C306" s="3"/>
      <c r="D306" s="3"/>
      <c r="E306" s="3"/>
      <c r="F306" s="3"/>
      <c r="H306" s="1292" t="s">
        <v>1201</v>
      </c>
      <c r="I306" s="1292"/>
      <c r="J306" s="1292"/>
      <c r="K306" s="1292"/>
      <c r="L306" s="1292"/>
      <c r="M306" s="1292"/>
      <c r="N306" s="1292"/>
      <c r="O306" s="1292"/>
      <c r="P306" s="1292"/>
      <c r="Q306" s="1292"/>
      <c r="R306" s="1292"/>
      <c r="T306" s="3" t="s">
        <v>1115</v>
      </c>
      <c r="V306" s="3"/>
      <c r="W306" s="3"/>
      <c r="X306" s="3"/>
      <c r="Y306" s="3"/>
      <c r="AA306" s="1309" t="s">
        <v>1202</v>
      </c>
      <c r="AB306" s="1292"/>
      <c r="AC306" s="1292"/>
      <c r="AD306" s="1292"/>
      <c r="AE306" s="1292"/>
      <c r="AF306" s="1292"/>
      <c r="AG306" s="1292"/>
      <c r="AH306" s="1292"/>
      <c r="AI306" s="1292"/>
      <c r="AJ306" s="1292"/>
      <c r="AK306" s="1292"/>
      <c r="BN306" s="3"/>
    </row>
    <row r="307" spans="2:66" ht="12.95" customHeight="1">
      <c r="B307" s="3" t="s">
        <v>1117</v>
      </c>
      <c r="C307" s="3"/>
      <c r="D307" s="3"/>
      <c r="E307" s="3"/>
      <c r="F307" s="3"/>
      <c r="G307" s="3"/>
      <c r="H307" s="1341">
        <v>4254535783</v>
      </c>
      <c r="I307" s="1341"/>
      <c r="J307" s="1341"/>
      <c r="K307" s="1341"/>
      <c r="L307" s="1341"/>
      <c r="M307" s="1341"/>
      <c r="N307" s="3" t="s">
        <v>1119</v>
      </c>
      <c r="O307" s="3"/>
      <c r="P307" s="1317"/>
      <c r="Q307" s="1317"/>
      <c r="R307" s="1317"/>
      <c r="S307" s="3"/>
      <c r="T307" s="3" t="s">
        <v>1117</v>
      </c>
      <c r="V307" s="3"/>
      <c r="W307" s="3"/>
      <c r="X307" s="3"/>
      <c r="Y307" s="3"/>
      <c r="AA307" s="1341" t="s">
        <v>1203</v>
      </c>
      <c r="AB307" s="1341"/>
      <c r="AC307" s="1341"/>
      <c r="AD307" s="1341"/>
      <c r="AE307" s="1341"/>
      <c r="AF307" s="1341"/>
      <c r="AG307" s="3" t="s">
        <v>1119</v>
      </c>
      <c r="AH307" s="3"/>
      <c r="AI307" s="1317"/>
      <c r="AJ307" s="1317"/>
      <c r="AK307" s="1317"/>
      <c r="BN307" s="3"/>
    </row>
    <row r="308" spans="2:66" ht="12.95" customHeight="1">
      <c r="B308" s="3" t="s">
        <v>1120</v>
      </c>
      <c r="C308" s="3"/>
      <c r="D308" s="3"/>
      <c r="E308" s="3"/>
      <c r="F308" s="3"/>
      <c r="G308" s="3"/>
      <c r="H308" s="1348"/>
      <c r="I308" s="1348"/>
      <c r="J308" s="1348"/>
      <c r="K308" s="1348"/>
      <c r="L308" s="1348"/>
      <c r="M308" s="1348"/>
      <c r="N308" s="3"/>
      <c r="O308" s="3"/>
      <c r="P308" s="85"/>
      <c r="Q308" s="85"/>
      <c r="R308" s="85"/>
      <c r="S308" s="3"/>
      <c r="T308" s="3" t="s">
        <v>1120</v>
      </c>
      <c r="V308" s="3"/>
      <c r="W308" s="3"/>
      <c r="X308" s="3"/>
      <c r="Y308" s="3"/>
      <c r="AA308" s="1348" t="s">
        <v>1204</v>
      </c>
      <c r="AB308" s="1348"/>
      <c r="AC308" s="1348"/>
      <c r="AD308" s="1348"/>
      <c r="AE308" s="1348"/>
      <c r="AF308" s="1348"/>
      <c r="AG308" s="3"/>
      <c r="AH308" s="3"/>
      <c r="AI308" s="85"/>
      <c r="AJ308" s="85"/>
      <c r="AK308" s="85"/>
      <c r="BN308" s="3"/>
    </row>
    <row r="309" spans="2:66" ht="12.95" customHeight="1">
      <c r="B309" s="3" t="s">
        <v>1179</v>
      </c>
      <c r="C309" s="3"/>
      <c r="D309" s="3"/>
      <c r="E309" s="3"/>
      <c r="F309" s="3"/>
      <c r="G309" s="3"/>
      <c r="H309" s="1292" t="s">
        <v>1205</v>
      </c>
      <c r="I309" s="1292"/>
      <c r="J309" s="1292"/>
      <c r="K309" s="1292"/>
      <c r="L309" s="1292"/>
      <c r="M309" s="1292"/>
      <c r="N309" s="1232"/>
      <c r="O309" s="1232"/>
      <c r="P309" s="1232"/>
      <c r="Q309" s="1232"/>
      <c r="R309" s="1232"/>
      <c r="S309" s="3"/>
      <c r="T309" s="3" t="s">
        <v>1179</v>
      </c>
      <c r="V309" s="3"/>
      <c r="W309" s="3"/>
      <c r="X309" s="3"/>
      <c r="Y309" s="3"/>
      <c r="AA309" s="1292" t="s">
        <v>1206</v>
      </c>
      <c r="AB309" s="1292"/>
      <c r="AC309" s="1292"/>
      <c r="AD309" s="1292"/>
      <c r="AE309" s="1292"/>
      <c r="AF309" s="1292"/>
      <c r="AG309" s="1232"/>
      <c r="AH309" s="1232"/>
      <c r="AI309" s="1232"/>
      <c r="AJ309" s="1232"/>
      <c r="AK309" s="1232"/>
      <c r="BN309" s="3"/>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
    </row>
    <row r="311" spans="2:66" ht="12.95" customHeight="1">
      <c r="B311" s="3" t="s">
        <v>1207</v>
      </c>
      <c r="C311" s="3"/>
      <c r="D311" s="3"/>
      <c r="E311" s="3"/>
      <c r="F311" s="3"/>
      <c r="H311" s="1232" t="s">
        <v>1194</v>
      </c>
      <c r="I311" s="1232"/>
      <c r="J311" s="1232"/>
      <c r="K311" s="1232"/>
      <c r="L311" s="1232"/>
      <c r="M311" s="1232"/>
      <c r="N311" s="1232"/>
      <c r="O311" s="1232"/>
      <c r="P311" s="1232"/>
      <c r="Q311" s="1232"/>
      <c r="R311" s="1232"/>
      <c r="S311" s="3"/>
      <c r="T311" s="3" t="s">
        <v>1208</v>
      </c>
      <c r="V311" s="3"/>
      <c r="W311" s="3"/>
      <c r="X311" s="3"/>
      <c r="Y311" s="3"/>
      <c r="AA311" s="1232" t="s">
        <v>1209</v>
      </c>
      <c r="AB311" s="1232"/>
      <c r="AC311" s="1232"/>
      <c r="AD311" s="1232"/>
      <c r="AE311" s="1232"/>
      <c r="AF311" s="1232"/>
      <c r="AG311" s="1232"/>
      <c r="AH311" s="1232"/>
      <c r="AI311" s="1232"/>
      <c r="AJ311" s="1232"/>
      <c r="AK311" s="1232"/>
      <c r="BN311" s="3"/>
    </row>
    <row r="312" spans="2:66" ht="12.95" customHeight="1">
      <c r="B312" s="3" t="s">
        <v>1172</v>
      </c>
      <c r="C312" s="3"/>
      <c r="D312" s="3"/>
      <c r="E312" s="3"/>
      <c r="F312" s="3"/>
      <c r="H312" s="1292" t="s">
        <v>1197</v>
      </c>
      <c r="I312" s="1292"/>
      <c r="J312" s="1292"/>
      <c r="K312" s="1292"/>
      <c r="L312" s="1292"/>
      <c r="M312" s="1292"/>
      <c r="N312" s="1292"/>
      <c r="O312" s="1292"/>
      <c r="P312" s="1292"/>
      <c r="Q312" s="1292"/>
      <c r="R312" s="1292"/>
      <c r="S312" s="3"/>
      <c r="T312" s="3" t="s">
        <v>1172</v>
      </c>
      <c r="V312" s="3"/>
      <c r="W312" s="3"/>
      <c r="X312" s="3"/>
      <c r="Y312" s="3"/>
      <c r="AA312" s="1292" t="s">
        <v>1210</v>
      </c>
      <c r="AB312" s="1292"/>
      <c r="AC312" s="1292"/>
      <c r="AD312" s="1292"/>
      <c r="AE312" s="1292"/>
      <c r="AF312" s="1292"/>
      <c r="AG312" s="1292"/>
      <c r="AH312" s="1292"/>
      <c r="AI312" s="1292"/>
      <c r="AJ312" s="1292"/>
      <c r="AK312" s="1292"/>
      <c r="BN312" s="3"/>
    </row>
    <row r="313" spans="2:66" ht="12.95" customHeight="1">
      <c r="B313" s="3" t="s">
        <v>1174</v>
      </c>
      <c r="C313" s="3"/>
      <c r="D313" s="3"/>
      <c r="E313" s="3"/>
      <c r="F313" s="3"/>
      <c r="H313" s="1292" t="s">
        <v>1199</v>
      </c>
      <c r="I313" s="1292"/>
      <c r="J313" s="1292"/>
      <c r="K313" s="1292"/>
      <c r="L313" s="1292"/>
      <c r="M313" s="1292"/>
      <c r="N313" s="1292"/>
      <c r="O313" s="1292"/>
      <c r="P313" s="1292"/>
      <c r="Q313" s="1292"/>
      <c r="R313" s="1292"/>
      <c r="S313" s="3"/>
      <c r="T313" s="3" t="s">
        <v>1176</v>
      </c>
      <c r="V313" s="3"/>
      <c r="W313" s="3"/>
      <c r="X313" s="3"/>
      <c r="Y313" s="3"/>
      <c r="AA313" s="1292" t="s">
        <v>1211</v>
      </c>
      <c r="AB313" s="1292"/>
      <c r="AC313" s="1292"/>
      <c r="AD313" s="1292"/>
      <c r="AE313" s="1292"/>
      <c r="AF313" s="1292"/>
      <c r="AG313" s="1292"/>
      <c r="AH313" s="1292"/>
      <c r="AI313" s="1292"/>
      <c r="AJ313" s="1292"/>
      <c r="AK313" s="1292"/>
      <c r="BN313" s="3"/>
    </row>
    <row r="314" spans="2:66" ht="12.95" customHeight="1">
      <c r="B314" s="3" t="s">
        <v>1115</v>
      </c>
      <c r="C314" s="3"/>
      <c r="D314" s="3"/>
      <c r="E314" s="3"/>
      <c r="F314" s="3"/>
      <c r="H314" s="1292" t="s">
        <v>1201</v>
      </c>
      <c r="I314" s="1292"/>
      <c r="J314" s="1292"/>
      <c r="K314" s="1292"/>
      <c r="L314" s="1292"/>
      <c r="M314" s="1292"/>
      <c r="N314" s="1292"/>
      <c r="O314" s="1292"/>
      <c r="P314" s="1292"/>
      <c r="Q314" s="1292"/>
      <c r="R314" s="1292"/>
      <c r="S314" s="3"/>
      <c r="T314" s="3" t="s">
        <v>1115</v>
      </c>
      <c r="V314" s="3"/>
      <c r="W314" s="3"/>
      <c r="X314" s="3"/>
      <c r="Y314" s="3"/>
      <c r="AA314" s="1292" t="s">
        <v>1212</v>
      </c>
      <c r="AB314" s="1292"/>
      <c r="AC314" s="1292"/>
      <c r="AD314" s="1292"/>
      <c r="AE314" s="1292"/>
      <c r="AF314" s="1292"/>
      <c r="AG314" s="1292"/>
      <c r="AH314" s="1292"/>
      <c r="AI314" s="1292"/>
      <c r="AJ314" s="1292"/>
      <c r="AK314" s="1292"/>
      <c r="BN314" s="3"/>
    </row>
    <row r="315" spans="2:66" ht="12.95" customHeight="1">
      <c r="B315" s="3" t="s">
        <v>1117</v>
      </c>
      <c r="C315" s="3"/>
      <c r="D315" s="3"/>
      <c r="E315" s="3"/>
      <c r="F315" s="3"/>
      <c r="G315" s="3"/>
      <c r="H315" s="1341" t="s">
        <v>1213</v>
      </c>
      <c r="I315" s="1341"/>
      <c r="J315" s="1341"/>
      <c r="K315" s="1341"/>
      <c r="L315" s="1341"/>
      <c r="M315" s="1341"/>
      <c r="N315" s="3" t="s">
        <v>1119</v>
      </c>
      <c r="O315" s="3"/>
      <c r="P315" s="1317"/>
      <c r="Q315" s="1317"/>
      <c r="R315" s="1317"/>
      <c r="S315" s="3"/>
      <c r="T315" s="3" t="s">
        <v>1117</v>
      </c>
      <c r="V315" s="3"/>
      <c r="W315" s="3"/>
      <c r="X315" s="3"/>
      <c r="Y315" s="3"/>
      <c r="AA315" s="1341" t="s">
        <v>1214</v>
      </c>
      <c r="AB315" s="1341"/>
      <c r="AC315" s="1341"/>
      <c r="AD315" s="1341"/>
      <c r="AE315" s="1341"/>
      <c r="AF315" s="1341"/>
      <c r="AG315" s="3" t="s">
        <v>1119</v>
      </c>
      <c r="AH315" s="3"/>
      <c r="AI315" s="1317"/>
      <c r="AJ315" s="1317"/>
      <c r="AK315" s="1317"/>
      <c r="BN315" s="3"/>
    </row>
    <row r="316" spans="2:66" ht="12.95" customHeight="1">
      <c r="B316" s="3" t="s">
        <v>1120</v>
      </c>
      <c r="C316" s="3"/>
      <c r="D316" s="3"/>
      <c r="E316" s="3"/>
      <c r="F316" s="3"/>
      <c r="G316" s="3"/>
      <c r="H316" s="1348"/>
      <c r="I316" s="1348"/>
      <c r="J316" s="1348"/>
      <c r="K316" s="1348"/>
      <c r="L316" s="1348"/>
      <c r="M316" s="1348"/>
      <c r="N316" s="3"/>
      <c r="O316" s="3"/>
      <c r="P316" s="85"/>
      <c r="Q316" s="85"/>
      <c r="R316" s="85"/>
      <c r="S316" s="3"/>
      <c r="T316" s="3" t="s">
        <v>1120</v>
      </c>
      <c r="V316" s="3"/>
      <c r="W316" s="3"/>
      <c r="X316" s="3"/>
      <c r="Y316" s="3"/>
      <c r="AA316" s="1348"/>
      <c r="AB316" s="1348"/>
      <c r="AC316" s="1348"/>
      <c r="AD316" s="1348"/>
      <c r="AE316" s="1348"/>
      <c r="AF316" s="1348"/>
      <c r="AG316" s="3"/>
      <c r="AH316" s="3"/>
      <c r="AI316" s="85"/>
      <c r="AJ316" s="85"/>
      <c r="AK316" s="85"/>
      <c r="BN316" s="3"/>
    </row>
    <row r="317" spans="2:66" ht="12.95" customHeight="1">
      <c r="B317" s="3" t="s">
        <v>1179</v>
      </c>
      <c r="C317" s="3"/>
      <c r="D317" s="3"/>
      <c r="E317" s="3"/>
      <c r="F317" s="3"/>
      <c r="G317" s="3"/>
      <c r="H317" s="1292" t="s">
        <v>1205</v>
      </c>
      <c r="I317" s="1292"/>
      <c r="J317" s="1292"/>
      <c r="K317" s="1292"/>
      <c r="L317" s="1292"/>
      <c r="M317" s="1292"/>
      <c r="N317" s="1232"/>
      <c r="O317" s="1232"/>
      <c r="P317" s="1232"/>
      <c r="Q317" s="1232"/>
      <c r="R317" s="1232"/>
      <c r="S317" s="3"/>
      <c r="T317" s="3" t="s">
        <v>1179</v>
      </c>
      <c r="V317" s="3"/>
      <c r="W317" s="3"/>
      <c r="X317" s="3"/>
      <c r="Y317" s="3"/>
      <c r="AA317" s="1292" t="s">
        <v>1215</v>
      </c>
      <c r="AB317" s="1292"/>
      <c r="AC317" s="1292"/>
      <c r="AD317" s="1292"/>
      <c r="AE317" s="1292"/>
      <c r="AF317" s="1292"/>
      <c r="AG317" s="1232"/>
      <c r="AH317" s="1232"/>
      <c r="AI317" s="1232"/>
      <c r="AJ317" s="1232"/>
      <c r="AK317" s="1232"/>
      <c r="BN317" s="3"/>
    </row>
    <row r="318" spans="2:66" ht="12.95" customHeight="1">
      <c r="BN318" s="3"/>
    </row>
    <row r="319" spans="2:66" ht="12.95" customHeight="1">
      <c r="B319" s="3" t="s">
        <v>1216</v>
      </c>
      <c r="C319" s="3"/>
      <c r="D319" s="3"/>
      <c r="E319" s="3"/>
      <c r="F319" s="3"/>
      <c r="H319" s="1232" t="s">
        <v>299</v>
      </c>
      <c r="I319" s="1232"/>
      <c r="J319" s="1232"/>
      <c r="K319" s="1232"/>
      <c r="L319" s="1232"/>
      <c r="M319" s="1232"/>
      <c r="N319" s="1232"/>
      <c r="O319" s="1232"/>
      <c r="P319" s="1232"/>
      <c r="Q319" s="1232"/>
      <c r="R319" s="1232"/>
      <c r="T319" s="3" t="s">
        <v>1217</v>
      </c>
      <c r="V319" s="3"/>
      <c r="W319" s="3"/>
      <c r="X319" s="3"/>
      <c r="Y319" s="3"/>
      <c r="AA319" s="1232" t="s">
        <v>1194</v>
      </c>
      <c r="AB319" s="1232"/>
      <c r="AC319" s="1232"/>
      <c r="AD319" s="1232"/>
      <c r="AE319" s="1232"/>
      <c r="AF319" s="1232"/>
      <c r="AG319" s="1232"/>
      <c r="AH319" s="1232"/>
      <c r="AI319" s="1232"/>
      <c r="AJ319" s="1232"/>
      <c r="AK319" s="1232"/>
      <c r="BN319" s="3"/>
    </row>
    <row r="320" spans="2:66" ht="12.95" customHeight="1">
      <c r="B320" s="3" t="s">
        <v>1172</v>
      </c>
      <c r="C320" s="3"/>
      <c r="D320" s="3"/>
      <c r="E320" s="3"/>
      <c r="F320" s="3"/>
      <c r="H320" s="1292"/>
      <c r="I320" s="1292"/>
      <c r="J320" s="1292"/>
      <c r="K320" s="1292"/>
      <c r="L320" s="1292"/>
      <c r="M320" s="1292"/>
      <c r="N320" s="1292"/>
      <c r="O320" s="1292"/>
      <c r="P320" s="1292"/>
      <c r="Q320" s="1292"/>
      <c r="R320" s="1292"/>
      <c r="T320" s="3" t="s">
        <v>1172</v>
      </c>
      <c r="V320" s="3"/>
      <c r="W320" s="3"/>
      <c r="X320" s="3"/>
      <c r="Y320" s="3"/>
      <c r="AA320" s="1292" t="s">
        <v>1218</v>
      </c>
      <c r="AB320" s="1292"/>
      <c r="AC320" s="1292"/>
      <c r="AD320" s="1292"/>
      <c r="AE320" s="1292"/>
      <c r="AF320" s="1292"/>
      <c r="AG320" s="1292"/>
      <c r="AH320" s="1292"/>
      <c r="AI320" s="1292"/>
      <c r="AJ320" s="1292"/>
      <c r="AK320" s="1292"/>
      <c r="BN320" s="3"/>
    </row>
    <row r="321" spans="2:66" ht="12.95" customHeight="1">
      <c r="B321" s="3" t="s">
        <v>1174</v>
      </c>
      <c r="C321" s="3"/>
      <c r="D321" s="3"/>
      <c r="E321" s="3"/>
      <c r="F321" s="3"/>
      <c r="H321" s="1292"/>
      <c r="I321" s="1292"/>
      <c r="J321" s="1292"/>
      <c r="K321" s="1292"/>
      <c r="L321" s="1292"/>
      <c r="M321" s="1292"/>
      <c r="N321" s="1292"/>
      <c r="O321" s="1292"/>
      <c r="P321" s="1292"/>
      <c r="Q321" s="1292"/>
      <c r="R321" s="1292"/>
      <c r="T321" s="3" t="s">
        <v>1176</v>
      </c>
      <c r="V321" s="3"/>
      <c r="W321" s="3"/>
      <c r="X321" s="3"/>
      <c r="Y321" s="3"/>
      <c r="AA321" s="1292" t="s">
        <v>1219</v>
      </c>
      <c r="AB321" s="1292"/>
      <c r="AC321" s="1292"/>
      <c r="AD321" s="1292"/>
      <c r="AE321" s="1292"/>
      <c r="AF321" s="1292"/>
      <c r="AG321" s="1292"/>
      <c r="AH321" s="1292"/>
      <c r="AI321" s="1292"/>
      <c r="AJ321" s="1292"/>
      <c r="AK321" s="1292"/>
      <c r="BN321" s="3"/>
    </row>
    <row r="322" spans="2:66" ht="12.95" customHeight="1">
      <c r="B322" s="3" t="s">
        <v>1115</v>
      </c>
      <c r="C322" s="3"/>
      <c r="D322" s="3"/>
      <c r="E322" s="3"/>
      <c r="F322" s="3"/>
      <c r="H322" s="1292"/>
      <c r="I322" s="1292"/>
      <c r="J322" s="1292"/>
      <c r="K322" s="1292"/>
      <c r="L322" s="1292"/>
      <c r="M322" s="1292"/>
      <c r="N322" s="1292"/>
      <c r="O322" s="1292"/>
      <c r="P322" s="1292"/>
      <c r="Q322" s="1292"/>
      <c r="R322" s="1292"/>
      <c r="T322" s="3" t="s">
        <v>1115</v>
      </c>
      <c r="V322" s="3"/>
      <c r="W322" s="3"/>
      <c r="X322" s="3"/>
      <c r="Y322" s="3"/>
      <c r="AA322" s="1292" t="s">
        <v>1220</v>
      </c>
      <c r="AB322" s="1292"/>
      <c r="AC322" s="1292"/>
      <c r="AD322" s="1292"/>
      <c r="AE322" s="1292"/>
      <c r="AF322" s="1292"/>
      <c r="AG322" s="1292"/>
      <c r="AH322" s="1292"/>
      <c r="AI322" s="1292"/>
      <c r="AJ322" s="1292"/>
      <c r="AK322" s="1292"/>
      <c r="BN322" s="3"/>
    </row>
    <row r="323" spans="2:66" ht="12.95" customHeight="1">
      <c r="B323" s="3" t="s">
        <v>1117</v>
      </c>
      <c r="C323" s="3"/>
      <c r="D323" s="3"/>
      <c r="E323" s="3"/>
      <c r="F323" s="3"/>
      <c r="G323" s="3"/>
      <c r="H323" s="1341"/>
      <c r="I323" s="1341"/>
      <c r="J323" s="1341"/>
      <c r="K323" s="1341"/>
      <c r="L323" s="1341"/>
      <c r="M323" s="1341"/>
      <c r="N323" s="3" t="s">
        <v>1119</v>
      </c>
      <c r="O323" s="3"/>
      <c r="P323" s="1317"/>
      <c r="Q323" s="1317"/>
      <c r="R323" s="1317"/>
      <c r="S323" s="3"/>
      <c r="T323" s="3" t="s">
        <v>1117</v>
      </c>
      <c r="V323" s="3"/>
      <c r="W323" s="3"/>
      <c r="X323" s="3"/>
      <c r="Y323" s="3"/>
      <c r="AA323" s="1341">
        <v>9133124612</v>
      </c>
      <c r="AB323" s="1341"/>
      <c r="AC323" s="1341"/>
      <c r="AD323" s="1341"/>
      <c r="AE323" s="1341"/>
      <c r="AF323" s="1341"/>
      <c r="AG323" s="3" t="s">
        <v>1119</v>
      </c>
      <c r="AH323" s="3"/>
      <c r="AI323" s="1317"/>
      <c r="AJ323" s="1317"/>
      <c r="AK323" s="1317"/>
    </row>
    <row r="324" spans="2:66" ht="12.95" customHeight="1">
      <c r="B324" s="3" t="s">
        <v>1120</v>
      </c>
      <c r="C324" s="3"/>
      <c r="D324" s="3"/>
      <c r="E324" s="3"/>
      <c r="F324" s="3"/>
      <c r="G324" s="3"/>
      <c r="H324" s="1348"/>
      <c r="I324" s="1348"/>
      <c r="J324" s="1348"/>
      <c r="K324" s="1348"/>
      <c r="L324" s="1348"/>
      <c r="M324" s="1348"/>
      <c r="N324" s="3"/>
      <c r="O324" s="3"/>
      <c r="P324" s="85"/>
      <c r="Q324" s="85"/>
      <c r="R324" s="85"/>
      <c r="S324" s="3"/>
      <c r="T324" s="3" t="s">
        <v>1120</v>
      </c>
      <c r="V324" s="3"/>
      <c r="W324" s="3"/>
      <c r="X324" s="3"/>
      <c r="Y324" s="3"/>
      <c r="AA324" s="1348"/>
      <c r="AB324" s="1348"/>
      <c r="AC324" s="1348"/>
      <c r="AD324" s="1348"/>
      <c r="AE324" s="1348"/>
      <c r="AF324" s="1348"/>
      <c r="AG324" s="3"/>
      <c r="AH324" s="3"/>
      <c r="AI324" s="85"/>
      <c r="AJ324" s="85"/>
      <c r="AK324" s="85"/>
    </row>
    <row r="325" spans="2:66" ht="12.95" customHeight="1">
      <c r="B325" s="3" t="s">
        <v>1179</v>
      </c>
      <c r="C325" s="3"/>
      <c r="D325" s="3"/>
      <c r="E325" s="3"/>
      <c r="F325" s="3"/>
      <c r="G325" s="3"/>
      <c r="H325" s="1292"/>
      <c r="I325" s="1292"/>
      <c r="J325" s="1292"/>
      <c r="K325" s="1292"/>
      <c r="L325" s="1292"/>
      <c r="M325" s="1292"/>
      <c r="N325" s="1232"/>
      <c r="O325" s="1232"/>
      <c r="P325" s="1232"/>
      <c r="Q325" s="1232"/>
      <c r="R325" s="1232"/>
      <c r="S325" s="3"/>
      <c r="T325" s="3" t="s">
        <v>1179</v>
      </c>
      <c r="V325" s="3"/>
      <c r="W325" s="3"/>
      <c r="X325" s="3"/>
      <c r="Y325" s="3"/>
      <c r="AA325" s="1292" t="s">
        <v>1221</v>
      </c>
      <c r="AB325" s="1292"/>
      <c r="AC325" s="1292"/>
      <c r="AD325" s="1292"/>
      <c r="AE325" s="1292"/>
      <c r="AF325" s="1292"/>
      <c r="AG325" s="1232"/>
      <c r="AH325" s="1232"/>
      <c r="AI325" s="1232"/>
      <c r="AJ325" s="1232"/>
      <c r="AK325" s="1232"/>
    </row>
    <row r="326" spans="2:66" ht="12.95" customHeight="1">
      <c r="B326" s="3"/>
      <c r="C326" s="3"/>
      <c r="D326" s="3"/>
      <c r="E326" s="3"/>
      <c r="F326" s="3"/>
      <c r="G326" s="3"/>
      <c r="P326" s="2413"/>
      <c r="Q326" s="2413"/>
      <c r="R326" s="2413"/>
      <c r="S326" s="2413"/>
      <c r="T326" s="2413"/>
      <c r="U326" s="2413"/>
      <c r="V326" s="3"/>
      <c r="W326" s="3"/>
      <c r="X326" s="85"/>
      <c r="Y326" s="85"/>
      <c r="Z326" s="85"/>
    </row>
    <row r="327" spans="2:66" ht="12.95" customHeight="1">
      <c r="B327" s="3" t="s">
        <v>1222</v>
      </c>
      <c r="C327" s="3"/>
      <c r="D327" s="3"/>
      <c r="E327" s="3"/>
      <c r="F327" s="3"/>
      <c r="H327" s="1232" t="s">
        <v>1194</v>
      </c>
      <c r="I327" s="1232"/>
      <c r="J327" s="1232"/>
      <c r="K327" s="1232"/>
      <c r="L327" s="1232"/>
      <c r="M327" s="1232"/>
      <c r="N327" s="1232"/>
      <c r="O327" s="1232"/>
      <c r="P327" s="1232"/>
      <c r="Q327" s="1232"/>
      <c r="R327" s="1232"/>
      <c r="T327" s="3" t="s">
        <v>1223</v>
      </c>
      <c r="V327" s="3"/>
      <c r="W327" s="3"/>
      <c r="X327" s="3"/>
      <c r="Y327" s="3"/>
      <c r="AA327" s="1232" t="s">
        <v>299</v>
      </c>
      <c r="AB327" s="1232"/>
      <c r="AC327" s="1232"/>
      <c r="AD327" s="1232"/>
      <c r="AE327" s="1232"/>
      <c r="AF327" s="1232"/>
      <c r="AG327" s="1232"/>
      <c r="AH327" s="1232"/>
      <c r="AI327" s="1232"/>
      <c r="AJ327" s="1232"/>
      <c r="AK327" s="1232"/>
    </row>
    <row r="328" spans="2:66" ht="12.95" customHeight="1">
      <c r="B328" s="3" t="s">
        <v>1172</v>
      </c>
      <c r="C328" s="3"/>
      <c r="D328" s="3"/>
      <c r="E328" s="3"/>
      <c r="F328" s="3"/>
      <c r="H328" s="1292" t="s">
        <v>1218</v>
      </c>
      <c r="I328" s="1292"/>
      <c r="J328" s="1292"/>
      <c r="K328" s="1292"/>
      <c r="L328" s="1292"/>
      <c r="M328" s="1292"/>
      <c r="N328" s="1292"/>
      <c r="O328" s="1292"/>
      <c r="P328" s="1292"/>
      <c r="Q328" s="1292"/>
      <c r="R328" s="1292"/>
      <c r="T328" s="3" t="s">
        <v>1172</v>
      </c>
      <c r="V328" s="3"/>
      <c r="W328" s="3"/>
      <c r="X328" s="3"/>
      <c r="Y328" s="3"/>
      <c r="AA328" s="1292"/>
      <c r="AB328" s="1292"/>
      <c r="AC328" s="1292"/>
      <c r="AD328" s="1292"/>
      <c r="AE328" s="1292"/>
      <c r="AF328" s="1292"/>
      <c r="AG328" s="1292"/>
      <c r="AH328" s="1292"/>
      <c r="AI328" s="1292"/>
      <c r="AJ328" s="1292"/>
      <c r="AK328" s="1292"/>
    </row>
    <row r="329" spans="2:66" ht="12.95" customHeight="1">
      <c r="B329" s="3" t="s">
        <v>1174</v>
      </c>
      <c r="C329" s="3"/>
      <c r="D329" s="3"/>
      <c r="E329" s="3"/>
      <c r="F329" s="3"/>
      <c r="H329" s="1292" t="s">
        <v>1219</v>
      </c>
      <c r="I329" s="1292"/>
      <c r="J329" s="1292"/>
      <c r="K329" s="1292"/>
      <c r="L329" s="1292"/>
      <c r="M329" s="1292"/>
      <c r="N329" s="1292"/>
      <c r="O329" s="1292"/>
      <c r="P329" s="1292"/>
      <c r="Q329" s="1292"/>
      <c r="R329" s="1292"/>
      <c r="T329" s="3" t="s">
        <v>1176</v>
      </c>
      <c r="V329" s="3"/>
      <c r="W329" s="3"/>
      <c r="X329" s="3"/>
      <c r="Y329" s="3"/>
      <c r="AA329" s="1292"/>
      <c r="AB329" s="1292"/>
      <c r="AC329" s="1292"/>
      <c r="AD329" s="1292"/>
      <c r="AE329" s="1292"/>
      <c r="AF329" s="1292"/>
      <c r="AG329" s="1292"/>
      <c r="AH329" s="1292"/>
      <c r="AI329" s="1292"/>
      <c r="AJ329" s="1292"/>
      <c r="AK329" s="1292"/>
    </row>
    <row r="330" spans="2:66" ht="12.95" customHeight="1">
      <c r="B330" s="3" t="s">
        <v>1115</v>
      </c>
      <c r="C330" s="3"/>
      <c r="D330" s="3"/>
      <c r="E330" s="3"/>
      <c r="F330" s="3"/>
      <c r="H330" s="1292" t="s">
        <v>1224</v>
      </c>
      <c r="I330" s="1292"/>
      <c r="J330" s="1292"/>
      <c r="K330" s="1292"/>
      <c r="L330" s="1292"/>
      <c r="M330" s="1292"/>
      <c r="N330" s="1292"/>
      <c r="O330" s="1292"/>
      <c r="P330" s="1292"/>
      <c r="Q330" s="1292"/>
      <c r="R330" s="1292"/>
      <c r="T330" s="3" t="s">
        <v>1115</v>
      </c>
      <c r="V330" s="3"/>
      <c r="W330" s="3"/>
      <c r="X330" s="3"/>
      <c r="Y330" s="3"/>
      <c r="AA330" s="1292"/>
      <c r="AB330" s="1292"/>
      <c r="AC330" s="1292"/>
      <c r="AD330" s="1292"/>
      <c r="AE330" s="1292"/>
      <c r="AF330" s="1292"/>
      <c r="AG330" s="1292"/>
      <c r="AH330" s="1292"/>
      <c r="AI330" s="1292"/>
      <c r="AJ330" s="1292"/>
      <c r="AK330" s="1292"/>
    </row>
    <row r="331" spans="2:66" ht="12.95" customHeight="1">
      <c r="B331" s="3" t="s">
        <v>1117</v>
      </c>
      <c r="C331" s="3"/>
      <c r="D331" s="3"/>
      <c r="E331" s="3"/>
      <c r="F331" s="3"/>
      <c r="G331" s="3"/>
      <c r="H331" s="1341">
        <f>AA323</f>
        <v>9133124612</v>
      </c>
      <c r="I331" s="1341"/>
      <c r="J331" s="1341"/>
      <c r="K331" s="1341"/>
      <c r="L331" s="1341"/>
      <c r="M331" s="1341"/>
      <c r="N331" s="3" t="s">
        <v>1119</v>
      </c>
      <c r="O331" s="3"/>
      <c r="P331" s="1317"/>
      <c r="Q331" s="1317"/>
      <c r="R331" s="1317"/>
      <c r="S331" s="3"/>
      <c r="T331" s="3" t="s">
        <v>1117</v>
      </c>
      <c r="V331" s="3"/>
      <c r="W331" s="3"/>
      <c r="X331" s="3"/>
      <c r="Y331" s="3"/>
      <c r="AA331" s="1341"/>
      <c r="AB331" s="1341"/>
      <c r="AC331" s="1341"/>
      <c r="AD331" s="1341"/>
      <c r="AE331" s="1341"/>
      <c r="AF331" s="1341"/>
      <c r="AG331" s="3" t="s">
        <v>1119</v>
      </c>
      <c r="AH331" s="3"/>
      <c r="AI331" s="1317"/>
      <c r="AJ331" s="1317"/>
      <c r="AK331" s="1317"/>
    </row>
    <row r="332" spans="2:66" ht="12.95" customHeight="1">
      <c r="B332" s="3" t="s">
        <v>1120</v>
      </c>
      <c r="C332" s="3"/>
      <c r="D332" s="3"/>
      <c r="E332" s="3"/>
      <c r="F332" s="3"/>
      <c r="G332" s="3"/>
      <c r="H332" s="1348"/>
      <c r="I332" s="1348"/>
      <c r="J332" s="1348"/>
      <c r="K332" s="1348"/>
      <c r="L332" s="1348"/>
      <c r="M332" s="1348"/>
      <c r="N332" s="3"/>
      <c r="O332" s="3"/>
      <c r="P332" s="85"/>
      <c r="Q332" s="85"/>
      <c r="R332" s="85"/>
      <c r="S332" s="3"/>
      <c r="T332" s="3" t="s">
        <v>1120</v>
      </c>
      <c r="V332" s="3"/>
      <c r="W332" s="3"/>
      <c r="X332" s="3"/>
      <c r="Y332" s="3"/>
      <c r="AA332" s="1348"/>
      <c r="AB332" s="1348"/>
      <c r="AC332" s="1348"/>
      <c r="AD332" s="1348"/>
      <c r="AE332" s="1348"/>
      <c r="AF332" s="1348"/>
      <c r="AG332" s="3"/>
      <c r="AH332" s="3"/>
      <c r="AI332" s="85"/>
      <c r="AJ332" s="85"/>
      <c r="AK332" s="85"/>
    </row>
    <row r="333" spans="2:66" ht="12.95" customHeight="1">
      <c r="B333" s="3" t="s">
        <v>1179</v>
      </c>
      <c r="C333" s="3"/>
      <c r="D333" s="3"/>
      <c r="E333" s="3"/>
      <c r="F333" s="3"/>
      <c r="G333" s="3"/>
      <c r="H333" s="1292" t="str">
        <f>AA325</f>
        <v>Rachel.denton@novoco.com</v>
      </c>
      <c r="I333" s="1292"/>
      <c r="J333" s="1292"/>
      <c r="K333" s="1292"/>
      <c r="L333" s="1292"/>
      <c r="M333" s="1292"/>
      <c r="N333" s="1232"/>
      <c r="O333" s="1232"/>
      <c r="P333" s="1232"/>
      <c r="Q333" s="1232"/>
      <c r="R333" s="1232"/>
      <c r="S333" s="3"/>
      <c r="T333" s="3" t="s">
        <v>1179</v>
      </c>
      <c r="V333" s="3"/>
      <c r="W333" s="3"/>
      <c r="X333" s="3"/>
      <c r="Y333" s="3"/>
      <c r="AA333" s="1292"/>
      <c r="AB333" s="1292"/>
      <c r="AC333" s="1292"/>
      <c r="AD333" s="1292"/>
      <c r="AE333" s="1292"/>
      <c r="AF333" s="1292"/>
      <c r="AG333" s="1232"/>
      <c r="AH333" s="1232"/>
      <c r="AI333" s="1232"/>
      <c r="AJ333" s="1232"/>
      <c r="AK333" s="1232"/>
    </row>
    <row r="334" spans="2:66" ht="12.95" customHeight="1">
      <c r="B334" s="3"/>
      <c r="C334" s="3"/>
      <c r="D334" s="3"/>
      <c r="E334" s="3"/>
      <c r="F334" s="3"/>
      <c r="G334" s="3"/>
      <c r="P334" s="2413"/>
      <c r="Q334" s="2413"/>
      <c r="R334" s="2413"/>
      <c r="S334" s="2413"/>
      <c r="T334" s="2413"/>
      <c r="U334" s="2413"/>
      <c r="V334" s="3"/>
      <c r="W334" s="3"/>
      <c r="X334" s="85"/>
      <c r="Y334" s="85"/>
      <c r="Z334" s="85"/>
    </row>
    <row r="335" spans="2:66" ht="12.95" customHeight="1">
      <c r="B335" s="3" t="s">
        <v>1225</v>
      </c>
      <c r="C335" s="3"/>
      <c r="D335" s="3"/>
      <c r="E335" s="3"/>
      <c r="F335" s="3"/>
      <c r="H335" s="1232" t="s">
        <v>1226</v>
      </c>
      <c r="I335" s="1232"/>
      <c r="J335" s="1232"/>
      <c r="K335" s="1232"/>
      <c r="L335" s="1232"/>
      <c r="M335" s="1232"/>
      <c r="N335" s="1232"/>
      <c r="O335" s="1232"/>
      <c r="P335" s="1232"/>
      <c r="Q335" s="1232"/>
      <c r="R335" s="1232"/>
      <c r="T335" s="143" t="s">
        <v>1227</v>
      </c>
      <c r="V335" s="3"/>
      <c r="W335" s="3"/>
      <c r="X335" s="3"/>
      <c r="Y335" s="3"/>
      <c r="AA335" s="1232" t="s">
        <v>1228</v>
      </c>
      <c r="AB335" s="1232"/>
      <c r="AC335" s="1232"/>
      <c r="AD335" s="1232"/>
      <c r="AE335" s="1232"/>
      <c r="AF335" s="1232"/>
      <c r="AG335" s="1232"/>
      <c r="AH335" s="1232"/>
      <c r="AI335" s="1232"/>
      <c r="AJ335" s="1232"/>
      <c r="AK335" s="1232"/>
    </row>
    <row r="336" spans="2:66" ht="12.95" customHeight="1">
      <c r="B336" s="3" t="s">
        <v>1172</v>
      </c>
      <c r="C336" s="3"/>
      <c r="D336" s="3"/>
      <c r="E336" s="3"/>
      <c r="F336" s="3"/>
      <c r="H336" s="1292" t="s">
        <v>1229</v>
      </c>
      <c r="I336" s="1292"/>
      <c r="J336" s="1292"/>
      <c r="K336" s="1292"/>
      <c r="L336" s="1292"/>
      <c r="M336" s="1292"/>
      <c r="N336" s="1292"/>
      <c r="O336" s="1292"/>
      <c r="P336" s="1292"/>
      <c r="Q336" s="1292"/>
      <c r="R336" s="1292"/>
      <c r="T336" s="3" t="s">
        <v>1172</v>
      </c>
      <c r="V336" s="3"/>
      <c r="W336" s="3"/>
      <c r="X336" s="3"/>
      <c r="Y336" s="3"/>
      <c r="AA336" s="1292" t="s">
        <v>1230</v>
      </c>
      <c r="AB336" s="1292"/>
      <c r="AC336" s="1292"/>
      <c r="AD336" s="1292"/>
      <c r="AE336" s="1292"/>
      <c r="AF336" s="1292"/>
      <c r="AG336" s="1292"/>
      <c r="AH336" s="1292"/>
      <c r="AI336" s="1292"/>
      <c r="AJ336" s="1292"/>
      <c r="AK336" s="1292"/>
    </row>
    <row r="337" spans="1:66" ht="12.95" customHeight="1">
      <c r="B337" s="3" t="s">
        <v>1176</v>
      </c>
      <c r="C337" s="3"/>
      <c r="D337" s="3"/>
      <c r="E337" s="3"/>
      <c r="F337" s="3"/>
      <c r="H337" s="1292" t="s">
        <v>1231</v>
      </c>
      <c r="I337" s="1292"/>
      <c r="J337" s="1292"/>
      <c r="K337" s="1292"/>
      <c r="L337" s="1292"/>
      <c r="M337" s="1292"/>
      <c r="N337" s="1292"/>
      <c r="O337" s="1292"/>
      <c r="P337" s="1292"/>
      <c r="Q337" s="1292"/>
      <c r="R337" s="1292"/>
      <c r="T337" s="3" t="s">
        <v>1176</v>
      </c>
      <c r="V337" s="3"/>
      <c r="W337" s="3"/>
      <c r="X337" s="3"/>
      <c r="Y337" s="3"/>
      <c r="AA337" s="1292" t="s">
        <v>1232</v>
      </c>
      <c r="AB337" s="1292"/>
      <c r="AC337" s="1292"/>
      <c r="AD337" s="1292"/>
      <c r="AE337" s="1292"/>
      <c r="AF337" s="1292"/>
      <c r="AG337" s="1292"/>
      <c r="AH337" s="1292"/>
      <c r="AI337" s="1292"/>
      <c r="AJ337" s="1292"/>
      <c r="AK337" s="1292"/>
    </row>
    <row r="338" spans="1:66" ht="12.95" customHeight="1">
      <c r="B338" s="3" t="s">
        <v>1115</v>
      </c>
      <c r="C338" s="3"/>
      <c r="D338" s="3"/>
      <c r="E338" s="3"/>
      <c r="F338" s="3"/>
      <c r="G338" s="3"/>
      <c r="H338" s="1292" t="s">
        <v>1233</v>
      </c>
      <c r="I338" s="1292"/>
      <c r="J338" s="1292"/>
      <c r="K338" s="1292"/>
      <c r="L338" s="1292"/>
      <c r="M338" s="1292"/>
      <c r="N338" s="1292"/>
      <c r="O338" s="1292"/>
      <c r="P338" s="1292"/>
      <c r="Q338" s="1292"/>
      <c r="R338" s="1292"/>
      <c r="T338" s="3" t="s">
        <v>1115</v>
      </c>
      <c r="V338" s="3"/>
      <c r="W338" s="3"/>
      <c r="X338" s="3"/>
      <c r="Y338" s="3"/>
      <c r="AA338" s="1292" t="s">
        <v>1234</v>
      </c>
      <c r="AB338" s="1292"/>
      <c r="AC338" s="1292"/>
      <c r="AD338" s="1292"/>
      <c r="AE338" s="1292"/>
      <c r="AF338" s="1292"/>
      <c r="AG338" s="1292"/>
      <c r="AH338" s="1292"/>
      <c r="AI338" s="1292"/>
      <c r="AJ338" s="1292"/>
      <c r="AK338" s="1292"/>
    </row>
    <row r="339" spans="1:66" ht="12.95" customHeight="1">
      <c r="B339" s="3" t="s">
        <v>1117</v>
      </c>
      <c r="C339" s="3"/>
      <c r="D339" s="3"/>
      <c r="E339" s="3"/>
      <c r="F339" s="3"/>
      <c r="G339" s="3"/>
      <c r="H339" s="1341" t="s">
        <v>1235</v>
      </c>
      <c r="I339" s="1341"/>
      <c r="J339" s="1341"/>
      <c r="K339" s="1341"/>
      <c r="L339" s="1341"/>
      <c r="M339" s="1341"/>
      <c r="N339" s="3" t="s">
        <v>1119</v>
      </c>
      <c r="O339" s="3"/>
      <c r="P339" s="1317"/>
      <c r="Q339" s="1317"/>
      <c r="R339" s="1317"/>
      <c r="S339" s="3"/>
      <c r="T339" s="3" t="s">
        <v>1117</v>
      </c>
      <c r="V339" s="3"/>
      <c r="W339" s="3"/>
      <c r="X339" s="3"/>
      <c r="Y339" s="3"/>
      <c r="AA339" s="1341">
        <v>7605919737</v>
      </c>
      <c r="AB339" s="1341"/>
      <c r="AC339" s="1341"/>
      <c r="AD339" s="1341"/>
      <c r="AE339" s="1341"/>
      <c r="AF339" s="1341"/>
      <c r="AG339" s="3" t="s">
        <v>1119</v>
      </c>
      <c r="AH339" s="3"/>
      <c r="AI339" s="1317"/>
      <c r="AJ339" s="1317"/>
      <c r="AK339" s="1317"/>
    </row>
    <row r="340" spans="1:66" ht="12.95" customHeight="1">
      <c r="B340" s="3" t="s">
        <v>1120</v>
      </c>
      <c r="C340" s="3"/>
      <c r="D340" s="3"/>
      <c r="E340" s="3"/>
      <c r="F340" s="3"/>
      <c r="G340" s="3"/>
      <c r="H340" s="1348"/>
      <c r="I340" s="1348"/>
      <c r="J340" s="1348"/>
      <c r="K340" s="1348"/>
      <c r="L340" s="1348"/>
      <c r="M340" s="1348"/>
      <c r="N340" s="3"/>
      <c r="O340" s="3"/>
      <c r="P340" s="85"/>
      <c r="Q340" s="85"/>
      <c r="R340" s="85"/>
      <c r="S340" s="3"/>
      <c r="T340" s="3" t="s">
        <v>1120</v>
      </c>
      <c r="V340" s="3"/>
      <c r="W340" s="3"/>
      <c r="X340" s="3"/>
      <c r="Y340" s="3"/>
      <c r="AA340" s="1348"/>
      <c r="AB340" s="1348"/>
      <c r="AC340" s="1348"/>
      <c r="AD340" s="1348"/>
      <c r="AE340" s="1348"/>
      <c r="AF340" s="1348"/>
      <c r="AG340" s="3"/>
      <c r="AH340" s="3"/>
      <c r="AI340" s="85"/>
      <c r="AJ340" s="85"/>
      <c r="AK340" s="85"/>
    </row>
    <row r="341" spans="1:66" ht="12.95" customHeight="1">
      <c r="B341" s="3" t="s">
        <v>1179</v>
      </c>
      <c r="C341" s="3"/>
      <c r="D341" s="3"/>
      <c r="E341" s="3"/>
      <c r="F341" s="3"/>
      <c r="G341" s="3"/>
      <c r="H341" s="1292" t="s">
        <v>1236</v>
      </c>
      <c r="I341" s="1292"/>
      <c r="J341" s="1292"/>
      <c r="K341" s="1292"/>
      <c r="L341" s="1292"/>
      <c r="M341" s="1292"/>
      <c r="N341" s="1232"/>
      <c r="O341" s="1232"/>
      <c r="P341" s="1232"/>
      <c r="Q341" s="1232"/>
      <c r="R341" s="1232"/>
      <c r="S341" s="3"/>
      <c r="T341" s="3" t="s">
        <v>1179</v>
      </c>
      <c r="V341" s="3"/>
      <c r="W341" s="3"/>
      <c r="X341" s="3"/>
      <c r="Y341" s="3"/>
      <c r="AA341" s="1292" t="s">
        <v>1237</v>
      </c>
      <c r="AB341" s="1292"/>
      <c r="AC341" s="1292"/>
      <c r="AD341" s="1292"/>
      <c r="AE341" s="1292"/>
      <c r="AF341" s="1292"/>
      <c r="AG341" s="1232"/>
      <c r="AH341" s="1232"/>
      <c r="AI341" s="1232"/>
      <c r="AJ341" s="1232"/>
      <c r="AK341" s="1232"/>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299</v>
      </c>
    </row>
    <row r="343" spans="1:66" ht="12.95" customHeight="1">
      <c r="B343" s="3"/>
      <c r="C343" s="3"/>
      <c r="D343" s="3"/>
      <c r="E343" s="3"/>
      <c r="F343" s="3"/>
      <c r="I343" s="143" t="s">
        <v>1238</v>
      </c>
      <c r="P343" s="1232" t="s">
        <v>299</v>
      </c>
      <c r="Q343" s="1232"/>
      <c r="R343" s="1232"/>
      <c r="S343" s="1232"/>
      <c r="T343" s="1232"/>
      <c r="U343" s="1232"/>
      <c r="V343" s="1232"/>
      <c r="W343" s="1232"/>
      <c r="X343" s="1232"/>
      <c r="Y343" s="1232"/>
      <c r="Z343" s="1232"/>
      <c r="AA343" s="1232"/>
      <c r="AB343" s="1232"/>
      <c r="AC343" s="1232"/>
      <c r="AD343" s="1232"/>
      <c r="AE343" s="1232"/>
      <c r="BN343" t="s">
        <v>894</v>
      </c>
    </row>
    <row r="344" spans="1:66" ht="12.95" customHeight="1">
      <c r="B344" s="3"/>
      <c r="C344" s="3"/>
      <c r="D344" s="3"/>
      <c r="E344" s="3"/>
      <c r="F344" s="3"/>
      <c r="I344" s="3" t="s">
        <v>1172</v>
      </c>
      <c r="P344" s="1292"/>
      <c r="Q344" s="1292"/>
      <c r="R344" s="1292"/>
      <c r="S344" s="1292"/>
      <c r="T344" s="1292"/>
      <c r="U344" s="1292"/>
      <c r="V344" s="1292"/>
      <c r="W344" s="1292"/>
      <c r="X344" s="1292"/>
      <c r="Y344" s="1292"/>
      <c r="Z344" s="1292"/>
      <c r="AA344" s="1292"/>
      <c r="AB344" s="1292"/>
      <c r="AC344" s="1292"/>
      <c r="AD344" s="1292"/>
      <c r="AE344" s="1292"/>
      <c r="BN344" t="s">
        <v>837</v>
      </c>
    </row>
    <row r="345" spans="1:66" ht="12.95" customHeight="1">
      <c r="B345" s="3"/>
      <c r="C345" s="3"/>
      <c r="D345" s="3"/>
      <c r="E345" s="3"/>
      <c r="F345" s="3"/>
      <c r="I345" s="3" t="s">
        <v>1176</v>
      </c>
      <c r="P345" s="1292"/>
      <c r="Q345" s="1292"/>
      <c r="R345" s="1292"/>
      <c r="S345" s="1292"/>
      <c r="T345" s="1292"/>
      <c r="U345" s="1292"/>
      <c r="V345" s="1292"/>
      <c r="W345" s="1292"/>
      <c r="X345" s="1292"/>
      <c r="Y345" s="1292"/>
      <c r="Z345" s="1292"/>
      <c r="AA345" s="1292"/>
      <c r="AB345" s="1292"/>
      <c r="AC345" s="1292"/>
      <c r="AD345" s="1292"/>
      <c r="AE345" s="1292"/>
    </row>
    <row r="346" spans="1:66" ht="12.95" customHeight="1">
      <c r="B346" s="3"/>
      <c r="C346" s="3"/>
      <c r="D346" s="3"/>
      <c r="E346" s="3"/>
      <c r="F346" s="3"/>
      <c r="G346" s="3"/>
      <c r="I346" s="3" t="s">
        <v>1115</v>
      </c>
      <c r="P346" s="1292"/>
      <c r="Q346" s="1292"/>
      <c r="R346" s="1292"/>
      <c r="S346" s="1292"/>
      <c r="T346" s="1292"/>
      <c r="U346" s="1292"/>
      <c r="V346" s="1292"/>
      <c r="W346" s="1292"/>
      <c r="X346" s="1292"/>
      <c r="Y346" s="1292"/>
      <c r="Z346" s="1292"/>
      <c r="AA346" s="1292"/>
      <c r="AB346" s="1292"/>
      <c r="AC346" s="1292"/>
      <c r="AD346" s="1292"/>
      <c r="AE346" s="1292"/>
    </row>
    <row r="347" spans="1:66" ht="12.95" customHeight="1">
      <c r="B347" s="3"/>
      <c r="C347" s="3"/>
      <c r="D347" s="3"/>
      <c r="E347" s="3"/>
      <c r="F347" s="3"/>
      <c r="G347" s="3"/>
      <c r="H347" s="2414"/>
      <c r="I347" s="3" t="s">
        <v>1117</v>
      </c>
      <c r="P347" s="1348"/>
      <c r="Q347" s="1348"/>
      <c r="R347" s="1348"/>
      <c r="S347" s="1348"/>
      <c r="T347" s="1348"/>
      <c r="U347" s="1348"/>
      <c r="V347" s="1348"/>
      <c r="W347" s="1348"/>
      <c r="X347" s="1348"/>
      <c r="Y347" s="1348"/>
      <c r="Z347" s="1348"/>
      <c r="AA347" s="3" t="s">
        <v>1119</v>
      </c>
      <c r="AB347" s="3"/>
      <c r="AC347" s="1309"/>
      <c r="AD347" s="1309"/>
      <c r="AE347" s="1309"/>
      <c r="AF347" s="2414"/>
      <c r="AG347" s="3"/>
      <c r="AH347" s="3"/>
      <c r="AI347" s="3"/>
      <c r="AJ347" s="3"/>
      <c r="AK347" s="3"/>
    </row>
    <row r="348" spans="1:66" ht="12.95" customHeight="1">
      <c r="B348" s="3"/>
      <c r="C348" s="3"/>
      <c r="D348" s="3"/>
      <c r="E348" s="3"/>
      <c r="F348" s="3"/>
      <c r="G348" s="3"/>
      <c r="H348" s="2414"/>
      <c r="I348" s="3" t="s">
        <v>1120</v>
      </c>
      <c r="P348" s="1348"/>
      <c r="Q348" s="1348"/>
      <c r="R348" s="1348"/>
      <c r="S348" s="1348"/>
      <c r="T348" s="1348"/>
      <c r="U348" s="1348"/>
      <c r="V348" s="1348"/>
      <c r="W348" s="1348"/>
      <c r="X348" s="1348"/>
      <c r="Y348" s="1348"/>
      <c r="Z348" s="1348"/>
      <c r="AF348" s="2414"/>
      <c r="AG348" s="3"/>
      <c r="AH348" s="3"/>
      <c r="AI348" s="85"/>
      <c r="AJ348" s="85"/>
      <c r="AK348" s="85"/>
    </row>
    <row r="349" spans="1:66" ht="12.95" customHeight="1">
      <c r="B349" s="3"/>
      <c r="C349" s="3"/>
      <c r="D349" s="3"/>
      <c r="E349" s="3"/>
      <c r="F349" s="3"/>
      <c r="G349" s="3"/>
      <c r="I349" s="3" t="s">
        <v>1179</v>
      </c>
      <c r="P349" s="1232"/>
      <c r="Q349" s="1232"/>
      <c r="R349" s="1232"/>
      <c r="S349" s="1232"/>
      <c r="T349" s="1232"/>
      <c r="U349" s="1232"/>
      <c r="V349" s="1232"/>
      <c r="W349" s="1232"/>
      <c r="X349" s="1232"/>
      <c r="Y349" s="1232"/>
      <c r="Z349" s="1232"/>
      <c r="AA349" s="1232"/>
      <c r="AB349" s="1232"/>
      <c r="AC349" s="1232"/>
      <c r="AD349" s="1232"/>
      <c r="AE349" s="1232"/>
    </row>
    <row r="350" spans="1:66" ht="12.95" customHeight="1">
      <c r="T350" s="8"/>
      <c r="U350" s="8"/>
      <c r="V350" s="8"/>
      <c r="W350" s="8"/>
      <c r="X350" s="8"/>
      <c r="Y350" s="8"/>
      <c r="Z350" s="8"/>
      <c r="AU350" s="71"/>
      <c r="AV350" s="71"/>
      <c r="AW350" s="71"/>
      <c r="AX350" s="71"/>
      <c r="AY350" s="71"/>
    </row>
    <row r="351" spans="1:66" ht="12.95" customHeight="1">
      <c r="A351" s="1437" t="s">
        <v>1239</v>
      </c>
      <c r="B351" s="1437"/>
      <c r="C351" s="1437"/>
      <c r="D351" s="1437"/>
      <c r="E351" s="1437"/>
      <c r="F351" s="1437"/>
      <c r="G351" s="1437"/>
      <c r="H351" s="1437"/>
      <c r="I351" s="1437"/>
      <c r="J351" s="1437"/>
      <c r="K351" s="1437"/>
      <c r="L351" s="1437"/>
      <c r="M351" s="1437"/>
      <c r="N351" s="1437"/>
      <c r="O351" s="1437"/>
      <c r="P351" s="1437"/>
      <c r="Q351" s="1437"/>
      <c r="R351" s="1437"/>
      <c r="S351" s="1437"/>
      <c r="T351" s="1437"/>
      <c r="U351" s="1437"/>
      <c r="V351" s="1437"/>
      <c r="W351" s="1437"/>
      <c r="X351" s="1437"/>
      <c r="Y351" s="1437"/>
      <c r="Z351" s="1437"/>
      <c r="AA351" s="1437"/>
      <c r="AB351" s="1437"/>
      <c r="AC351" s="1437"/>
      <c r="AD351" s="1437"/>
      <c r="AE351" s="1437"/>
      <c r="AF351" s="1437"/>
      <c r="AG351" s="1437"/>
      <c r="AH351" s="1437"/>
      <c r="AI351" s="1437"/>
      <c r="AJ351" s="1437"/>
      <c r="AK351" s="1437"/>
      <c r="AL351" s="1437"/>
      <c r="AM351" s="1437"/>
      <c r="AN351" s="1437"/>
      <c r="AO351" s="1437"/>
      <c r="AP351" s="1437"/>
      <c r="AQ351" s="1437"/>
      <c r="AR351" s="1437"/>
      <c r="AS351" s="1437"/>
      <c r="AT351" s="1437"/>
      <c r="AU351" s="71"/>
      <c r="AV351" s="71"/>
      <c r="AW351" s="71"/>
      <c r="AX351" s="71"/>
      <c r="AY351" s="71"/>
    </row>
    <row r="352" spans="1:66" ht="12.95" customHeight="1">
      <c r="A352" s="1437"/>
      <c r="B352" s="1437"/>
      <c r="C352" s="1437"/>
      <c r="D352" s="1437"/>
      <c r="E352" s="1437"/>
      <c r="F352" s="1437"/>
      <c r="G352" s="1437"/>
      <c r="H352" s="1437"/>
      <c r="I352" s="1437"/>
      <c r="J352" s="1437"/>
      <c r="K352" s="1437"/>
      <c r="L352" s="1437"/>
      <c r="M352" s="1437"/>
      <c r="N352" s="1437"/>
      <c r="O352" s="1437"/>
      <c r="P352" s="1437"/>
      <c r="Q352" s="1437"/>
      <c r="R352" s="1437"/>
      <c r="S352" s="1437"/>
      <c r="T352" s="1437"/>
      <c r="U352" s="1437"/>
      <c r="V352" s="1437"/>
      <c r="W352" s="1437"/>
      <c r="X352" s="1437"/>
      <c r="Y352" s="1437"/>
      <c r="Z352" s="1437"/>
      <c r="AA352" s="1437"/>
      <c r="AB352" s="1437"/>
      <c r="AC352" s="1437"/>
      <c r="AD352" s="1437"/>
      <c r="AE352" s="1437"/>
      <c r="AF352" s="1437"/>
      <c r="AG352" s="1437"/>
      <c r="AH352" s="1437"/>
      <c r="AI352" s="1437"/>
      <c r="AJ352" s="1437"/>
      <c r="AK352" s="1437"/>
      <c r="AL352" s="1437"/>
      <c r="AM352" s="1437"/>
      <c r="AN352" s="1437"/>
      <c r="AO352" s="1437"/>
      <c r="AP352" s="1437"/>
      <c r="AQ352" s="1437"/>
      <c r="AR352" s="1437"/>
      <c r="AS352" s="1437"/>
      <c r="AT352" s="1437"/>
      <c r="AU352" s="22"/>
      <c r="AV352" s="22"/>
      <c r="AW352" s="22"/>
      <c r="AX352" s="22"/>
      <c r="AY352" s="22"/>
    </row>
    <row r="353" spans="1:46" ht="12.95" customHeight="1">
      <c r="I353" s="3"/>
      <c r="J353" s="3"/>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3"/>
      <c r="AL353" s="22"/>
      <c r="AM353" s="22"/>
      <c r="AN353" s="22"/>
      <c r="AO353" s="22"/>
      <c r="AP353" s="22"/>
      <c r="AQ353" s="22"/>
      <c r="AR353" s="22"/>
      <c r="AS353" s="22"/>
      <c r="AT353" s="22"/>
    </row>
    <row r="354" spans="1:46" ht="12.95" customHeight="1">
      <c r="A354" s="2" t="s">
        <v>921</v>
      </c>
      <c r="B354" s="2"/>
      <c r="C354" s="2" t="s">
        <v>1240</v>
      </c>
    </row>
    <row r="355" spans="1:46" ht="12.95" customHeight="1">
      <c r="D355" s="3" t="s">
        <v>1241</v>
      </c>
      <c r="M355" s="1234" t="s">
        <v>837</v>
      </c>
      <c r="N355" s="1234"/>
      <c r="P355" t="s">
        <v>1242</v>
      </c>
      <c r="AJ355" s="1234" t="s">
        <v>299</v>
      </c>
      <c r="AK355" s="1234"/>
    </row>
    <row r="356" spans="1:46" ht="12.95" customHeight="1">
      <c r="D356" s="3" t="s">
        <v>1243</v>
      </c>
      <c r="M356" s="1234" t="s">
        <v>299</v>
      </c>
      <c r="N356" s="1234"/>
      <c r="P356" s="3" t="s">
        <v>1244</v>
      </c>
      <c r="AJ356" s="1282"/>
      <c r="AK356" s="1282"/>
    </row>
    <row r="357" spans="1:46" ht="12.95" customHeight="1">
      <c r="D357" s="3" t="s">
        <v>1245</v>
      </c>
      <c r="M357" s="1234" t="s">
        <v>299</v>
      </c>
      <c r="N357" s="1234"/>
      <c r="P357" t="s">
        <v>1246</v>
      </c>
      <c r="AJ357" s="1234" t="s">
        <v>299</v>
      </c>
      <c r="AK357" s="1234"/>
    </row>
    <row r="358" spans="1:46" ht="12.95" customHeight="1">
      <c r="D358" s="3" t="s">
        <v>1247</v>
      </c>
      <c r="M358" s="1234" t="s">
        <v>299</v>
      </c>
      <c r="N358" s="1234"/>
      <c r="Q358" s="3"/>
    </row>
    <row r="359" spans="1:46" ht="12.95" customHeight="1">
      <c r="Q359" s="3"/>
    </row>
    <row r="360" spans="1:46" ht="12.95" customHeight="1">
      <c r="Q360" s="3"/>
    </row>
    <row r="361" spans="1:46" ht="12.95" customHeight="1">
      <c r="A361" s="2" t="s">
        <v>962</v>
      </c>
      <c r="B361" s="2"/>
      <c r="C361" s="2" t="s">
        <v>1248</v>
      </c>
      <c r="D361" s="2"/>
    </row>
    <row r="362" spans="1:46" ht="12.95" customHeight="1">
      <c r="D362" s="32" t="s">
        <v>1249</v>
      </c>
      <c r="E362" s="33"/>
      <c r="F362" s="33"/>
      <c r="G362" s="33"/>
      <c r="H362" s="33"/>
      <c r="I362" s="33"/>
      <c r="J362" s="33"/>
      <c r="K362" s="33"/>
      <c r="L362" s="33"/>
      <c r="M362" s="33"/>
      <c r="N362" s="33"/>
      <c r="O362" s="33"/>
      <c r="P362" s="33"/>
      <c r="Q362" s="33"/>
      <c r="R362" s="33"/>
      <c r="S362" s="33"/>
      <c r="T362" s="33"/>
      <c r="U362" s="33"/>
      <c r="V362" s="33"/>
      <c r="W362" s="33"/>
      <c r="X362" s="33"/>
      <c r="Y362" s="33"/>
      <c r="Z362" s="33"/>
      <c r="AA362" s="33"/>
      <c r="AB362" s="33"/>
      <c r="AC362" s="33"/>
      <c r="AD362" s="33"/>
      <c r="AE362" s="33"/>
    </row>
    <row r="363" spans="1:46" ht="12.95" customHeight="1">
      <c r="D363" s="32" t="s">
        <v>1250</v>
      </c>
      <c r="E363" s="33"/>
      <c r="F363" s="33"/>
      <c r="G363" s="33"/>
      <c r="H363" s="33"/>
      <c r="I363" s="33"/>
      <c r="J363" s="33"/>
      <c r="K363" s="33"/>
      <c r="L363" s="33"/>
      <c r="M363" s="33"/>
      <c r="N363" s="1234" t="s">
        <v>299</v>
      </c>
      <c r="O363" s="1234"/>
      <c r="P363" s="33"/>
      <c r="Q363" s="33"/>
      <c r="R363" s="33"/>
      <c r="S363" s="33"/>
      <c r="T363" s="33"/>
      <c r="U363" s="33"/>
      <c r="V363" s="33"/>
      <c r="W363" s="33"/>
      <c r="X363" s="33"/>
      <c r="Y363" s="33"/>
      <c r="Z363" s="33"/>
      <c r="AC363" s="33"/>
      <c r="AD363" s="33"/>
      <c r="AE363" s="33"/>
    </row>
    <row r="364" spans="1:46" ht="12.95" customHeight="1">
      <c r="E364" t="s">
        <v>1251</v>
      </c>
      <c r="Y364" s="1234" t="s">
        <v>299</v>
      </c>
      <c r="Z364" s="1234"/>
    </row>
    <row r="365" spans="1:46" ht="12.95" customHeight="1">
      <c r="D365" s="3" t="s">
        <v>1252</v>
      </c>
      <c r="Q365" s="1232"/>
      <c r="R365" s="1232"/>
      <c r="S365" s="1232"/>
      <c r="T365" s="1232"/>
      <c r="U365" s="1232"/>
      <c r="V365" s="1232"/>
      <c r="W365" s="1232"/>
      <c r="X365" s="1232"/>
      <c r="Y365" s="1232"/>
      <c r="Z365" s="1232"/>
      <c r="AA365" s="1232"/>
      <c r="AB365" s="1232"/>
      <c r="AC365" s="1232"/>
      <c r="AD365" s="1232"/>
      <c r="AE365" s="1232"/>
      <c r="AF365" s="1232"/>
      <c r="AG365" s="1232"/>
    </row>
    <row r="366" spans="1:46" ht="12.95" customHeight="1">
      <c r="D366" t="s">
        <v>1253</v>
      </c>
      <c r="E366" s="33"/>
      <c r="F366" s="33"/>
      <c r="G366" s="33"/>
      <c r="H366" s="33"/>
      <c r="I366" s="33"/>
      <c r="J366" s="33"/>
      <c r="K366" s="33"/>
      <c r="L366" s="33"/>
      <c r="M366" s="33"/>
      <c r="N366" s="33"/>
      <c r="O366" s="33"/>
      <c r="P366" s="33"/>
      <c r="Q366" s="33"/>
      <c r="R366" s="33"/>
      <c r="S366" s="33"/>
      <c r="T366" s="33"/>
      <c r="U366" s="33"/>
      <c r="V366" s="33"/>
      <c r="W366" s="33"/>
      <c r="X366" s="33"/>
      <c r="Y366" s="33"/>
      <c r="Z366" s="33"/>
      <c r="AA366" s="33"/>
      <c r="AB366" s="33"/>
      <c r="AC366" s="33"/>
      <c r="AD366" s="33"/>
      <c r="AE366" s="33"/>
    </row>
    <row r="367" spans="1:46" ht="12.95" customHeight="1">
      <c r="D367" t="s">
        <v>1254</v>
      </c>
      <c r="E367" s="33"/>
      <c r="F367" s="33"/>
      <c r="G367" s="33"/>
      <c r="H367" s="33"/>
      <c r="I367" s="33"/>
      <c r="J367" s="1234" t="s">
        <v>299</v>
      </c>
      <c r="K367" s="1234"/>
      <c r="L367" s="33"/>
      <c r="M367" s="33"/>
      <c r="N367" s="33"/>
      <c r="O367" s="33"/>
      <c r="P367" s="33"/>
      <c r="Q367" s="33"/>
      <c r="R367" s="33"/>
      <c r="S367" s="33"/>
      <c r="T367" s="33"/>
      <c r="U367" s="33"/>
      <c r="V367" s="33"/>
      <c r="W367" s="33"/>
      <c r="X367" s="33"/>
      <c r="Y367" s="33"/>
      <c r="Z367" s="33"/>
      <c r="AC367" s="33"/>
      <c r="AD367" s="33"/>
      <c r="AE367" s="33"/>
    </row>
    <row r="368" spans="1:46" ht="12.95" customHeight="1">
      <c r="E368" s="1149" t="s">
        <v>1255</v>
      </c>
      <c r="F368" s="1149"/>
      <c r="G368" s="1149"/>
      <c r="H368" s="1149"/>
      <c r="I368" s="1149"/>
      <c r="J368" s="1149"/>
      <c r="K368" s="1149"/>
      <c r="L368" s="1149"/>
      <c r="M368" s="1149"/>
      <c r="N368" s="1149"/>
      <c r="O368" s="1149"/>
      <c r="P368" s="1149"/>
      <c r="Q368" s="1149"/>
      <c r="R368" s="1149"/>
      <c r="S368" s="1149"/>
      <c r="T368" s="1149"/>
      <c r="U368" s="1149"/>
      <c r="V368" s="1149"/>
      <c r="W368" s="1149"/>
      <c r="X368" s="1149"/>
      <c r="Y368" s="1149"/>
      <c r="Z368" s="1149"/>
      <c r="AA368" s="1149"/>
      <c r="AB368" s="1149"/>
      <c r="AC368" s="1149"/>
      <c r="AD368" s="1149"/>
      <c r="AE368" s="1149"/>
      <c r="AF368" s="1149"/>
      <c r="AG368" s="1149"/>
      <c r="AH368" s="1149"/>
    </row>
    <row r="369" spans="1:34" ht="12.95" customHeight="1">
      <c r="E369" s="1149"/>
      <c r="F369" s="1149"/>
      <c r="G369" s="1149"/>
      <c r="H369" s="1149"/>
      <c r="I369" s="1149"/>
      <c r="J369" s="1149"/>
      <c r="K369" s="1149"/>
      <c r="L369" s="1149"/>
      <c r="M369" s="1149"/>
      <c r="N369" s="1149"/>
      <c r="O369" s="1149"/>
      <c r="P369" s="1149"/>
      <c r="Q369" s="1149"/>
      <c r="R369" s="1149"/>
      <c r="S369" s="1149"/>
      <c r="T369" s="1149"/>
      <c r="U369" s="1149"/>
      <c r="V369" s="1149"/>
      <c r="W369" s="1149"/>
      <c r="X369" s="1149"/>
      <c r="Y369" s="1149"/>
      <c r="Z369" s="1149"/>
      <c r="AA369" s="1149"/>
      <c r="AB369" s="1149"/>
      <c r="AC369" s="1149"/>
      <c r="AD369" s="1149"/>
      <c r="AE369" s="1149"/>
      <c r="AF369" s="1149"/>
      <c r="AG369" s="1149"/>
      <c r="AH369" s="1149"/>
    </row>
    <row r="370" spans="1:34" ht="12.95" customHeight="1">
      <c r="E370" s="3" t="s">
        <v>1256</v>
      </c>
      <c r="F370" s="3"/>
      <c r="G370" s="3"/>
      <c r="H370" s="3"/>
      <c r="I370" s="3"/>
      <c r="J370" s="3"/>
      <c r="K370" s="3"/>
      <c r="L370" s="3"/>
      <c r="N370" s="2415"/>
      <c r="O370" s="2415"/>
      <c r="P370" s="2415"/>
      <c r="Q370" s="2415"/>
      <c r="R370" s="3"/>
      <c r="U370" s="3" t="s">
        <v>1257</v>
      </c>
      <c r="V370" s="3"/>
      <c r="W370" s="3"/>
      <c r="X370" s="3"/>
      <c r="Y370" s="3"/>
      <c r="Z370" s="3"/>
      <c r="AA370" s="3"/>
      <c r="AB370" s="3"/>
      <c r="AC370" s="2415"/>
      <c r="AD370" s="2415"/>
      <c r="AE370" s="2415"/>
      <c r="AF370" s="2415"/>
    </row>
    <row r="371" spans="1:34" ht="12.95" customHeight="1">
      <c r="E371" s="3" t="s">
        <v>1258</v>
      </c>
      <c r="F371" s="3"/>
      <c r="G371" s="3"/>
      <c r="H371" s="3"/>
      <c r="I371" s="3"/>
      <c r="J371" s="3"/>
      <c r="K371" s="3"/>
      <c r="L371" s="3"/>
      <c r="N371" s="2415"/>
      <c r="O371" s="2415"/>
      <c r="P371" s="2415"/>
      <c r="Q371" s="2415"/>
      <c r="R371" s="3"/>
      <c r="U371" s="3" t="s">
        <v>1259</v>
      </c>
      <c r="V371" s="3"/>
      <c r="W371" s="3"/>
      <c r="X371" s="3"/>
      <c r="Y371" s="3"/>
      <c r="Z371" s="3"/>
      <c r="AA371" s="3"/>
      <c r="AB371" s="3"/>
      <c r="AC371" s="2415"/>
      <c r="AD371" s="2415"/>
      <c r="AE371" s="2415"/>
      <c r="AF371" s="2415"/>
    </row>
    <row r="372" spans="1:34" ht="12.95" customHeight="1">
      <c r="E372" s="3" t="s">
        <v>1260</v>
      </c>
      <c r="F372" s="3"/>
      <c r="G372" s="3"/>
      <c r="H372" s="3"/>
      <c r="I372" s="3"/>
      <c r="J372" s="3"/>
      <c r="K372" s="3"/>
      <c r="L372" s="3"/>
      <c r="N372" s="2415"/>
      <c r="O372" s="2415"/>
      <c r="P372" s="2415"/>
      <c r="Q372" s="2415"/>
      <c r="R372" s="3"/>
      <c r="V372" s="3"/>
      <c r="W372" s="3"/>
      <c r="X372" s="3"/>
      <c r="Y372" s="3"/>
      <c r="Z372" s="3"/>
      <c r="AA372" s="3"/>
      <c r="AB372" s="3"/>
    </row>
    <row r="373" spans="1:34" ht="12.95" customHeight="1">
      <c r="E373" s="3" t="s">
        <v>1261</v>
      </c>
      <c r="F373" s="3"/>
      <c r="G373" s="3"/>
      <c r="H373" s="3"/>
      <c r="I373" s="3"/>
      <c r="J373" s="3"/>
      <c r="K373" s="3"/>
      <c r="L373" s="3"/>
      <c r="N373" s="2416"/>
      <c r="O373" s="2416"/>
      <c r="P373" s="2416"/>
      <c r="Q373" s="2416"/>
      <c r="R373" s="2416"/>
      <c r="S373" s="2416"/>
      <c r="T373" s="2416"/>
      <c r="U373" s="2416"/>
      <c r="V373" s="2416"/>
      <c r="W373" s="2416"/>
      <c r="X373" s="2416"/>
      <c r="Y373" s="2416"/>
      <c r="Z373" s="2416"/>
      <c r="AA373" s="2416"/>
      <c r="AB373" s="2416"/>
      <c r="AC373" s="2416"/>
      <c r="AD373" s="2416"/>
      <c r="AE373" s="2416"/>
      <c r="AF373" s="2416"/>
    </row>
    <row r="374" spans="1:34" ht="12.95" customHeight="1">
      <c r="E374" s="3"/>
      <c r="F374" s="3"/>
      <c r="G374" s="3"/>
      <c r="H374" s="3"/>
      <c r="I374" s="3"/>
      <c r="J374" s="3"/>
      <c r="K374" s="3"/>
      <c r="L374" s="3"/>
      <c r="N374" s="2417"/>
      <c r="O374" s="2417"/>
      <c r="P374" s="2417"/>
      <c r="Q374" s="2417"/>
      <c r="R374" s="2417"/>
      <c r="S374" s="2417"/>
      <c r="T374" s="2417"/>
      <c r="U374" s="2417"/>
      <c r="V374" s="2417"/>
      <c r="W374" s="2417"/>
      <c r="X374" s="2417"/>
      <c r="Y374" s="2417"/>
      <c r="Z374" s="2417"/>
      <c r="AA374" s="2417"/>
      <c r="AB374" s="2417"/>
      <c r="AC374" s="2417"/>
      <c r="AD374" s="2417"/>
      <c r="AE374" s="2417"/>
      <c r="AF374" s="2417"/>
    </row>
    <row r="375" spans="1:34" ht="12.95" customHeight="1">
      <c r="C375" s="437"/>
      <c r="E375" s="3"/>
      <c r="F375" s="3"/>
      <c r="G375" s="3"/>
      <c r="H375" s="3"/>
      <c r="I375" s="3"/>
      <c r="J375" s="3"/>
      <c r="K375" s="3"/>
      <c r="L375" s="3"/>
    </row>
    <row r="376" spans="1:34" ht="12.95" customHeight="1">
      <c r="D376" s="2" t="s">
        <v>1262</v>
      </c>
      <c r="E376" s="2"/>
      <c r="F376" s="3"/>
      <c r="G376" s="3"/>
      <c r="H376" s="3"/>
      <c r="I376" s="3"/>
      <c r="J376" s="3"/>
      <c r="K376" s="3"/>
      <c r="L376" s="3"/>
    </row>
    <row r="377" spans="1:34" ht="12.95" customHeight="1">
      <c r="E377" s="3" t="s">
        <v>1263</v>
      </c>
      <c r="F377" s="3"/>
      <c r="G377" s="3"/>
      <c r="H377" s="3"/>
      <c r="I377" s="3"/>
      <c r="J377" s="3"/>
      <c r="K377" s="3"/>
      <c r="L377" s="3"/>
      <c r="N377" t="s">
        <v>938</v>
      </c>
      <c r="R377" s="24" t="s">
        <v>939</v>
      </c>
      <c r="S377" s="1305"/>
      <c r="T377" s="1305"/>
      <c r="U377" s="1" t="s">
        <v>940</v>
      </c>
      <c r="V377" s="1305"/>
      <c r="W377" s="1305"/>
      <c r="Y377" t="s">
        <v>938</v>
      </c>
      <c r="AC377" s="24" t="s">
        <v>939</v>
      </c>
      <c r="AD377" s="1305"/>
      <c r="AE377" s="1305"/>
      <c r="AF377" s="1" t="s">
        <v>940</v>
      </c>
      <c r="AG377" s="1305"/>
      <c r="AH377" s="1305"/>
    </row>
    <row r="378" spans="1:34" ht="12.95" customHeight="1">
      <c r="E378" s="3" t="s">
        <v>1264</v>
      </c>
      <c r="F378" s="3"/>
      <c r="G378" s="3"/>
      <c r="H378" s="3"/>
      <c r="I378" s="3"/>
      <c r="J378" s="3"/>
      <c r="K378" s="3"/>
      <c r="L378" s="3"/>
      <c r="N378" s="1305"/>
      <c r="O378" s="1305"/>
      <c r="P378" s="1305"/>
    </row>
    <row r="379" spans="1:34" ht="12.95" customHeight="1">
      <c r="E379" s="143" t="s">
        <v>1265</v>
      </c>
      <c r="F379" s="3"/>
      <c r="G379" s="3"/>
      <c r="H379" s="3"/>
      <c r="I379" s="3"/>
      <c r="J379" s="3"/>
      <c r="K379" s="3"/>
      <c r="L379" s="3"/>
      <c r="AG379" s="1337" t="s">
        <v>299</v>
      </c>
      <c r="AH379" s="1337"/>
    </row>
    <row r="380" spans="1:34" ht="12.95" customHeight="1">
      <c r="E380" s="3"/>
      <c r="F380" s="3"/>
      <c r="G380" s="3" t="s">
        <v>1266</v>
      </c>
      <c r="H380" s="3"/>
      <c r="I380" s="3"/>
      <c r="J380" s="3"/>
      <c r="K380" s="3"/>
      <c r="L380" s="3"/>
      <c r="AG380" s="1337" t="s">
        <v>299</v>
      </c>
      <c r="AH380" s="1337"/>
    </row>
    <row r="381" spans="1:34" ht="12.95" customHeight="1">
      <c r="E381" s="3"/>
      <c r="F381" s="3"/>
      <c r="G381" s="244" t="s">
        <v>1267</v>
      </c>
      <c r="H381" s="3"/>
      <c r="I381" s="3"/>
      <c r="J381" s="3"/>
      <c r="K381" s="3"/>
      <c r="L381" s="3"/>
      <c r="V381" s="1234" t="s">
        <v>299</v>
      </c>
      <c r="W381" s="1234"/>
      <c r="Y381" s="20" t="s">
        <v>1268</v>
      </c>
    </row>
    <row r="382" spans="1:34" ht="12.95" customHeight="1">
      <c r="E382" s="3" t="s">
        <v>1269</v>
      </c>
      <c r="F382" s="3"/>
      <c r="G382" s="3"/>
      <c r="H382" s="3"/>
      <c r="I382" s="3"/>
      <c r="J382" s="3"/>
      <c r="K382" s="3"/>
      <c r="L382" s="3"/>
      <c r="V382" s="1234" t="s">
        <v>299</v>
      </c>
      <c r="W382" s="1234"/>
      <c r="Y382" s="3" t="s">
        <v>1270</v>
      </c>
    </row>
    <row r="383" spans="1:34" ht="12.95" customHeight="1"/>
    <row r="384" spans="1:34" ht="12.95" customHeight="1">
      <c r="A384" s="2" t="s">
        <v>1271</v>
      </c>
      <c r="B384" s="2"/>
    </row>
    <row r="385" spans="4:36" ht="12.95" customHeight="1">
      <c r="D385" t="s">
        <v>1272</v>
      </c>
      <c r="J385" s="1232" t="s">
        <v>1273</v>
      </c>
      <c r="K385" s="1232"/>
      <c r="L385" s="1232"/>
      <c r="M385" s="1232"/>
      <c r="N385" s="1232"/>
      <c r="O385" s="1232"/>
      <c r="P385" s="1232"/>
      <c r="Q385" s="1232"/>
      <c r="R385" s="1232"/>
      <c r="S385" s="1232"/>
      <c r="T385" s="1232"/>
      <c r="U385" s="1232"/>
      <c r="V385" s="8" t="s">
        <v>1274</v>
      </c>
      <c r="W385" s="8"/>
      <c r="X385" s="8"/>
      <c r="Y385" s="8"/>
      <c r="Z385" s="8"/>
      <c r="AA385" s="8"/>
      <c r="AB385" s="8"/>
      <c r="AC385" s="1232" t="s">
        <v>1147</v>
      </c>
      <c r="AD385" s="1232"/>
      <c r="AE385" s="1232"/>
      <c r="AF385" s="1232"/>
      <c r="AG385" s="1232"/>
      <c r="AH385" s="1232"/>
      <c r="AI385" s="1232"/>
      <c r="AJ385" s="1232"/>
    </row>
    <row r="386" spans="4:36" ht="12.95" customHeight="1">
      <c r="D386" s="3" t="s">
        <v>1275</v>
      </c>
      <c r="J386" s="1292" t="s">
        <v>1116</v>
      </c>
      <c r="K386" s="1292"/>
      <c r="L386" s="1292"/>
      <c r="M386" s="1292"/>
      <c r="N386" s="1292"/>
      <c r="O386" s="1292"/>
      <c r="P386" s="1292"/>
      <c r="Q386" s="1292"/>
      <c r="R386" s="1292"/>
      <c r="S386" s="1292"/>
      <c r="T386" s="1292"/>
      <c r="U386" s="1292"/>
      <c r="V386" s="3" t="s">
        <v>1275</v>
      </c>
      <c r="W386" s="8"/>
      <c r="X386" s="8"/>
      <c r="Y386" s="8"/>
      <c r="Z386" s="8"/>
      <c r="AA386" s="8"/>
      <c r="AB386" s="8"/>
      <c r="AC386" s="1232" t="s">
        <v>1147</v>
      </c>
      <c r="AD386" s="1232"/>
      <c r="AE386" s="1232"/>
      <c r="AF386" s="1232"/>
      <c r="AG386" s="1232"/>
      <c r="AH386" s="1232"/>
      <c r="AI386" s="1232"/>
      <c r="AJ386" s="1232"/>
    </row>
    <row r="387" spans="4:36" ht="12.95" customHeight="1">
      <c r="D387" s="3" t="s">
        <v>872</v>
      </c>
      <c r="J387" s="1292" t="s">
        <v>1276</v>
      </c>
      <c r="K387" s="1292"/>
      <c r="L387" s="1292"/>
      <c r="M387" s="1292"/>
      <c r="N387" s="1292"/>
      <c r="O387" s="1292"/>
      <c r="P387" s="1292"/>
      <c r="Q387" s="1292"/>
      <c r="R387" s="1292"/>
      <c r="S387" s="1292"/>
      <c r="T387" s="1292"/>
      <c r="U387" s="1292"/>
      <c r="V387" s="3" t="s">
        <v>872</v>
      </c>
      <c r="W387" s="8"/>
      <c r="X387" s="8"/>
      <c r="Y387" s="8"/>
      <c r="Z387" s="8"/>
      <c r="AA387" s="8"/>
      <c r="AB387" s="8"/>
      <c r="AC387" s="1232" t="s">
        <v>1276</v>
      </c>
      <c r="AD387" s="1232"/>
      <c r="AE387" s="1232"/>
      <c r="AF387" s="1232"/>
      <c r="AG387" s="1232"/>
      <c r="AH387" s="1232"/>
      <c r="AI387" s="1232"/>
      <c r="AJ387" s="1232"/>
    </row>
    <row r="388" spans="4:36" ht="12.95" customHeight="1">
      <c r="D388" t="s">
        <v>1277</v>
      </c>
      <c r="J388" s="1260" t="s">
        <v>1278</v>
      </c>
      <c r="K388" s="1260"/>
      <c r="L388" s="1260"/>
      <c r="M388" s="1260"/>
      <c r="N388" s="1260"/>
      <c r="O388" s="1260"/>
      <c r="P388" s="1260"/>
      <c r="Q388" s="1260"/>
      <c r="R388" s="1260"/>
      <c r="S388" s="1260"/>
      <c r="T388" s="1260"/>
      <c r="U388" s="1260"/>
      <c r="V388" s="1232" t="s">
        <v>1278</v>
      </c>
      <c r="W388" s="1232"/>
      <c r="X388" s="1232"/>
      <c r="Y388" s="1232"/>
      <c r="Z388" s="1232"/>
      <c r="AA388" s="1232"/>
      <c r="AB388" s="1232"/>
      <c r="AC388" s="1232"/>
      <c r="AD388" s="1232"/>
      <c r="AE388" s="1232"/>
      <c r="AF388" s="1232"/>
      <c r="AG388" s="1232"/>
      <c r="AH388" s="1232"/>
      <c r="AI388" s="1232"/>
      <c r="AJ388" s="1232"/>
    </row>
    <row r="389" spans="4:36" ht="12.95" customHeight="1">
      <c r="D389" t="s">
        <v>1279</v>
      </c>
      <c r="Q389" s="2418">
        <v>45112</v>
      </c>
      <c r="R389" s="2418"/>
      <c r="S389" s="2418"/>
      <c r="T389" s="2418"/>
      <c r="U389" s="2418"/>
      <c r="V389" t="s">
        <v>1280</v>
      </c>
      <c r="AI389" s="1234" t="s">
        <v>894</v>
      </c>
      <c r="AJ389" s="1234"/>
    </row>
    <row r="390" spans="4:36" ht="12.95" customHeight="1">
      <c r="D390" t="s">
        <v>1281</v>
      </c>
      <c r="Q390" s="1403" t="s">
        <v>299</v>
      </c>
      <c r="R390" s="1491"/>
      <c r="S390" s="1491"/>
      <c r="T390" s="1491"/>
      <c r="U390" s="1491"/>
      <c r="W390" s="19" t="s">
        <v>1282</v>
      </c>
      <c r="AG390" s="2419"/>
      <c r="AH390" s="2419"/>
      <c r="AI390" s="2419"/>
      <c r="AJ390" s="2419"/>
    </row>
    <row r="391" spans="4:36" ht="12.95" customHeight="1">
      <c r="D391" t="s">
        <v>1283</v>
      </c>
      <c r="Q391" s="1426">
        <v>2700000</v>
      </c>
      <c r="R391" s="1426"/>
      <c r="S391" s="1426"/>
      <c r="T391" s="1426"/>
      <c r="U391" s="1426"/>
      <c r="V391" s="3" t="s">
        <v>1284</v>
      </c>
      <c r="AG391" s="2420"/>
      <c r="AH391" s="2420"/>
      <c r="AI391" s="2420"/>
      <c r="AJ391" s="2420"/>
    </row>
    <row r="392" spans="4:36" ht="12.95" customHeight="1">
      <c r="D392" t="s">
        <v>1117</v>
      </c>
      <c r="I392" s="1341"/>
      <c r="J392" s="1341"/>
      <c r="K392" s="1341"/>
      <c r="L392" s="1341"/>
      <c r="M392" s="1341"/>
      <c r="N392" s="1341"/>
      <c r="Q392" s="3" t="s">
        <v>1119</v>
      </c>
      <c r="S392" s="2421"/>
      <c r="T392" s="2421"/>
      <c r="U392" s="2421"/>
      <c r="V392" t="s">
        <v>1285</v>
      </c>
      <c r="AI392" s="1234" t="s">
        <v>894</v>
      </c>
      <c r="AJ392" s="1234"/>
    </row>
    <row r="393" spans="4:36" ht="12.95" customHeight="1">
      <c r="D393" t="s">
        <v>1286</v>
      </c>
      <c r="Q393" s="1336"/>
      <c r="R393" s="1336"/>
      <c r="S393" s="1336"/>
      <c r="T393" s="1336"/>
      <c r="U393" s="1336"/>
      <c r="V393" t="s">
        <v>1287</v>
      </c>
      <c r="AG393" s="2419"/>
      <c r="AH393" s="2419"/>
      <c r="AI393" s="2419"/>
      <c r="AJ393" s="2419"/>
    </row>
    <row r="394" spans="4:36" ht="12.95" customHeight="1">
      <c r="D394" t="s">
        <v>1288</v>
      </c>
      <c r="Q394" s="2422"/>
      <c r="R394" s="2422"/>
      <c r="S394" s="2422"/>
      <c r="T394" s="2422"/>
      <c r="U394" s="2422"/>
      <c r="V394" t="s">
        <v>1289</v>
      </c>
      <c r="AG394" s="2419"/>
      <c r="AH394" s="2419"/>
      <c r="AI394" s="2419"/>
      <c r="AJ394" s="2419"/>
    </row>
    <row r="395" spans="4:36" ht="12.95" customHeight="1">
      <c r="D395" t="s">
        <v>1290</v>
      </c>
      <c r="AG395" s="2419"/>
      <c r="AH395" s="2419"/>
      <c r="AI395" s="2419"/>
      <c r="AJ395" s="2419"/>
    </row>
    <row r="396" spans="4:36" ht="12.95" customHeight="1">
      <c r="AG396" s="2423"/>
      <c r="AH396" s="2423"/>
      <c r="AI396" s="2423"/>
      <c r="AJ396" s="2423"/>
    </row>
    <row r="397" spans="4:36" ht="12.95" customHeight="1">
      <c r="D397" s="3" t="s">
        <v>1291</v>
      </c>
      <c r="AG397" s="2423"/>
      <c r="AH397" s="2423"/>
      <c r="AI397" s="1234" t="s">
        <v>894</v>
      </c>
      <c r="AJ397" s="1234"/>
    </row>
    <row r="398" spans="4:36" ht="12.95" customHeight="1">
      <c r="D398" s="3" t="s">
        <v>1292</v>
      </c>
      <c r="T398" s="1274"/>
      <c r="U398" s="1274"/>
      <c r="V398" s="1274"/>
      <c r="W398" s="1274"/>
      <c r="X398" s="1274"/>
      <c r="Y398" s="1274"/>
      <c r="Z398" s="1274"/>
      <c r="AA398" s="1274"/>
      <c r="AB398" s="1274"/>
      <c r="AC398" s="1274"/>
      <c r="AD398" s="1274"/>
      <c r="AE398" s="1274"/>
      <c r="AF398" s="1274"/>
      <c r="AG398" s="1274"/>
      <c r="AH398" s="1274"/>
      <c r="AI398" s="1274"/>
      <c r="AJ398" s="1274"/>
    </row>
    <row r="399" spans="4:36" ht="12.95" customHeight="1">
      <c r="D399" s="3" t="s">
        <v>1293</v>
      </c>
      <c r="T399" s="1274"/>
      <c r="U399" s="1274"/>
      <c r="V399" s="1274"/>
      <c r="W399" s="1274"/>
      <c r="X399" s="1274"/>
      <c r="Y399" s="1274"/>
      <c r="Z399" s="1274"/>
      <c r="AA399" s="1274"/>
      <c r="AB399" s="1274"/>
      <c r="AC399" s="1274"/>
      <c r="AD399" s="1274"/>
      <c r="AE399" s="1274"/>
      <c r="AF399" s="1274"/>
      <c r="AG399" s="1274"/>
      <c r="AH399" s="1274"/>
      <c r="AI399" s="1274"/>
      <c r="AJ399" s="1274"/>
    </row>
    <row r="400" spans="4:36" ht="12.95" customHeight="1">
      <c r="AG400" s="2423"/>
      <c r="AH400" s="2423"/>
      <c r="AI400" s="2423"/>
      <c r="AJ400" s="2423"/>
    </row>
    <row r="401" spans="1:36" ht="12.95" customHeight="1">
      <c r="D401" s="3" t="s">
        <v>1294</v>
      </c>
      <c r="S401" s="1274" t="s">
        <v>894</v>
      </c>
      <c r="T401" s="1274"/>
      <c r="U401" s="1274"/>
      <c r="V401" t="s">
        <v>1295</v>
      </c>
      <c r="AG401" s="2424"/>
      <c r="AH401" s="2424"/>
      <c r="AI401" s="2424"/>
      <c r="AJ401" s="2424"/>
    </row>
    <row r="402" spans="1:36" ht="12.95" customHeight="1">
      <c r="D402" s="3" t="s">
        <v>1296</v>
      </c>
      <c r="S402" s="1274" t="s">
        <v>299</v>
      </c>
      <c r="T402" s="1274"/>
      <c r="U402" s="1274"/>
      <c r="V402" t="s">
        <v>1297</v>
      </c>
      <c r="AE402" s="1315"/>
      <c r="AF402" s="1315"/>
      <c r="AG402" s="1315"/>
      <c r="AH402" s="1315"/>
      <c r="AI402" s="1315"/>
      <c r="AJ402" s="1315"/>
    </row>
    <row r="403" spans="1:36" ht="12.95" customHeight="1">
      <c r="D403" s="3" t="s">
        <v>1298</v>
      </c>
      <c r="K403" s="1314"/>
      <c r="L403" s="1314"/>
      <c r="M403" s="1314"/>
      <c r="N403" s="1314"/>
      <c r="O403" s="1314"/>
      <c r="P403" s="1314"/>
      <c r="Q403" s="1314"/>
      <c r="R403" s="1314"/>
      <c r="S403" s="1314"/>
      <c r="T403" s="1314"/>
      <c r="U403" s="1314"/>
      <c r="V403" s="1314"/>
      <c r="W403" s="1314"/>
      <c r="X403" s="1314"/>
      <c r="Y403" s="1314"/>
      <c r="Z403" s="1314"/>
      <c r="AA403" s="1314"/>
      <c r="AB403" s="1314"/>
      <c r="AC403" s="1314"/>
      <c r="AD403" s="1314"/>
      <c r="AE403" s="1314"/>
      <c r="AF403" s="1314"/>
      <c r="AG403" s="1314"/>
      <c r="AH403" s="1314"/>
      <c r="AI403" s="1314"/>
      <c r="AJ403" s="1314"/>
    </row>
    <row r="404" spans="1:36" ht="12.95" customHeight="1">
      <c r="D404" s="3" t="s">
        <v>1299</v>
      </c>
      <c r="K404" s="1314"/>
      <c r="L404" s="1314"/>
      <c r="M404" s="1314"/>
      <c r="N404" s="1314"/>
      <c r="O404" s="1314"/>
      <c r="P404" s="1314"/>
      <c r="Q404" s="1314"/>
      <c r="R404" s="1314"/>
      <c r="S404" s="1314"/>
      <c r="T404" s="1314"/>
      <c r="U404" s="1314"/>
      <c r="V404" s="1314"/>
      <c r="W404" s="1314"/>
      <c r="X404" s="1314"/>
      <c r="Y404" s="1314"/>
      <c r="Z404" s="1314"/>
      <c r="AA404" s="1314"/>
      <c r="AB404" s="1314"/>
      <c r="AC404" s="1314"/>
      <c r="AD404" s="1314"/>
      <c r="AE404" s="1314"/>
      <c r="AF404" s="1314"/>
      <c r="AG404" s="1314"/>
      <c r="AH404" s="1314"/>
      <c r="AI404" s="1314"/>
      <c r="AJ404" s="1314"/>
    </row>
    <row r="405" spans="1:36" ht="12.95" customHeight="1">
      <c r="D405" s="3" t="s">
        <v>1300</v>
      </c>
      <c r="E405" s="403"/>
      <c r="F405" s="403"/>
      <c r="G405" s="403"/>
      <c r="H405" s="403"/>
      <c r="I405" s="403"/>
      <c r="J405" s="403"/>
      <c r="K405" s="403"/>
      <c r="L405" s="403"/>
      <c r="M405" s="403"/>
      <c r="N405" s="403"/>
      <c r="O405" s="403"/>
      <c r="P405" s="403"/>
      <c r="Q405" s="403"/>
      <c r="R405" s="403"/>
      <c r="S405" s="1329" t="s">
        <v>1076</v>
      </c>
      <c r="T405" s="1329"/>
      <c r="U405" s="1329"/>
      <c r="V405" s="1329"/>
      <c r="W405" s="1329"/>
      <c r="X405" s="1329"/>
      <c r="Y405" s="1329"/>
      <c r="Z405" s="1329"/>
      <c r="AA405" s="1329"/>
      <c r="AB405" s="1329"/>
      <c r="AC405" s="1329"/>
      <c r="AD405" s="1329"/>
      <c r="AE405" s="1329"/>
      <c r="AF405" s="1329"/>
      <c r="AG405" s="1329"/>
      <c r="AH405" s="1329"/>
      <c r="AI405" s="1329"/>
      <c r="AJ405" s="1329"/>
    </row>
    <row r="406" spans="1:36" ht="12.95" customHeight="1">
      <c r="D406" s="1153" t="s">
        <v>1301</v>
      </c>
      <c r="E406" s="1153"/>
      <c r="F406" s="1153"/>
      <c r="G406" s="1153"/>
      <c r="H406" s="1153"/>
      <c r="I406" s="1153"/>
      <c r="J406" s="1153"/>
      <c r="K406" s="1153"/>
      <c r="L406" s="1153"/>
      <c r="M406" s="1153"/>
      <c r="N406" s="1153"/>
      <c r="O406" s="1153"/>
      <c r="P406" s="1153"/>
      <c r="Q406" s="1153"/>
      <c r="R406" s="1153"/>
      <c r="S406" s="1153"/>
      <c r="T406" s="1153"/>
      <c r="U406" s="1153"/>
      <c r="V406" s="1153"/>
      <c r="W406" s="1153"/>
      <c r="X406" s="1153"/>
      <c r="Y406" s="1153"/>
      <c r="Z406" s="1153"/>
      <c r="AA406" s="1153"/>
      <c r="AB406" s="1153"/>
      <c r="AC406" s="1153"/>
      <c r="AD406" s="1153"/>
      <c r="AE406" s="1153"/>
      <c r="AF406" s="1153"/>
      <c r="AG406" s="1153"/>
      <c r="AH406" s="1153"/>
      <c r="AI406" s="1153"/>
      <c r="AJ406" s="1153"/>
    </row>
    <row r="407" spans="1:36" ht="12.95" customHeight="1">
      <c r="D407" s="1153"/>
      <c r="E407" s="1153"/>
      <c r="F407" s="1153"/>
      <c r="G407" s="1153"/>
      <c r="H407" s="1153"/>
      <c r="I407" s="1153"/>
      <c r="J407" s="1153"/>
      <c r="K407" s="1153"/>
      <c r="L407" s="1153"/>
      <c r="M407" s="1153"/>
      <c r="N407" s="1153"/>
      <c r="O407" s="1153"/>
      <c r="P407" s="1153"/>
      <c r="Q407" s="1153"/>
      <c r="R407" s="1153"/>
      <c r="S407" s="1153"/>
      <c r="T407" s="1153"/>
      <c r="U407" s="1153"/>
      <c r="V407" s="1153"/>
      <c r="W407" s="1153"/>
      <c r="X407" s="1153"/>
      <c r="Y407" s="1153"/>
      <c r="Z407" s="1153"/>
      <c r="AA407" s="1153"/>
      <c r="AB407" s="1153"/>
      <c r="AC407" s="1153"/>
      <c r="AD407" s="1153"/>
      <c r="AE407" s="1153"/>
      <c r="AF407" s="1153"/>
      <c r="AG407" s="1153"/>
      <c r="AH407" s="1153"/>
      <c r="AI407" s="1153"/>
      <c r="AJ407" s="1153"/>
    </row>
    <row r="408" spans="1:36" ht="12.95" customHeight="1">
      <c r="AG408" s="2423"/>
      <c r="AH408" s="2423"/>
      <c r="AI408" s="2423"/>
      <c r="AJ408" s="2423"/>
    </row>
    <row r="409" spans="1:36" ht="12.95" customHeight="1">
      <c r="A409" s="2" t="s">
        <v>1057</v>
      </c>
      <c r="B409" s="2"/>
      <c r="C409" s="2" t="s">
        <v>144</v>
      </c>
    </row>
    <row r="410" spans="1:36" ht="12.95" customHeight="1">
      <c r="B410" s="2"/>
      <c r="C410" s="2"/>
      <c r="D410" s="2" t="s">
        <v>1302</v>
      </c>
      <c r="I410" s="1317" t="s">
        <v>1303</v>
      </c>
      <c r="J410" s="1317"/>
      <c r="K410" s="1317"/>
      <c r="L410" s="1317"/>
      <c r="M410" s="1317"/>
      <c r="N410" s="1317"/>
      <c r="O410" s="1317"/>
      <c r="P410" s="1317"/>
      <c r="Q410" s="1317"/>
      <c r="R410" s="1317"/>
      <c r="S410" s="1317"/>
      <c r="T410" s="1317"/>
      <c r="U410" s="1317"/>
      <c r="V410" s="1317"/>
      <c r="W410" s="1317"/>
      <c r="X410" s="1317"/>
      <c r="Y410" s="1317"/>
      <c r="Z410" s="1317"/>
      <c r="AA410" s="1317"/>
      <c r="AB410" s="1317"/>
      <c r="AC410" s="1317"/>
      <c r="AD410" s="1317"/>
      <c r="AE410" s="1317"/>
    </row>
    <row r="411" spans="1:36" ht="12.95" customHeight="1">
      <c r="E411" t="s">
        <v>1304</v>
      </c>
      <c r="R411" s="1234" t="s">
        <v>837</v>
      </c>
      <c r="S411" s="1234"/>
      <c r="AC411" s="24" t="s">
        <v>1305</v>
      </c>
      <c r="AD411" s="2415">
        <v>7</v>
      </c>
      <c r="AE411" s="2415"/>
    </row>
    <row r="412" spans="1:36" ht="12.95" customHeight="1">
      <c r="E412" t="s">
        <v>1306</v>
      </c>
      <c r="R412" s="1234" t="s">
        <v>299</v>
      </c>
      <c r="S412" s="1234"/>
      <c r="AC412" s="24" t="s">
        <v>1305</v>
      </c>
      <c r="AD412" s="2415">
        <v>0</v>
      </c>
      <c r="AE412" s="2415"/>
    </row>
    <row r="413" spans="1:36" ht="12.95" customHeight="1">
      <c r="E413" t="s">
        <v>1307</v>
      </c>
      <c r="S413" s="1234" t="s">
        <v>299</v>
      </c>
      <c r="T413" s="1234"/>
    </row>
    <row r="414" spans="1:36" ht="12.95" customHeight="1">
      <c r="E414" t="s">
        <v>232</v>
      </c>
      <c r="H414" s="1377" t="s">
        <v>1308</v>
      </c>
      <c r="I414" s="1377"/>
      <c r="J414" s="1377"/>
      <c r="K414" s="1377"/>
      <c r="L414" s="1377"/>
      <c r="M414" s="1377"/>
      <c r="N414" s="1377"/>
      <c r="O414" s="1377"/>
      <c r="P414" s="1377"/>
      <c r="Q414" s="1377"/>
      <c r="R414" s="1377"/>
      <c r="S414" s="1377"/>
      <c r="T414" s="1377"/>
      <c r="U414" s="1377"/>
      <c r="V414" s="1377"/>
      <c r="W414" s="1377"/>
      <c r="X414" s="1377"/>
      <c r="Y414" s="1377"/>
      <c r="Z414" s="1377"/>
      <c r="AA414" s="1377"/>
      <c r="AB414" s="1377"/>
      <c r="AC414" s="1377"/>
      <c r="AD414" s="1377"/>
      <c r="AE414" s="1377"/>
    </row>
    <row r="415" spans="1:36" ht="12.95" customHeight="1">
      <c r="H415" s="1378"/>
      <c r="I415" s="1378"/>
      <c r="J415" s="1378"/>
      <c r="K415" s="1378"/>
      <c r="L415" s="1378"/>
      <c r="M415" s="1378"/>
      <c r="N415" s="1378"/>
      <c r="O415" s="1378"/>
      <c r="P415" s="1378"/>
      <c r="Q415" s="1378"/>
      <c r="R415" s="1378"/>
      <c r="S415" s="1378"/>
      <c r="T415" s="1378"/>
      <c r="U415" s="1378"/>
      <c r="V415" s="1378"/>
      <c r="W415" s="1378"/>
      <c r="X415" s="1378"/>
      <c r="Y415" s="1378"/>
      <c r="Z415" s="1378"/>
      <c r="AA415" s="1378"/>
      <c r="AB415" s="1378"/>
      <c r="AC415" s="1378"/>
      <c r="AD415" s="1378"/>
      <c r="AE415" s="1378"/>
    </row>
    <row r="416" spans="1:36" ht="12.95" customHeight="1"/>
    <row r="417" spans="1:39" ht="12.95" customHeight="1">
      <c r="A417" s="2" t="s">
        <v>1069</v>
      </c>
      <c r="B417" s="2"/>
      <c r="C417" s="2"/>
      <c r="D417" s="2" t="s">
        <v>149</v>
      </c>
      <c r="AF417" s="2" t="s">
        <v>1309</v>
      </c>
    </row>
    <row r="418" spans="1:39" ht="12.95" customHeight="1">
      <c r="E418" s="1305"/>
      <c r="F418" s="1305"/>
      <c r="G418" s="1305"/>
      <c r="H418" s="13" t="s">
        <v>1310</v>
      </c>
      <c r="I418" s="1305"/>
      <c r="J418" s="1305"/>
      <c r="K418" s="1305"/>
      <c r="L418" t="s">
        <v>1311</v>
      </c>
      <c r="N418" s="24" t="s">
        <v>35</v>
      </c>
      <c r="P418" s="1492">
        <v>0.4</v>
      </c>
      <c r="Q418" s="1492"/>
      <c r="R418" s="1492"/>
      <c r="S418" t="s">
        <v>1312</v>
      </c>
      <c r="W418" s="1264">
        <f>IF(E418&gt;0,(E418*I418),(P418*43560))</f>
        <v>17424</v>
      </c>
      <c r="X418" s="1264"/>
      <c r="Y418" s="1264"/>
      <c r="Z418" t="s">
        <v>1313</v>
      </c>
      <c r="AF418" s="1490">
        <f>IFERROR(IF(P418&gt;0,(AG437/P418),(AG437/(W418/43560))),0)</f>
        <v>120</v>
      </c>
      <c r="AG418" s="1490"/>
      <c r="AH418" s="1490"/>
      <c r="AM418" s="3"/>
    </row>
    <row r="419" spans="1:39" ht="12.95" customHeight="1">
      <c r="E419" t="s">
        <v>1314</v>
      </c>
    </row>
    <row r="420" spans="1:39" ht="12.95" customHeight="1">
      <c r="E420" s="2425"/>
      <c r="F420" s="2425"/>
      <c r="G420" s="2425"/>
      <c r="H420" s="2425"/>
      <c r="I420" s="2425"/>
      <c r="J420" s="2425"/>
      <c r="K420" s="2425"/>
      <c r="L420" s="2425"/>
      <c r="M420" s="2425"/>
      <c r="N420" s="2425"/>
      <c r="O420" s="2425"/>
      <c r="P420" s="2425"/>
      <c r="Q420" s="2425"/>
      <c r="R420" s="2425"/>
      <c r="S420" s="2425"/>
      <c r="T420" s="2425"/>
      <c r="U420" s="2425"/>
      <c r="V420" s="2425"/>
      <c r="W420" s="2425"/>
      <c r="X420" s="2425"/>
      <c r="Y420" s="2425"/>
      <c r="Z420" s="2425"/>
      <c r="AA420" s="2425"/>
      <c r="AB420" s="2425"/>
      <c r="AC420" s="2425"/>
      <c r="AD420" s="2425"/>
      <c r="AE420" s="2425"/>
      <c r="AF420" s="2425"/>
      <c r="AG420" s="2425"/>
      <c r="AH420" s="2425"/>
      <c r="AI420" s="2425"/>
      <c r="AJ420" s="2425"/>
    </row>
    <row r="421" spans="1:39" ht="12.95" customHeight="1">
      <c r="E421" s="85" t="s">
        <v>1315</v>
      </c>
      <c r="F421" s="19"/>
      <c r="G421" s="19"/>
      <c r="H421" s="19"/>
      <c r="I421" s="1376">
        <v>0.4</v>
      </c>
      <c r="J421" s="1376"/>
      <c r="K421" s="1376"/>
      <c r="L421" s="19"/>
      <c r="M421" s="85"/>
      <c r="N421" s="19"/>
      <c r="O421" s="19"/>
      <c r="P421" s="1316">
        <f>(CS634+CS642+CS658)/I421</f>
        <v>240</v>
      </c>
      <c r="Q421" s="1316"/>
      <c r="R421" s="1316"/>
      <c r="S421" s="85" t="s">
        <v>1316</v>
      </c>
      <c r="T421" s="19"/>
      <c r="U421" s="19"/>
      <c r="V421" s="19"/>
      <c r="W421" s="19"/>
      <c r="X421" s="19"/>
      <c r="Y421" s="19"/>
      <c r="Z421" s="19"/>
      <c r="AA421" s="19"/>
      <c r="AB421" s="19"/>
      <c r="AC421" s="19"/>
      <c r="AD421" s="19"/>
      <c r="AE421" s="19"/>
      <c r="AF421" s="19"/>
      <c r="AG421" s="19"/>
      <c r="AH421" s="19"/>
      <c r="AI421" s="19"/>
      <c r="AJ421" s="19"/>
    </row>
    <row r="422" spans="1:39" ht="12.95" customHeight="1"/>
    <row r="423" spans="1:39" ht="12.95" customHeight="1">
      <c r="A423" s="2" t="s">
        <v>1095</v>
      </c>
      <c r="B423" s="2"/>
      <c r="C423" s="2"/>
      <c r="D423" s="2" t="s">
        <v>151</v>
      </c>
    </row>
    <row r="424" spans="1:39" ht="12.95" customHeight="1">
      <c r="E424" t="s">
        <v>1317</v>
      </c>
      <c r="P424" s="1234">
        <v>1</v>
      </c>
      <c r="Q424" s="1234"/>
      <c r="S424" t="s">
        <v>1318</v>
      </c>
      <c r="AE424" s="1234">
        <v>1</v>
      </c>
      <c r="AF424" s="1234"/>
    </row>
    <row r="425" spans="1:39" ht="12.95" customHeight="1">
      <c r="E425" t="s">
        <v>1319</v>
      </c>
      <c r="P425" s="1234">
        <v>0</v>
      </c>
      <c r="Q425" s="1234"/>
      <c r="S425" t="s">
        <v>1320</v>
      </c>
      <c r="AE425" s="1234" t="s">
        <v>299</v>
      </c>
      <c r="AF425" s="1234"/>
    </row>
    <row r="426" spans="1:39" ht="12.95" customHeight="1">
      <c r="F426" s="20" t="s">
        <v>1321</v>
      </c>
    </row>
    <row r="427" spans="1:39" ht="12.95" customHeight="1">
      <c r="F427" s="1306"/>
      <c r="G427" s="1306"/>
      <c r="H427" s="1306"/>
      <c r="I427" s="1306"/>
      <c r="J427" s="1306"/>
      <c r="K427" s="1306"/>
      <c r="L427" s="1306"/>
      <c r="M427" s="1306"/>
      <c r="N427" s="1306"/>
      <c r="O427" s="1306"/>
      <c r="P427" s="1306"/>
      <c r="Q427" s="1306"/>
      <c r="R427" s="1306"/>
      <c r="S427" s="1306"/>
      <c r="T427" s="1306"/>
      <c r="U427" s="1306"/>
      <c r="V427" s="1306"/>
      <c r="W427" s="1306"/>
      <c r="X427" s="1306"/>
      <c r="Y427" s="1306"/>
      <c r="Z427" s="1306"/>
      <c r="AA427" s="1306"/>
      <c r="AB427" s="1306"/>
      <c r="AC427" s="1306"/>
      <c r="AD427" s="1306"/>
      <c r="AE427" s="1306"/>
      <c r="AF427" s="1306"/>
      <c r="AG427" s="1306"/>
      <c r="AH427" s="1306"/>
    </row>
    <row r="428" spans="1:39" ht="12.95" customHeight="1">
      <c r="F428" s="1307"/>
      <c r="G428" s="1307"/>
      <c r="H428" s="1307"/>
      <c r="I428" s="1307"/>
      <c r="J428" s="1307"/>
      <c r="K428" s="1307"/>
      <c r="L428" s="1307"/>
      <c r="M428" s="1307"/>
      <c r="N428" s="1307"/>
      <c r="O428" s="1307"/>
      <c r="P428" s="1307"/>
      <c r="Q428" s="1307"/>
      <c r="R428" s="1307"/>
      <c r="S428" s="1307"/>
      <c r="T428" s="1307"/>
      <c r="U428" s="1307"/>
      <c r="V428" s="1307"/>
      <c r="W428" s="1307"/>
      <c r="X428" s="1307"/>
      <c r="Y428" s="1307"/>
      <c r="Z428" s="1307"/>
      <c r="AA428" s="1307"/>
      <c r="AB428" s="1307"/>
      <c r="AC428" s="1307"/>
      <c r="AD428" s="1307"/>
      <c r="AE428" s="1307"/>
      <c r="AF428" s="1307"/>
      <c r="AG428" s="1307"/>
      <c r="AH428" s="1307"/>
    </row>
    <row r="429" spans="1:39" ht="12.95" customHeight="1">
      <c r="E429" t="s">
        <v>1322</v>
      </c>
      <c r="P429" s="1"/>
      <c r="Q429" s="1234" t="s">
        <v>894</v>
      </c>
      <c r="R429" s="1234"/>
    </row>
    <row r="430" spans="1:39" ht="12.95" customHeight="1">
      <c r="F430" t="s">
        <v>1323</v>
      </c>
      <c r="P430" s="1"/>
      <c r="Q430" s="1"/>
      <c r="AF430" s="1234" t="s">
        <v>299</v>
      </c>
      <c r="AG430" s="1310"/>
    </row>
    <row r="431" spans="1:39" ht="12.95" customHeight="1"/>
    <row r="432" spans="1:39" ht="12.95" customHeight="1">
      <c r="A432" s="2"/>
      <c r="B432" s="2"/>
      <c r="C432" s="2"/>
      <c r="E432" s="3" t="s">
        <v>1324</v>
      </c>
      <c r="Z432" s="1234" t="s">
        <v>894</v>
      </c>
      <c r="AA432" s="1234"/>
    </row>
    <row r="433" spans="1:110" ht="12.95" customHeight="1">
      <c r="F433" s="32" t="s">
        <v>1325</v>
      </c>
      <c r="G433" s="33"/>
      <c r="H433" s="33"/>
      <c r="I433" s="33"/>
      <c r="J433" s="33"/>
      <c r="K433" s="33"/>
      <c r="L433" s="33"/>
      <c r="M433" s="33"/>
      <c r="N433" s="33"/>
      <c r="O433" s="33"/>
      <c r="P433" s="33"/>
      <c r="Q433" s="33"/>
      <c r="R433" s="33"/>
      <c r="S433" s="33"/>
      <c r="T433" s="33"/>
      <c r="U433" s="33"/>
      <c r="V433" s="33"/>
      <c r="W433" s="33"/>
      <c r="AB433" s="33"/>
    </row>
    <row r="434" spans="1:110" ht="12.95" customHeight="1">
      <c r="F434" t="s">
        <v>1326</v>
      </c>
      <c r="G434" s="33"/>
      <c r="I434" s="33"/>
      <c r="J434" s="33"/>
      <c r="K434" s="33"/>
      <c r="L434" s="33"/>
      <c r="M434" s="33"/>
      <c r="N434" s="33"/>
      <c r="O434" s="20"/>
      <c r="P434" s="33"/>
      <c r="Q434" s="33"/>
      <c r="R434" s="33"/>
      <c r="S434" s="33"/>
      <c r="T434" s="33"/>
      <c r="U434" s="33"/>
      <c r="V434" s="33"/>
      <c r="W434" s="33"/>
      <c r="Z434" s="1234" t="s">
        <v>299</v>
      </c>
      <c r="AA434" s="1234"/>
    </row>
    <row r="435" spans="1:110" ht="12.95" customHeight="1"/>
    <row r="436" spans="1:110" ht="12.95" customHeight="1">
      <c r="A436" s="2" t="s">
        <v>1157</v>
      </c>
      <c r="B436" s="2"/>
      <c r="C436" s="2"/>
      <c r="D436" s="2" t="s">
        <v>158</v>
      </c>
      <c r="AF436" s="41"/>
    </row>
    <row r="437" spans="1:110" ht="12.95" customHeight="1">
      <c r="D437" s="1308" t="s">
        <v>1327</v>
      </c>
      <c r="E437" s="1271"/>
      <c r="F437" s="1271"/>
      <c r="G437" s="1271"/>
      <c r="H437" s="1271"/>
      <c r="I437" s="1271"/>
      <c r="J437" s="1271"/>
      <c r="K437" s="1271"/>
      <c r="L437" s="1271"/>
      <c r="M437" s="1271"/>
      <c r="N437" s="1271"/>
      <c r="O437" s="1271"/>
      <c r="P437" s="1271"/>
      <c r="Q437" s="1271"/>
      <c r="R437" s="1271"/>
      <c r="S437" s="1271"/>
      <c r="T437" s="1271"/>
      <c r="U437" s="1271"/>
      <c r="V437" s="1271"/>
      <c r="W437" s="1271"/>
      <c r="X437" s="1271"/>
      <c r="Y437" s="1271"/>
      <c r="Z437" s="1271"/>
      <c r="AA437" s="1271"/>
      <c r="AB437" s="1271"/>
      <c r="AC437" s="1271"/>
      <c r="AD437" s="1271"/>
      <c r="AE437" s="1271"/>
      <c r="AF437" s="1272"/>
      <c r="AG437" s="2426">
        <v>48</v>
      </c>
      <c r="AH437" s="2426"/>
      <c r="AI437" s="2426"/>
      <c r="AJ437" s="2426"/>
    </row>
    <row r="438" spans="1:110" ht="12.95" customHeight="1">
      <c r="D438" s="1268" t="s">
        <v>1328</v>
      </c>
      <c r="E438" s="1269"/>
      <c r="F438" s="1269"/>
      <c r="G438" s="1269"/>
      <c r="H438" s="1269"/>
      <c r="I438" s="1269"/>
      <c r="J438" s="1269"/>
      <c r="K438" s="1269"/>
      <c r="L438" s="1269"/>
      <c r="M438" s="1269"/>
      <c r="N438" s="1269"/>
      <c r="O438" s="1269"/>
      <c r="P438" s="1269"/>
      <c r="Q438" s="1269"/>
      <c r="R438" s="1269"/>
      <c r="S438" s="1269"/>
      <c r="T438" s="1269"/>
      <c r="U438" s="1269"/>
      <c r="V438" s="1269"/>
      <c r="W438" s="1269"/>
      <c r="X438" s="1269"/>
      <c r="Y438" s="1269"/>
      <c r="Z438" s="1269"/>
      <c r="AA438" s="1269"/>
      <c r="AB438" s="1269"/>
      <c r="AC438" s="1269"/>
      <c r="AD438" s="1269"/>
      <c r="AE438" s="1269"/>
      <c r="AF438" s="1270"/>
      <c r="AG438" s="2427">
        <v>0</v>
      </c>
      <c r="AH438" s="2428"/>
      <c r="AI438" s="2428"/>
      <c r="AJ438" s="2428"/>
    </row>
    <row r="439" spans="1:110" ht="12.95" customHeight="1">
      <c r="D439" s="1268" t="s">
        <v>1329</v>
      </c>
      <c r="E439" s="1269"/>
      <c r="F439" s="1269"/>
      <c r="G439" s="1269"/>
      <c r="H439" s="1269"/>
      <c r="I439" s="1269"/>
      <c r="J439" s="1269"/>
      <c r="K439" s="1269"/>
      <c r="L439" s="1269"/>
      <c r="M439" s="1269"/>
      <c r="N439" s="1269"/>
      <c r="O439" s="1269"/>
      <c r="P439" s="1269"/>
      <c r="Q439" s="1269"/>
      <c r="R439" s="1269"/>
      <c r="S439" s="1269"/>
      <c r="T439" s="1269"/>
      <c r="U439" s="1269"/>
      <c r="V439" s="1269"/>
      <c r="W439" s="1269"/>
      <c r="X439" s="1269"/>
      <c r="Y439" s="1269"/>
      <c r="Z439" s="1269"/>
      <c r="AA439" s="1269"/>
      <c r="AB439" s="1269"/>
      <c r="AC439" s="1269"/>
      <c r="AD439" s="1269"/>
      <c r="AE439" s="1269"/>
      <c r="AF439" s="1270"/>
      <c r="AG439" s="2426">
        <v>47</v>
      </c>
      <c r="AH439" s="2426"/>
      <c r="AI439" s="2426"/>
      <c r="AJ439" s="2426"/>
    </row>
    <row r="440" spans="1:110" ht="12.95" customHeight="1">
      <c r="D440" s="1268" t="s">
        <v>1330</v>
      </c>
      <c r="E440" s="1269"/>
      <c r="F440" s="1269"/>
      <c r="G440" s="1269"/>
      <c r="H440" s="1269"/>
      <c r="I440" s="1269"/>
      <c r="J440" s="1269"/>
      <c r="K440" s="1269"/>
      <c r="L440" s="1269"/>
      <c r="M440" s="1269"/>
      <c r="N440" s="1269"/>
      <c r="O440" s="1269"/>
      <c r="P440" s="1269"/>
      <c r="Q440" s="1269"/>
      <c r="R440" s="1269"/>
      <c r="S440" s="1269"/>
      <c r="T440" s="1269"/>
      <c r="U440" s="1269"/>
      <c r="V440" s="1269"/>
      <c r="W440" s="1269"/>
      <c r="X440" s="1269"/>
      <c r="Y440" s="1269"/>
      <c r="Z440" s="1269"/>
      <c r="AA440" s="1269"/>
      <c r="AB440" s="1269"/>
      <c r="AC440" s="1269"/>
      <c r="AD440" s="1269"/>
      <c r="AE440" s="1269"/>
      <c r="AF440" s="1270"/>
      <c r="AG440" s="2426">
        <v>47</v>
      </c>
      <c r="AH440" s="2426"/>
      <c r="AI440" s="2426"/>
      <c r="AJ440" s="2426"/>
    </row>
    <row r="441" spans="1:110" ht="12.95" customHeight="1">
      <c r="D441" s="1268" t="s">
        <v>1331</v>
      </c>
      <c r="E441" s="1269"/>
      <c r="F441" s="1269"/>
      <c r="G441" s="1269"/>
      <c r="H441" s="1269"/>
      <c r="I441" s="1269"/>
      <c r="J441" s="1269"/>
      <c r="K441" s="1269"/>
      <c r="L441" s="1269"/>
      <c r="M441" s="1269"/>
      <c r="N441" s="1269"/>
      <c r="O441" s="1269"/>
      <c r="P441" s="1269"/>
      <c r="Q441" s="1269"/>
      <c r="R441" s="1269"/>
      <c r="S441" s="1269"/>
      <c r="T441" s="1269"/>
      <c r="U441" s="1269"/>
      <c r="V441" s="1269"/>
      <c r="W441" s="1269"/>
      <c r="X441" s="1269"/>
      <c r="Y441" s="1269"/>
      <c r="Z441" s="1269"/>
      <c r="AA441" s="1269"/>
      <c r="AB441" s="1269"/>
      <c r="AC441" s="1269"/>
      <c r="AD441" s="1269"/>
      <c r="AE441" s="1269"/>
      <c r="AF441" s="1270"/>
      <c r="AG441" s="2429">
        <f>IF(ISERROR(AG440/AG439),"",AG440/AG439)</f>
        <v>1</v>
      </c>
      <c r="AH441" s="2429"/>
      <c r="AI441" s="2429"/>
      <c r="AJ441" s="2429"/>
    </row>
    <row r="442" spans="1:110" ht="12.95" customHeight="1">
      <c r="D442" s="1268" t="s">
        <v>1332</v>
      </c>
      <c r="E442" s="1269"/>
      <c r="F442" s="1269"/>
      <c r="G442" s="1269"/>
      <c r="H442" s="1269"/>
      <c r="I442" s="1269"/>
      <c r="J442" s="1269"/>
      <c r="K442" s="1269"/>
      <c r="L442" s="1269"/>
      <c r="M442" s="1269"/>
      <c r="N442" s="1269"/>
      <c r="O442" s="1269"/>
      <c r="P442" s="1269"/>
      <c r="Q442" s="1269"/>
      <c r="R442" s="1269"/>
      <c r="S442" s="1269"/>
      <c r="T442" s="1269"/>
      <c r="U442" s="1269"/>
      <c r="V442" s="1269"/>
      <c r="W442" s="1269"/>
      <c r="X442" s="1269"/>
      <c r="Y442" s="1269"/>
      <c r="Z442" s="1269"/>
      <c r="AA442" s="1269"/>
      <c r="AB442" s="1269"/>
      <c r="AC442" s="1269"/>
      <c r="AD442" s="1269"/>
      <c r="AE442" s="1269"/>
      <c r="AF442" s="1270"/>
      <c r="AG442" s="2430">
        <v>45870</v>
      </c>
      <c r="AH442" s="2430"/>
      <c r="AI442" s="2430"/>
      <c r="AJ442" s="2430"/>
    </row>
    <row r="443" spans="1:110" ht="12.95" customHeight="1">
      <c r="D443" s="1268" t="s">
        <v>1333</v>
      </c>
      <c r="E443" s="1269"/>
      <c r="F443" s="1269"/>
      <c r="G443" s="1269"/>
      <c r="H443" s="1269"/>
      <c r="I443" s="1269"/>
      <c r="J443" s="1269"/>
      <c r="K443" s="1269"/>
      <c r="L443" s="1269"/>
      <c r="M443" s="1269"/>
      <c r="N443" s="1269"/>
      <c r="O443" s="1269"/>
      <c r="P443" s="1269"/>
      <c r="Q443" s="1269"/>
      <c r="R443" s="1269"/>
      <c r="S443" s="1269"/>
      <c r="T443" s="1269"/>
      <c r="U443" s="1269"/>
      <c r="V443" s="1269"/>
      <c r="W443" s="1269"/>
      <c r="X443" s="1269"/>
      <c r="Y443" s="1269"/>
      <c r="Z443" s="1269"/>
      <c r="AA443" s="1269"/>
      <c r="AB443" s="1269"/>
      <c r="AC443" s="1269"/>
      <c r="AD443" s="1269"/>
      <c r="AE443" s="1269"/>
      <c r="AF443" s="1270"/>
      <c r="AG443" s="2430">
        <v>45870</v>
      </c>
      <c r="AH443" s="2430"/>
      <c r="AI443" s="2430"/>
      <c r="AJ443" s="2430"/>
    </row>
    <row r="444" spans="1:110" ht="12.95" customHeight="1">
      <c r="D444" s="1268" t="s">
        <v>1334</v>
      </c>
      <c r="E444" s="1269"/>
      <c r="F444" s="1269"/>
      <c r="G444" s="1269"/>
      <c r="H444" s="1269"/>
      <c r="I444" s="1269"/>
      <c r="J444" s="1269"/>
      <c r="K444" s="1269"/>
      <c r="L444" s="1269"/>
      <c r="M444" s="1269"/>
      <c r="N444" s="1269"/>
      <c r="O444" s="1269"/>
      <c r="P444" s="1269"/>
      <c r="Q444" s="1269"/>
      <c r="R444" s="1269"/>
      <c r="S444" s="1269"/>
      <c r="T444" s="1269"/>
      <c r="U444" s="1269"/>
      <c r="V444" s="1269"/>
      <c r="W444" s="1269"/>
      <c r="X444" s="1269"/>
      <c r="Y444" s="1269"/>
      <c r="Z444" s="1269"/>
      <c r="AA444" s="1269"/>
      <c r="AB444" s="1269"/>
      <c r="AC444" s="1269"/>
      <c r="AD444" s="1269"/>
      <c r="AE444" s="1269"/>
      <c r="AF444" s="1270"/>
      <c r="AG444" s="2429">
        <f>IF(ISERROR(AG443/AG442),"",AG443/AG442)</f>
        <v>1</v>
      </c>
      <c r="AH444" s="2429"/>
      <c r="AI444" s="2429"/>
      <c r="AJ444" s="2429"/>
    </row>
    <row r="445" spans="1:110" ht="12.95" customHeight="1">
      <c r="D445" s="1268" t="s">
        <v>1335</v>
      </c>
      <c r="E445" s="1269"/>
      <c r="F445" s="1269"/>
      <c r="G445" s="1269"/>
      <c r="H445" s="1269"/>
      <c r="I445" s="1269"/>
      <c r="J445" s="1269"/>
      <c r="K445" s="1269"/>
      <c r="L445" s="1269"/>
      <c r="M445" s="1269"/>
      <c r="N445" s="1269"/>
      <c r="O445" s="1269"/>
      <c r="P445" s="1269"/>
      <c r="Q445" s="1269"/>
      <c r="R445" s="1269"/>
      <c r="S445" s="1269"/>
      <c r="T445" s="1269"/>
      <c r="U445" s="1269"/>
      <c r="V445" s="1269"/>
      <c r="W445" s="1269"/>
      <c r="X445" s="1269"/>
      <c r="Y445" s="1269"/>
      <c r="Z445" s="1269"/>
      <c r="AA445" s="1269"/>
      <c r="AB445" s="1269"/>
      <c r="AC445" s="1269"/>
      <c r="AD445" s="1269"/>
      <c r="AE445" s="1269"/>
      <c r="AF445" s="1270"/>
      <c r="AG445" s="2429">
        <f>MIN(IF(AG441&gt;AG444,AG444,AG441),1)</f>
        <v>1</v>
      </c>
      <c r="AH445" s="2429"/>
      <c r="AI445" s="2429"/>
      <c r="AJ445" s="2429"/>
    </row>
    <row r="446" spans="1:110" ht="12.95" customHeight="1">
      <c r="D446" s="1268" t="s">
        <v>1336</v>
      </c>
      <c r="E446" s="1271"/>
      <c r="F446" s="1271"/>
      <c r="G446" s="1271"/>
      <c r="H446" s="1271"/>
      <c r="I446" s="1271"/>
      <c r="J446" s="1271"/>
      <c r="K446" s="1271"/>
      <c r="L446" s="1271"/>
      <c r="M446" s="1271"/>
      <c r="N446" s="1271"/>
      <c r="O446" s="1271"/>
      <c r="P446" s="1271"/>
      <c r="Q446" s="1271"/>
      <c r="R446" s="1271"/>
      <c r="S446" s="1271"/>
      <c r="T446" s="1271"/>
      <c r="U446" s="1271"/>
      <c r="V446" s="1271"/>
      <c r="W446" s="1271"/>
      <c r="X446" s="1271"/>
      <c r="Y446" s="1271"/>
      <c r="Z446" s="1271"/>
      <c r="AA446" s="1271"/>
      <c r="AB446" s="1271"/>
      <c r="AC446" s="1271"/>
      <c r="AD446" s="1271"/>
      <c r="AE446" s="1271"/>
      <c r="AF446" s="1272"/>
      <c r="AG446" s="2430">
        <v>2570</v>
      </c>
      <c r="AH446" s="2430"/>
      <c r="AI446" s="2430"/>
      <c r="AJ446" s="2430"/>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row>
    <row r="447" spans="1:110" ht="12.95" customHeight="1">
      <c r="D447" s="1308" t="s">
        <v>1337</v>
      </c>
      <c r="E447" s="1271"/>
      <c r="F447" s="1271"/>
      <c r="G447" s="1271"/>
      <c r="H447" s="1271"/>
      <c r="I447" s="1271"/>
      <c r="J447" s="1271"/>
      <c r="K447" s="1271"/>
      <c r="L447" s="1271"/>
      <c r="M447" s="1271"/>
      <c r="N447" s="1271"/>
      <c r="O447" s="1271"/>
      <c r="P447" s="1271"/>
      <c r="Q447" s="1271"/>
      <c r="R447" s="1271"/>
      <c r="S447" s="1271"/>
      <c r="T447" s="1271"/>
      <c r="U447" s="1271"/>
      <c r="V447" s="1271"/>
      <c r="W447" s="1271"/>
      <c r="X447" s="1271"/>
      <c r="Y447" s="1271"/>
      <c r="Z447" s="1271"/>
      <c r="AA447" s="1271"/>
      <c r="AB447" s="1271"/>
      <c r="AC447" s="1271"/>
      <c r="AD447" s="1271"/>
      <c r="AE447" s="1271"/>
      <c r="AF447" s="1272"/>
      <c r="AG447" s="2430">
        <v>0</v>
      </c>
      <c r="AH447" s="2430"/>
      <c r="AI447" s="2430"/>
      <c r="AJ447" s="2430"/>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268" t="s">
        <v>1338</v>
      </c>
      <c r="E448" s="1271"/>
      <c r="F448" s="1271"/>
      <c r="G448" s="1271"/>
      <c r="H448" s="1271"/>
      <c r="I448" s="1271"/>
      <c r="J448" s="1271"/>
      <c r="K448" s="1271"/>
      <c r="L448" s="1271"/>
      <c r="M448" s="1271"/>
      <c r="N448" s="1271"/>
      <c r="O448" s="1271"/>
      <c r="P448" s="1271"/>
      <c r="Q448" s="1271"/>
      <c r="R448" s="1271"/>
      <c r="S448" s="1271"/>
      <c r="T448" s="1271"/>
      <c r="U448" s="1271"/>
      <c r="V448" s="1271"/>
      <c r="W448" s="1271"/>
      <c r="X448" s="1271"/>
      <c r="Y448" s="1271"/>
      <c r="Z448" s="1271"/>
      <c r="AA448" s="1271"/>
      <c r="AB448" s="1271"/>
      <c r="AC448" s="1271"/>
      <c r="AD448" s="1271"/>
      <c r="AE448" s="1271"/>
      <c r="AF448" s="1272"/>
      <c r="AG448" s="2430">
        <v>4216</v>
      </c>
      <c r="AH448" s="2430"/>
      <c r="AI448" s="2430"/>
      <c r="AJ448" s="2430"/>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268" t="s">
        <v>1339</v>
      </c>
      <c r="E449" s="1271"/>
      <c r="F449" s="1271"/>
      <c r="G449" s="1271"/>
      <c r="H449" s="1271"/>
      <c r="I449" s="1271"/>
      <c r="J449" s="1271"/>
      <c r="K449" s="1271"/>
      <c r="L449" s="1271"/>
      <c r="M449" s="1271"/>
      <c r="N449" s="1271"/>
      <c r="O449" s="1271"/>
      <c r="P449" s="1271"/>
      <c r="Q449" s="1271"/>
      <c r="R449" s="1271"/>
      <c r="S449" s="1271"/>
      <c r="T449" s="1271"/>
      <c r="U449" s="1271"/>
      <c r="V449" s="1271"/>
      <c r="W449" s="1271"/>
      <c r="X449" s="1271"/>
      <c r="Y449" s="1271"/>
      <c r="Z449" s="1271"/>
      <c r="AA449" s="1271"/>
      <c r="AB449" s="1271"/>
      <c r="AC449" s="1271"/>
      <c r="AD449" s="1271"/>
      <c r="AE449" s="1271"/>
      <c r="AF449" s="1272"/>
      <c r="AG449" s="2430">
        <v>1296</v>
      </c>
      <c r="AH449" s="2430"/>
      <c r="AI449" s="2430"/>
      <c r="AJ449" s="2430"/>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331" t="s">
        <v>1340</v>
      </c>
      <c r="E450" s="1332"/>
      <c r="F450" s="1332"/>
      <c r="G450" s="1332"/>
      <c r="H450" s="1332"/>
      <c r="I450" s="1332"/>
      <c r="J450" s="1332"/>
      <c r="K450" s="1332"/>
      <c r="L450" s="1332"/>
      <c r="M450" s="1332"/>
      <c r="N450" s="1332"/>
      <c r="O450" s="1332"/>
      <c r="P450" s="1332"/>
      <c r="Q450" s="1332"/>
      <c r="R450" s="1332"/>
      <c r="S450" s="1332"/>
      <c r="T450" s="1332"/>
      <c r="U450" s="1332"/>
      <c r="V450" s="1332"/>
      <c r="W450" s="1332"/>
      <c r="X450" s="1332"/>
      <c r="Y450" s="1332"/>
      <c r="Z450" s="1332"/>
      <c r="AA450" s="1332"/>
      <c r="AB450" s="1332"/>
      <c r="AC450" s="1332"/>
      <c r="AD450" s="1332"/>
      <c r="AE450" s="1332"/>
      <c r="AF450" s="1333"/>
      <c r="AG450" s="2431">
        <f>AG442+AG446+AG448+AG449</f>
        <v>53952</v>
      </c>
      <c r="AH450" s="2431"/>
      <c r="AI450" s="2431"/>
      <c r="AJ450" s="2431"/>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334" t="s">
        <v>1341</v>
      </c>
      <c r="E451" s="1334"/>
      <c r="F451" s="1334"/>
      <c r="G451" s="1334"/>
      <c r="H451" s="1334"/>
      <c r="I451" s="1334"/>
      <c r="J451" s="1334"/>
      <c r="K451" s="1334"/>
      <c r="L451" s="1334"/>
      <c r="M451" s="1334"/>
      <c r="N451" s="1334"/>
      <c r="O451" s="1334"/>
      <c r="P451" s="1334"/>
      <c r="Q451" s="1334"/>
      <c r="R451" s="1334"/>
      <c r="S451" s="1334"/>
      <c r="T451" s="1334"/>
      <c r="U451" s="1334"/>
      <c r="V451" s="1334"/>
      <c r="W451" s="1334"/>
      <c r="X451" s="1334"/>
      <c r="Y451" s="1334"/>
      <c r="Z451" s="1334"/>
      <c r="AA451" s="1334"/>
      <c r="AB451" s="1334"/>
      <c r="AC451" s="1334"/>
      <c r="AD451" s="1334"/>
      <c r="AE451" s="1334"/>
      <c r="AF451" s="1334"/>
      <c r="AG451" s="1334"/>
      <c r="AH451" s="1334"/>
      <c r="AI451" s="1334"/>
      <c r="AJ451" s="1334"/>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335"/>
      <c r="E452" s="1335"/>
      <c r="F452" s="1335"/>
      <c r="G452" s="1335"/>
      <c r="H452" s="1335"/>
      <c r="I452" s="1335"/>
      <c r="J452" s="1335"/>
      <c r="K452" s="1335"/>
      <c r="L452" s="1335"/>
      <c r="M452" s="1335"/>
      <c r="N452" s="1335"/>
      <c r="O452" s="1335"/>
      <c r="P452" s="1335"/>
      <c r="Q452" s="1335"/>
      <c r="R452" s="1335"/>
      <c r="S452" s="1335"/>
      <c r="T452" s="1335"/>
      <c r="U452" s="1335"/>
      <c r="V452" s="1335"/>
      <c r="W452" s="1335"/>
      <c r="X452" s="1335"/>
      <c r="Y452" s="1335"/>
      <c r="Z452" s="1335"/>
      <c r="AA452" s="1335"/>
      <c r="AB452" s="1335"/>
      <c r="AC452" s="1335"/>
      <c r="AD452" s="1335"/>
      <c r="AE452" s="1335"/>
      <c r="AF452" s="1335"/>
      <c r="AG452" s="1335"/>
      <c r="AH452" s="1335"/>
      <c r="AI452" s="1335"/>
      <c r="AJ452" s="1335"/>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456"/>
      <c r="E453" s="440"/>
      <c r="F453" s="440"/>
      <c r="G453" s="440"/>
      <c r="H453" s="440"/>
      <c r="I453" s="440"/>
      <c r="J453" s="440"/>
      <c r="K453" s="440"/>
      <c r="L453" s="440"/>
      <c r="M453" s="440"/>
      <c r="N453" s="440"/>
      <c r="O453" s="440"/>
      <c r="P453" s="440"/>
      <c r="Q453" s="440"/>
      <c r="R453" s="440"/>
      <c r="S453" s="440"/>
      <c r="T453" s="440"/>
      <c r="U453" s="440"/>
      <c r="V453" s="440"/>
      <c r="W453" s="440"/>
      <c r="X453" s="440"/>
      <c r="Y453" s="440"/>
      <c r="Z453" s="440"/>
      <c r="AA453" s="440"/>
      <c r="AB453" s="440"/>
      <c r="AC453" s="440"/>
      <c r="AD453" s="440"/>
      <c r="AE453" s="440"/>
      <c r="AF453" s="440"/>
      <c r="AG453" s="440"/>
      <c r="AH453" s="440"/>
      <c r="AI453" s="440"/>
      <c r="AJ453" s="890"/>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144" t="s">
        <v>1342</v>
      </c>
      <c r="E454" s="440"/>
      <c r="F454" s="440"/>
      <c r="G454" s="440"/>
      <c r="H454" s="440"/>
      <c r="I454" s="440"/>
      <c r="J454" s="440"/>
      <c r="K454" s="440"/>
      <c r="L454" s="440"/>
      <c r="M454" s="440"/>
      <c r="N454" s="440"/>
      <c r="O454" s="440"/>
      <c r="P454" s="440"/>
      <c r="Q454" s="440"/>
      <c r="R454" s="440"/>
      <c r="S454" s="440"/>
      <c r="T454" s="440"/>
      <c r="U454" s="440"/>
      <c r="V454" s="440"/>
      <c r="W454" s="440"/>
      <c r="X454" s="440"/>
      <c r="Y454" s="440"/>
      <c r="Z454" s="440"/>
      <c r="AA454" s="440"/>
      <c r="AB454" s="440"/>
      <c r="AC454" s="2432">
        <f>IF(AG437=0,"",'Sources and Uses Budget'!B105/Application!AG437)</f>
        <v>737886.44325372216</v>
      </c>
      <c r="AD454" s="2432"/>
      <c r="AE454" s="2432"/>
      <c r="AF454" s="2432"/>
      <c r="AG454" s="440"/>
      <c r="AH454" s="440"/>
      <c r="AI454" s="440"/>
      <c r="AJ454" s="890"/>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144" t="s">
        <v>1343</v>
      </c>
      <c r="E455" s="440"/>
      <c r="F455" s="440"/>
      <c r="G455" s="440"/>
      <c r="H455" s="440"/>
      <c r="I455" s="440"/>
      <c r="J455" s="440"/>
      <c r="K455" s="440"/>
      <c r="L455" s="440"/>
      <c r="M455" s="440"/>
      <c r="N455" s="440"/>
      <c r="O455" s="440"/>
      <c r="P455" s="440"/>
      <c r="Q455" s="440"/>
      <c r="R455" s="440"/>
      <c r="S455" s="440"/>
      <c r="T455" s="440"/>
      <c r="U455" s="440"/>
      <c r="V455" s="440"/>
      <c r="W455" s="440"/>
      <c r="X455" s="440"/>
      <c r="Y455" s="440"/>
      <c r="Z455" s="440"/>
      <c r="AA455" s="440"/>
      <c r="AB455" s="440"/>
      <c r="AC455" s="2432">
        <f>IF(AG437=0,"",'Sources and Uses Budget'!C105/Application!AG437)</f>
        <v>737886.44325372216</v>
      </c>
      <c r="AD455" s="2432"/>
      <c r="AE455" s="2432"/>
      <c r="AF455" s="2432"/>
      <c r="AG455" s="440"/>
      <c r="AH455" s="440"/>
      <c r="AI455" s="440"/>
      <c r="AJ455" s="890"/>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144" t="s">
        <v>1344</v>
      </c>
      <c r="E456" s="440"/>
      <c r="F456" s="440"/>
      <c r="G456" s="440"/>
      <c r="H456" s="440"/>
      <c r="I456" s="440"/>
      <c r="J456" s="440"/>
      <c r="K456" s="440"/>
      <c r="L456" s="440"/>
      <c r="M456" s="440"/>
      <c r="N456" s="440"/>
      <c r="O456" s="440"/>
      <c r="P456" s="440"/>
      <c r="Q456" s="440"/>
      <c r="R456" s="440"/>
      <c r="S456" s="440"/>
      <c r="T456" s="440"/>
      <c r="U456" s="440"/>
      <c r="V456" s="440"/>
      <c r="W456" s="440"/>
      <c r="X456" s="440"/>
      <c r="Y456" s="440"/>
      <c r="Z456" s="440"/>
      <c r="AA456" s="440"/>
      <c r="AB456" s="440"/>
      <c r="AC456" s="2432">
        <f>IF(AG437=0,"",('Sources and Uses Budget'!$S$107+'Sources and Uses Budget'!$T$107)/Application!AG437)</f>
        <v>646193.91617038881</v>
      </c>
      <c r="AD456" s="2432"/>
      <c r="AE456" s="2432"/>
      <c r="AF456" s="2432"/>
      <c r="AG456" s="440"/>
      <c r="AH456" s="440"/>
      <c r="AI456" s="440"/>
      <c r="AJ456" s="890"/>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440"/>
      <c r="E457" s="440"/>
      <c r="F457" s="1311"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311"/>
      <c r="H457" s="1311"/>
      <c r="I457" s="1311"/>
      <c r="J457" s="1311"/>
      <c r="K457" s="1311"/>
      <c r="L457" s="1311"/>
      <c r="M457" s="1311"/>
      <c r="N457" s="1311"/>
      <c r="O457" s="1311"/>
      <c r="P457" s="1311"/>
      <c r="Q457" s="1311"/>
      <c r="R457" s="1311"/>
      <c r="S457" s="1311"/>
      <c r="T457" s="1311"/>
      <c r="U457" s="1311"/>
      <c r="V457" s="1311"/>
      <c r="W457" s="1311"/>
      <c r="X457" s="1311"/>
      <c r="Y457" s="1311"/>
      <c r="Z457" s="1311"/>
      <c r="AA457" s="1311"/>
      <c r="AB457" s="1311"/>
      <c r="AC457" s="440"/>
      <c r="AD457" s="440"/>
      <c r="AE457" s="440"/>
      <c r="AF457" s="440"/>
      <c r="AG457" s="440"/>
      <c r="AH457" s="440"/>
      <c r="AI457" s="440"/>
      <c r="AJ457" s="890"/>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440"/>
      <c r="F458" s="1311"/>
      <c r="G458" s="1311"/>
      <c r="H458" s="1311"/>
      <c r="I458" s="1311"/>
      <c r="J458" s="1311"/>
      <c r="K458" s="1311"/>
      <c r="L458" s="1311"/>
      <c r="M458" s="1311"/>
      <c r="N458" s="1311"/>
      <c r="O458" s="1311"/>
      <c r="P458" s="1311"/>
      <c r="Q458" s="1311"/>
      <c r="R458" s="1311"/>
      <c r="S458" s="1311"/>
      <c r="T458" s="1311"/>
      <c r="U458" s="1311"/>
      <c r="V458" s="1311"/>
      <c r="W458" s="1311"/>
      <c r="X458" s="1311"/>
      <c r="Y458" s="1311"/>
      <c r="Z458" s="1311"/>
      <c r="AA458" s="1311"/>
      <c r="AB458" s="1311"/>
      <c r="AC458" s="440"/>
      <c r="AD458" s="440"/>
      <c r="AE458" s="440"/>
      <c r="AF458" s="440"/>
      <c r="AG458" s="440"/>
      <c r="AH458" s="440"/>
      <c r="AI458" s="440"/>
      <c r="AJ458" s="890"/>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1345</v>
      </c>
      <c r="D459" s="2" t="s">
        <v>161</v>
      </c>
      <c r="E459" s="440"/>
      <c r="F459" s="440"/>
      <c r="G459" s="440"/>
      <c r="H459" s="440"/>
      <c r="I459" s="440"/>
      <c r="J459" s="440"/>
      <c r="K459" s="440"/>
      <c r="L459" s="440"/>
      <c r="M459" s="440"/>
      <c r="N459" s="440"/>
      <c r="O459" s="440"/>
      <c r="P459" s="440"/>
      <c r="Q459" s="440"/>
      <c r="R459" s="440"/>
      <c r="S459" s="440"/>
      <c r="T459" s="440"/>
      <c r="U459" s="440"/>
      <c r="V459" s="440"/>
      <c r="W459" s="440"/>
      <c r="X459" s="440"/>
      <c r="Y459" s="440"/>
      <c r="Z459" s="440"/>
      <c r="AA459" s="440"/>
      <c r="AB459" s="440"/>
      <c r="AC459" s="440"/>
      <c r="AD459" s="440"/>
      <c r="AE459" s="440"/>
      <c r="AF459" s="440"/>
      <c r="AG459" s="440"/>
      <c r="AH459" s="440"/>
      <c r="AI459" s="440"/>
      <c r="AJ459" s="890"/>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33" t="s">
        <v>1346</v>
      </c>
      <c r="E460" s="440"/>
      <c r="F460" s="440"/>
      <c r="G460" s="440"/>
      <c r="H460" s="440"/>
      <c r="I460" s="440"/>
      <c r="J460" s="440"/>
      <c r="K460" s="440"/>
      <c r="L460" s="440"/>
      <c r="M460" s="440"/>
      <c r="N460" s="440"/>
      <c r="O460" s="440"/>
      <c r="P460" s="440"/>
      <c r="Q460" s="440"/>
      <c r="R460" s="440"/>
      <c r="S460" s="440"/>
      <c r="T460" s="440"/>
      <c r="U460" s="440"/>
      <c r="V460" s="440"/>
      <c r="W460" s="440"/>
      <c r="X460" s="440"/>
      <c r="Y460" s="440"/>
      <c r="Z460" s="440"/>
      <c r="AA460" s="440"/>
      <c r="AB460" s="440"/>
      <c r="AC460" s="440"/>
      <c r="AD460" s="440"/>
      <c r="AE460" s="440"/>
      <c r="AF460" s="440"/>
      <c r="AG460" s="440"/>
      <c r="AH460" s="440"/>
      <c r="AI460" s="440"/>
      <c r="AJ460" s="890"/>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33" t="s">
        <v>1347</v>
      </c>
      <c r="E461" s="440"/>
      <c r="F461" s="440"/>
      <c r="G461" s="440"/>
      <c r="H461" s="440"/>
      <c r="I461" s="440"/>
      <c r="J461" s="440"/>
      <c r="K461" s="440"/>
      <c r="L461" s="440"/>
      <c r="M461" s="440"/>
      <c r="N461" s="440"/>
      <c r="O461" s="440"/>
      <c r="P461" s="440"/>
      <c r="Q461" s="440"/>
      <c r="R461" s="440"/>
      <c r="S461" s="440"/>
      <c r="T461" s="440"/>
      <c r="U461" s="440"/>
      <c r="V461" s="440"/>
      <c r="W461" s="440"/>
      <c r="X461" s="440"/>
      <c r="Y461" s="440"/>
      <c r="Z461" s="440"/>
      <c r="AA461" s="440"/>
      <c r="AB461" s="440"/>
      <c r="AC461" s="440"/>
      <c r="AD461" s="440"/>
      <c r="AE461" s="440"/>
      <c r="AF461" s="440"/>
      <c r="AG461" s="440"/>
      <c r="AH461" s="440"/>
      <c r="AI461" s="440"/>
      <c r="AJ461" s="890"/>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33" t="s">
        <v>1348</v>
      </c>
      <c r="E462" s="440"/>
      <c r="F462" s="440"/>
      <c r="G462" s="440"/>
      <c r="H462" s="440"/>
      <c r="I462" s="440"/>
      <c r="J462" s="440"/>
      <c r="K462" s="440"/>
      <c r="L462" s="440"/>
      <c r="M462" s="440"/>
      <c r="N462" s="440"/>
      <c r="O462" s="440"/>
      <c r="P462" s="440"/>
      <c r="Q462" s="440"/>
      <c r="R462" s="440"/>
      <c r="S462" s="440"/>
      <c r="T462" s="440"/>
      <c r="U462" s="440"/>
      <c r="V462" s="440"/>
      <c r="W462" s="440"/>
      <c r="X462" s="440"/>
      <c r="Y462" s="440"/>
      <c r="Z462" s="440"/>
      <c r="AA462" s="440"/>
      <c r="AB462" s="440"/>
      <c r="AC462" s="440"/>
      <c r="AD462" s="440"/>
      <c r="AE462" s="440"/>
      <c r="AF462" s="440"/>
      <c r="AG462" s="440"/>
      <c r="AH462" s="440"/>
      <c r="AI462" s="440"/>
      <c r="AJ462" s="890"/>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456"/>
      <c r="E463" s="440"/>
      <c r="F463" s="440"/>
      <c r="G463" s="440"/>
      <c r="H463" s="440"/>
      <c r="I463" s="440"/>
      <c r="J463" s="440"/>
      <c r="K463" s="440"/>
      <c r="L463" s="440"/>
      <c r="M463" s="440"/>
      <c r="N463" s="440"/>
      <c r="O463" s="440"/>
      <c r="P463" s="440"/>
      <c r="Q463" s="440"/>
      <c r="R463" s="440"/>
      <c r="S463" s="440"/>
      <c r="T463" s="440"/>
      <c r="U463" s="440"/>
      <c r="V463" s="440"/>
      <c r="W463" s="440"/>
      <c r="X463" s="440"/>
      <c r="Y463" s="440"/>
      <c r="Z463" s="440"/>
      <c r="AA463" s="440"/>
      <c r="AB463" s="440"/>
      <c r="AC463" s="440"/>
      <c r="AD463" s="440"/>
      <c r="AE463" s="440"/>
      <c r="AF463" s="440"/>
      <c r="AG463" s="440"/>
      <c r="AH463" s="440"/>
      <c r="AI463" s="440"/>
      <c r="AJ463" s="890"/>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33" t="s">
        <v>1349</v>
      </c>
      <c r="E464" s="133"/>
      <c r="F464" s="133"/>
      <c r="G464" s="133"/>
      <c r="H464" s="133"/>
      <c r="I464" s="133"/>
      <c r="J464" s="133"/>
      <c r="K464" s="133"/>
      <c r="L464" s="133"/>
      <c r="M464" s="133"/>
      <c r="N464" s="133"/>
      <c r="O464" s="133"/>
      <c r="P464" s="133"/>
      <c r="Q464" s="133"/>
      <c r="R464" s="133"/>
      <c r="S464" s="133"/>
      <c r="T464" s="133"/>
      <c r="U464" s="133"/>
      <c r="V464" s="133"/>
      <c r="W464" s="133"/>
      <c r="X464" s="133"/>
      <c r="Y464" s="133"/>
      <c r="Z464" s="133"/>
      <c r="AA464" s="133"/>
      <c r="AB464" s="133"/>
      <c r="AC464" s="133"/>
      <c r="AD464" s="440"/>
      <c r="AE464" s="440"/>
      <c r="AF464" s="440"/>
      <c r="AG464" s="440"/>
      <c r="AH464" s="440"/>
      <c r="AI464" s="440"/>
      <c r="AJ464" s="890"/>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251" t="s">
        <v>1350</v>
      </c>
      <c r="E465" s="1252"/>
      <c r="F465" s="1252"/>
      <c r="G465" s="1252"/>
      <c r="H465" s="1252"/>
      <c r="I465" s="1252"/>
      <c r="J465" s="1252"/>
      <c r="K465" s="1252"/>
      <c r="L465" s="1252"/>
      <c r="M465" s="1252"/>
      <c r="N465" s="1252"/>
      <c r="O465" s="1252"/>
      <c r="P465" s="1252"/>
      <c r="Q465" s="1252"/>
      <c r="R465" s="1252"/>
      <c r="S465" s="1252"/>
      <c r="T465" s="1252"/>
      <c r="U465" s="1252"/>
      <c r="V465" s="1253"/>
      <c r="W465" s="2433">
        <v>14</v>
      </c>
      <c r="X465" s="2434"/>
      <c r="Y465" s="2435"/>
      <c r="Z465" s="133"/>
      <c r="AA465" s="133"/>
      <c r="AB465" s="133"/>
      <c r="AC465" s="133"/>
      <c r="AD465" s="440"/>
      <c r="AE465" s="440"/>
      <c r="AF465" s="440"/>
      <c r="AG465" s="440"/>
      <c r="AH465" s="440"/>
      <c r="AI465" s="440"/>
      <c r="AJ465" s="890"/>
      <c r="AZ465" s="3"/>
      <c r="BA465" s="3"/>
      <c r="BB465" s="3"/>
      <c r="BC465" s="3"/>
      <c r="BD465" s="3"/>
      <c r="BE465" s="3"/>
      <c r="BF465" s="3"/>
      <c r="BG465" s="3"/>
      <c r="BH465" s="3"/>
      <c r="BI465" s="816"/>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251" t="s">
        <v>1351</v>
      </c>
      <c r="E466" s="1252"/>
      <c r="F466" s="1252"/>
      <c r="G466" s="1252"/>
      <c r="H466" s="1252"/>
      <c r="I466" s="1252"/>
      <c r="J466" s="1252"/>
      <c r="K466" s="1252"/>
      <c r="L466" s="1252"/>
      <c r="M466" s="1252"/>
      <c r="N466" s="1252"/>
      <c r="O466" s="1252"/>
      <c r="P466" s="1252"/>
      <c r="Q466" s="1252"/>
      <c r="R466" s="1252"/>
      <c r="S466" s="1252"/>
      <c r="T466" s="1252"/>
      <c r="U466" s="1252"/>
      <c r="V466" s="1253"/>
      <c r="W466" s="2433">
        <v>0</v>
      </c>
      <c r="X466" s="2434"/>
      <c r="Y466" s="2435"/>
      <c r="Z466" s="133"/>
      <c r="AA466" s="133"/>
      <c r="AB466" s="133"/>
      <c r="AC466" s="133"/>
      <c r="AD466" s="440"/>
      <c r="AE466" s="440"/>
      <c r="AF466" s="440"/>
      <c r="AG466" s="440"/>
      <c r="AH466" s="440"/>
      <c r="AI466" s="440"/>
      <c r="AJ466" s="890"/>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251" t="s">
        <v>1352</v>
      </c>
      <c r="E467" s="1252"/>
      <c r="F467" s="1252"/>
      <c r="G467" s="1252"/>
      <c r="H467" s="1252"/>
      <c r="I467" s="1252"/>
      <c r="J467" s="1252"/>
      <c r="K467" s="1252"/>
      <c r="L467" s="1252"/>
      <c r="M467" s="1252"/>
      <c r="N467" s="1252"/>
      <c r="O467" s="1252"/>
      <c r="P467" s="1252"/>
      <c r="Q467" s="1252"/>
      <c r="R467" s="1252"/>
      <c r="S467" s="1252"/>
      <c r="T467" s="1252"/>
      <c r="U467" s="1252"/>
      <c r="V467" s="1253"/>
      <c r="W467" s="2433">
        <v>0</v>
      </c>
      <c r="X467" s="2434"/>
      <c r="Y467" s="2435"/>
      <c r="Z467" s="133"/>
      <c r="AA467" s="133"/>
      <c r="AB467" s="133"/>
      <c r="AC467" s="133"/>
      <c r="AD467" s="440"/>
      <c r="AE467" s="440"/>
      <c r="AF467" s="440"/>
      <c r="AG467" s="440"/>
      <c r="AH467" s="440"/>
      <c r="AI467" s="440"/>
      <c r="AJ467" s="890"/>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251" t="s">
        <v>1353</v>
      </c>
      <c r="E468" s="1252"/>
      <c r="F468" s="1252"/>
      <c r="G468" s="1252"/>
      <c r="H468" s="1252"/>
      <c r="I468" s="1252"/>
      <c r="J468" s="1252"/>
      <c r="K468" s="1252"/>
      <c r="L468" s="1252"/>
      <c r="M468" s="1252"/>
      <c r="N468" s="1252"/>
      <c r="O468" s="1252"/>
      <c r="P468" s="1252"/>
      <c r="Q468" s="1252"/>
      <c r="R468" s="1252"/>
      <c r="S468" s="1252"/>
      <c r="T468" s="1252"/>
      <c r="U468" s="1252"/>
      <c r="V468" s="1253"/>
      <c r="W468" s="2433">
        <v>0</v>
      </c>
      <c r="X468" s="2434"/>
      <c r="Y468" s="2435"/>
      <c r="Z468" s="133"/>
      <c r="AA468" s="133"/>
      <c r="AB468" s="133"/>
      <c r="AC468" s="133"/>
      <c r="AD468" s="440"/>
      <c r="AE468" s="440"/>
      <c r="AF468" s="440"/>
      <c r="AG468" s="440"/>
      <c r="AH468" s="440"/>
      <c r="AI468" s="440"/>
      <c r="AJ468" s="890"/>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251" t="s">
        <v>1354</v>
      </c>
      <c r="E469" s="1252"/>
      <c r="F469" s="1252"/>
      <c r="G469" s="1252"/>
      <c r="H469" s="1252"/>
      <c r="I469" s="1252"/>
      <c r="J469" s="1252"/>
      <c r="K469" s="1252"/>
      <c r="L469" s="1252"/>
      <c r="M469" s="1252"/>
      <c r="N469" s="1252"/>
      <c r="O469" s="1252"/>
      <c r="P469" s="1252"/>
      <c r="Q469" s="1252"/>
      <c r="R469" s="1252"/>
      <c r="S469" s="1252"/>
      <c r="T469" s="1252"/>
      <c r="U469" s="1252"/>
      <c r="V469" s="1253"/>
      <c r="W469" s="2433">
        <v>0</v>
      </c>
      <c r="X469" s="2434"/>
      <c r="Y469" s="2435"/>
      <c r="Z469" s="133"/>
      <c r="AA469" s="133"/>
      <c r="AB469" s="133"/>
      <c r="AC469" s="133"/>
      <c r="AD469" s="440"/>
      <c r="AE469" s="440"/>
      <c r="AF469" s="440"/>
      <c r="AG469" s="440"/>
      <c r="AH469" s="440"/>
      <c r="AI469" s="440"/>
      <c r="AJ469" s="890"/>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251" t="s">
        <v>1355</v>
      </c>
      <c r="E470" s="1252"/>
      <c r="F470" s="1252"/>
      <c r="G470" s="1252"/>
      <c r="H470" s="1252"/>
      <c r="I470" s="1252"/>
      <c r="J470" s="1252"/>
      <c r="K470" s="1252"/>
      <c r="L470" s="1252"/>
      <c r="M470" s="1252"/>
      <c r="N470" s="1252"/>
      <c r="O470" s="1252"/>
      <c r="P470" s="1252"/>
      <c r="Q470" s="1252"/>
      <c r="R470" s="1252"/>
      <c r="S470" s="1252"/>
      <c r="T470" s="1252"/>
      <c r="U470" s="1252"/>
      <c r="V470" s="1253"/>
      <c r="W470" s="2433">
        <v>0</v>
      </c>
      <c r="X470" s="2434"/>
      <c r="Y470" s="2435"/>
      <c r="Z470" s="133"/>
      <c r="AA470" s="133"/>
      <c r="AB470" s="133"/>
      <c r="AC470" s="133"/>
      <c r="AD470" s="440"/>
      <c r="AE470" s="440"/>
      <c r="AF470" s="440"/>
      <c r="AG470" s="440"/>
      <c r="AH470" s="440"/>
      <c r="AI470" s="440"/>
      <c r="AJ470" s="890"/>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251" t="s">
        <v>1356</v>
      </c>
      <c r="E471" s="1252"/>
      <c r="F471" s="1252"/>
      <c r="G471" s="1252"/>
      <c r="H471" s="1252"/>
      <c r="I471" s="1252"/>
      <c r="J471" s="1252"/>
      <c r="K471" s="1252"/>
      <c r="L471" s="1252"/>
      <c r="M471" s="1252"/>
      <c r="N471" s="1252"/>
      <c r="O471" s="1252"/>
      <c r="P471" s="1252"/>
      <c r="Q471" s="1252"/>
      <c r="R471" s="1252"/>
      <c r="S471" s="1252"/>
      <c r="T471" s="1252"/>
      <c r="U471" s="1252"/>
      <c r="V471" s="1253"/>
      <c r="W471" s="2433">
        <v>0</v>
      </c>
      <c r="X471" s="2434"/>
      <c r="Y471" s="2435"/>
      <c r="Z471" s="133"/>
      <c r="AA471" s="133"/>
      <c r="AB471" s="133"/>
      <c r="AC471" s="133"/>
      <c r="AD471" s="440"/>
      <c r="AE471" s="440"/>
      <c r="AF471" s="440"/>
      <c r="AG471" s="440"/>
      <c r="AH471" s="440"/>
      <c r="AI471" s="440"/>
      <c r="AJ471" s="890"/>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251" t="s">
        <v>1357</v>
      </c>
      <c r="E472" s="1252"/>
      <c r="F472" s="1252"/>
      <c r="G472" s="1252"/>
      <c r="H472" s="1252"/>
      <c r="I472" s="1252"/>
      <c r="J472" s="1252"/>
      <c r="K472" s="1252"/>
      <c r="L472" s="1252"/>
      <c r="M472" s="1252"/>
      <c r="N472" s="1252"/>
      <c r="O472" s="1252"/>
      <c r="P472" s="1252"/>
      <c r="Q472" s="1252"/>
      <c r="R472" s="1252"/>
      <c r="S472" s="1252"/>
      <c r="T472" s="1252"/>
      <c r="U472" s="1252"/>
      <c r="V472" s="1253"/>
      <c r="W472" s="2433">
        <v>0</v>
      </c>
      <c r="X472" s="2434"/>
      <c r="Y472" s="2435"/>
      <c r="Z472" s="133"/>
      <c r="AA472" s="133"/>
      <c r="AB472" s="133"/>
      <c r="AC472" s="133"/>
      <c r="AD472" s="440"/>
      <c r="AE472" s="440"/>
      <c r="AF472" s="440"/>
      <c r="AG472" s="440"/>
      <c r="AH472" s="440"/>
      <c r="AI472" s="440"/>
      <c r="AJ472" s="890"/>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251" t="s">
        <v>1358</v>
      </c>
      <c r="E473" s="1252"/>
      <c r="F473" s="1252"/>
      <c r="G473" s="1252"/>
      <c r="H473" s="1252"/>
      <c r="I473" s="1252"/>
      <c r="J473" s="1252"/>
      <c r="K473" s="1252"/>
      <c r="L473" s="1252"/>
      <c r="M473" s="1252"/>
      <c r="N473" s="1252"/>
      <c r="O473" s="1252"/>
      <c r="P473" s="1252"/>
      <c r="Q473" s="1252"/>
      <c r="R473" s="1252"/>
      <c r="S473" s="1252"/>
      <c r="T473" s="1252"/>
      <c r="U473" s="1252"/>
      <c r="V473" s="1253"/>
      <c r="W473" s="2433">
        <v>0</v>
      </c>
      <c r="X473" s="2434"/>
      <c r="Y473" s="2435"/>
      <c r="Z473" s="133"/>
      <c r="AA473" s="133"/>
      <c r="AB473" s="133"/>
      <c r="AC473" s="133"/>
      <c r="AD473" s="440"/>
      <c r="AE473" s="440"/>
      <c r="AF473" s="440"/>
      <c r="AG473" s="440"/>
      <c r="AH473" s="440"/>
      <c r="AI473" s="440"/>
      <c r="AJ473" s="890"/>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436" t="s">
        <v>232</v>
      </c>
      <c r="E474" s="2437"/>
      <c r="F474" s="2438"/>
      <c r="G474" s="1374" t="s">
        <v>987</v>
      </c>
      <c r="H474" s="2439"/>
      <c r="I474" s="2439"/>
      <c r="J474" s="2439"/>
      <c r="K474" s="2439"/>
      <c r="L474" s="2439"/>
      <c r="M474" s="2439"/>
      <c r="N474" s="2439"/>
      <c r="O474" s="2439"/>
      <c r="P474" s="2439"/>
      <c r="Q474" s="2439"/>
      <c r="R474" s="2439"/>
      <c r="S474" s="2439"/>
      <c r="T474" s="2439"/>
      <c r="U474" s="2439"/>
      <c r="V474" s="2440"/>
      <c r="W474" s="2433">
        <v>33</v>
      </c>
      <c r="X474" s="2434"/>
      <c r="Y474" s="2435"/>
      <c r="Z474" s="133"/>
      <c r="AA474" s="133"/>
      <c r="AB474" s="133"/>
      <c r="AC474" s="133"/>
      <c r="AD474" s="440"/>
      <c r="AE474" s="440"/>
      <c r="AF474" s="440"/>
      <c r="AG474" s="440"/>
      <c r="AH474" s="440"/>
      <c r="AI474" s="440"/>
      <c r="AJ474" s="890"/>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441" t="s">
        <v>1359</v>
      </c>
      <c r="E475" s="2442"/>
      <c r="F475" s="2442"/>
      <c r="G475" s="133"/>
      <c r="H475" s="133"/>
      <c r="I475" s="133"/>
      <c r="J475" s="133"/>
      <c r="K475" s="133"/>
      <c r="L475" s="133"/>
      <c r="M475" s="133"/>
      <c r="N475" s="133"/>
      <c r="O475" s="133"/>
      <c r="P475" s="133"/>
      <c r="Q475" s="133"/>
      <c r="R475" s="133"/>
      <c r="S475" s="133"/>
      <c r="T475" s="133"/>
      <c r="U475" s="133"/>
      <c r="V475" s="133"/>
      <c r="W475" s="2443"/>
      <c r="X475" s="2443"/>
      <c r="Y475" s="2444"/>
      <c r="Z475" s="133"/>
      <c r="AA475" s="133"/>
      <c r="AB475" s="133"/>
      <c r="AC475" s="133"/>
      <c r="AD475" s="440"/>
      <c r="AE475" s="440"/>
      <c r="AF475" s="440"/>
      <c r="AG475" s="440"/>
      <c r="AH475" s="440"/>
      <c r="AI475" s="440"/>
      <c r="AJ475" s="890"/>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178"/>
      <c r="E476" s="179"/>
      <c r="F476" s="179"/>
      <c r="G476" s="179"/>
      <c r="H476" s="179"/>
      <c r="I476" s="179"/>
      <c r="J476" s="179"/>
      <c r="K476" s="179"/>
      <c r="L476" s="179"/>
      <c r="M476" s="179"/>
      <c r="N476" s="179"/>
      <c r="O476" s="179"/>
      <c r="P476" s="179"/>
      <c r="Q476" s="179"/>
      <c r="R476" s="179"/>
      <c r="S476" s="179"/>
      <c r="T476" s="179"/>
      <c r="U476" s="179"/>
      <c r="V476" s="179"/>
      <c r="W476" s="2445"/>
      <c r="X476" s="2445"/>
      <c r="Y476" s="2446"/>
      <c r="Z476" s="133"/>
      <c r="AA476" s="133"/>
      <c r="AB476" s="133"/>
      <c r="AC476" s="133"/>
      <c r="AD476" s="440"/>
      <c r="AE476" s="440"/>
      <c r="AF476" s="440"/>
      <c r="AG476" s="440"/>
      <c r="AH476" s="440"/>
      <c r="AI476" s="440"/>
      <c r="AJ476" s="890"/>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178"/>
      <c r="E477" s="179"/>
      <c r="F477" s="179"/>
      <c r="G477" s="179"/>
      <c r="H477" s="179"/>
      <c r="I477" s="179"/>
      <c r="J477" s="179"/>
      <c r="K477" s="179"/>
      <c r="L477" s="179"/>
      <c r="M477" s="179"/>
      <c r="N477" s="179"/>
      <c r="O477" s="179"/>
      <c r="P477" s="179"/>
      <c r="Q477" s="179"/>
      <c r="R477" s="179"/>
      <c r="S477" s="179"/>
      <c r="T477" s="179"/>
      <c r="U477" s="179"/>
      <c r="V477" s="179"/>
      <c r="W477" s="2445"/>
      <c r="X477" s="2445"/>
      <c r="Y477" s="2446"/>
      <c r="Z477" s="133"/>
      <c r="AA477" s="133"/>
      <c r="AB477" s="133"/>
      <c r="AC477" s="133"/>
      <c r="AD477" s="440"/>
      <c r="AE477" s="440"/>
      <c r="AF477" s="440"/>
      <c r="AG477" s="440"/>
      <c r="AH477" s="440"/>
      <c r="AI477" s="440"/>
      <c r="AJ477" s="890"/>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178"/>
      <c r="E478" s="179"/>
      <c r="F478" s="179"/>
      <c r="G478" s="179"/>
      <c r="H478" s="179"/>
      <c r="I478" s="179"/>
      <c r="J478" s="179"/>
      <c r="K478" s="179"/>
      <c r="L478" s="179"/>
      <c r="M478" s="179"/>
      <c r="N478" s="179"/>
      <c r="O478" s="179"/>
      <c r="P478" s="179"/>
      <c r="Q478" s="179"/>
      <c r="R478" s="179"/>
      <c r="S478" s="179"/>
      <c r="T478" s="179"/>
      <c r="U478" s="179"/>
      <c r="V478" s="179"/>
      <c r="W478" s="2445"/>
      <c r="X478" s="2445"/>
      <c r="Y478" s="2446"/>
      <c r="Z478" s="133"/>
      <c r="AA478" s="133"/>
      <c r="AB478" s="133"/>
      <c r="AC478" s="133"/>
      <c r="AD478" s="440"/>
      <c r="AE478" s="440"/>
      <c r="AF478" s="440"/>
      <c r="AG478" s="440"/>
      <c r="AH478" s="440"/>
      <c r="AI478" s="440"/>
      <c r="AJ478" s="890"/>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71"/>
      <c r="AV479" s="71"/>
      <c r="AW479" s="71"/>
      <c r="AX479" s="71"/>
      <c r="AY479" s="71"/>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37" t="s">
        <v>1360</v>
      </c>
      <c r="B480" s="1437"/>
      <c r="C480" s="1437"/>
      <c r="D480" s="1437"/>
      <c r="E480" s="1437"/>
      <c r="F480" s="1437"/>
      <c r="G480" s="1437"/>
      <c r="H480" s="1437"/>
      <c r="I480" s="1437"/>
      <c r="J480" s="1437"/>
      <c r="K480" s="1437"/>
      <c r="L480" s="1437"/>
      <c r="M480" s="1437"/>
      <c r="N480" s="1437"/>
      <c r="O480" s="1437"/>
      <c r="P480" s="1437"/>
      <c r="Q480" s="1437"/>
      <c r="R480" s="1437"/>
      <c r="S480" s="1437"/>
      <c r="T480" s="1437"/>
      <c r="U480" s="1437"/>
      <c r="V480" s="1437"/>
      <c r="W480" s="1437"/>
      <c r="X480" s="1437"/>
      <c r="Y480" s="1437"/>
      <c r="Z480" s="1437"/>
      <c r="AA480" s="1437"/>
      <c r="AB480" s="1437"/>
      <c r="AC480" s="1437"/>
      <c r="AD480" s="1437"/>
      <c r="AE480" s="1437"/>
      <c r="AF480" s="1437"/>
      <c r="AG480" s="1437"/>
      <c r="AH480" s="1437"/>
      <c r="AI480" s="1437"/>
      <c r="AJ480" s="1437"/>
      <c r="AK480" s="1437"/>
      <c r="AL480" s="1437"/>
      <c r="AM480" s="1437"/>
      <c r="AN480" s="1437"/>
      <c r="AO480" s="1437"/>
      <c r="AP480" s="1437"/>
      <c r="AQ480" s="1437"/>
      <c r="AR480" s="1437"/>
      <c r="AS480" s="1437"/>
      <c r="AT480" s="1437"/>
      <c r="AU480" s="71"/>
      <c r="AV480" s="71"/>
      <c r="AW480" s="71"/>
      <c r="AX480" s="71"/>
      <c r="AY480" s="71"/>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37"/>
      <c r="B481" s="1437"/>
      <c r="C481" s="1437"/>
      <c r="D481" s="1437"/>
      <c r="E481" s="1437"/>
      <c r="F481" s="1437"/>
      <c r="G481" s="1437"/>
      <c r="H481" s="1437"/>
      <c r="I481" s="1437"/>
      <c r="J481" s="1437"/>
      <c r="K481" s="1437"/>
      <c r="L481" s="1437"/>
      <c r="M481" s="1437"/>
      <c r="N481" s="1437"/>
      <c r="O481" s="1437"/>
      <c r="P481" s="1437"/>
      <c r="Q481" s="1437"/>
      <c r="R481" s="1437"/>
      <c r="S481" s="1437"/>
      <c r="T481" s="1437"/>
      <c r="U481" s="1437"/>
      <c r="V481" s="1437"/>
      <c r="W481" s="1437"/>
      <c r="X481" s="1437"/>
      <c r="Y481" s="1437"/>
      <c r="Z481" s="1437"/>
      <c r="AA481" s="1437"/>
      <c r="AB481" s="1437"/>
      <c r="AC481" s="1437"/>
      <c r="AD481" s="1437"/>
      <c r="AE481" s="1437"/>
      <c r="AF481" s="1437"/>
      <c r="AG481" s="1437"/>
      <c r="AH481" s="1437"/>
      <c r="AI481" s="1437"/>
      <c r="AJ481" s="1437"/>
      <c r="AK481" s="1437"/>
      <c r="AL481" s="1437"/>
      <c r="AM481" s="1437"/>
      <c r="AN481" s="1437"/>
      <c r="AO481" s="1437"/>
      <c r="AP481" s="1437"/>
      <c r="AQ481" s="1437"/>
      <c r="AR481" s="1437"/>
      <c r="AS481" s="1437"/>
      <c r="AT481" s="1437"/>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921</v>
      </c>
      <c r="C483" s="2" t="s">
        <v>164</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38"/>
      <c r="C485" s="5"/>
      <c r="D485" s="5"/>
      <c r="E485" s="5"/>
      <c r="F485" s="5"/>
      <c r="G485" s="5"/>
      <c r="H485" s="5"/>
      <c r="I485" s="5"/>
      <c r="J485" s="5"/>
      <c r="K485" s="5"/>
      <c r="L485" s="5"/>
      <c r="M485" s="5"/>
      <c r="N485" s="5"/>
      <c r="O485" s="5"/>
      <c r="P485" s="39"/>
      <c r="Q485" s="1370" t="s">
        <v>1361</v>
      </c>
      <c r="R485" s="1371"/>
      <c r="S485" s="1371"/>
      <c r="T485" s="1371"/>
      <c r="U485" s="1371"/>
      <c r="V485" s="1371"/>
      <c r="W485" s="1371"/>
      <c r="X485" s="1371"/>
      <c r="Y485" s="1371"/>
      <c r="Z485" s="1371"/>
      <c r="AA485" s="1371"/>
      <c r="AB485" s="1371"/>
      <c r="AC485" s="1371"/>
      <c r="AD485" s="1371"/>
      <c r="AE485" s="1371"/>
      <c r="AF485" s="1371"/>
      <c r="AG485" s="1371"/>
      <c r="AH485" s="1371"/>
      <c r="AI485" s="1371"/>
      <c r="AJ485" s="1371"/>
      <c r="AK485" s="1372"/>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38" t="s">
        <v>1362</v>
      </c>
      <c r="C486" s="5"/>
      <c r="D486" s="5"/>
      <c r="E486" s="5"/>
      <c r="F486" s="5"/>
      <c r="G486" s="5"/>
      <c r="H486" s="5"/>
      <c r="I486" s="5"/>
      <c r="J486" s="5"/>
      <c r="K486" s="5"/>
      <c r="L486" s="5"/>
      <c r="M486" s="5"/>
      <c r="N486" s="5"/>
      <c r="O486" s="5"/>
      <c r="P486" s="5"/>
      <c r="Q486" s="1303" t="s">
        <v>1363</v>
      </c>
      <c r="R486" s="1292"/>
      <c r="S486" s="1292"/>
      <c r="T486" s="1292"/>
      <c r="U486" s="1292"/>
      <c r="V486" s="1292"/>
      <c r="W486" s="1292"/>
      <c r="X486" s="1292"/>
      <c r="Y486" s="1292"/>
      <c r="Z486" s="1292"/>
      <c r="AA486" s="1292"/>
      <c r="AB486" s="1292"/>
      <c r="AC486" s="1292"/>
      <c r="AD486" s="1292"/>
      <c r="AE486" s="1292"/>
      <c r="AF486" s="1292"/>
      <c r="AG486" s="1292"/>
      <c r="AH486" s="1292"/>
      <c r="AI486" s="1292"/>
      <c r="AJ486" s="1292"/>
      <c r="AK486" s="1304"/>
      <c r="AZ486" s="3"/>
      <c r="BB486" s="3"/>
      <c r="BC486" s="3"/>
      <c r="BD486" s="3"/>
      <c r="BE486" s="3"/>
      <c r="BF486" s="3"/>
      <c r="BG486" s="3"/>
      <c r="BH486" s="3"/>
      <c r="BI486" s="3"/>
      <c r="BJ486" s="3"/>
      <c r="BK486" s="3"/>
      <c r="BL486" s="3"/>
      <c r="BM486" s="3"/>
      <c r="BN486" s="3"/>
      <c r="BO486" s="3"/>
      <c r="BP486" s="3"/>
      <c r="BQ486" s="3"/>
      <c r="BR486" s="3"/>
      <c r="BS486" s="3"/>
      <c r="BT486" s="3"/>
      <c r="BU486" s="3"/>
      <c r="BV486" s="138" t="s">
        <v>1364</v>
      </c>
      <c r="BW486" s="139"/>
      <c r="BX486" s="139"/>
      <c r="BY486" s="139"/>
      <c r="BZ486" s="139"/>
      <c r="CA486" s="139"/>
      <c r="CB486" s="139"/>
      <c r="CC486" s="3"/>
      <c r="CD486" s="138" t="s">
        <v>1365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38" t="s">
        <v>1366</v>
      </c>
      <c r="C487" s="5"/>
      <c r="D487" s="5"/>
      <c r="E487" s="5"/>
      <c r="F487" s="5"/>
      <c r="G487" s="5"/>
      <c r="H487" s="5"/>
      <c r="I487" s="5"/>
      <c r="J487" s="5"/>
      <c r="K487" s="5"/>
      <c r="L487" s="5"/>
      <c r="M487" s="5"/>
      <c r="N487" s="5"/>
      <c r="O487" s="5"/>
      <c r="P487" s="5"/>
      <c r="Q487" s="1303" t="s">
        <v>1367</v>
      </c>
      <c r="R487" s="1292"/>
      <c r="S487" s="1292"/>
      <c r="T487" s="1292"/>
      <c r="U487" s="1292"/>
      <c r="V487" s="1292"/>
      <c r="W487" s="1292"/>
      <c r="X487" s="1292"/>
      <c r="Y487" s="1292"/>
      <c r="Z487" s="1292"/>
      <c r="AA487" s="1292"/>
      <c r="AB487" s="1292"/>
      <c r="AC487" s="1292"/>
      <c r="AD487" s="1292"/>
      <c r="AE487" s="1292"/>
      <c r="AF487" s="1292"/>
      <c r="AG487" s="1292"/>
      <c r="AH487" s="1292"/>
      <c r="AI487" s="1292"/>
      <c r="AJ487" s="1292"/>
      <c r="AK487" s="1304"/>
      <c r="AZ487" s="3"/>
      <c r="BB487" s="3"/>
      <c r="BC487" s="3"/>
      <c r="BD487" s="3"/>
      <c r="BE487" s="3"/>
      <c r="BF487" s="3"/>
      <c r="BG487" s="3"/>
      <c r="BH487" s="3"/>
      <c r="BI487" s="3"/>
      <c r="BJ487" s="3"/>
      <c r="BK487" s="3"/>
      <c r="BL487" s="3"/>
      <c r="BM487" s="3"/>
      <c r="BN487" s="3"/>
      <c r="BO487" s="3"/>
      <c r="BP487" s="3"/>
      <c r="BQ487" s="3"/>
      <c r="BR487" s="3"/>
      <c r="BS487" s="3"/>
      <c r="BT487" s="3"/>
      <c r="BU487" s="3"/>
      <c r="BV487" s="210" t="s">
        <v>1368</v>
      </c>
      <c r="BW487" s="139"/>
      <c r="BX487" s="139"/>
      <c r="BY487" s="139"/>
      <c r="BZ487" s="139"/>
      <c r="CA487" s="139"/>
      <c r="CB487" s="139"/>
      <c r="CC487" s="3"/>
      <c r="CD487" s="210" t="s">
        <v>1369</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38" t="s">
        <v>1370</v>
      </c>
      <c r="C488" s="5"/>
      <c r="D488" s="5"/>
      <c r="E488" s="5"/>
      <c r="F488" s="5"/>
      <c r="G488" s="5"/>
      <c r="H488" s="5"/>
      <c r="I488" s="5"/>
      <c r="J488" s="5"/>
      <c r="K488" s="5"/>
      <c r="L488" s="5"/>
      <c r="M488" s="5"/>
      <c r="N488" s="5"/>
      <c r="O488" s="5"/>
      <c r="P488" s="5"/>
      <c r="Q488" s="1303" t="s">
        <v>1371</v>
      </c>
      <c r="R488" s="1292"/>
      <c r="S488" s="1292"/>
      <c r="T488" s="1292"/>
      <c r="U488" s="1292"/>
      <c r="V488" s="1292"/>
      <c r="W488" s="1292"/>
      <c r="X488" s="1292"/>
      <c r="Y488" s="1292"/>
      <c r="Z488" s="1292"/>
      <c r="AA488" s="1292"/>
      <c r="AB488" s="1292"/>
      <c r="AC488" s="1292"/>
      <c r="AD488" s="1292"/>
      <c r="AE488" s="1292"/>
      <c r="AF488" s="1292"/>
      <c r="AG488" s="1292"/>
      <c r="AH488" s="1292"/>
      <c r="AI488" s="1292"/>
      <c r="AJ488" s="1292"/>
      <c r="AK488" s="1304"/>
      <c r="AZ488" s="3"/>
      <c r="BA488" s="3"/>
      <c r="BB488" s="3"/>
      <c r="BC488" s="3"/>
      <c r="BD488" s="3"/>
      <c r="BE488" s="3"/>
      <c r="BF488" s="3"/>
      <c r="BG488" s="3"/>
      <c r="BH488" s="3"/>
      <c r="BI488" s="3"/>
      <c r="BJ488" s="3"/>
      <c r="BK488" s="3"/>
      <c r="BL488" s="3"/>
      <c r="BM488" s="3"/>
      <c r="BN488" s="3"/>
      <c r="BO488" s="3"/>
      <c r="BP488" s="3"/>
      <c r="BQ488" s="3"/>
      <c r="BR488" s="3"/>
      <c r="BS488" s="3"/>
      <c r="BT488" s="3"/>
      <c r="BU488" s="3"/>
      <c r="BV488" s="2447"/>
      <c r="BW488" s="2448"/>
      <c r="BX488" s="2449"/>
      <c r="BY488" s="2449"/>
      <c r="BZ488" s="2449"/>
      <c r="CA488" s="2449"/>
      <c r="CB488" s="2449"/>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293" t="s">
        <v>1372</v>
      </c>
      <c r="C489" s="1294"/>
      <c r="D489" s="1294"/>
      <c r="E489" s="1294"/>
      <c r="F489" s="1294"/>
      <c r="G489" s="1294"/>
      <c r="H489" s="1294"/>
      <c r="I489" s="1294"/>
      <c r="J489" s="1294"/>
      <c r="K489" s="1294"/>
      <c r="L489" s="1294"/>
      <c r="M489" s="1294"/>
      <c r="N489" s="1294"/>
      <c r="O489" s="1294"/>
      <c r="P489" s="1295"/>
      <c r="Q489" s="1299" t="s">
        <v>894</v>
      </c>
      <c r="R489" s="1300"/>
      <c r="S489" s="1483" t="s">
        <v>1373</v>
      </c>
      <c r="T489" s="1484"/>
      <c r="U489" s="1484"/>
      <c r="V489" s="1484"/>
      <c r="W489" s="1484"/>
      <c r="X489" s="1484"/>
      <c r="Y489" s="1484"/>
      <c r="Z489" s="1484"/>
      <c r="AA489" s="1484"/>
      <c r="AB489" s="1484"/>
      <c r="AC489" s="1484"/>
      <c r="AD489" s="1484"/>
      <c r="AE489" s="1484"/>
      <c r="AF489" s="1484"/>
      <c r="AG489" s="1484"/>
      <c r="AH489" s="1484"/>
      <c r="AI489" s="1484"/>
      <c r="AJ489" s="1484"/>
      <c r="AK489" s="1485"/>
      <c r="AZ489" s="3"/>
      <c r="BA489" s="3"/>
      <c r="BB489" s="3"/>
      <c r="BC489" s="3"/>
      <c r="BD489" s="3"/>
      <c r="BE489" s="3"/>
      <c r="BF489" s="3"/>
      <c r="BG489" s="3"/>
      <c r="BH489" s="3"/>
      <c r="BI489" s="3"/>
      <c r="BJ489" s="3"/>
      <c r="BK489" s="3"/>
      <c r="BL489" s="3"/>
      <c r="BM489" s="3"/>
      <c r="BN489" s="3"/>
      <c r="BO489" s="3"/>
      <c r="BP489" s="3"/>
      <c r="BQ489" s="3"/>
      <c r="BR489" s="3"/>
      <c r="BS489" s="3"/>
      <c r="BT489" s="3"/>
      <c r="BU489" s="3"/>
      <c r="BV489" s="269" t="s">
        <v>1374</v>
      </c>
      <c r="BW489" s="270" t="s">
        <v>1375</v>
      </c>
      <c r="BX489" s="270" t="s">
        <v>1376</v>
      </c>
      <c r="BY489" s="270" t="s">
        <v>1377</v>
      </c>
      <c r="BZ489" s="270" t="s">
        <v>1378</v>
      </c>
      <c r="CA489" s="270" t="s">
        <v>1379</v>
      </c>
      <c r="CB489" s="270" t="s">
        <v>1380</v>
      </c>
      <c r="CC489" s="3"/>
      <c r="CD489" s="270" t="s">
        <v>1375</v>
      </c>
      <c r="CE489" s="270" t="s">
        <v>1376</v>
      </c>
      <c r="CF489" s="270" t="s">
        <v>1377</v>
      </c>
      <c r="CG489" s="270" t="s">
        <v>1378</v>
      </c>
      <c r="CH489" s="270" t="s">
        <v>1379</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296"/>
      <c r="C490" s="1297"/>
      <c r="D490" s="1297"/>
      <c r="E490" s="1297"/>
      <c r="F490" s="1297"/>
      <c r="G490" s="1297"/>
      <c r="H490" s="1297"/>
      <c r="I490" s="1297"/>
      <c r="J490" s="1297"/>
      <c r="K490" s="1297"/>
      <c r="L490" s="1297"/>
      <c r="M490" s="1297"/>
      <c r="N490" s="1297"/>
      <c r="O490" s="1297"/>
      <c r="P490" s="1298"/>
      <c r="Q490" s="1301"/>
      <c r="R490" s="1302"/>
      <c r="S490" s="1486"/>
      <c r="T490" s="1307"/>
      <c r="U490" s="1307"/>
      <c r="V490" s="1307"/>
      <c r="W490" s="1307"/>
      <c r="X490" s="1307"/>
      <c r="Y490" s="1307"/>
      <c r="Z490" s="1307"/>
      <c r="AA490" s="1307"/>
      <c r="AB490" s="1307"/>
      <c r="AC490" s="1307"/>
      <c r="AD490" s="1307"/>
      <c r="AE490" s="1307"/>
      <c r="AF490" s="1307"/>
      <c r="AG490" s="1307"/>
      <c r="AH490" s="1307"/>
      <c r="AI490" s="1307"/>
      <c r="AJ490" s="1307"/>
      <c r="AK490" s="1487"/>
      <c r="AZ490" s="3"/>
      <c r="BA490" s="3"/>
      <c r="BB490" s="3"/>
      <c r="BC490" s="3"/>
      <c r="BD490" s="3"/>
      <c r="BE490" s="3"/>
      <c r="BF490" s="3"/>
      <c r="BG490" s="3"/>
      <c r="BH490" s="3"/>
      <c r="BI490" s="3"/>
      <c r="BJ490" s="3"/>
      <c r="BK490" s="3"/>
      <c r="BL490" s="3"/>
      <c r="BM490" s="3"/>
      <c r="BN490" s="3"/>
      <c r="BO490" s="3"/>
      <c r="BP490" s="3"/>
      <c r="BQ490" s="3"/>
      <c r="BR490" s="3"/>
      <c r="BS490" s="3"/>
      <c r="BT490" s="3"/>
      <c r="BU490" s="3"/>
      <c r="BV490" s="271" t="s">
        <v>879</v>
      </c>
      <c r="BW490" s="383">
        <v>2724</v>
      </c>
      <c r="BX490" s="384">
        <v>2920</v>
      </c>
      <c r="BY490" s="385">
        <v>3504</v>
      </c>
      <c r="BZ490" s="384">
        <v>4048</v>
      </c>
      <c r="CA490" s="385">
        <v>4516</v>
      </c>
      <c r="CB490" s="386">
        <v>4982</v>
      </c>
      <c r="CC490" s="3"/>
      <c r="CD490" s="785">
        <v>1825</v>
      </c>
      <c r="CE490" s="785">
        <v>2131</v>
      </c>
      <c r="CF490" s="785">
        <v>2590</v>
      </c>
      <c r="CG490" s="785">
        <v>3342</v>
      </c>
      <c r="CH490" s="78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817" t="s">
        <v>1381</v>
      </c>
      <c r="C491" s="797"/>
      <c r="D491" s="797"/>
      <c r="E491" s="797"/>
      <c r="F491" s="797"/>
      <c r="G491" s="797"/>
      <c r="H491" s="797"/>
      <c r="I491" s="797"/>
      <c r="J491" s="797"/>
      <c r="K491" s="797"/>
      <c r="L491" s="797"/>
      <c r="M491" s="797"/>
      <c r="N491" s="797"/>
      <c r="O491" s="797"/>
      <c r="P491" s="797"/>
      <c r="Q491" s="1284" t="s">
        <v>299</v>
      </c>
      <c r="R491" s="1285"/>
      <c r="S491" s="1285"/>
      <c r="T491" s="1285"/>
      <c r="U491" s="1285"/>
      <c r="V491" s="1285"/>
      <c r="W491" s="1285"/>
      <c r="X491" s="1285"/>
      <c r="Y491" s="1285"/>
      <c r="Z491" s="1285"/>
      <c r="AA491" s="1285"/>
      <c r="AB491" s="1285"/>
      <c r="AC491" s="1285"/>
      <c r="AD491" s="1285"/>
      <c r="AE491" s="1285"/>
      <c r="AF491" s="1285"/>
      <c r="AG491" s="1285"/>
      <c r="AH491" s="1285"/>
      <c r="AI491" s="1285"/>
      <c r="AJ491" s="1285"/>
      <c r="AK491" s="1286"/>
      <c r="AZ491" s="3"/>
      <c r="BA491" s="3"/>
      <c r="BB491" s="3"/>
      <c r="BC491" s="3"/>
      <c r="BD491" s="3"/>
      <c r="BE491" s="3"/>
      <c r="BF491" s="3"/>
      <c r="BG491" s="3"/>
      <c r="BH491" s="3"/>
      <c r="BI491" s="3"/>
      <c r="BJ491" s="3"/>
      <c r="BK491" s="3"/>
      <c r="BL491" s="3"/>
      <c r="BM491" s="3"/>
      <c r="BN491" s="3"/>
      <c r="BO491" s="3"/>
      <c r="BP491" s="3"/>
      <c r="BQ491" s="3"/>
      <c r="BR491" s="3"/>
      <c r="BS491" s="3"/>
      <c r="BT491" s="3"/>
      <c r="BU491" s="3"/>
      <c r="BV491" s="272" t="s">
        <v>882</v>
      </c>
      <c r="BW491" s="387">
        <v>1850</v>
      </c>
      <c r="BX491" s="388">
        <v>1980</v>
      </c>
      <c r="BY491" s="387">
        <v>2376</v>
      </c>
      <c r="BZ491" s="388">
        <v>2746</v>
      </c>
      <c r="CA491" s="388">
        <v>3064</v>
      </c>
      <c r="CB491" s="389">
        <v>3382</v>
      </c>
      <c r="CC491" s="3"/>
      <c r="CD491" s="785">
        <v>911</v>
      </c>
      <c r="CE491" s="785">
        <v>1005</v>
      </c>
      <c r="CF491" s="785">
        <v>1321</v>
      </c>
      <c r="CG491" s="785">
        <v>1862</v>
      </c>
      <c r="CH491" s="78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38" t="s">
        <v>1382</v>
      </c>
      <c r="C492" s="5"/>
      <c r="D492" s="5"/>
      <c r="E492" s="5"/>
      <c r="F492" s="5"/>
      <c r="G492" s="5"/>
      <c r="H492" s="5"/>
      <c r="I492" s="5"/>
      <c r="J492" s="5"/>
      <c r="K492" s="5"/>
      <c r="L492" s="5"/>
      <c r="M492" s="5"/>
      <c r="N492" s="5"/>
      <c r="O492" s="5"/>
      <c r="P492" s="5"/>
      <c r="Q492" s="1303" t="s">
        <v>1383</v>
      </c>
      <c r="R492" s="1292"/>
      <c r="S492" s="1292"/>
      <c r="T492" s="1292"/>
      <c r="U492" s="1292"/>
      <c r="V492" s="1292"/>
      <c r="W492" s="1292"/>
      <c r="X492" s="1292"/>
      <c r="Y492" s="1292"/>
      <c r="Z492" s="1292"/>
      <c r="AA492" s="1292"/>
      <c r="AB492" s="1292"/>
      <c r="AC492" s="1292"/>
      <c r="AD492" s="1292"/>
      <c r="AE492" s="1292"/>
      <c r="AF492" s="1292"/>
      <c r="AG492" s="1292"/>
      <c r="AH492" s="1292"/>
      <c r="AI492" s="1292"/>
      <c r="AJ492" s="1292"/>
      <c r="AK492" s="1304"/>
      <c r="AZ492" s="3"/>
      <c r="BA492" s="3"/>
      <c r="BB492" s="3"/>
      <c r="BC492" s="3"/>
      <c r="BD492" s="3"/>
      <c r="BE492" s="3"/>
      <c r="BF492" s="3"/>
      <c r="BG492" s="3"/>
      <c r="BH492" s="3"/>
      <c r="BI492" s="3"/>
      <c r="BJ492" s="3"/>
      <c r="BK492" s="3"/>
      <c r="BL492" s="3"/>
      <c r="BM492" s="3"/>
      <c r="BN492" s="3"/>
      <c r="BO492" s="3"/>
      <c r="BP492" s="3"/>
      <c r="BQ492" s="3"/>
      <c r="BR492" s="3"/>
      <c r="BS492" s="3"/>
      <c r="BT492" s="3"/>
      <c r="BU492" s="3"/>
      <c r="BV492" s="272" t="s">
        <v>887</v>
      </c>
      <c r="BW492" s="390">
        <v>1764</v>
      </c>
      <c r="BX492" s="391">
        <v>1890</v>
      </c>
      <c r="BY492" s="390">
        <v>2270</v>
      </c>
      <c r="BZ492" s="391">
        <v>2620</v>
      </c>
      <c r="CA492" s="391">
        <v>2924</v>
      </c>
      <c r="CB492" s="392">
        <v>3226</v>
      </c>
      <c r="CC492" s="3"/>
      <c r="CD492" s="785">
        <v>1128</v>
      </c>
      <c r="CE492" s="785">
        <v>1135</v>
      </c>
      <c r="CF492" s="785">
        <v>1347</v>
      </c>
      <c r="CG492" s="785">
        <v>1898</v>
      </c>
      <c r="CH492" s="78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38" t="s">
        <v>1384</v>
      </c>
      <c r="C493" s="5"/>
      <c r="D493" s="5"/>
      <c r="E493" s="5"/>
      <c r="F493" s="5"/>
      <c r="G493" s="5"/>
      <c r="H493" s="5"/>
      <c r="I493" s="5"/>
      <c r="J493" s="5"/>
      <c r="K493" s="5"/>
      <c r="L493" s="5"/>
      <c r="M493" s="5"/>
      <c r="N493" s="5"/>
      <c r="O493" s="5"/>
      <c r="P493" s="5"/>
      <c r="Q493" s="1303">
        <v>0</v>
      </c>
      <c r="R493" s="1292"/>
      <c r="S493" s="1292"/>
      <c r="T493" s="1292"/>
      <c r="U493" s="1292"/>
      <c r="V493" s="1292"/>
      <c r="W493" s="1292"/>
      <c r="X493" s="1292"/>
      <c r="Y493" s="1292"/>
      <c r="Z493" s="1292"/>
      <c r="AA493" s="1292"/>
      <c r="AB493" s="1292"/>
      <c r="AC493" s="1292"/>
      <c r="AD493" s="1292"/>
      <c r="AE493" s="1292"/>
      <c r="AF493" s="1292"/>
      <c r="AG493" s="1292"/>
      <c r="AH493" s="1292"/>
      <c r="AI493" s="1292"/>
      <c r="AJ493" s="1292"/>
      <c r="AK493" s="1304"/>
      <c r="AZ493" s="3"/>
      <c r="BA493" s="3"/>
      <c r="BB493" s="3"/>
      <c r="BC493" s="3"/>
      <c r="BD493" s="3"/>
      <c r="BE493" s="3"/>
      <c r="BF493" s="3"/>
      <c r="BG493" s="3"/>
      <c r="BH493" s="3"/>
      <c r="BI493" s="3"/>
      <c r="BJ493" s="3"/>
      <c r="BK493" s="3"/>
      <c r="BL493" s="3"/>
      <c r="BM493" s="3"/>
      <c r="BN493" s="3"/>
      <c r="BO493" s="3"/>
      <c r="BP493" s="3"/>
      <c r="BQ493" s="3"/>
      <c r="BR493" s="3"/>
      <c r="BS493" s="3"/>
      <c r="BT493" s="3"/>
      <c r="BU493" s="3"/>
      <c r="BV493" s="272" t="s">
        <v>891</v>
      </c>
      <c r="BW493" s="390">
        <v>1586</v>
      </c>
      <c r="BX493" s="391">
        <v>1700</v>
      </c>
      <c r="BY493" s="390">
        <v>2042</v>
      </c>
      <c r="BZ493" s="391">
        <v>2358</v>
      </c>
      <c r="CA493" s="391">
        <v>2630</v>
      </c>
      <c r="CB493" s="392">
        <v>2902</v>
      </c>
      <c r="CC493" s="3"/>
      <c r="CD493" s="785">
        <v>1049</v>
      </c>
      <c r="CE493" s="785">
        <v>1091</v>
      </c>
      <c r="CF493" s="785">
        <v>1428</v>
      </c>
      <c r="CG493" s="785">
        <v>2012</v>
      </c>
      <c r="CH493" s="78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88" t="s">
        <v>1385</v>
      </c>
      <c r="C494" s="5"/>
      <c r="D494" s="5"/>
      <c r="E494" s="5"/>
      <c r="F494" s="5"/>
      <c r="G494" s="5"/>
      <c r="H494" s="5"/>
      <c r="I494" s="5"/>
      <c r="J494" s="5"/>
      <c r="K494" s="5"/>
      <c r="L494" s="5"/>
      <c r="M494" s="5"/>
      <c r="N494" s="5"/>
      <c r="O494" s="5"/>
      <c r="P494" s="5"/>
      <c r="Q494" s="1303">
        <v>8</v>
      </c>
      <c r="R494" s="1292"/>
      <c r="S494" s="1292"/>
      <c r="T494" s="1292"/>
      <c r="U494" s="1292"/>
      <c r="V494" s="1292"/>
      <c r="W494" s="1292"/>
      <c r="X494" s="1292"/>
      <c r="Y494" s="1292"/>
      <c r="Z494" s="1292"/>
      <c r="AA494" s="1292"/>
      <c r="AB494" s="1292"/>
      <c r="AC494" s="1292"/>
      <c r="AD494" s="1292"/>
      <c r="AE494" s="1292"/>
      <c r="AF494" s="1292"/>
      <c r="AG494" s="1292"/>
      <c r="AH494" s="1292"/>
      <c r="AI494" s="1292"/>
      <c r="AJ494" s="1292"/>
      <c r="AK494" s="1304"/>
      <c r="AZ494" s="3"/>
      <c r="BA494" s="3"/>
      <c r="BB494" s="3"/>
      <c r="BC494" s="3"/>
      <c r="BD494" s="3"/>
      <c r="BE494" s="3"/>
      <c r="BF494" s="3"/>
      <c r="BG494" s="3"/>
      <c r="BH494" s="3"/>
      <c r="BI494" s="3"/>
      <c r="BJ494" s="3"/>
      <c r="BK494" s="3"/>
      <c r="BL494" s="3"/>
      <c r="BM494" s="3"/>
      <c r="BN494" s="3"/>
      <c r="BO494" s="3"/>
      <c r="BP494" s="3"/>
      <c r="BQ494" s="3"/>
      <c r="BR494" s="3"/>
      <c r="BS494" s="3"/>
      <c r="BT494" s="3"/>
      <c r="BU494" s="3"/>
      <c r="BV494" s="272" t="s">
        <v>896</v>
      </c>
      <c r="BW494" s="390">
        <v>1656</v>
      </c>
      <c r="BX494" s="391">
        <v>1774</v>
      </c>
      <c r="BY494" s="390">
        <v>2130</v>
      </c>
      <c r="BZ494" s="391">
        <v>2460</v>
      </c>
      <c r="CA494" s="391">
        <v>2744</v>
      </c>
      <c r="CB494" s="392">
        <v>3028</v>
      </c>
      <c r="CC494" s="3"/>
      <c r="CD494" s="785">
        <v>1049</v>
      </c>
      <c r="CE494" s="785">
        <v>1055</v>
      </c>
      <c r="CF494" s="785">
        <v>1309</v>
      </c>
      <c r="CG494" s="785">
        <v>1845</v>
      </c>
      <c r="CH494" s="78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88" t="s">
        <v>1386</v>
      </c>
      <c r="C495" s="5"/>
      <c r="D495" s="5"/>
      <c r="E495" s="5"/>
      <c r="F495" s="5"/>
      <c r="G495" s="5"/>
      <c r="H495" s="5"/>
      <c r="I495" s="5"/>
      <c r="J495" s="5"/>
      <c r="K495" s="5"/>
      <c r="L495" s="5"/>
      <c r="M495" s="1281">
        <v>8</v>
      </c>
      <c r="N495" s="1282"/>
      <c r="O495" s="1282"/>
      <c r="P495" s="1283"/>
      <c r="Q495" s="88" t="s">
        <v>1387</v>
      </c>
      <c r="R495" s="5"/>
      <c r="S495" s="5"/>
      <c r="T495" s="5"/>
      <c r="U495" s="5"/>
      <c r="V495" s="5"/>
      <c r="W495" s="5"/>
      <c r="X495" s="5"/>
      <c r="Y495" s="5"/>
      <c r="Z495" s="5"/>
      <c r="AA495" s="5"/>
      <c r="AB495" s="5"/>
      <c r="AC495" s="5"/>
      <c r="AD495" s="5"/>
      <c r="AE495" s="5"/>
      <c r="AF495" s="5"/>
      <c r="AG495" s="5"/>
      <c r="AH495" s="1281">
        <v>0</v>
      </c>
      <c r="AI495" s="1282"/>
      <c r="AJ495" s="1282"/>
      <c r="AK495" s="1283"/>
      <c r="AZ495" s="3"/>
      <c r="BA495" s="3"/>
      <c r="BB495" s="3"/>
      <c r="BC495" s="3"/>
      <c r="BD495" s="3"/>
      <c r="BE495" s="3"/>
      <c r="BF495" s="3"/>
      <c r="BG495" s="3"/>
      <c r="BH495" s="3"/>
      <c r="BI495" s="3"/>
      <c r="BJ495" s="3"/>
      <c r="BK495" s="3"/>
      <c r="BL495" s="3"/>
      <c r="BM495" s="3"/>
      <c r="BN495" s="3"/>
      <c r="BO495" s="3"/>
      <c r="BP495" s="3"/>
      <c r="BQ495" s="3"/>
      <c r="BR495" s="3"/>
      <c r="BS495" s="3"/>
      <c r="BT495" s="3"/>
      <c r="BU495" s="3"/>
      <c r="BV495" s="272" t="s">
        <v>898</v>
      </c>
      <c r="BW495" s="390">
        <v>1540</v>
      </c>
      <c r="BX495" s="391">
        <v>1650</v>
      </c>
      <c r="BY495" s="390">
        <v>1980</v>
      </c>
      <c r="BZ495" s="391">
        <v>2286</v>
      </c>
      <c r="CA495" s="391">
        <v>2550</v>
      </c>
      <c r="CB495" s="392">
        <v>2812</v>
      </c>
      <c r="CC495" s="3"/>
      <c r="CD495" s="785">
        <v>823</v>
      </c>
      <c r="CE495" s="785">
        <v>829</v>
      </c>
      <c r="CF495" s="785">
        <v>1089</v>
      </c>
      <c r="CG495" s="785">
        <v>1519</v>
      </c>
      <c r="CH495" s="78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437"/>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272" t="s">
        <v>902</v>
      </c>
      <c r="BW496" s="390">
        <v>2724</v>
      </c>
      <c r="BX496" s="391">
        <v>2920</v>
      </c>
      <c r="BY496" s="390">
        <v>3504</v>
      </c>
      <c r="BZ496" s="391">
        <v>4048</v>
      </c>
      <c r="CA496" s="391">
        <v>4516</v>
      </c>
      <c r="CB496" s="392">
        <v>4982</v>
      </c>
      <c r="CC496" s="3"/>
      <c r="CD496" s="785">
        <v>1825</v>
      </c>
      <c r="CE496" s="785">
        <v>2131</v>
      </c>
      <c r="CF496" s="785">
        <v>2590</v>
      </c>
      <c r="CG496" s="785">
        <v>3342</v>
      </c>
      <c r="CH496" s="78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962</v>
      </c>
      <c r="C497" s="2" t="s">
        <v>166</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272" t="s">
        <v>905</v>
      </c>
      <c r="BW497" s="390">
        <v>1540</v>
      </c>
      <c r="BX497" s="391">
        <v>1650</v>
      </c>
      <c r="BY497" s="390">
        <v>1980</v>
      </c>
      <c r="BZ497" s="391">
        <v>2286</v>
      </c>
      <c r="CA497" s="391">
        <v>2550</v>
      </c>
      <c r="CB497" s="392">
        <v>2812</v>
      </c>
      <c r="CC497" s="3"/>
      <c r="CD497" s="785">
        <v>791</v>
      </c>
      <c r="CE497" s="785">
        <v>970</v>
      </c>
      <c r="CF497" s="785">
        <v>1147</v>
      </c>
      <c r="CG497" s="785">
        <v>1616</v>
      </c>
      <c r="CH497" s="78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453"/>
      <c r="C498" s="437"/>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272" t="s">
        <v>907</v>
      </c>
      <c r="BW498" s="390">
        <v>2064</v>
      </c>
      <c r="BX498" s="391">
        <v>2210</v>
      </c>
      <c r="BY498" s="390">
        <v>2652</v>
      </c>
      <c r="BZ498" s="391">
        <v>3064</v>
      </c>
      <c r="CA498" s="391">
        <v>3420</v>
      </c>
      <c r="CB498" s="392">
        <v>3772</v>
      </c>
      <c r="CC498" s="3"/>
      <c r="CD498" s="785">
        <v>1543</v>
      </c>
      <c r="CE498" s="785">
        <v>1666</v>
      </c>
      <c r="CF498" s="785">
        <v>2072</v>
      </c>
      <c r="CG498" s="785">
        <v>2884</v>
      </c>
      <c r="CH498" s="78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34"/>
      <c r="C499" s="35"/>
      <c r="D499" s="84"/>
      <c r="E499" s="35"/>
      <c r="F499" s="35"/>
      <c r="G499" s="35"/>
      <c r="H499" s="35"/>
      <c r="I499" s="35"/>
      <c r="J499" s="35"/>
      <c r="K499" s="35"/>
      <c r="L499" s="35"/>
      <c r="M499" s="35"/>
      <c r="N499" s="35"/>
      <c r="O499" s="35"/>
      <c r="P499" s="35"/>
      <c r="Q499" s="35"/>
      <c r="R499" s="35"/>
      <c r="S499" s="35"/>
      <c r="T499" s="35"/>
      <c r="U499" s="35"/>
      <c r="V499" s="35"/>
      <c r="W499" s="35"/>
      <c r="X499" s="35"/>
      <c r="Y499" s="35"/>
      <c r="Z499" s="35"/>
      <c r="AA499" s="35"/>
      <c r="AB499" s="51"/>
      <c r="AC499" s="1370" t="s">
        <v>1388</v>
      </c>
      <c r="AD499" s="1371"/>
      <c r="AE499" s="1371"/>
      <c r="AF499" s="1371"/>
      <c r="AG499" s="1371"/>
      <c r="AH499" s="1371"/>
      <c r="AI499" s="1371"/>
      <c r="AJ499" s="1371"/>
      <c r="AK499" s="1372"/>
      <c r="AZ499" s="3"/>
      <c r="BA499" s="3"/>
      <c r="BB499" s="3"/>
      <c r="BC499" s="3"/>
      <c r="BD499" s="3"/>
      <c r="BE499" s="3"/>
      <c r="BF499" s="3"/>
      <c r="BG499" s="3"/>
      <c r="BH499" s="3"/>
      <c r="BI499" s="3"/>
      <c r="BJ499" s="3"/>
      <c r="BK499" s="3"/>
      <c r="BL499" s="3"/>
      <c r="BM499" s="3"/>
      <c r="BN499" s="3"/>
      <c r="BO499" s="3"/>
      <c r="BP499" s="3"/>
      <c r="BQ499" s="3"/>
      <c r="BR499" s="3"/>
      <c r="BS499" s="3"/>
      <c r="BT499" s="3"/>
      <c r="BU499" s="3"/>
      <c r="BV499" s="272" t="s">
        <v>909</v>
      </c>
      <c r="BW499" s="390">
        <v>1540</v>
      </c>
      <c r="BX499" s="391">
        <v>1650</v>
      </c>
      <c r="BY499" s="390">
        <v>1980</v>
      </c>
      <c r="BZ499" s="391">
        <v>2286</v>
      </c>
      <c r="CA499" s="391">
        <v>2550</v>
      </c>
      <c r="CB499" s="392">
        <v>2812</v>
      </c>
      <c r="CC499" s="3"/>
      <c r="CD499" s="785">
        <v>1149</v>
      </c>
      <c r="CE499" s="785">
        <v>1157</v>
      </c>
      <c r="CF499" s="785">
        <v>1443</v>
      </c>
      <c r="CG499" s="785">
        <v>2033</v>
      </c>
      <c r="CH499" s="78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0"/>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c r="AA500" s="41"/>
      <c r="AB500" s="42"/>
      <c r="AC500" s="1370" t="s">
        <v>1389</v>
      </c>
      <c r="AD500" s="1371"/>
      <c r="AE500" s="1371"/>
      <c r="AF500" s="1371"/>
      <c r="AG500" s="43" t="s">
        <v>1390</v>
      </c>
      <c r="AH500" s="1371" t="s">
        <v>1391</v>
      </c>
      <c r="AI500" s="1371"/>
      <c r="AJ500" s="1371"/>
      <c r="AK500" s="1372"/>
      <c r="AZ500" s="3"/>
      <c r="BA500" s="3"/>
      <c r="BB500" s="3"/>
      <c r="BC500" s="3"/>
      <c r="BD500" s="3"/>
      <c r="BE500" s="3"/>
      <c r="BF500" s="3"/>
      <c r="BG500" s="3"/>
      <c r="BH500" s="3"/>
      <c r="BI500" s="3"/>
      <c r="BJ500" s="3"/>
      <c r="BK500" s="3"/>
      <c r="BL500" s="3"/>
      <c r="BM500" s="3"/>
      <c r="BN500" s="3"/>
      <c r="BO500" s="3"/>
      <c r="BP500" s="3"/>
      <c r="BQ500" s="3"/>
      <c r="BR500" s="3"/>
      <c r="BS500" s="3"/>
      <c r="BT500" s="3"/>
      <c r="BU500" s="3"/>
      <c r="BV500" s="272" t="s">
        <v>911</v>
      </c>
      <c r="BW500" s="390">
        <v>1540</v>
      </c>
      <c r="BX500" s="391">
        <v>1650</v>
      </c>
      <c r="BY500" s="390">
        <v>1980</v>
      </c>
      <c r="BZ500" s="391">
        <v>2286</v>
      </c>
      <c r="CA500" s="391">
        <v>2550</v>
      </c>
      <c r="CB500" s="392">
        <v>2812</v>
      </c>
      <c r="CC500" s="3"/>
      <c r="CD500" s="785">
        <v>771</v>
      </c>
      <c r="CE500" s="785">
        <v>866</v>
      </c>
      <c r="CF500" s="785">
        <v>1138</v>
      </c>
      <c r="CG500" s="785">
        <v>1484</v>
      </c>
      <c r="CH500" s="78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242" t="s">
        <v>1392</v>
      </c>
      <c r="C501" s="1243"/>
      <c r="D501" s="1243"/>
      <c r="E501" s="1243"/>
      <c r="F501" s="1243"/>
      <c r="G501" s="1243"/>
      <c r="H501" s="1244"/>
      <c r="I501" s="35" t="s">
        <v>1393</v>
      </c>
      <c r="J501" s="35"/>
      <c r="K501" s="35"/>
      <c r="L501" s="35"/>
      <c r="M501" s="35"/>
      <c r="N501" s="35"/>
      <c r="O501" s="35"/>
      <c r="P501" s="35"/>
      <c r="Q501" s="35"/>
      <c r="R501" s="35"/>
      <c r="S501" s="35"/>
      <c r="T501" s="35"/>
      <c r="U501" s="35"/>
      <c r="V501" s="35"/>
      <c r="W501" s="35"/>
      <c r="AC501" s="2450">
        <v>8</v>
      </c>
      <c r="AD501" s="2415"/>
      <c r="AE501" s="2415"/>
      <c r="AF501" s="2415"/>
      <c r="AG501" s="13" t="s">
        <v>1390</v>
      </c>
      <c r="AH501" s="1260">
        <v>2023</v>
      </c>
      <c r="AI501" s="1260"/>
      <c r="AJ501" s="1260"/>
      <c r="AK501" s="1261"/>
      <c r="AZ501" s="3"/>
      <c r="BA501" s="3"/>
      <c r="BB501" s="3"/>
      <c r="BC501" s="3"/>
      <c r="BD501" s="3"/>
      <c r="BE501" s="3"/>
      <c r="BF501" s="3"/>
      <c r="BG501" s="3"/>
      <c r="BH501" s="3"/>
      <c r="BI501" s="3"/>
      <c r="BJ501" s="3"/>
      <c r="BK501" s="3"/>
      <c r="BL501" s="3"/>
      <c r="BM501" s="3"/>
      <c r="BN501" s="3"/>
      <c r="BO501" s="3"/>
      <c r="BP501" s="3"/>
      <c r="BQ501" s="3"/>
      <c r="BR501" s="3"/>
      <c r="BS501" s="3"/>
      <c r="BT501" s="3"/>
      <c r="BU501" s="3"/>
      <c r="BV501" s="272" t="s">
        <v>913</v>
      </c>
      <c r="BW501" s="390">
        <v>1546</v>
      </c>
      <c r="BX501" s="391">
        <v>1656</v>
      </c>
      <c r="BY501" s="390">
        <v>1986</v>
      </c>
      <c r="BZ501" s="391">
        <v>2296</v>
      </c>
      <c r="CA501" s="391">
        <v>2562</v>
      </c>
      <c r="CB501" s="392">
        <v>2826</v>
      </c>
      <c r="CC501" s="3"/>
      <c r="CD501" s="785">
        <v>950</v>
      </c>
      <c r="CE501" s="785">
        <v>1032</v>
      </c>
      <c r="CF501" s="785">
        <v>1352</v>
      </c>
      <c r="CG501" s="785">
        <v>1905</v>
      </c>
      <c r="CH501" s="78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245"/>
      <c r="C502" s="1246"/>
      <c r="D502" s="1246"/>
      <c r="E502" s="1246"/>
      <c r="F502" s="1246"/>
      <c r="G502" s="1246"/>
      <c r="H502" s="1247"/>
      <c r="I502" s="41" t="s">
        <v>1394</v>
      </c>
      <c r="J502" s="41"/>
      <c r="K502" s="41"/>
      <c r="L502" s="41"/>
      <c r="M502" s="41"/>
      <c r="N502" s="41"/>
      <c r="O502" s="41"/>
      <c r="P502" s="41"/>
      <c r="Q502" s="41"/>
      <c r="R502" s="41"/>
      <c r="S502" s="41"/>
      <c r="T502" s="41"/>
      <c r="U502" s="41"/>
      <c r="V502" s="41"/>
      <c r="W502" s="41"/>
      <c r="X502" s="41"/>
      <c r="Y502" s="41"/>
      <c r="Z502" s="41"/>
      <c r="AA502" s="41"/>
      <c r="AB502" s="41"/>
      <c r="AC502" s="2450" t="s">
        <v>299</v>
      </c>
      <c r="AD502" s="2415"/>
      <c r="AE502" s="2415"/>
      <c r="AF502" s="2415"/>
      <c r="AG502" s="31" t="s">
        <v>1390</v>
      </c>
      <c r="AH502" s="1260"/>
      <c r="AI502" s="1260"/>
      <c r="AJ502" s="1260"/>
      <c r="AK502" s="1261"/>
      <c r="AZ502" s="3"/>
      <c r="BA502" s="3"/>
      <c r="BB502" s="3"/>
      <c r="BC502" s="3"/>
      <c r="BD502" s="3"/>
      <c r="BE502" s="3"/>
      <c r="BF502" s="3"/>
      <c r="BG502" s="3"/>
      <c r="BH502" s="3"/>
      <c r="BI502" s="3"/>
      <c r="BJ502" s="3"/>
      <c r="BK502" s="3"/>
      <c r="BL502" s="3"/>
      <c r="BM502" s="3"/>
      <c r="BN502" s="3"/>
      <c r="BO502" s="3"/>
      <c r="BP502" s="3"/>
      <c r="BQ502" s="3"/>
      <c r="BR502" s="3"/>
      <c r="BS502" s="3"/>
      <c r="BT502" s="3"/>
      <c r="BU502" s="3"/>
      <c r="BV502" s="272" t="s">
        <v>916</v>
      </c>
      <c r="BW502" s="390">
        <v>1540</v>
      </c>
      <c r="BX502" s="391">
        <v>1650</v>
      </c>
      <c r="BY502" s="390">
        <v>1980</v>
      </c>
      <c r="BZ502" s="391">
        <v>2286</v>
      </c>
      <c r="CA502" s="391">
        <v>2550</v>
      </c>
      <c r="CB502" s="392">
        <v>2812</v>
      </c>
      <c r="CC502" s="3"/>
      <c r="CD502" s="785">
        <v>872</v>
      </c>
      <c r="CE502" s="785">
        <v>1001</v>
      </c>
      <c r="CF502" s="785">
        <v>1286</v>
      </c>
      <c r="CG502" s="785">
        <v>1771</v>
      </c>
      <c r="CH502" s="78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242" t="s">
        <v>1395</v>
      </c>
      <c r="C503" s="1243"/>
      <c r="D503" s="1243"/>
      <c r="E503" s="1243"/>
      <c r="F503" s="1243"/>
      <c r="G503" s="1243"/>
      <c r="H503" s="1244"/>
      <c r="I503" s="35" t="s">
        <v>1396</v>
      </c>
      <c r="J503" s="35"/>
      <c r="K503" s="35"/>
      <c r="L503" s="35"/>
      <c r="M503" s="35"/>
      <c r="N503" s="35"/>
      <c r="O503" s="35"/>
      <c r="P503" s="35"/>
      <c r="Q503" s="35"/>
      <c r="R503" s="35"/>
      <c r="S503" s="35"/>
      <c r="T503" s="35"/>
      <c r="U503" s="35"/>
      <c r="V503" s="35"/>
      <c r="W503" s="35"/>
      <c r="AC503" s="2450" t="s">
        <v>299</v>
      </c>
      <c r="AD503" s="2415"/>
      <c r="AE503" s="2415"/>
      <c r="AF503" s="2415"/>
      <c r="AG503" s="13" t="s">
        <v>1390</v>
      </c>
      <c r="AH503" s="1260"/>
      <c r="AI503" s="1260"/>
      <c r="AJ503" s="1260"/>
      <c r="AK503" s="1261"/>
      <c r="AZ503" s="3"/>
      <c r="BA503" s="3"/>
      <c r="BB503" s="3"/>
      <c r="BC503" s="3"/>
      <c r="BD503" s="3"/>
      <c r="BE503" s="3"/>
      <c r="BF503" s="3"/>
      <c r="BG503" s="3"/>
      <c r="BH503" s="3"/>
      <c r="BI503" s="3"/>
      <c r="BJ503" s="3"/>
      <c r="BK503" s="3"/>
      <c r="BL503" s="3"/>
      <c r="BM503" s="3"/>
      <c r="BN503" s="3"/>
      <c r="BO503" s="3"/>
      <c r="BP503" s="3"/>
      <c r="BQ503" s="3"/>
      <c r="BR503" s="3"/>
      <c r="BS503" s="3"/>
      <c r="BT503" s="3"/>
      <c r="BU503" s="3"/>
      <c r="BV503" s="272" t="s">
        <v>918</v>
      </c>
      <c r="BW503" s="390">
        <v>1540</v>
      </c>
      <c r="BX503" s="391">
        <v>1650</v>
      </c>
      <c r="BY503" s="390">
        <v>1980</v>
      </c>
      <c r="BZ503" s="391">
        <v>2286</v>
      </c>
      <c r="CA503" s="391">
        <v>2550</v>
      </c>
      <c r="CB503" s="392">
        <v>2812</v>
      </c>
      <c r="CC503" s="3"/>
      <c r="CD503" s="785">
        <v>924</v>
      </c>
      <c r="CE503" s="785">
        <v>1079</v>
      </c>
      <c r="CF503" s="785">
        <v>1363</v>
      </c>
      <c r="CG503" s="785">
        <v>1648</v>
      </c>
      <c r="CH503" s="78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245"/>
      <c r="C504" s="1246"/>
      <c r="D504" s="1246"/>
      <c r="E504" s="1246"/>
      <c r="F504" s="1246"/>
      <c r="G504" s="1246"/>
      <c r="H504" s="1247"/>
      <c r="I504" t="s">
        <v>1397</v>
      </c>
      <c r="AC504" s="2450" t="s">
        <v>299</v>
      </c>
      <c r="AD504" s="2415"/>
      <c r="AE504" s="2415"/>
      <c r="AF504" s="2415"/>
      <c r="AG504" s="13" t="s">
        <v>1390</v>
      </c>
      <c r="AH504" s="1260"/>
      <c r="AI504" s="1260"/>
      <c r="AJ504" s="1260"/>
      <c r="AK504" s="1261"/>
      <c r="AZ504" s="3"/>
      <c r="BA504" s="3"/>
      <c r="BB504" s="3"/>
      <c r="BC504" s="3"/>
      <c r="BD504" s="3"/>
      <c r="BE504" s="3"/>
      <c r="BF504" s="3"/>
      <c r="BG504" s="3"/>
      <c r="BH504" s="3"/>
      <c r="BI504" s="3"/>
      <c r="BJ504" s="3"/>
      <c r="BK504" s="3"/>
      <c r="BL504" s="3"/>
      <c r="BM504" s="3"/>
      <c r="BN504" s="3"/>
      <c r="BO504" s="3"/>
      <c r="BP504" s="3"/>
      <c r="BQ504" s="3"/>
      <c r="BR504" s="3"/>
      <c r="BS504" s="3"/>
      <c r="BT504" s="3"/>
      <c r="BU504" s="3"/>
      <c r="BV504" s="272" t="s">
        <v>920</v>
      </c>
      <c r="BW504" s="390">
        <v>1540</v>
      </c>
      <c r="BX504" s="391">
        <v>1650</v>
      </c>
      <c r="BY504" s="390">
        <v>1980</v>
      </c>
      <c r="BZ504" s="391">
        <v>2286</v>
      </c>
      <c r="CA504" s="391">
        <v>2550</v>
      </c>
      <c r="CB504" s="392">
        <v>2812</v>
      </c>
      <c r="CC504" s="3"/>
      <c r="CD504" s="785">
        <v>960</v>
      </c>
      <c r="CE504" s="785">
        <v>967</v>
      </c>
      <c r="CF504" s="785">
        <v>1258</v>
      </c>
      <c r="CG504" s="785">
        <v>1773</v>
      </c>
      <c r="CH504" s="78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245"/>
      <c r="C505" s="1246"/>
      <c r="D505" s="1246"/>
      <c r="E505" s="1246"/>
      <c r="F505" s="1246"/>
      <c r="G505" s="1246"/>
      <c r="H505" s="1247"/>
      <c r="I505" t="s">
        <v>1398</v>
      </c>
      <c r="AC505" s="2450">
        <v>1</v>
      </c>
      <c r="AD505" s="2415"/>
      <c r="AE505" s="2415"/>
      <c r="AF505" s="2415"/>
      <c r="AG505" s="13" t="s">
        <v>1390</v>
      </c>
      <c r="AH505" s="1260">
        <v>2024</v>
      </c>
      <c r="AI505" s="1260"/>
      <c r="AJ505" s="1260"/>
      <c r="AK505" s="1261"/>
      <c r="AZ505" s="3"/>
      <c r="BA505" s="3"/>
      <c r="BB505" s="3"/>
      <c r="BC505" s="3"/>
      <c r="BD505" s="3"/>
      <c r="BE505" s="3"/>
      <c r="BF505" s="3"/>
      <c r="BG505" s="3"/>
      <c r="BH505" s="3"/>
      <c r="BI505" s="3"/>
      <c r="BJ505" s="3"/>
      <c r="BK505" s="3"/>
      <c r="BL505" s="3"/>
      <c r="BM505" s="3"/>
      <c r="BN505" s="3"/>
      <c r="BO505" s="3"/>
      <c r="BP505" s="3"/>
      <c r="BQ505" s="3"/>
      <c r="BR505" s="3"/>
      <c r="BS505" s="3"/>
      <c r="BT505" s="3"/>
      <c r="BU505" s="3"/>
      <c r="BV505" s="272" t="s">
        <v>923</v>
      </c>
      <c r="BW505" s="390">
        <v>1540</v>
      </c>
      <c r="BX505" s="391">
        <v>1650</v>
      </c>
      <c r="BY505" s="390">
        <v>1980</v>
      </c>
      <c r="BZ505" s="391">
        <v>2286</v>
      </c>
      <c r="CA505" s="391">
        <v>2550</v>
      </c>
      <c r="CB505" s="392">
        <v>2812</v>
      </c>
      <c r="CC505" s="3"/>
      <c r="CD505" s="785">
        <v>1080</v>
      </c>
      <c r="CE505" s="785">
        <v>1087</v>
      </c>
      <c r="CF505" s="785">
        <v>1371</v>
      </c>
      <c r="CG505" s="785">
        <v>1932</v>
      </c>
      <c r="CH505" s="78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245"/>
      <c r="C506" s="1246"/>
      <c r="D506" s="1246"/>
      <c r="E506" s="1246"/>
      <c r="F506" s="1246"/>
      <c r="G506" s="1246"/>
      <c r="H506" s="1247"/>
      <c r="I506" t="s">
        <v>1399</v>
      </c>
      <c r="AC506" s="2450">
        <v>11</v>
      </c>
      <c r="AD506" s="2415"/>
      <c r="AE506" s="2415"/>
      <c r="AF506" s="2415"/>
      <c r="AG506" s="13" t="s">
        <v>1390</v>
      </c>
      <c r="AH506" s="1260">
        <v>2024</v>
      </c>
      <c r="AI506" s="1260"/>
      <c r="AJ506" s="1260"/>
      <c r="AK506" s="1261"/>
      <c r="AZ506" s="3"/>
      <c r="BA506" s="3"/>
      <c r="BB506" s="3"/>
      <c r="BC506" s="3"/>
      <c r="BD506" s="3"/>
      <c r="BE506" s="3"/>
      <c r="BF506" s="3"/>
      <c r="BG506" s="3"/>
      <c r="BH506" s="3"/>
      <c r="BI506" s="3"/>
      <c r="BJ506" s="3"/>
      <c r="BK506" s="3"/>
      <c r="BL506" s="3"/>
      <c r="BM506" s="3"/>
      <c r="BN506" s="3"/>
      <c r="BO506" s="3"/>
      <c r="BP506" s="3"/>
      <c r="BQ506" s="3"/>
      <c r="BR506" s="3"/>
      <c r="BS506" s="3"/>
      <c r="BT506" s="3"/>
      <c r="BU506" s="3"/>
      <c r="BV506" s="272" t="s">
        <v>927</v>
      </c>
      <c r="BW506" s="390">
        <v>1540</v>
      </c>
      <c r="BX506" s="391">
        <v>1650</v>
      </c>
      <c r="BY506" s="390">
        <v>1980</v>
      </c>
      <c r="BZ506" s="391">
        <v>2286</v>
      </c>
      <c r="CA506" s="391">
        <v>2550</v>
      </c>
      <c r="CB506" s="392">
        <v>2812</v>
      </c>
      <c r="CC506" s="3"/>
      <c r="CD506" s="785">
        <v>928</v>
      </c>
      <c r="CE506" s="785">
        <v>964</v>
      </c>
      <c r="CF506" s="785">
        <v>1267</v>
      </c>
      <c r="CG506" s="785">
        <v>1785</v>
      </c>
      <c r="CH506" s="78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245"/>
      <c r="C507" s="1246"/>
      <c r="D507" s="1246"/>
      <c r="E507" s="1246"/>
      <c r="F507" s="1246"/>
      <c r="G507" s="1246"/>
      <c r="H507" s="1247"/>
      <c r="I507" s="3" t="s">
        <v>1400</v>
      </c>
      <c r="AC507" s="2451">
        <v>11</v>
      </c>
      <c r="AD507" s="2452"/>
      <c r="AE507" s="2452"/>
      <c r="AF507" s="2452"/>
      <c r="AG507" s="13" t="s">
        <v>1390</v>
      </c>
      <c r="AH507" s="1260">
        <v>2024</v>
      </c>
      <c r="AI507" s="1260"/>
      <c r="AJ507" s="1260"/>
      <c r="AK507" s="1261"/>
      <c r="AZ507" s="3"/>
      <c r="BA507" s="3"/>
      <c r="BB507" s="3"/>
      <c r="BC507" s="3"/>
      <c r="BD507" s="3"/>
      <c r="BE507" s="3"/>
      <c r="BF507" s="3"/>
      <c r="BG507" s="3"/>
      <c r="BH507" s="3"/>
      <c r="BI507" s="3"/>
      <c r="BJ507" s="3"/>
      <c r="BK507" s="3"/>
      <c r="BL507" s="3"/>
      <c r="BM507" s="3"/>
      <c r="BN507" s="3"/>
      <c r="BO507" s="3"/>
      <c r="BP507" s="3"/>
      <c r="BQ507" s="3"/>
      <c r="BR507" s="3"/>
      <c r="BS507" s="3"/>
      <c r="BT507" s="3"/>
      <c r="BU507" s="3"/>
      <c r="BV507" s="272" t="s">
        <v>932</v>
      </c>
      <c r="BW507" s="390">
        <v>1540</v>
      </c>
      <c r="BX507" s="391">
        <v>1650</v>
      </c>
      <c r="BY507" s="390">
        <v>1980</v>
      </c>
      <c r="BZ507" s="391">
        <v>2286</v>
      </c>
      <c r="CA507" s="391">
        <v>2550</v>
      </c>
      <c r="CB507" s="392">
        <v>2812</v>
      </c>
      <c r="CC507" s="3"/>
      <c r="CD507" s="785">
        <v>760</v>
      </c>
      <c r="CE507" s="785">
        <v>853</v>
      </c>
      <c r="CF507" s="785">
        <v>1121</v>
      </c>
      <c r="CG507" s="785">
        <v>1580</v>
      </c>
      <c r="CH507" s="785">
        <v>1789</v>
      </c>
      <c r="CI507" s="3"/>
      <c r="CJ507" s="3"/>
      <c r="CK507" s="3"/>
      <c r="CL507" s="3"/>
      <c r="CM507" s="3"/>
      <c r="CN507" s="3"/>
      <c r="CO507" s="3"/>
      <c r="CP507" s="3"/>
      <c r="CQ507" s="3"/>
      <c r="CR507" s="3"/>
      <c r="CS507" s="3"/>
      <c r="CT507" s="3"/>
    </row>
    <row r="508" spans="1:110" ht="12.95" customHeight="1">
      <c r="B508" s="1245"/>
      <c r="C508" s="1246"/>
      <c r="D508" s="1246"/>
      <c r="E508" s="1246"/>
      <c r="F508" s="1246"/>
      <c r="G508" s="1246"/>
      <c r="H508" s="1247"/>
      <c r="I508" s="818" t="s">
        <v>232</v>
      </c>
      <c r="J508" s="41"/>
      <c r="K508" s="41"/>
      <c r="L508" s="1273" t="s">
        <v>1401</v>
      </c>
      <c r="M508" s="1274"/>
      <c r="N508" s="1274"/>
      <c r="O508" s="1274"/>
      <c r="P508" s="1274"/>
      <c r="Q508" s="1274"/>
      <c r="R508" s="1274"/>
      <c r="S508" s="1274"/>
      <c r="T508" s="1274"/>
      <c r="U508" s="1274"/>
      <c r="V508" s="1274"/>
      <c r="W508" s="1274"/>
      <c r="X508" s="1274"/>
      <c r="Y508" s="1274"/>
      <c r="Z508" s="1274"/>
      <c r="AA508" s="1274"/>
      <c r="AB508" s="1369"/>
      <c r="AC508" s="2450" t="s">
        <v>299</v>
      </c>
      <c r="AD508" s="2415"/>
      <c r="AE508" s="2415"/>
      <c r="AF508" s="2415"/>
      <c r="AG508" s="31" t="s">
        <v>1390</v>
      </c>
      <c r="AH508" s="1260"/>
      <c r="AI508" s="1260"/>
      <c r="AJ508" s="1260"/>
      <c r="AK508" s="1261"/>
      <c r="AZ508" s="3"/>
      <c r="BA508" s="3"/>
      <c r="BB508" s="3"/>
      <c r="BC508" s="3"/>
      <c r="BD508" s="3"/>
      <c r="BE508" s="3"/>
      <c r="BF508" s="3"/>
      <c r="BG508" s="3"/>
      <c r="BH508" s="3"/>
      <c r="BI508" s="3"/>
      <c r="BJ508" s="3"/>
      <c r="BK508" s="3"/>
      <c r="BL508" s="3"/>
      <c r="BM508" s="3"/>
      <c r="BN508" s="3"/>
      <c r="BO508" s="3"/>
      <c r="BP508" s="3"/>
      <c r="BQ508" s="3"/>
      <c r="BR508" s="3"/>
      <c r="BS508" s="3"/>
      <c r="BT508" s="3"/>
      <c r="BU508" s="3"/>
      <c r="BV508" s="272" t="s">
        <v>936</v>
      </c>
      <c r="BW508" s="390">
        <v>2426</v>
      </c>
      <c r="BX508" s="391">
        <v>2600</v>
      </c>
      <c r="BY508" s="390">
        <v>3120</v>
      </c>
      <c r="BZ508" s="391">
        <v>3606</v>
      </c>
      <c r="CA508" s="391">
        <v>4022</v>
      </c>
      <c r="CB508" s="392">
        <v>4438</v>
      </c>
      <c r="CC508" s="3"/>
      <c r="CD508" s="785">
        <v>1777</v>
      </c>
      <c r="CE508" s="785">
        <v>2006</v>
      </c>
      <c r="CF508" s="785">
        <v>2544</v>
      </c>
      <c r="CG508" s="785">
        <v>3263</v>
      </c>
      <c r="CH508" s="785">
        <v>3600</v>
      </c>
      <c r="CI508" s="3"/>
      <c r="CJ508" s="3"/>
      <c r="CK508" s="3"/>
      <c r="CL508" s="3"/>
      <c r="CM508" s="3"/>
      <c r="CN508" s="3"/>
      <c r="CO508" s="3"/>
      <c r="CP508" s="3"/>
      <c r="CQ508" s="3"/>
      <c r="CR508" s="3"/>
      <c r="CS508" s="3"/>
      <c r="CT508" s="3"/>
    </row>
    <row r="509" spans="1:110" ht="12.95" customHeight="1">
      <c r="B509" s="795"/>
      <c r="C509" s="96"/>
      <c r="D509" s="96"/>
      <c r="E509" s="96"/>
      <c r="F509" s="96"/>
      <c r="G509" s="96"/>
      <c r="H509" s="796"/>
      <c r="I509" s="3" t="s">
        <v>1402</v>
      </c>
      <c r="AC509" s="2426" t="s">
        <v>1076</v>
      </c>
      <c r="AD509" s="2426"/>
      <c r="AE509" s="2426"/>
      <c r="AF509" s="2426"/>
      <c r="AG509" s="13"/>
      <c r="AH509" s="1184"/>
      <c r="AI509" s="1184"/>
      <c r="AJ509" s="1184"/>
      <c r="AK509" s="1275"/>
      <c r="AZ509" s="3"/>
      <c r="BA509" s="3"/>
      <c r="BB509" s="3"/>
      <c r="BC509" s="3"/>
      <c r="BD509" s="3"/>
      <c r="BE509" s="3"/>
      <c r="BF509" s="3"/>
      <c r="BG509" s="3"/>
      <c r="BH509" s="3"/>
      <c r="BI509" s="3"/>
      <c r="BJ509" s="3"/>
      <c r="BK509" s="3"/>
      <c r="BL509" s="3"/>
      <c r="BM509" s="3"/>
      <c r="BN509" s="3"/>
      <c r="BO509" s="3"/>
      <c r="BP509" s="3"/>
      <c r="BQ509" s="3"/>
      <c r="BR509" s="3"/>
      <c r="BS509" s="3"/>
      <c r="BT509" s="3"/>
      <c r="BU509" s="3"/>
      <c r="BV509" s="272" t="s">
        <v>943</v>
      </c>
      <c r="BW509" s="390">
        <v>1540</v>
      </c>
      <c r="BX509" s="391">
        <v>1650</v>
      </c>
      <c r="BY509" s="390">
        <v>1980</v>
      </c>
      <c r="BZ509" s="391">
        <v>2286</v>
      </c>
      <c r="CA509" s="391">
        <v>2550</v>
      </c>
      <c r="CB509" s="392">
        <v>2812</v>
      </c>
      <c r="CC509" s="3"/>
      <c r="CD509" s="785">
        <v>1083</v>
      </c>
      <c r="CE509" s="785">
        <v>1090</v>
      </c>
      <c r="CF509" s="785">
        <v>1432</v>
      </c>
      <c r="CG509" s="785">
        <v>1998</v>
      </c>
      <c r="CH509" s="785">
        <v>2208</v>
      </c>
      <c r="CI509" s="3"/>
      <c r="CJ509" s="3"/>
      <c r="CK509" s="3"/>
      <c r="CL509" s="3"/>
      <c r="CM509" s="3"/>
      <c r="CN509" s="3"/>
      <c r="CO509" s="3"/>
      <c r="CP509" s="3"/>
      <c r="CQ509" s="3"/>
      <c r="CR509" s="3"/>
      <c r="CS509" s="3"/>
      <c r="CT509" s="3"/>
    </row>
    <row r="510" spans="1:110" ht="12.95" customHeight="1">
      <c r="B510" s="795"/>
      <c r="C510" s="96"/>
      <c r="D510" s="96"/>
      <c r="E510" s="96"/>
      <c r="F510" s="96"/>
      <c r="G510" s="96"/>
      <c r="H510" s="796"/>
      <c r="I510" t="s">
        <v>1403</v>
      </c>
      <c r="AC510" s="2451"/>
      <c r="AD510" s="2452"/>
      <c r="AE510" s="2452"/>
      <c r="AF510" s="2453"/>
      <c r="AG510" s="13"/>
      <c r="AH510" s="1184"/>
      <c r="AI510" s="1184"/>
      <c r="AJ510" s="1184"/>
      <c r="AK510" s="1275"/>
      <c r="AZ510" s="3"/>
      <c r="BA510" s="3"/>
      <c r="BB510" s="3"/>
      <c r="BC510" s="3"/>
      <c r="BD510" s="3"/>
      <c r="BE510" s="3"/>
      <c r="BF510" s="3"/>
      <c r="BG510" s="3"/>
      <c r="BH510" s="3"/>
      <c r="BI510" s="3"/>
      <c r="BJ510" s="3"/>
      <c r="BK510" s="3"/>
      <c r="BL510" s="3"/>
      <c r="BM510" s="3"/>
      <c r="BN510" s="3"/>
      <c r="BO510" s="3"/>
      <c r="BP510" s="3"/>
      <c r="BQ510" s="3"/>
      <c r="BR510" s="3"/>
      <c r="BS510" s="3"/>
      <c r="BT510" s="3"/>
      <c r="BU510" s="3"/>
      <c r="BV510" s="272" t="s">
        <v>947</v>
      </c>
      <c r="BW510" s="390">
        <v>3426</v>
      </c>
      <c r="BX510" s="391">
        <v>3672</v>
      </c>
      <c r="BY510" s="390">
        <v>4406</v>
      </c>
      <c r="BZ510" s="391">
        <v>5090</v>
      </c>
      <c r="CA510" s="391">
        <v>5680</v>
      </c>
      <c r="CB510" s="392">
        <v>6266</v>
      </c>
      <c r="CC510" s="3"/>
      <c r="CD510" s="785">
        <v>2292</v>
      </c>
      <c r="CE510" s="785">
        <v>2818</v>
      </c>
      <c r="CF510" s="785">
        <v>3359</v>
      </c>
      <c r="CG510" s="785">
        <v>4112</v>
      </c>
      <c r="CH510" s="785">
        <v>4473</v>
      </c>
      <c r="CI510" s="3"/>
      <c r="CJ510" s="3"/>
      <c r="CK510" s="3"/>
      <c r="CL510" s="3"/>
      <c r="CM510" s="3"/>
      <c r="CN510" s="3"/>
      <c r="CO510" s="3"/>
      <c r="CP510" s="3"/>
      <c r="CQ510" s="3"/>
      <c r="CR510" s="3"/>
      <c r="CS510" s="3"/>
      <c r="CT510" s="3"/>
    </row>
    <row r="511" spans="1:110" ht="12.95" customHeight="1">
      <c r="B511" s="795"/>
      <c r="C511" s="96"/>
      <c r="D511" s="96"/>
      <c r="E511" s="96"/>
      <c r="F511" s="96"/>
      <c r="G511" s="96"/>
      <c r="H511" s="796"/>
      <c r="I511" t="s">
        <v>1404</v>
      </c>
      <c r="AC511" s="1144"/>
      <c r="AD511" s="1145"/>
      <c r="AE511" s="1145"/>
      <c r="AF511" s="1146"/>
      <c r="AG511" s="13"/>
      <c r="AH511" s="1"/>
      <c r="AI511" s="1"/>
      <c r="AJ511" s="1"/>
      <c r="AK511" s="926"/>
      <c r="AZ511" s="3"/>
      <c r="BA511" s="3"/>
      <c r="BB511" s="3"/>
      <c r="BC511" s="3"/>
      <c r="BD511" s="3"/>
      <c r="BE511" s="3"/>
      <c r="BF511" s="3"/>
      <c r="BG511" s="3"/>
      <c r="BH511" s="3"/>
      <c r="BI511" s="3"/>
      <c r="BJ511" s="3"/>
      <c r="BK511" s="3"/>
      <c r="BL511" s="3"/>
      <c r="BM511" s="3"/>
      <c r="BN511" s="3"/>
      <c r="BO511" s="3"/>
      <c r="BP511" s="3"/>
      <c r="BQ511" s="3"/>
      <c r="BR511" s="3"/>
      <c r="BS511" s="3"/>
      <c r="BT511" s="3"/>
      <c r="BU511" s="3"/>
      <c r="BV511" s="272" t="s">
        <v>951</v>
      </c>
      <c r="BW511" s="390">
        <v>1540</v>
      </c>
      <c r="BX511" s="391">
        <v>1650</v>
      </c>
      <c r="BY511" s="390">
        <v>1980</v>
      </c>
      <c r="BZ511" s="391">
        <v>2286</v>
      </c>
      <c r="CA511" s="391">
        <v>2550</v>
      </c>
      <c r="CB511" s="392">
        <v>2812</v>
      </c>
      <c r="CC511" s="3"/>
      <c r="CD511" s="785">
        <v>891</v>
      </c>
      <c r="CE511" s="785">
        <v>1010</v>
      </c>
      <c r="CF511" s="785">
        <v>1218</v>
      </c>
      <c r="CG511" s="785">
        <v>1716</v>
      </c>
      <c r="CH511" s="785">
        <v>2067</v>
      </c>
      <c r="CI511" s="3"/>
      <c r="CJ511" s="3"/>
      <c r="CK511" s="3"/>
      <c r="CL511" s="3"/>
      <c r="CM511" s="3"/>
      <c r="CN511" s="3"/>
      <c r="CO511" s="3"/>
      <c r="CP511" s="3"/>
      <c r="CQ511" s="3"/>
      <c r="CR511" s="3"/>
      <c r="CS511" s="3"/>
      <c r="CT511" s="3"/>
    </row>
    <row r="512" spans="1:110" ht="12.95" customHeight="1">
      <c r="B512" s="795"/>
      <c r="C512" s="96"/>
      <c r="D512" s="96"/>
      <c r="E512" s="96"/>
      <c r="F512" s="96"/>
      <c r="G512" s="96"/>
      <c r="H512" s="796"/>
      <c r="I512" s="819" t="s">
        <v>1405</v>
      </c>
      <c r="J512" s="41"/>
      <c r="K512" s="41"/>
      <c r="L512" s="41"/>
      <c r="M512" s="41"/>
      <c r="N512" s="41"/>
      <c r="O512" s="41"/>
      <c r="P512" s="41"/>
      <c r="Q512" s="41"/>
      <c r="R512" s="41"/>
      <c r="S512" s="41"/>
      <c r="T512" s="41"/>
      <c r="U512" s="41"/>
      <c r="V512" s="41"/>
      <c r="W512" s="41"/>
      <c r="X512" s="41"/>
      <c r="Y512" s="41"/>
      <c r="Z512" s="41"/>
      <c r="AA512" s="41"/>
      <c r="AB512" s="41"/>
      <c r="AC512" s="2454"/>
      <c r="AD512" s="2455"/>
      <c r="AE512" s="2455"/>
      <c r="AF512" s="2456"/>
      <c r="AG512" s="31"/>
      <c r="AH512" s="1488"/>
      <c r="AI512" s="1488"/>
      <c r="AJ512" s="1488"/>
      <c r="AK512" s="1489"/>
      <c r="AZ512" s="3"/>
      <c r="BA512" s="3"/>
      <c r="BB512" s="3"/>
      <c r="BC512" s="3"/>
      <c r="BD512" s="3"/>
      <c r="BE512" s="3"/>
      <c r="BF512" s="3"/>
      <c r="BG512" s="3"/>
      <c r="BH512" s="3"/>
      <c r="BI512" s="3"/>
      <c r="BJ512" s="3"/>
      <c r="BK512" s="3"/>
      <c r="BL512" s="3"/>
      <c r="BM512" s="3"/>
      <c r="BN512" s="3" t="s">
        <v>1076</v>
      </c>
      <c r="BO512" s="3"/>
      <c r="BP512" s="3"/>
      <c r="BQ512" s="3"/>
      <c r="BR512" s="3"/>
      <c r="BS512" s="3"/>
      <c r="BT512" s="3"/>
      <c r="BU512" s="3"/>
      <c r="BV512" s="272" t="s">
        <v>953</v>
      </c>
      <c r="BW512" s="390">
        <v>1582</v>
      </c>
      <c r="BX512" s="391">
        <v>1696</v>
      </c>
      <c r="BY512" s="390">
        <v>2034</v>
      </c>
      <c r="BZ512" s="391">
        <v>2350</v>
      </c>
      <c r="CA512" s="391">
        <v>2622</v>
      </c>
      <c r="CB512" s="392">
        <v>2892</v>
      </c>
      <c r="CC512" s="3"/>
      <c r="CD512" s="785">
        <v>1119</v>
      </c>
      <c r="CE512" s="785">
        <v>1132</v>
      </c>
      <c r="CF512" s="785">
        <v>1488</v>
      </c>
      <c r="CG512" s="785">
        <v>2097</v>
      </c>
      <c r="CH512" s="785">
        <v>2525</v>
      </c>
      <c r="CI512" s="3"/>
      <c r="CJ512" s="3"/>
      <c r="CK512" s="3"/>
      <c r="CL512" s="3"/>
      <c r="CM512" s="3"/>
      <c r="CN512" s="3"/>
      <c r="CO512" s="3"/>
      <c r="CP512" s="3"/>
      <c r="CQ512" s="3"/>
      <c r="CR512" s="3"/>
      <c r="CS512" s="3"/>
      <c r="CT512" s="3"/>
    </row>
    <row r="513" spans="2:110" ht="12.95" customHeight="1">
      <c r="B513" s="795"/>
      <c r="C513" s="96"/>
      <c r="D513" s="96"/>
      <c r="E513" s="96"/>
      <c r="F513" s="96"/>
      <c r="G513" s="96"/>
      <c r="H513" s="796"/>
      <c r="I513" s="3"/>
      <c r="L513" s="8"/>
      <c r="M513" s="8"/>
      <c r="N513" s="8"/>
      <c r="O513" s="8"/>
      <c r="P513" s="8"/>
      <c r="Q513" s="8"/>
      <c r="R513" s="8"/>
      <c r="S513" s="8"/>
      <c r="T513" s="8"/>
      <c r="U513" s="8"/>
      <c r="V513" s="8"/>
      <c r="W513" s="8"/>
      <c r="X513" s="927"/>
      <c r="Y513" s="927"/>
      <c r="Z513" s="927"/>
      <c r="AA513" s="927"/>
      <c r="AB513" s="932"/>
      <c r="AC513" s="1482" t="s">
        <v>1389</v>
      </c>
      <c r="AD513" s="1262"/>
      <c r="AE513" s="1262"/>
      <c r="AF513" s="1262"/>
      <c r="AG513" s="31" t="s">
        <v>1390</v>
      </c>
      <c r="AH513" s="1262" t="s">
        <v>1391</v>
      </c>
      <c r="AI513" s="1262"/>
      <c r="AJ513" s="1262"/>
      <c r="AK513" s="1263"/>
      <c r="AZ513" s="3"/>
      <c r="BA513" s="3"/>
      <c r="BB513" s="3"/>
      <c r="BC513" s="3"/>
      <c r="BD513" s="3"/>
      <c r="BE513" s="3"/>
      <c r="BF513" s="3"/>
      <c r="BG513" s="3"/>
      <c r="BH513" s="3"/>
      <c r="BI513" s="3"/>
      <c r="BJ513" s="3"/>
      <c r="BK513" s="3"/>
      <c r="BL513" s="3"/>
      <c r="BM513" s="3"/>
      <c r="BN513" s="3" t="s">
        <v>1406</v>
      </c>
      <c r="BO513" s="3"/>
      <c r="BP513" s="3"/>
      <c r="BQ513" s="3"/>
      <c r="BR513" s="3"/>
      <c r="BS513" s="3"/>
      <c r="BT513" s="3"/>
      <c r="BU513" s="3"/>
      <c r="BV513" s="272" t="s">
        <v>956</v>
      </c>
      <c r="BW513" s="390">
        <v>1540</v>
      </c>
      <c r="BX513" s="391">
        <v>1650</v>
      </c>
      <c r="BY513" s="390">
        <v>1980</v>
      </c>
      <c r="BZ513" s="391">
        <v>2286</v>
      </c>
      <c r="CA513" s="391">
        <v>2550</v>
      </c>
      <c r="CB513" s="392">
        <v>2812</v>
      </c>
      <c r="CC513" s="3"/>
      <c r="CD513" s="785">
        <v>994</v>
      </c>
      <c r="CE513" s="785">
        <v>1159</v>
      </c>
      <c r="CF513" s="785">
        <v>1420</v>
      </c>
      <c r="CG513" s="785">
        <v>1995</v>
      </c>
      <c r="CH513" s="785">
        <v>2410</v>
      </c>
      <c r="CI513" s="3"/>
      <c r="CJ513" s="3"/>
      <c r="CK513" s="3"/>
      <c r="CL513" s="3"/>
      <c r="CM513" s="3"/>
      <c r="CN513" s="3"/>
      <c r="CO513" s="3"/>
      <c r="CP513" s="3"/>
      <c r="CQ513" s="3"/>
      <c r="CR513" s="3"/>
      <c r="CS513" s="3"/>
      <c r="CT513" s="3"/>
    </row>
    <row r="514" spans="2:110" ht="12.95" customHeight="1">
      <c r="B514" s="1242" t="s">
        <v>1407</v>
      </c>
      <c r="C514" s="1243"/>
      <c r="D514" s="1243"/>
      <c r="E514" s="1243"/>
      <c r="F514" s="1243"/>
      <c r="G514" s="1243"/>
      <c r="H514" s="1244"/>
      <c r="I514" s="35" t="s">
        <v>1408</v>
      </c>
      <c r="J514" s="35"/>
      <c r="K514" s="35"/>
      <c r="L514" s="35"/>
      <c r="M514" s="35"/>
      <c r="N514" s="35"/>
      <c r="O514" s="35"/>
      <c r="P514" s="35"/>
      <c r="Q514" s="35"/>
      <c r="R514" s="35"/>
      <c r="S514" s="35"/>
      <c r="T514" s="35"/>
      <c r="U514" s="35"/>
      <c r="V514" s="35"/>
      <c r="W514" s="35"/>
      <c r="AC514" s="2450">
        <v>8</v>
      </c>
      <c r="AD514" s="2415"/>
      <c r="AE514" s="2415"/>
      <c r="AF514" s="2415"/>
      <c r="AG514" s="13" t="s">
        <v>1390</v>
      </c>
      <c r="AH514" s="1260">
        <v>2024</v>
      </c>
      <c r="AI514" s="1260"/>
      <c r="AJ514" s="1260"/>
      <c r="AK514" s="1261"/>
      <c r="AZ514" s="3"/>
      <c r="BA514" s="3"/>
      <c r="BB514" s="3"/>
      <c r="BC514" s="3"/>
      <c r="BD514" s="3"/>
      <c r="BE514" s="3"/>
      <c r="BF514" s="3"/>
      <c r="BG514" s="3"/>
      <c r="BH514" s="3"/>
      <c r="BI514" s="3"/>
      <c r="BJ514" s="3"/>
      <c r="BK514" s="3"/>
      <c r="BL514" s="3"/>
      <c r="BM514" s="3"/>
      <c r="BN514" s="3" t="s">
        <v>1409</v>
      </c>
      <c r="BO514" s="3"/>
      <c r="BP514" s="3"/>
      <c r="BQ514" s="3"/>
      <c r="BR514" s="3"/>
      <c r="BS514" s="3"/>
      <c r="BT514" s="3"/>
      <c r="BU514" s="3"/>
      <c r="BV514" s="272" t="s">
        <v>959</v>
      </c>
      <c r="BW514" s="390">
        <v>1540</v>
      </c>
      <c r="BX514" s="391">
        <v>1650</v>
      </c>
      <c r="BY514" s="390">
        <v>1980</v>
      </c>
      <c r="BZ514" s="391">
        <v>2286</v>
      </c>
      <c r="CA514" s="391">
        <v>2550</v>
      </c>
      <c r="CB514" s="392">
        <v>2812</v>
      </c>
      <c r="CC514" s="3"/>
      <c r="CD514" s="785">
        <v>660</v>
      </c>
      <c r="CE514" s="785">
        <v>802</v>
      </c>
      <c r="CF514" s="785">
        <v>958</v>
      </c>
      <c r="CG514" s="785">
        <v>1158</v>
      </c>
      <c r="CH514" s="785">
        <v>1572</v>
      </c>
      <c r="CI514" s="3"/>
      <c r="CJ514" s="3"/>
      <c r="CK514" s="3"/>
      <c r="CL514" s="3"/>
      <c r="CM514" s="3"/>
      <c r="CN514" s="3"/>
      <c r="CO514" s="3"/>
      <c r="CP514" s="3"/>
      <c r="CQ514" s="3"/>
      <c r="CR514" s="3"/>
      <c r="CS514" s="3"/>
      <c r="CT514" s="3"/>
    </row>
    <row r="515" spans="2:110" ht="12.95" customHeight="1">
      <c r="B515" s="1245"/>
      <c r="C515" s="1246"/>
      <c r="D515" s="1246"/>
      <c r="E515" s="1246"/>
      <c r="F515" s="1246"/>
      <c r="G515" s="1246"/>
      <c r="H515" s="1247"/>
      <c r="I515" t="s">
        <v>1410</v>
      </c>
      <c r="AC515" s="2450">
        <v>8</v>
      </c>
      <c r="AD515" s="2415"/>
      <c r="AE515" s="2415"/>
      <c r="AF515" s="2415"/>
      <c r="AG515" s="13" t="s">
        <v>1390</v>
      </c>
      <c r="AH515" s="1260">
        <v>2024</v>
      </c>
      <c r="AI515" s="1260"/>
      <c r="AJ515" s="1260"/>
      <c r="AK515" s="1261"/>
      <c r="AZ515" s="3"/>
      <c r="BA515" s="3"/>
      <c r="BB515" s="3"/>
      <c r="BC515" s="3"/>
      <c r="BD515" s="3"/>
      <c r="BE515" s="3"/>
      <c r="BF515" s="3"/>
      <c r="BG515" s="3"/>
      <c r="BH515" s="3"/>
      <c r="BI515" s="3"/>
      <c r="BJ515" s="3"/>
      <c r="BK515" s="3"/>
      <c r="BL515" s="3"/>
      <c r="BM515" s="3"/>
      <c r="BN515" s="3" t="s">
        <v>1411</v>
      </c>
      <c r="BO515" s="3"/>
      <c r="BP515" s="3"/>
      <c r="BQ515" s="3"/>
      <c r="BR515" s="3"/>
      <c r="BS515" s="3"/>
      <c r="BT515" s="3"/>
      <c r="BU515" s="3"/>
      <c r="BV515" s="272" t="s">
        <v>961</v>
      </c>
      <c r="BW515" s="390">
        <v>1634</v>
      </c>
      <c r="BX515" s="391">
        <v>1752</v>
      </c>
      <c r="BY515" s="390">
        <v>2102</v>
      </c>
      <c r="BZ515" s="391">
        <v>2430</v>
      </c>
      <c r="CA515" s="391">
        <v>2710</v>
      </c>
      <c r="CB515" s="392">
        <v>2990</v>
      </c>
      <c r="CC515" s="3"/>
      <c r="CD515" s="785">
        <v>1000</v>
      </c>
      <c r="CE515" s="785">
        <v>1292</v>
      </c>
      <c r="CF515" s="785">
        <v>1450</v>
      </c>
      <c r="CG515" s="785">
        <v>2043</v>
      </c>
      <c r="CH515" s="785">
        <v>2380</v>
      </c>
      <c r="CI515" s="3"/>
      <c r="CJ515" s="3"/>
      <c r="CK515" s="3"/>
      <c r="CL515" s="3"/>
      <c r="CM515" s="3"/>
      <c r="CN515" s="3"/>
      <c r="CO515" s="3"/>
      <c r="CP515" s="3"/>
      <c r="CQ515" s="3"/>
      <c r="CR515" s="3"/>
      <c r="CS515" s="3"/>
      <c r="CT515" s="3"/>
    </row>
    <row r="516" spans="2:110" ht="12.95" customHeight="1">
      <c r="B516" s="1245"/>
      <c r="C516" s="1246"/>
      <c r="D516" s="1246"/>
      <c r="E516" s="1246"/>
      <c r="F516" s="1246"/>
      <c r="G516" s="1246"/>
      <c r="H516" s="1247"/>
      <c r="I516" s="41" t="s">
        <v>1412</v>
      </c>
      <c r="J516" s="41"/>
      <c r="K516" s="41"/>
      <c r="L516" s="41"/>
      <c r="M516" s="41"/>
      <c r="N516" s="41"/>
      <c r="O516" s="41"/>
      <c r="P516" s="41"/>
      <c r="Q516" s="41"/>
      <c r="R516" s="41"/>
      <c r="S516" s="41"/>
      <c r="T516" s="41"/>
      <c r="U516" s="41"/>
      <c r="V516" s="41"/>
      <c r="W516" s="41"/>
      <c r="X516" s="41"/>
      <c r="Y516" s="41"/>
      <c r="Z516" s="41"/>
      <c r="AA516" s="41"/>
      <c r="AB516" s="41"/>
      <c r="AC516" s="2450">
        <v>12</v>
      </c>
      <c r="AD516" s="2415"/>
      <c r="AE516" s="2415"/>
      <c r="AF516" s="2415"/>
      <c r="AG516" s="31" t="s">
        <v>1390</v>
      </c>
      <c r="AH516" s="1260">
        <v>2024</v>
      </c>
      <c r="AI516" s="1260"/>
      <c r="AJ516" s="1260"/>
      <c r="AK516" s="1261"/>
      <c r="AZ516" s="3"/>
      <c r="BA516" s="3"/>
      <c r="BB516" s="3"/>
      <c r="BC516" s="3"/>
      <c r="BD516" s="3"/>
      <c r="BE516" s="3"/>
      <c r="BF516" s="3"/>
      <c r="BG516" s="3"/>
      <c r="BH516" s="3"/>
      <c r="BI516" s="3"/>
      <c r="BJ516" s="3"/>
      <c r="BK516" s="3"/>
      <c r="BL516" s="3"/>
      <c r="BM516" s="3"/>
      <c r="BN516" s="3" t="s">
        <v>1413</v>
      </c>
      <c r="BO516" s="3"/>
      <c r="BP516" s="3"/>
      <c r="BQ516" s="3"/>
      <c r="BR516" s="3"/>
      <c r="BS516" s="3"/>
      <c r="BT516" s="3"/>
      <c r="BU516" s="3"/>
      <c r="BV516" s="272" t="s">
        <v>964</v>
      </c>
      <c r="BW516" s="390">
        <v>2316</v>
      </c>
      <c r="BX516" s="391">
        <v>2482</v>
      </c>
      <c r="BY516" s="390">
        <v>2980</v>
      </c>
      <c r="BZ516" s="391">
        <v>3442</v>
      </c>
      <c r="CA516" s="391">
        <v>3840</v>
      </c>
      <c r="CB516" s="392">
        <v>4236</v>
      </c>
      <c r="CC516" s="3"/>
      <c r="CD516" s="785">
        <v>2340</v>
      </c>
      <c r="CE516" s="785">
        <v>2367</v>
      </c>
      <c r="CF516" s="785">
        <v>2879</v>
      </c>
      <c r="CG516" s="785">
        <v>3990</v>
      </c>
      <c r="CH516" s="785">
        <v>4400</v>
      </c>
      <c r="CI516" s="3"/>
      <c r="CJ516" s="3"/>
      <c r="CK516" s="3"/>
      <c r="CL516" s="3"/>
      <c r="CM516" s="3"/>
      <c r="CN516" s="3"/>
      <c r="CO516" s="3"/>
      <c r="CP516" s="3"/>
      <c r="CQ516" s="3"/>
      <c r="CR516" s="3"/>
      <c r="CS516" s="3"/>
      <c r="CT516" s="3"/>
    </row>
    <row r="517" spans="2:110" ht="12.95" customHeight="1">
      <c r="B517" s="1242" t="s">
        <v>1414</v>
      </c>
      <c r="C517" s="1243"/>
      <c r="D517" s="1243"/>
      <c r="E517" s="1243"/>
      <c r="F517" s="1243"/>
      <c r="G517" s="1243"/>
      <c r="H517" s="1244"/>
      <c r="I517" s="35" t="s">
        <v>1408</v>
      </c>
      <c r="J517" s="35"/>
      <c r="K517" s="35"/>
      <c r="L517" s="35"/>
      <c r="M517" s="35"/>
      <c r="N517" s="35"/>
      <c r="O517" s="35"/>
      <c r="P517" s="35"/>
      <c r="Q517" s="35"/>
      <c r="R517" s="35"/>
      <c r="S517" s="35"/>
      <c r="T517" s="35"/>
      <c r="U517" s="35"/>
      <c r="V517" s="35"/>
      <c r="W517" s="35"/>
      <c r="X517" s="35"/>
      <c r="Y517" s="35"/>
      <c r="Z517" s="35"/>
      <c r="AA517" s="35"/>
      <c r="AB517" s="35"/>
      <c r="AC517" s="2451">
        <v>8</v>
      </c>
      <c r="AD517" s="2452"/>
      <c r="AE517" s="2452"/>
      <c r="AF517" s="2452"/>
      <c r="AG517" s="95" t="s">
        <v>1390</v>
      </c>
      <c r="AH517" s="1260">
        <v>2024</v>
      </c>
      <c r="AI517" s="1260"/>
      <c r="AJ517" s="1260"/>
      <c r="AK517" s="1261"/>
      <c r="AZ517" s="3"/>
      <c r="BB517" s="3"/>
      <c r="BC517" s="3"/>
      <c r="BD517" s="3"/>
      <c r="BE517" s="3"/>
      <c r="BF517" s="3"/>
      <c r="BG517" s="3"/>
      <c r="BH517" s="3"/>
      <c r="BI517" s="3"/>
      <c r="BJ517" s="3"/>
      <c r="BK517" s="3"/>
      <c r="BL517" s="3"/>
      <c r="BM517" s="3"/>
      <c r="BN517" s="3" t="s">
        <v>1415</v>
      </c>
      <c r="BO517" s="3"/>
      <c r="BP517" s="3"/>
      <c r="BQ517" s="3"/>
      <c r="BR517" s="3"/>
      <c r="BS517" s="3"/>
      <c r="BT517" s="3"/>
      <c r="BU517" s="3"/>
      <c r="BV517" s="272" t="s">
        <v>968</v>
      </c>
      <c r="BW517" s="390">
        <v>2570</v>
      </c>
      <c r="BX517" s="391">
        <v>2752</v>
      </c>
      <c r="BY517" s="390">
        <v>3304</v>
      </c>
      <c r="BZ517" s="391">
        <v>3816</v>
      </c>
      <c r="CA517" s="391">
        <v>4256</v>
      </c>
      <c r="CB517" s="392">
        <v>4698</v>
      </c>
      <c r="CC517" s="3"/>
      <c r="CD517" s="785">
        <v>1819</v>
      </c>
      <c r="CE517" s="785">
        <v>2043</v>
      </c>
      <c r="CF517" s="785">
        <v>2684</v>
      </c>
      <c r="CG517" s="785">
        <v>3634</v>
      </c>
      <c r="CH517" s="785">
        <v>3915</v>
      </c>
      <c r="CI517" s="3"/>
      <c r="CJ517" s="3"/>
      <c r="CK517" s="3"/>
      <c r="CL517" s="3"/>
      <c r="CM517" s="3"/>
      <c r="CN517" s="3"/>
      <c r="CO517" s="3"/>
      <c r="CP517" s="3"/>
      <c r="CQ517" s="3"/>
      <c r="CR517" s="3"/>
      <c r="CS517" s="3"/>
      <c r="CT517" s="3"/>
    </row>
    <row r="518" spans="2:110" ht="12.95" customHeight="1">
      <c r="B518" s="1245"/>
      <c r="C518" s="1246"/>
      <c r="D518" s="1246"/>
      <c r="E518" s="1246"/>
      <c r="F518" s="1246"/>
      <c r="G518" s="1246"/>
      <c r="H518" s="1247"/>
      <c r="I518" t="s">
        <v>1410</v>
      </c>
      <c r="AC518" s="2450">
        <v>8</v>
      </c>
      <c r="AD518" s="2415"/>
      <c r="AE518" s="2415"/>
      <c r="AF518" s="2415"/>
      <c r="AG518" s="13" t="s">
        <v>1390</v>
      </c>
      <c r="AH518" s="1260">
        <v>2024</v>
      </c>
      <c r="AI518" s="1260"/>
      <c r="AJ518" s="1260"/>
      <c r="AK518" s="1261"/>
      <c r="BB518" s="3"/>
      <c r="BC518" s="3"/>
      <c r="BD518" s="3"/>
      <c r="BE518" s="3"/>
      <c r="BF518" s="3"/>
      <c r="BG518" s="3"/>
      <c r="BH518" s="3"/>
      <c r="BI518" s="3"/>
      <c r="BJ518" s="3"/>
      <c r="BK518" s="3"/>
      <c r="BL518" s="3"/>
      <c r="BM518" s="3"/>
      <c r="BN518" s="3" t="s">
        <v>1416</v>
      </c>
      <c r="BO518" s="3"/>
      <c r="BP518" s="3"/>
      <c r="BQ518" s="3"/>
      <c r="BR518" s="3"/>
      <c r="BS518" s="3"/>
      <c r="BT518" s="3"/>
      <c r="BU518" s="3"/>
      <c r="BV518" s="272" t="s">
        <v>973</v>
      </c>
      <c r="BW518" s="390">
        <v>1824</v>
      </c>
      <c r="BX518" s="391">
        <v>1954</v>
      </c>
      <c r="BY518" s="390">
        <v>2344</v>
      </c>
      <c r="BZ518" s="391">
        <v>2710</v>
      </c>
      <c r="CA518" s="391">
        <v>3022</v>
      </c>
      <c r="CB518" s="392">
        <v>3336</v>
      </c>
      <c r="CC518" s="3"/>
      <c r="CD518" s="785">
        <v>1209</v>
      </c>
      <c r="CE518" s="785">
        <v>1217</v>
      </c>
      <c r="CF518" s="785">
        <v>1596</v>
      </c>
      <c r="CG518" s="785">
        <v>2249</v>
      </c>
      <c r="CH518" s="785">
        <v>2708</v>
      </c>
      <c r="CI518" s="3"/>
      <c r="CJ518" s="3"/>
      <c r="CK518" s="3"/>
      <c r="CL518" s="3"/>
      <c r="CM518" s="3"/>
      <c r="CN518" s="3"/>
      <c r="CO518" s="3"/>
      <c r="CP518" s="3"/>
      <c r="CQ518" s="3"/>
      <c r="CR518" s="3"/>
      <c r="CS518" s="3"/>
      <c r="CT518" s="3"/>
    </row>
    <row r="519" spans="2:110" ht="12.95" customHeight="1">
      <c r="B519" s="1248"/>
      <c r="C519" s="1249"/>
      <c r="D519" s="1249"/>
      <c r="E519" s="1249"/>
      <c r="F519" s="1249"/>
      <c r="G519" s="1249"/>
      <c r="H519" s="1250"/>
      <c r="I519" s="41" t="s">
        <v>1412</v>
      </c>
      <c r="J519" s="41"/>
      <c r="K519" s="41"/>
      <c r="L519" s="41"/>
      <c r="M519" s="41"/>
      <c r="N519" s="41"/>
      <c r="O519" s="41"/>
      <c r="P519" s="41"/>
      <c r="Q519" s="41"/>
      <c r="R519" s="41"/>
      <c r="S519" s="41"/>
      <c r="T519" s="41"/>
      <c r="U519" s="41"/>
      <c r="V519" s="41"/>
      <c r="W519" s="41"/>
      <c r="X519" s="41"/>
      <c r="Y519" s="41"/>
      <c r="Z519" s="41"/>
      <c r="AA519" s="41"/>
      <c r="AB519" s="41"/>
      <c r="AC519" s="2450">
        <v>12</v>
      </c>
      <c r="AD519" s="2415"/>
      <c r="AE519" s="2415"/>
      <c r="AF519" s="2415"/>
      <c r="AG519" s="31" t="s">
        <v>1390</v>
      </c>
      <c r="AH519" s="1260">
        <v>2024</v>
      </c>
      <c r="AI519" s="1260"/>
      <c r="AJ519" s="1260"/>
      <c r="AK519" s="1261"/>
      <c r="BB519" s="3"/>
      <c r="BC519" s="3"/>
      <c r="BD519" s="3"/>
      <c r="BE519" s="3"/>
      <c r="BF519" s="3"/>
      <c r="BG519" s="3"/>
      <c r="BH519" s="3"/>
      <c r="BI519" s="3"/>
      <c r="BJ519" s="3"/>
      <c r="BK519" s="3"/>
      <c r="BL519" s="3"/>
      <c r="BM519" s="3"/>
      <c r="BN519" s="3" t="s">
        <v>1417</v>
      </c>
      <c r="BO519" s="3"/>
      <c r="BP519" s="3"/>
      <c r="BQ519" s="3"/>
      <c r="BR519" s="3"/>
      <c r="BS519" s="3"/>
      <c r="BT519" s="3"/>
      <c r="BU519" s="3"/>
      <c r="BV519" s="272" t="s">
        <v>976</v>
      </c>
      <c r="BW519" s="390">
        <v>2762</v>
      </c>
      <c r="BX519" s="391">
        <v>2958</v>
      </c>
      <c r="BY519" s="390">
        <v>3552</v>
      </c>
      <c r="BZ519" s="391">
        <v>4102</v>
      </c>
      <c r="CA519" s="391">
        <v>4576</v>
      </c>
      <c r="CB519" s="392">
        <v>5050</v>
      </c>
      <c r="CC519" s="3"/>
      <c r="CD519" s="785">
        <v>2200</v>
      </c>
      <c r="CE519" s="785">
        <v>2344</v>
      </c>
      <c r="CF519" s="785">
        <v>2783</v>
      </c>
      <c r="CG519" s="785">
        <v>3769</v>
      </c>
      <c r="CH519" s="785">
        <v>4467</v>
      </c>
      <c r="CI519" s="3"/>
      <c r="CJ519" s="3"/>
      <c r="CK519" s="3"/>
      <c r="CL519" s="3"/>
      <c r="CM519" s="3"/>
      <c r="CN519" s="3"/>
      <c r="CO519" s="3"/>
      <c r="CP519" s="3"/>
      <c r="CQ519" s="3"/>
      <c r="CR519" s="3"/>
      <c r="CS519" s="3"/>
      <c r="CT519" s="3"/>
    </row>
    <row r="520" spans="2:110" ht="12.95" customHeight="1">
      <c r="B520" s="1242" t="s">
        <v>1418</v>
      </c>
      <c r="C520" s="1243"/>
      <c r="D520" s="1243"/>
      <c r="E520" s="1243"/>
      <c r="F520" s="1243"/>
      <c r="G520" s="1243"/>
      <c r="H520" s="1244"/>
      <c r="I520" s="34" t="s">
        <v>1419</v>
      </c>
      <c r="J520" s="35"/>
      <c r="K520" s="35"/>
      <c r="L520" s="35"/>
      <c r="M520" s="35"/>
      <c r="N520" s="35"/>
      <c r="O520" s="1273" t="s">
        <v>1420</v>
      </c>
      <c r="P520" s="1274"/>
      <c r="Q520" s="1274"/>
      <c r="R520" s="1274"/>
      <c r="S520" s="1274"/>
      <c r="T520" s="1274"/>
      <c r="U520" s="1274"/>
      <c r="V520" s="1274"/>
      <c r="W520" s="1274"/>
      <c r="X520" s="1274"/>
      <c r="Y520" s="1274"/>
      <c r="Z520" s="1274"/>
      <c r="AA520" s="1274"/>
      <c r="AB520" s="51"/>
      <c r="AC520" s="2451" t="s">
        <v>299</v>
      </c>
      <c r="AD520" s="2452"/>
      <c r="AE520" s="2452"/>
      <c r="AF520" s="2452"/>
      <c r="AG520" s="95" t="s">
        <v>1390</v>
      </c>
      <c r="AH520" s="1260"/>
      <c r="AI520" s="1260"/>
      <c r="AJ520" s="1260"/>
      <c r="AK520" s="1261"/>
      <c r="AZ520" s="3"/>
      <c r="BB520" s="3"/>
      <c r="BC520" s="3"/>
      <c r="BD520" s="3"/>
      <c r="BE520" s="3"/>
      <c r="BF520" s="3"/>
      <c r="BG520" s="3"/>
      <c r="BH520" s="3"/>
      <c r="BI520" s="3"/>
      <c r="BJ520" s="3"/>
      <c r="BK520" s="3"/>
      <c r="BL520" s="3"/>
      <c r="BM520" s="3"/>
      <c r="BN520" s="3" t="s">
        <v>1421</v>
      </c>
      <c r="BO520" s="3"/>
      <c r="BP520" s="3"/>
      <c r="BQ520" s="3"/>
      <c r="BR520" s="3"/>
      <c r="BS520" s="3"/>
      <c r="BT520" s="3"/>
      <c r="BU520" s="3"/>
      <c r="BV520" s="272" t="s">
        <v>978</v>
      </c>
      <c r="BW520" s="390">
        <v>2064</v>
      </c>
      <c r="BX520" s="391">
        <v>2210</v>
      </c>
      <c r="BY520" s="390">
        <v>2652</v>
      </c>
      <c r="BZ520" s="391">
        <v>3064</v>
      </c>
      <c r="CA520" s="391">
        <v>3420</v>
      </c>
      <c r="CB520" s="392">
        <v>3772</v>
      </c>
      <c r="CC520" s="3"/>
      <c r="CD520" s="785">
        <v>1543</v>
      </c>
      <c r="CE520" s="785">
        <v>1666</v>
      </c>
      <c r="CF520" s="785">
        <v>2072</v>
      </c>
      <c r="CG520" s="785">
        <v>2884</v>
      </c>
      <c r="CH520" s="785">
        <v>3321</v>
      </c>
      <c r="CI520" s="3"/>
      <c r="CJ520" s="3"/>
      <c r="CK520" s="3"/>
      <c r="CL520" s="3"/>
      <c r="CM520" s="3"/>
      <c r="CN520" s="3"/>
      <c r="CO520" s="3"/>
      <c r="CP520" s="3"/>
      <c r="CQ520" s="3"/>
      <c r="CR520" s="3"/>
      <c r="CS520" s="3"/>
      <c r="CT520" s="3"/>
    </row>
    <row r="521" spans="2:110" ht="12.95" customHeight="1">
      <c r="B521" s="1245"/>
      <c r="C521" s="1246"/>
      <c r="D521" s="1246"/>
      <c r="E521" s="1246"/>
      <c r="F521" s="1246"/>
      <c r="G521" s="1246"/>
      <c r="H521" s="1247"/>
      <c r="I521" s="83" t="s">
        <v>43</v>
      </c>
      <c r="AB521" s="57"/>
      <c r="AC521" s="2450">
        <v>8</v>
      </c>
      <c r="AD521" s="2415"/>
      <c r="AE521" s="2415"/>
      <c r="AF521" s="2415"/>
      <c r="AG521" s="13" t="s">
        <v>1390</v>
      </c>
      <c r="AH521" s="1260">
        <v>2024</v>
      </c>
      <c r="AI521" s="1260"/>
      <c r="AJ521" s="1260"/>
      <c r="AK521" s="1261"/>
      <c r="AZ521" s="3"/>
      <c r="BB521" s="3"/>
      <c r="BC521" s="3"/>
      <c r="BD521" s="3"/>
      <c r="BE521" s="3"/>
      <c r="BF521" s="3"/>
      <c r="BG521" s="3"/>
      <c r="BH521" s="3"/>
      <c r="BI521" s="3"/>
      <c r="BJ521" s="3"/>
      <c r="BK521" s="3"/>
      <c r="BL521" s="3"/>
      <c r="BM521" s="3"/>
      <c r="BN521" s="3" t="s">
        <v>1422</v>
      </c>
      <c r="BO521" s="3"/>
      <c r="BP521" s="3"/>
      <c r="BQ521" s="3"/>
      <c r="BR521" s="3"/>
      <c r="BS521" s="3"/>
      <c r="BT521" s="3"/>
      <c r="BU521" s="3"/>
      <c r="BV521" s="272" t="s">
        <v>980</v>
      </c>
      <c r="BW521" s="390">
        <v>1612</v>
      </c>
      <c r="BX521" s="391">
        <v>1726</v>
      </c>
      <c r="BY521" s="390">
        <v>2072</v>
      </c>
      <c r="BZ521" s="391">
        <v>2394</v>
      </c>
      <c r="CA521" s="391">
        <v>2672</v>
      </c>
      <c r="CB521" s="392">
        <v>2948</v>
      </c>
      <c r="CC521" s="3"/>
      <c r="CD521" s="785">
        <v>803</v>
      </c>
      <c r="CE521" s="785">
        <v>887</v>
      </c>
      <c r="CF521" s="785">
        <v>1165</v>
      </c>
      <c r="CG521" s="785">
        <v>1642</v>
      </c>
      <c r="CH521" s="785">
        <v>1867</v>
      </c>
      <c r="CI521" s="3"/>
      <c r="CJ521" s="3"/>
      <c r="CK521" s="3"/>
      <c r="CL521" s="3"/>
      <c r="CM521" s="3"/>
      <c r="CN521" s="3"/>
      <c r="CO521" s="3"/>
      <c r="CP521" s="3"/>
      <c r="CQ521" s="3"/>
      <c r="CR521" s="3"/>
      <c r="CS521" s="3"/>
      <c r="CT521" s="3"/>
    </row>
    <row r="522" spans="2:110" ht="12.95" customHeight="1">
      <c r="B522" s="1245"/>
      <c r="C522" s="1246"/>
      <c r="D522" s="1246"/>
      <c r="E522" s="1246"/>
      <c r="F522" s="1246"/>
      <c r="G522" s="1246"/>
      <c r="H522" s="1247"/>
      <c r="I522" s="40" t="s">
        <v>1423</v>
      </c>
      <c r="J522" s="41"/>
      <c r="K522" s="41"/>
      <c r="L522" s="41"/>
      <c r="M522" s="41"/>
      <c r="N522" s="41"/>
      <c r="O522" s="41"/>
      <c r="P522" s="41"/>
      <c r="Q522" s="41"/>
      <c r="R522" s="41"/>
      <c r="S522" s="41"/>
      <c r="T522" s="41"/>
      <c r="U522" s="41"/>
      <c r="V522" s="41"/>
      <c r="W522" s="41"/>
      <c r="X522" s="41"/>
      <c r="Y522" s="41"/>
      <c r="Z522" s="41"/>
      <c r="AA522" s="41"/>
      <c r="AB522" s="42"/>
      <c r="AC522" s="2450">
        <v>12</v>
      </c>
      <c r="AD522" s="2415"/>
      <c r="AE522" s="2415"/>
      <c r="AF522" s="2415"/>
      <c r="AG522" s="31" t="s">
        <v>1390</v>
      </c>
      <c r="AH522" s="1260">
        <v>2024</v>
      </c>
      <c r="AI522" s="1260"/>
      <c r="AJ522" s="1260"/>
      <c r="AK522" s="1261"/>
      <c r="AZ522" s="3"/>
      <c r="BA522" s="3"/>
      <c r="BB522" s="3"/>
      <c r="BC522" s="3"/>
      <c r="BD522" s="3"/>
      <c r="BE522" s="3"/>
      <c r="BF522" s="3"/>
      <c r="BG522" s="3"/>
      <c r="BH522" s="3"/>
      <c r="BI522" s="3"/>
      <c r="BJ522" s="3"/>
      <c r="BK522" s="3"/>
      <c r="BL522" s="3"/>
      <c r="BM522" s="3"/>
      <c r="BN522" s="3" t="s">
        <v>1424</v>
      </c>
      <c r="BO522" s="3"/>
      <c r="BP522" s="3"/>
      <c r="BQ522" s="3"/>
      <c r="BR522" s="3"/>
      <c r="BS522" s="3"/>
      <c r="BT522" s="3"/>
      <c r="BU522" s="3"/>
      <c r="BV522" s="272" t="s">
        <v>984</v>
      </c>
      <c r="BW522" s="390">
        <v>1794</v>
      </c>
      <c r="BX522" s="391">
        <v>1922</v>
      </c>
      <c r="BY522" s="390">
        <v>2304</v>
      </c>
      <c r="BZ522" s="391">
        <v>2664</v>
      </c>
      <c r="CA522" s="391">
        <v>2972</v>
      </c>
      <c r="CB522" s="392">
        <v>3280</v>
      </c>
      <c r="CC522" s="3"/>
      <c r="CD522" s="785">
        <v>1517</v>
      </c>
      <c r="CE522" s="785">
        <v>1611</v>
      </c>
      <c r="CF522" s="785">
        <v>2010</v>
      </c>
      <c r="CG522" s="785">
        <v>2707</v>
      </c>
      <c r="CH522" s="785">
        <v>3304</v>
      </c>
      <c r="CI522" s="3"/>
      <c r="CJ522" s="3"/>
      <c r="CK522" s="3"/>
      <c r="CL522" s="3"/>
      <c r="CM522" s="3"/>
      <c r="CN522" s="3"/>
      <c r="CO522" s="3"/>
      <c r="CP522" s="3"/>
      <c r="CQ522" s="3"/>
      <c r="CR522" s="3"/>
      <c r="CS522" s="3"/>
      <c r="CT522" s="3"/>
    </row>
    <row r="523" spans="2:110" ht="12.95" customHeight="1">
      <c r="B523" s="1245"/>
      <c r="C523" s="1246"/>
      <c r="D523" s="1246"/>
      <c r="E523" s="1246"/>
      <c r="F523" s="1246"/>
      <c r="G523" s="1246"/>
      <c r="H523" s="1247"/>
      <c r="I523" s="35" t="s">
        <v>1425</v>
      </c>
      <c r="J523" s="35"/>
      <c r="K523" s="35"/>
      <c r="L523" s="35"/>
      <c r="M523" s="35"/>
      <c r="N523" s="35"/>
      <c r="O523" s="1273" t="s">
        <v>1426</v>
      </c>
      <c r="P523" s="1274"/>
      <c r="Q523" s="1274"/>
      <c r="R523" s="1274"/>
      <c r="S523" s="1274"/>
      <c r="T523" s="1274"/>
      <c r="U523" s="1274"/>
      <c r="V523" s="1274"/>
      <c r="W523" s="1274"/>
      <c r="X523" s="1274"/>
      <c r="Y523" s="1274"/>
      <c r="Z523" s="1274"/>
      <c r="AA523" s="1274"/>
      <c r="AC523" s="2450" t="s">
        <v>299</v>
      </c>
      <c r="AD523" s="2415"/>
      <c r="AE523" s="2415"/>
      <c r="AF523" s="2415"/>
      <c r="AG523" s="13" t="s">
        <v>1390</v>
      </c>
      <c r="AH523" s="1260"/>
      <c r="AI523" s="1260"/>
      <c r="AJ523" s="1260"/>
      <c r="AK523" s="1261"/>
      <c r="AZ523" s="3"/>
      <c r="BA523" s="3"/>
      <c r="BB523" s="3"/>
      <c r="BC523" s="3"/>
      <c r="BD523" s="3"/>
      <c r="BE523" s="3"/>
      <c r="BF523" s="3"/>
      <c r="BG523" s="3"/>
      <c r="BH523" s="3"/>
      <c r="BI523" s="3"/>
      <c r="BJ523" s="3"/>
      <c r="BK523" s="3"/>
      <c r="BL523" s="3"/>
      <c r="BM523" s="3"/>
      <c r="BN523" s="3" t="s">
        <v>1427</v>
      </c>
      <c r="BO523" s="3"/>
      <c r="BP523" s="3"/>
      <c r="BQ523" s="3"/>
      <c r="BR523" s="3"/>
      <c r="BS523" s="3"/>
      <c r="BT523" s="3"/>
      <c r="BU523" s="3"/>
      <c r="BV523" s="272" t="s">
        <v>989</v>
      </c>
      <c r="BW523" s="390">
        <v>2064</v>
      </c>
      <c r="BX523" s="391">
        <v>2210</v>
      </c>
      <c r="BY523" s="390">
        <v>2652</v>
      </c>
      <c r="BZ523" s="391">
        <v>3064</v>
      </c>
      <c r="CA523" s="391">
        <v>3420</v>
      </c>
      <c r="CB523" s="392">
        <v>3772</v>
      </c>
      <c r="CC523" s="3"/>
      <c r="CD523" s="785">
        <v>1543</v>
      </c>
      <c r="CE523" s="785">
        <v>1666</v>
      </c>
      <c r="CF523" s="785">
        <v>2072</v>
      </c>
      <c r="CG523" s="785">
        <v>2884</v>
      </c>
      <c r="CH523" s="785">
        <v>3321</v>
      </c>
      <c r="CI523" s="3"/>
      <c r="CJ523" s="3"/>
      <c r="CK523" s="3"/>
      <c r="CL523" s="3"/>
      <c r="CM523" s="3"/>
      <c r="CN523" s="3"/>
      <c r="CO523" s="3"/>
      <c r="CP523" s="3"/>
      <c r="CQ523" s="3"/>
      <c r="CR523" s="3"/>
      <c r="CS523" s="3"/>
      <c r="CT523" s="3"/>
    </row>
    <row r="524" spans="2:110" ht="12.95" customHeight="1">
      <c r="B524" s="1245"/>
      <c r="C524" s="1246"/>
      <c r="D524" s="1246"/>
      <c r="E524" s="1246"/>
      <c r="F524" s="1246"/>
      <c r="G524" s="1246"/>
      <c r="H524" s="1247"/>
      <c r="I524" t="s">
        <v>43</v>
      </c>
      <c r="AC524" s="2450">
        <v>9</v>
      </c>
      <c r="AD524" s="2415"/>
      <c r="AE524" s="2415"/>
      <c r="AF524" s="2415"/>
      <c r="AG524" s="13" t="s">
        <v>1390</v>
      </c>
      <c r="AH524" s="1260">
        <v>2023</v>
      </c>
      <c r="AI524" s="1260"/>
      <c r="AJ524" s="1260"/>
      <c r="AK524" s="1261"/>
      <c r="AZ524" s="3"/>
      <c r="BA524" s="3"/>
      <c r="BB524" s="3"/>
      <c r="BC524" s="3"/>
      <c r="BD524" s="3"/>
      <c r="BE524" s="3"/>
      <c r="BF524" s="3"/>
      <c r="BG524" s="3"/>
      <c r="BH524" s="3"/>
      <c r="BI524" s="3"/>
      <c r="BJ524" s="3"/>
      <c r="BK524" s="3"/>
      <c r="BL524" s="3"/>
      <c r="BM524" s="3"/>
      <c r="BN524" s="3" t="s">
        <v>1428</v>
      </c>
      <c r="BO524" s="3"/>
      <c r="BP524" s="3"/>
      <c r="BQ524" s="3"/>
      <c r="BR524" s="3"/>
      <c r="BS524" s="3"/>
      <c r="BT524" s="3"/>
      <c r="BU524" s="3"/>
      <c r="BV524" s="272" t="s">
        <v>994</v>
      </c>
      <c r="BW524" s="390">
        <v>2142</v>
      </c>
      <c r="BX524" s="391">
        <v>2296</v>
      </c>
      <c r="BY524" s="390">
        <v>2754</v>
      </c>
      <c r="BZ524" s="391">
        <v>3182</v>
      </c>
      <c r="CA524" s="391">
        <v>3550</v>
      </c>
      <c r="CB524" s="392">
        <v>3916</v>
      </c>
      <c r="CC524" s="3"/>
      <c r="CD524" s="785">
        <v>1707</v>
      </c>
      <c r="CE524" s="785">
        <v>1917</v>
      </c>
      <c r="CF524" s="785">
        <v>2519</v>
      </c>
      <c r="CG524" s="785">
        <v>3550</v>
      </c>
      <c r="CH524" s="785">
        <v>4121</v>
      </c>
      <c r="CI524" s="3"/>
      <c r="CJ524" s="3"/>
      <c r="CK524" s="3"/>
      <c r="CL524" s="3"/>
      <c r="CM524" s="3"/>
      <c r="CN524" s="3"/>
      <c r="CO524" s="3"/>
      <c r="CP524" s="3"/>
      <c r="CQ524" s="3"/>
      <c r="CR524" s="3"/>
      <c r="CS524" s="3"/>
      <c r="CT524" s="3"/>
    </row>
    <row r="525" spans="2:110" ht="12.95" customHeight="1">
      <c r="B525" s="1245"/>
      <c r="C525" s="1246"/>
      <c r="D525" s="1246"/>
      <c r="E525" s="1246"/>
      <c r="F525" s="1246"/>
      <c r="G525" s="1246"/>
      <c r="H525" s="1247"/>
      <c r="I525" s="41" t="s">
        <v>1423</v>
      </c>
      <c r="J525" s="41"/>
      <c r="K525" s="41"/>
      <c r="L525" s="41"/>
      <c r="M525" s="41"/>
      <c r="N525" s="41"/>
      <c r="O525" s="41"/>
      <c r="P525" s="41"/>
      <c r="Q525" s="41"/>
      <c r="R525" s="41"/>
      <c r="S525" s="41"/>
      <c r="T525" s="41"/>
      <c r="U525" s="41"/>
      <c r="V525" s="41"/>
      <c r="W525" s="41"/>
      <c r="X525" s="41"/>
      <c r="Y525" s="41"/>
      <c r="Z525" s="41"/>
      <c r="AA525" s="41"/>
      <c r="AB525" s="41"/>
      <c r="AC525" s="2450">
        <v>1</v>
      </c>
      <c r="AD525" s="2415"/>
      <c r="AE525" s="2415"/>
      <c r="AF525" s="2415"/>
      <c r="AG525" s="31" t="s">
        <v>1390</v>
      </c>
      <c r="AH525" s="1260">
        <v>2023</v>
      </c>
      <c r="AI525" s="1260"/>
      <c r="AJ525" s="1260"/>
      <c r="AK525" s="1261"/>
      <c r="AZ525" s="3"/>
      <c r="BA525" s="3"/>
      <c r="BB525" s="3"/>
      <c r="BC525" s="3"/>
      <c r="BD525" s="3"/>
      <c r="BE525" s="3"/>
      <c r="BF525" s="3"/>
      <c r="BG525" s="3"/>
      <c r="BH525" s="3"/>
      <c r="BI525" s="3"/>
      <c r="BJ525" s="3"/>
      <c r="BK525" s="3"/>
      <c r="BL525" s="3"/>
      <c r="BM525" s="3"/>
      <c r="BN525" s="3" t="s">
        <v>1429</v>
      </c>
      <c r="BO525" s="3"/>
      <c r="BP525" s="3"/>
      <c r="BQ525" s="3"/>
      <c r="BR525" s="3"/>
      <c r="BS525" s="3"/>
      <c r="BT525" s="3"/>
      <c r="BU525" s="3"/>
      <c r="BV525" s="272" t="s">
        <v>998</v>
      </c>
      <c r="BW525" s="390">
        <v>1794</v>
      </c>
      <c r="BX525" s="391">
        <v>1922</v>
      </c>
      <c r="BY525" s="390">
        <v>2304</v>
      </c>
      <c r="BZ525" s="391">
        <v>2664</v>
      </c>
      <c r="CA525" s="391">
        <v>2972</v>
      </c>
      <c r="CB525" s="392">
        <v>3280</v>
      </c>
      <c r="CC525" s="3"/>
      <c r="CD525" s="785">
        <v>1517</v>
      </c>
      <c r="CE525" s="785">
        <v>1611</v>
      </c>
      <c r="CF525" s="785">
        <v>2010</v>
      </c>
      <c r="CG525" s="785">
        <v>2707</v>
      </c>
      <c r="CH525" s="785">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245"/>
      <c r="C526" s="1246"/>
      <c r="D526" s="1246"/>
      <c r="E526" s="1246"/>
      <c r="F526" s="1246"/>
      <c r="G526" s="1246"/>
      <c r="H526" s="1247"/>
      <c r="I526" s="35" t="s">
        <v>1425</v>
      </c>
      <c r="J526" s="35"/>
      <c r="K526" s="35"/>
      <c r="L526" s="35"/>
      <c r="M526" s="35"/>
      <c r="N526" s="35"/>
      <c r="O526" s="1273" t="s">
        <v>1430</v>
      </c>
      <c r="P526" s="1274"/>
      <c r="Q526" s="1274"/>
      <c r="R526" s="1274"/>
      <c r="S526" s="1274"/>
      <c r="T526" s="1274"/>
      <c r="U526" s="1274"/>
      <c r="V526" s="1274"/>
      <c r="W526" s="1274"/>
      <c r="X526" s="1274"/>
      <c r="Y526" s="1274"/>
      <c r="Z526" s="1274"/>
      <c r="AA526" s="1274"/>
      <c r="AC526" s="2450" t="s">
        <v>299</v>
      </c>
      <c r="AD526" s="2415"/>
      <c r="AE526" s="2415"/>
      <c r="AF526" s="2415"/>
      <c r="AG526" s="13" t="s">
        <v>1390</v>
      </c>
      <c r="AH526" s="1260"/>
      <c r="AI526" s="1260"/>
      <c r="AJ526" s="1260"/>
      <c r="AK526" s="1261"/>
      <c r="AZ526" s="3"/>
      <c r="BA526" s="3"/>
      <c r="BB526" s="3"/>
      <c r="BC526" s="3"/>
      <c r="BD526" s="3"/>
      <c r="BE526" s="3"/>
      <c r="BF526" s="3"/>
      <c r="BG526" s="3"/>
      <c r="BH526" s="3"/>
      <c r="BI526" s="3"/>
      <c r="BJ526" s="3"/>
      <c r="BK526" s="3"/>
      <c r="BL526" s="3"/>
      <c r="BM526" s="3"/>
      <c r="BN526" s="3" t="s">
        <v>1431</v>
      </c>
      <c r="BO526" s="3"/>
      <c r="BP526" s="3"/>
      <c r="BQ526" s="3"/>
      <c r="BR526" s="3"/>
      <c r="BS526" s="3"/>
      <c r="BT526" s="3"/>
      <c r="BU526" s="3"/>
      <c r="BV526" s="272" t="s">
        <v>877</v>
      </c>
      <c r="BW526" s="390">
        <v>2652</v>
      </c>
      <c r="BX526" s="391">
        <v>2840</v>
      </c>
      <c r="BY526" s="390">
        <v>3410</v>
      </c>
      <c r="BZ526" s="391">
        <v>3940</v>
      </c>
      <c r="CA526" s="391">
        <v>4394</v>
      </c>
      <c r="CB526" s="392">
        <v>4848</v>
      </c>
      <c r="CC526" s="3"/>
      <c r="CD526" s="785">
        <v>2062</v>
      </c>
      <c r="CE526" s="785">
        <v>2248</v>
      </c>
      <c r="CF526" s="785">
        <v>2833</v>
      </c>
      <c r="CG526" s="785">
        <v>3819</v>
      </c>
      <c r="CH526" s="785">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245"/>
      <c r="C527" s="1246"/>
      <c r="D527" s="1246"/>
      <c r="E527" s="1246"/>
      <c r="F527" s="1246"/>
      <c r="G527" s="1246"/>
      <c r="H527" s="1247"/>
      <c r="I527" t="s">
        <v>43</v>
      </c>
      <c r="AC527" s="2450">
        <v>6</v>
      </c>
      <c r="AD527" s="2415"/>
      <c r="AE527" s="2415"/>
      <c r="AF527" s="2415"/>
      <c r="AG527" s="13" t="s">
        <v>1390</v>
      </c>
      <c r="AH527" s="1260">
        <v>2023</v>
      </c>
      <c r="AI527" s="1260"/>
      <c r="AJ527" s="1260"/>
      <c r="AK527" s="1261"/>
      <c r="AZ527" s="3"/>
      <c r="BA527" s="3"/>
      <c r="BB527" s="3"/>
      <c r="BC527" s="3"/>
      <c r="BD527" s="3"/>
      <c r="BE527" s="3"/>
      <c r="BF527" s="3"/>
      <c r="BG527" s="3"/>
      <c r="BH527" s="3"/>
      <c r="BI527" s="3"/>
      <c r="BJ527" s="3"/>
      <c r="BK527" s="3"/>
      <c r="BL527" s="3"/>
      <c r="BM527" s="3"/>
      <c r="BN527" s="3" t="s">
        <v>1432</v>
      </c>
      <c r="BO527" s="3"/>
      <c r="BP527" s="3"/>
      <c r="BQ527" s="3"/>
      <c r="BR527" s="3"/>
      <c r="BS527" s="3"/>
      <c r="BT527" s="3"/>
      <c r="BU527" s="3"/>
      <c r="BV527" s="272" t="s">
        <v>1005</v>
      </c>
      <c r="BW527" s="390">
        <v>3426</v>
      </c>
      <c r="BX527" s="391">
        <v>3672</v>
      </c>
      <c r="BY527" s="390">
        <v>4406</v>
      </c>
      <c r="BZ527" s="391">
        <v>5090</v>
      </c>
      <c r="CA527" s="391">
        <v>5680</v>
      </c>
      <c r="CB527" s="392">
        <v>6266</v>
      </c>
      <c r="CC527" s="3"/>
      <c r="CD527" s="785">
        <v>2292</v>
      </c>
      <c r="CE527" s="785">
        <v>2818</v>
      </c>
      <c r="CF527" s="785">
        <v>3359</v>
      </c>
      <c r="CG527" s="785">
        <v>4112</v>
      </c>
      <c r="CH527" s="785">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245"/>
      <c r="C528" s="1246"/>
      <c r="D528" s="1246"/>
      <c r="E528" s="1246"/>
      <c r="F528" s="1246"/>
      <c r="G528" s="1246"/>
      <c r="H528" s="1247"/>
      <c r="I528" s="41" t="s">
        <v>1423</v>
      </c>
      <c r="J528" s="41"/>
      <c r="K528" s="41"/>
      <c r="L528" s="41"/>
      <c r="M528" s="41"/>
      <c r="N528" s="41"/>
      <c r="O528" s="41"/>
      <c r="P528" s="41"/>
      <c r="Q528" s="41"/>
      <c r="R528" s="41"/>
      <c r="S528" s="41"/>
      <c r="T528" s="41"/>
      <c r="U528" s="41"/>
      <c r="V528" s="41"/>
      <c r="W528" s="41"/>
      <c r="X528" s="41"/>
      <c r="Y528" s="41"/>
      <c r="Z528" s="41"/>
      <c r="AA528" s="41"/>
      <c r="AB528" s="41"/>
      <c r="AC528" s="2450">
        <v>3</v>
      </c>
      <c r="AD528" s="2415"/>
      <c r="AE528" s="2415"/>
      <c r="AF528" s="2415"/>
      <c r="AG528" s="31" t="s">
        <v>1390</v>
      </c>
      <c r="AH528" s="1260">
        <v>2024</v>
      </c>
      <c r="AI528" s="1260"/>
      <c r="AJ528" s="1260"/>
      <c r="AK528" s="1261"/>
      <c r="AZ528" s="3"/>
      <c r="BA528" s="3"/>
      <c r="BB528" s="3"/>
      <c r="BC528" s="3"/>
      <c r="BD528" s="3"/>
      <c r="BE528" s="3"/>
      <c r="BF528" s="3"/>
      <c r="BG528" s="3"/>
      <c r="BH528" s="3"/>
      <c r="BI528" s="3"/>
      <c r="BJ528" s="3"/>
      <c r="BK528" s="3"/>
      <c r="BL528" s="3"/>
      <c r="BM528" s="3"/>
      <c r="BN528" s="3" t="s">
        <v>1433</v>
      </c>
      <c r="BO528" s="3"/>
      <c r="BP528" s="3"/>
      <c r="BQ528" s="3"/>
      <c r="BR528" s="3"/>
      <c r="BS528" s="3"/>
      <c r="BT528" s="3"/>
      <c r="BU528" s="3"/>
      <c r="BV528" s="272" t="s">
        <v>1010</v>
      </c>
      <c r="BW528" s="390">
        <v>1686</v>
      </c>
      <c r="BX528" s="391">
        <v>1808</v>
      </c>
      <c r="BY528" s="390">
        <v>2170</v>
      </c>
      <c r="BZ528" s="391">
        <v>2506</v>
      </c>
      <c r="CA528" s="391">
        <v>2796</v>
      </c>
      <c r="CB528" s="392">
        <v>3086</v>
      </c>
      <c r="CC528" s="3"/>
      <c r="CD528" s="785">
        <v>1122</v>
      </c>
      <c r="CE528" s="785">
        <v>1245</v>
      </c>
      <c r="CF528" s="785">
        <v>1607</v>
      </c>
      <c r="CG528" s="785">
        <v>2265</v>
      </c>
      <c r="CH528" s="78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245"/>
      <c r="C529" s="1246"/>
      <c r="D529" s="1246"/>
      <c r="E529" s="1246"/>
      <c r="F529" s="1246"/>
      <c r="G529" s="1246"/>
      <c r="H529" s="1247"/>
      <c r="I529" s="35" t="s">
        <v>1425</v>
      </c>
      <c r="J529" s="35"/>
      <c r="K529" s="35"/>
      <c r="L529" s="35"/>
      <c r="M529" s="35"/>
      <c r="N529" s="35"/>
      <c r="O529" s="1273" t="s">
        <v>1434</v>
      </c>
      <c r="P529" s="1274"/>
      <c r="Q529" s="1274"/>
      <c r="R529" s="1274"/>
      <c r="S529" s="1274"/>
      <c r="T529" s="1274"/>
      <c r="U529" s="1274"/>
      <c r="V529" s="1274"/>
      <c r="W529" s="1274"/>
      <c r="X529" s="1274"/>
      <c r="Y529" s="1274"/>
      <c r="Z529" s="1274"/>
      <c r="AA529" s="1274"/>
      <c r="AC529" s="2450" t="s">
        <v>299</v>
      </c>
      <c r="AD529" s="2415"/>
      <c r="AE529" s="2415"/>
      <c r="AF529" s="2415"/>
      <c r="AG529" s="13" t="s">
        <v>1390</v>
      </c>
      <c r="AH529" s="1260"/>
      <c r="AI529" s="1260"/>
      <c r="AJ529" s="1260"/>
      <c r="AK529" s="1261"/>
      <c r="AZ529" s="3"/>
      <c r="BA529" s="3"/>
      <c r="BB529" s="3"/>
      <c r="BC529" s="3"/>
      <c r="BD529" s="3"/>
      <c r="BE529" s="3"/>
      <c r="BF529" s="3"/>
      <c r="BG529" s="3"/>
      <c r="BH529" s="3"/>
      <c r="BI529" s="3"/>
      <c r="BJ529" s="3"/>
      <c r="BK529" s="3"/>
      <c r="BL529" s="3"/>
      <c r="BM529" s="3"/>
      <c r="BN529" s="3" t="s">
        <v>1435</v>
      </c>
      <c r="BO529" s="3"/>
      <c r="BP529" s="3"/>
      <c r="BQ529" s="3"/>
      <c r="BR529" s="3"/>
      <c r="BS529" s="3"/>
      <c r="BT529" s="3"/>
      <c r="BU529" s="3"/>
      <c r="BV529" s="272" t="s">
        <v>1014</v>
      </c>
      <c r="BW529" s="390">
        <v>2230</v>
      </c>
      <c r="BX529" s="391">
        <v>2388</v>
      </c>
      <c r="BY529" s="390">
        <v>2864</v>
      </c>
      <c r="BZ529" s="391">
        <v>3310</v>
      </c>
      <c r="CA529" s="391">
        <v>3692</v>
      </c>
      <c r="CB529" s="392">
        <v>4074</v>
      </c>
      <c r="CC529" s="3"/>
      <c r="CD529" s="785">
        <v>1541</v>
      </c>
      <c r="CE529" s="785">
        <v>1731</v>
      </c>
      <c r="CF529" s="785">
        <v>2274</v>
      </c>
      <c r="CG529" s="785">
        <v>3045</v>
      </c>
      <c r="CH529" s="78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245"/>
      <c r="C530" s="1246"/>
      <c r="D530" s="1246"/>
      <c r="E530" s="1246"/>
      <c r="F530" s="1246"/>
      <c r="G530" s="1246"/>
      <c r="H530" s="1247"/>
      <c r="I530" t="s">
        <v>43</v>
      </c>
      <c r="AC530" s="2450">
        <v>10</v>
      </c>
      <c r="AD530" s="2415"/>
      <c r="AE530" s="2415"/>
      <c r="AF530" s="2415"/>
      <c r="AG530" s="13" t="s">
        <v>1390</v>
      </c>
      <c r="AH530" s="1260">
        <v>2023</v>
      </c>
      <c r="AI530" s="1260"/>
      <c r="AJ530" s="1260"/>
      <c r="AK530" s="1261"/>
      <c r="AZ530" s="3"/>
      <c r="BA530" s="3"/>
      <c r="BB530" s="3"/>
      <c r="BC530" s="3"/>
      <c r="BD530" s="3"/>
      <c r="BE530" s="3"/>
      <c r="BF530" s="3"/>
      <c r="BG530" s="3"/>
      <c r="BH530" s="3"/>
      <c r="BI530" s="3"/>
      <c r="BJ530" s="3"/>
      <c r="BK530" s="3"/>
      <c r="BL530" s="3"/>
      <c r="BM530" s="3"/>
      <c r="BN530" s="3" t="s">
        <v>1436</v>
      </c>
      <c r="BO530" s="3"/>
      <c r="BP530" s="3"/>
      <c r="BQ530" s="3"/>
      <c r="BR530" s="3"/>
      <c r="BS530" s="3"/>
      <c r="BT530" s="3"/>
      <c r="BU530" s="3"/>
      <c r="BV530" s="272" t="s">
        <v>1018</v>
      </c>
      <c r="BW530" s="390">
        <v>3426</v>
      </c>
      <c r="BX530" s="391">
        <v>3672</v>
      </c>
      <c r="BY530" s="390">
        <v>4406</v>
      </c>
      <c r="BZ530" s="391">
        <v>5090</v>
      </c>
      <c r="CA530" s="391">
        <v>5680</v>
      </c>
      <c r="CB530" s="392">
        <v>6266</v>
      </c>
      <c r="CC530" s="3"/>
      <c r="CD530" s="785">
        <v>2292</v>
      </c>
      <c r="CE530" s="785">
        <v>2818</v>
      </c>
      <c r="CF530" s="785">
        <v>3359</v>
      </c>
      <c r="CG530" s="785">
        <v>4112</v>
      </c>
      <c r="CH530" s="78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245"/>
      <c r="C531" s="1246"/>
      <c r="D531" s="1246"/>
      <c r="E531" s="1246"/>
      <c r="F531" s="1246"/>
      <c r="G531" s="1246"/>
      <c r="H531" s="1247"/>
      <c r="I531" s="41" t="s">
        <v>1423</v>
      </c>
      <c r="J531" s="41"/>
      <c r="K531" s="41"/>
      <c r="L531" s="41"/>
      <c r="M531" s="41"/>
      <c r="N531" s="41"/>
      <c r="O531" s="41"/>
      <c r="P531" s="41"/>
      <c r="Q531" s="41"/>
      <c r="R531" s="41"/>
      <c r="S531" s="41"/>
      <c r="T531" s="41"/>
      <c r="U531" s="41"/>
      <c r="V531" s="41"/>
      <c r="W531" s="41"/>
      <c r="X531" s="41"/>
      <c r="Y531" s="41"/>
      <c r="Z531" s="41"/>
      <c r="AA531" s="41"/>
      <c r="AB531" s="41"/>
      <c r="AC531" s="2450">
        <v>4</v>
      </c>
      <c r="AD531" s="2415"/>
      <c r="AE531" s="2415"/>
      <c r="AF531" s="2415"/>
      <c r="AG531" s="31" t="s">
        <v>1390</v>
      </c>
      <c r="AH531" s="1260">
        <v>2024</v>
      </c>
      <c r="AI531" s="1260"/>
      <c r="AJ531" s="1260"/>
      <c r="AK531" s="1261"/>
      <c r="AZ531" s="3"/>
      <c r="BA531" s="3"/>
      <c r="BB531" s="3"/>
      <c r="BC531" s="3"/>
      <c r="BD531" s="3"/>
      <c r="BE531" s="3"/>
      <c r="BF531" s="3"/>
      <c r="BG531" s="3"/>
      <c r="BH531" s="3"/>
      <c r="BI531" s="3"/>
      <c r="BJ531" s="3"/>
      <c r="BK531" s="3"/>
      <c r="BL531" s="3"/>
      <c r="BM531" s="3"/>
      <c r="BN531" s="3" t="s">
        <v>1437</v>
      </c>
      <c r="BO531" s="3"/>
      <c r="BP531" s="3"/>
      <c r="BQ531" s="3"/>
      <c r="BR531" s="3"/>
      <c r="BS531" s="3"/>
      <c r="BT531" s="3"/>
      <c r="BU531" s="3"/>
      <c r="BV531" s="272" t="s">
        <v>1022</v>
      </c>
      <c r="BW531" s="390">
        <v>2846</v>
      </c>
      <c r="BX531" s="391">
        <v>3050</v>
      </c>
      <c r="BY531" s="390">
        <v>3660</v>
      </c>
      <c r="BZ531" s="391">
        <v>4228</v>
      </c>
      <c r="CA531" s="391">
        <v>4716</v>
      </c>
      <c r="CB531" s="392">
        <v>5204</v>
      </c>
      <c r="CC531" s="3"/>
      <c r="CD531" s="785">
        <v>2330</v>
      </c>
      <c r="CE531" s="785">
        <v>2651</v>
      </c>
      <c r="CF531" s="785">
        <v>2994</v>
      </c>
      <c r="CG531" s="785">
        <v>3996</v>
      </c>
      <c r="CH531" s="78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245"/>
      <c r="C532" s="1246"/>
      <c r="D532" s="1246"/>
      <c r="E532" s="1246"/>
      <c r="F532" s="1246"/>
      <c r="G532" s="1246"/>
      <c r="H532" s="1247"/>
      <c r="I532" s="35" t="s">
        <v>1425</v>
      </c>
      <c r="J532" s="35"/>
      <c r="K532" s="35"/>
      <c r="L532" s="35"/>
      <c r="M532" s="35"/>
      <c r="N532" s="35"/>
      <c r="O532" s="1273" t="s">
        <v>1401</v>
      </c>
      <c r="P532" s="1274"/>
      <c r="Q532" s="1274"/>
      <c r="R532" s="1274"/>
      <c r="S532" s="1274"/>
      <c r="T532" s="1274"/>
      <c r="U532" s="1274"/>
      <c r="V532" s="1274"/>
      <c r="W532" s="1274"/>
      <c r="X532" s="1274"/>
      <c r="Y532" s="1274"/>
      <c r="Z532" s="1274"/>
      <c r="AA532" s="1274"/>
      <c r="AC532" s="2450" t="s">
        <v>299</v>
      </c>
      <c r="AD532" s="2415"/>
      <c r="AE532" s="2415"/>
      <c r="AF532" s="2415"/>
      <c r="AG532" s="13" t="s">
        <v>1390</v>
      </c>
      <c r="AH532" s="1260"/>
      <c r="AI532" s="1260"/>
      <c r="AJ532" s="1260"/>
      <c r="AK532" s="1261"/>
      <c r="AZ532" s="3"/>
      <c r="BA532" s="3"/>
      <c r="BB532" s="3"/>
      <c r="BC532" s="3"/>
      <c r="BD532" s="3"/>
      <c r="BE532" s="3"/>
      <c r="BF532" s="3"/>
      <c r="BG532" s="3"/>
      <c r="BH532" s="3"/>
      <c r="BI532" s="3"/>
      <c r="BJ532" s="3"/>
      <c r="BK532" s="3"/>
      <c r="BL532" s="3"/>
      <c r="BM532" s="3"/>
      <c r="BN532" s="3" t="s">
        <v>1438</v>
      </c>
      <c r="BO532" s="3"/>
      <c r="BP532" s="3"/>
      <c r="BQ532" s="3"/>
      <c r="BR532" s="3"/>
      <c r="BS532" s="3"/>
      <c r="BT532" s="3"/>
      <c r="BU532" s="3"/>
      <c r="BV532" s="272" t="s">
        <v>1026</v>
      </c>
      <c r="BW532" s="390">
        <v>3226</v>
      </c>
      <c r="BX532" s="391">
        <v>3456</v>
      </c>
      <c r="BY532" s="390">
        <v>4146</v>
      </c>
      <c r="BZ532" s="391">
        <v>4792</v>
      </c>
      <c r="CA532" s="391">
        <v>5344</v>
      </c>
      <c r="CB532" s="392">
        <v>5898</v>
      </c>
      <c r="CC532" s="3"/>
      <c r="CD532" s="785">
        <v>2383</v>
      </c>
      <c r="CE532" s="785">
        <v>2694</v>
      </c>
      <c r="CF532" s="785">
        <v>3132</v>
      </c>
      <c r="CG532" s="785">
        <v>4011</v>
      </c>
      <c r="CH532" s="78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245"/>
      <c r="C533" s="1246"/>
      <c r="D533" s="1246"/>
      <c r="E533" s="1246"/>
      <c r="F533" s="1246"/>
      <c r="G533" s="1246"/>
      <c r="H533" s="1247"/>
      <c r="I533" t="s">
        <v>43</v>
      </c>
      <c r="AC533" s="2450" t="s">
        <v>299</v>
      </c>
      <c r="AD533" s="2415"/>
      <c r="AE533" s="2415"/>
      <c r="AF533" s="2415"/>
      <c r="AG533" s="31" t="s">
        <v>1390</v>
      </c>
      <c r="AH533" s="1260"/>
      <c r="AI533" s="1260"/>
      <c r="AJ533" s="1260"/>
      <c r="AK533" s="1261"/>
      <c r="AZ533" s="3"/>
      <c r="BA533" s="3"/>
      <c r="BB533" s="3"/>
      <c r="BC533" s="3"/>
      <c r="BD533" s="3"/>
      <c r="BE533" s="3"/>
      <c r="BF533" s="3"/>
      <c r="BG533" s="3"/>
      <c r="BH533" s="3"/>
      <c r="BI533" s="3"/>
      <c r="BJ533" s="3"/>
      <c r="BK533" s="3"/>
      <c r="BL533" s="3"/>
      <c r="BM533" s="3"/>
      <c r="BN533" s="3" t="s">
        <v>1439</v>
      </c>
      <c r="BO533" s="3"/>
      <c r="BP533" s="3"/>
      <c r="BQ533" s="3"/>
      <c r="BR533" s="3"/>
      <c r="BS533" s="3"/>
      <c r="BT533" s="3"/>
      <c r="BU533" s="3"/>
      <c r="BV533" s="272" t="s">
        <v>1030</v>
      </c>
      <c r="BW533" s="390">
        <v>3170</v>
      </c>
      <c r="BX533" s="391">
        <v>3396</v>
      </c>
      <c r="BY533" s="390">
        <v>4074</v>
      </c>
      <c r="BZ533" s="391">
        <v>4708</v>
      </c>
      <c r="CA533" s="391">
        <v>5252</v>
      </c>
      <c r="CB533" s="392">
        <v>5796</v>
      </c>
      <c r="CC533" s="3"/>
      <c r="CD533" s="785">
        <v>2849</v>
      </c>
      <c r="CE533" s="785">
        <v>3085</v>
      </c>
      <c r="CF533" s="785">
        <v>4054</v>
      </c>
      <c r="CG533" s="785">
        <v>5000</v>
      </c>
      <c r="CH533" s="78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245"/>
      <c r="C534" s="1246"/>
      <c r="D534" s="1246"/>
      <c r="E534" s="1246"/>
      <c r="F534" s="1246"/>
      <c r="G534" s="1246"/>
      <c r="H534" s="1247"/>
      <c r="I534" s="41" t="s">
        <v>1423</v>
      </c>
      <c r="J534" s="41"/>
      <c r="K534" s="41"/>
      <c r="L534" s="41"/>
      <c r="M534" s="41"/>
      <c r="N534" s="41"/>
      <c r="O534" s="41"/>
      <c r="P534" s="41"/>
      <c r="Q534" s="41"/>
      <c r="R534" s="41"/>
      <c r="S534" s="41"/>
      <c r="T534" s="41"/>
      <c r="U534" s="41"/>
      <c r="V534" s="41"/>
      <c r="W534" s="41"/>
      <c r="X534" s="41"/>
      <c r="Y534" s="41"/>
      <c r="Z534" s="41"/>
      <c r="AA534" s="41"/>
      <c r="AB534" s="41"/>
      <c r="AC534" s="2450" t="s">
        <v>299</v>
      </c>
      <c r="AD534" s="2415"/>
      <c r="AE534" s="2415"/>
      <c r="AF534" s="2415"/>
      <c r="AG534" s="13" t="s">
        <v>1390</v>
      </c>
      <c r="AH534" s="1260"/>
      <c r="AI534" s="1260"/>
      <c r="AJ534" s="1260"/>
      <c r="AK534" s="1261"/>
      <c r="AZ534" s="3"/>
      <c r="BA534" s="3"/>
      <c r="BB534" s="3"/>
      <c r="BC534" s="3"/>
      <c r="BD534" s="3"/>
      <c r="BE534" s="3"/>
      <c r="BF534" s="3"/>
      <c r="BG534" s="3"/>
      <c r="BH534" s="3"/>
      <c r="BI534" s="3"/>
      <c r="BJ534" s="3"/>
      <c r="BK534" s="3"/>
      <c r="BL534" s="3"/>
      <c r="BM534" s="3"/>
      <c r="BN534" s="3" t="s">
        <v>1440</v>
      </c>
      <c r="BO534" s="3"/>
      <c r="BP534" s="3"/>
      <c r="BQ534" s="3"/>
      <c r="BR534" s="3"/>
      <c r="BS534" s="3"/>
      <c r="BT534" s="3"/>
      <c r="BU534" s="3"/>
      <c r="BV534" s="272" t="s">
        <v>1035</v>
      </c>
      <c r="BW534" s="390">
        <v>1560</v>
      </c>
      <c r="BX534" s="391">
        <v>1670</v>
      </c>
      <c r="BY534" s="390">
        <v>2004</v>
      </c>
      <c r="BZ534" s="391">
        <v>2316</v>
      </c>
      <c r="CA534" s="391">
        <v>2584</v>
      </c>
      <c r="CB534" s="392">
        <v>2852</v>
      </c>
      <c r="CC534" s="3"/>
      <c r="CD534" s="785">
        <v>1014</v>
      </c>
      <c r="CE534" s="785">
        <v>1132</v>
      </c>
      <c r="CF534" s="785">
        <v>1487</v>
      </c>
      <c r="CG534" s="785">
        <v>2095</v>
      </c>
      <c r="CH534" s="78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245"/>
      <c r="C535" s="1246"/>
      <c r="D535" s="1246"/>
      <c r="E535" s="1246"/>
      <c r="F535" s="1246"/>
      <c r="G535" s="1246"/>
      <c r="H535" s="1247"/>
      <c r="I535" s="35" t="s">
        <v>1425</v>
      </c>
      <c r="J535" s="35"/>
      <c r="K535" s="35"/>
      <c r="L535" s="35"/>
      <c r="M535" s="35"/>
      <c r="N535" s="35"/>
      <c r="O535" s="1273" t="s">
        <v>1401</v>
      </c>
      <c r="P535" s="1274"/>
      <c r="Q535" s="1274"/>
      <c r="R535" s="1274"/>
      <c r="S535" s="1274"/>
      <c r="T535" s="1274"/>
      <c r="U535" s="1274"/>
      <c r="V535" s="1274"/>
      <c r="W535" s="1274"/>
      <c r="X535" s="1274"/>
      <c r="Y535" s="1274"/>
      <c r="Z535" s="1274"/>
      <c r="AA535" s="1274"/>
      <c r="AC535" s="2450" t="s">
        <v>299</v>
      </c>
      <c r="AD535" s="2415"/>
      <c r="AE535" s="2415"/>
      <c r="AF535" s="2415"/>
      <c r="AG535" s="31" t="s">
        <v>1390</v>
      </c>
      <c r="AH535" s="1260"/>
      <c r="AI535" s="1260"/>
      <c r="AJ535" s="1260"/>
      <c r="AK535" s="1261"/>
      <c r="AZ535" s="3"/>
      <c r="BA535" s="3"/>
      <c r="BB535" s="3"/>
      <c r="BC535" s="3"/>
      <c r="BD535" s="3"/>
      <c r="BE535" s="3"/>
      <c r="BF535" s="3"/>
      <c r="BG535" s="3"/>
      <c r="BH535" s="3"/>
      <c r="BI535" s="3"/>
      <c r="BJ535" s="3"/>
      <c r="BK535" s="3"/>
      <c r="BL535" s="3"/>
      <c r="BM535" s="3"/>
      <c r="BN535" s="3" t="s">
        <v>1441</v>
      </c>
      <c r="BO535" s="3"/>
      <c r="BP535" s="3"/>
      <c r="BQ535" s="3"/>
      <c r="BR535" s="3"/>
      <c r="BS535" s="3"/>
      <c r="BT535" s="3"/>
      <c r="BU535" s="3"/>
      <c r="BV535" s="272" t="s">
        <v>1038</v>
      </c>
      <c r="BW535" s="390">
        <v>1540</v>
      </c>
      <c r="BX535" s="391">
        <v>1650</v>
      </c>
      <c r="BY535" s="390">
        <v>1980</v>
      </c>
      <c r="BZ535" s="391">
        <v>2286</v>
      </c>
      <c r="CA535" s="391">
        <v>2550</v>
      </c>
      <c r="CB535" s="392">
        <v>2812</v>
      </c>
      <c r="CC535" s="3"/>
      <c r="CD535" s="785">
        <v>911</v>
      </c>
      <c r="CE535" s="785">
        <v>1005</v>
      </c>
      <c r="CF535" s="785">
        <v>1321</v>
      </c>
      <c r="CG535" s="785">
        <v>1862</v>
      </c>
      <c r="CH535" s="78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245"/>
      <c r="C536" s="1246"/>
      <c r="D536" s="1246"/>
      <c r="E536" s="1246"/>
      <c r="F536" s="1246"/>
      <c r="G536" s="1246"/>
      <c r="H536" s="1247"/>
      <c r="I536" t="s">
        <v>43</v>
      </c>
      <c r="AC536" s="2450" t="s">
        <v>299</v>
      </c>
      <c r="AD536" s="2415"/>
      <c r="AE536" s="2415"/>
      <c r="AF536" s="2415"/>
      <c r="AG536" s="13" t="s">
        <v>1390</v>
      </c>
      <c r="AH536" s="1260"/>
      <c r="AI536" s="1260"/>
      <c r="AJ536" s="1260"/>
      <c r="AK536" s="1261"/>
      <c r="AZ536" s="3"/>
      <c r="BA536" s="3"/>
      <c r="BB536" s="3"/>
      <c r="BC536" s="3"/>
      <c r="BD536" s="3"/>
      <c r="BE536" s="3"/>
      <c r="BF536" s="3"/>
      <c r="BG536" s="3"/>
      <c r="BH536" s="3"/>
      <c r="BI536" s="3"/>
      <c r="BJ536" s="3"/>
      <c r="BK536" s="3"/>
      <c r="BL536" s="3"/>
      <c r="BM536" s="3"/>
      <c r="BN536" s="3" t="s">
        <v>1442</v>
      </c>
      <c r="BO536" s="3"/>
      <c r="BP536" s="3"/>
      <c r="BQ536" s="3"/>
      <c r="BR536" s="3"/>
      <c r="BS536" s="3"/>
      <c r="BT536" s="3"/>
      <c r="BU536" s="3"/>
      <c r="BV536" s="272" t="s">
        <v>1043</v>
      </c>
      <c r="BW536" s="390">
        <v>1540</v>
      </c>
      <c r="BX536" s="391">
        <v>1650</v>
      </c>
      <c r="BY536" s="390">
        <v>1980</v>
      </c>
      <c r="BZ536" s="391">
        <v>2286</v>
      </c>
      <c r="CA536" s="391">
        <v>2550</v>
      </c>
      <c r="CB536" s="392">
        <v>2812</v>
      </c>
      <c r="CC536" s="3"/>
      <c r="CD536" s="785">
        <v>838</v>
      </c>
      <c r="CE536" s="785">
        <v>843</v>
      </c>
      <c r="CF536" s="785">
        <v>1089</v>
      </c>
      <c r="CG536" s="785">
        <v>1535</v>
      </c>
      <c r="CH536" s="78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245"/>
      <c r="C537" s="1246"/>
      <c r="D537" s="1246"/>
      <c r="E537" s="1246"/>
      <c r="F537" s="1246"/>
      <c r="G537" s="1246"/>
      <c r="H537" s="1247"/>
      <c r="I537" s="41" t="s">
        <v>1423</v>
      </c>
      <c r="J537" s="41"/>
      <c r="K537" s="41"/>
      <c r="L537" s="41"/>
      <c r="M537" s="41"/>
      <c r="N537" s="41"/>
      <c r="O537" s="41"/>
      <c r="P537" s="41"/>
      <c r="Q537" s="41"/>
      <c r="R537" s="41"/>
      <c r="S537" s="41"/>
      <c r="T537" s="41"/>
      <c r="U537" s="41"/>
      <c r="V537" s="41"/>
      <c r="W537" s="41"/>
      <c r="X537" s="41"/>
      <c r="Y537" s="41"/>
      <c r="Z537" s="41"/>
      <c r="AA537" s="41"/>
      <c r="AB537" s="41"/>
      <c r="AC537" s="2450" t="s">
        <v>299</v>
      </c>
      <c r="AD537" s="2415"/>
      <c r="AE537" s="2415"/>
      <c r="AF537" s="2415"/>
      <c r="AG537" s="31" t="s">
        <v>1390</v>
      </c>
      <c r="AH537" s="1260"/>
      <c r="AI537" s="1260"/>
      <c r="AJ537" s="1260"/>
      <c r="AK537" s="1261"/>
      <c r="AZ537" s="3"/>
      <c r="BA537" s="3"/>
      <c r="BB537" s="3"/>
      <c r="BC537" s="3"/>
      <c r="BD537" s="3"/>
      <c r="BE537" s="3"/>
      <c r="BF537" s="3"/>
      <c r="BG537" s="3"/>
      <c r="BH537" s="3"/>
      <c r="BI537" s="3"/>
      <c r="BJ537" s="3"/>
      <c r="BK537" s="3"/>
      <c r="BL537" s="3"/>
      <c r="BM537" s="3"/>
      <c r="BN537" s="3" t="s">
        <v>1443</v>
      </c>
      <c r="BO537" s="3"/>
      <c r="BP537" s="3"/>
      <c r="BQ537" s="3"/>
      <c r="BR537" s="3"/>
      <c r="BS537" s="3"/>
      <c r="BT537" s="3"/>
      <c r="BU537" s="3"/>
      <c r="BV537" s="272" t="s">
        <v>1047</v>
      </c>
      <c r="BW537" s="390">
        <v>2202</v>
      </c>
      <c r="BX537" s="391">
        <v>2360</v>
      </c>
      <c r="BY537" s="390">
        <v>2832</v>
      </c>
      <c r="BZ537" s="391">
        <v>3270</v>
      </c>
      <c r="CA537" s="391">
        <v>3650</v>
      </c>
      <c r="CB537" s="392">
        <v>4026</v>
      </c>
      <c r="CC537" s="3"/>
      <c r="CD537" s="785">
        <v>1652</v>
      </c>
      <c r="CE537" s="785">
        <v>1853</v>
      </c>
      <c r="CF537" s="785">
        <v>2308</v>
      </c>
      <c r="CG537" s="785">
        <v>3199</v>
      </c>
      <c r="CH537" s="78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245"/>
      <c r="C538" s="1246"/>
      <c r="D538" s="1246"/>
      <c r="E538" s="1246"/>
      <c r="F538" s="1246"/>
      <c r="G538" s="1246"/>
      <c r="H538" s="1247"/>
      <c r="I538" s="35" t="s">
        <v>1444</v>
      </c>
      <c r="J538" s="35"/>
      <c r="K538" s="35"/>
      <c r="L538" s="35"/>
      <c r="M538" s="35"/>
      <c r="N538" s="35"/>
      <c r="O538" s="35"/>
      <c r="P538" s="35"/>
      <c r="Q538" s="35"/>
      <c r="R538" s="35"/>
      <c r="S538" s="35"/>
      <c r="T538" s="35"/>
      <c r="U538" s="35"/>
      <c r="V538" s="35"/>
      <c r="W538" s="35"/>
      <c r="AC538" s="2450" t="s">
        <v>299</v>
      </c>
      <c r="AD538" s="2415"/>
      <c r="AE538" s="2415"/>
      <c r="AF538" s="2415"/>
      <c r="AG538" s="31" t="s">
        <v>1390</v>
      </c>
      <c r="AH538" s="1260"/>
      <c r="AI538" s="1260"/>
      <c r="AJ538" s="1260"/>
      <c r="AK538" s="1261"/>
      <c r="AZ538" s="3"/>
      <c r="BA538" s="3"/>
      <c r="BB538" s="3"/>
      <c r="BC538" s="3"/>
      <c r="BD538" s="3"/>
      <c r="BE538" s="3"/>
      <c r="BF538" s="3"/>
      <c r="BG538" s="3"/>
      <c r="BH538" s="3"/>
      <c r="BI538" s="3"/>
      <c r="BJ538" s="3"/>
      <c r="BK538" s="3"/>
      <c r="BL538" s="3"/>
      <c r="BM538" s="3"/>
      <c r="BN538" s="3"/>
      <c r="BO538" s="3"/>
      <c r="BP538" s="3"/>
      <c r="BQ538" s="3"/>
      <c r="BR538" s="3"/>
      <c r="BS538" s="3"/>
      <c r="BT538" s="3"/>
      <c r="BU538" s="3"/>
      <c r="BV538" s="272" t="s">
        <v>1053</v>
      </c>
      <c r="BW538" s="390">
        <v>2422</v>
      </c>
      <c r="BX538" s="391">
        <v>2594</v>
      </c>
      <c r="BY538" s="390">
        <v>3112</v>
      </c>
      <c r="BZ538" s="391">
        <v>3596</v>
      </c>
      <c r="CA538" s="391">
        <v>4012</v>
      </c>
      <c r="CB538" s="392">
        <v>4426</v>
      </c>
      <c r="CC538" s="3"/>
      <c r="CD538" s="785">
        <v>1611</v>
      </c>
      <c r="CE538" s="785">
        <v>1809</v>
      </c>
      <c r="CF538" s="785">
        <v>2377</v>
      </c>
      <c r="CG538" s="785">
        <v>3228</v>
      </c>
      <c r="CH538" s="78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245"/>
      <c r="C539" s="1246"/>
      <c r="D539" s="1246"/>
      <c r="E539" s="1246"/>
      <c r="F539" s="1246"/>
      <c r="G539" s="1246"/>
      <c r="H539" s="1247"/>
      <c r="I539" t="s">
        <v>1445</v>
      </c>
      <c r="AC539" s="2450">
        <v>4</v>
      </c>
      <c r="AD539" s="2415"/>
      <c r="AE539" s="2415"/>
      <c r="AF539" s="2415"/>
      <c r="AG539" s="13" t="s">
        <v>1390</v>
      </c>
      <c r="AH539" s="1260">
        <v>2025</v>
      </c>
      <c r="AI539" s="1260"/>
      <c r="AJ539" s="1260"/>
      <c r="AK539" s="1261"/>
      <c r="AZ539" s="3"/>
      <c r="BA539" s="3"/>
      <c r="BB539" s="3"/>
      <c r="BC539" s="3"/>
      <c r="BD539" s="3"/>
      <c r="BE539" s="3"/>
      <c r="BF539" s="3"/>
      <c r="BG539" s="3"/>
      <c r="BH539" s="3"/>
      <c r="BI539" s="3"/>
      <c r="BJ539" s="3"/>
      <c r="BK539" s="3"/>
      <c r="BL539" s="3"/>
      <c r="BM539" s="3"/>
      <c r="BN539" s="3"/>
      <c r="BO539" s="3"/>
      <c r="BP539" s="3"/>
      <c r="BQ539" s="3"/>
      <c r="BR539" s="3"/>
      <c r="BS539" s="3"/>
      <c r="BT539" s="3"/>
      <c r="BU539" s="3"/>
      <c r="BV539" s="272" t="s">
        <v>1056</v>
      </c>
      <c r="BW539" s="390">
        <v>1594</v>
      </c>
      <c r="BX539" s="391">
        <v>1708</v>
      </c>
      <c r="BY539" s="390">
        <v>2050</v>
      </c>
      <c r="BZ539" s="391">
        <v>2368</v>
      </c>
      <c r="CA539" s="391">
        <v>2642</v>
      </c>
      <c r="CB539" s="392">
        <v>2916</v>
      </c>
      <c r="CC539" s="3"/>
      <c r="CD539" s="785">
        <v>1143</v>
      </c>
      <c r="CE539" s="785">
        <v>1188</v>
      </c>
      <c r="CF539" s="785">
        <v>1528</v>
      </c>
      <c r="CG539" s="785">
        <v>2153</v>
      </c>
      <c r="CH539" s="78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245"/>
      <c r="C540" s="1246"/>
      <c r="D540" s="1246"/>
      <c r="E540" s="1246"/>
      <c r="F540" s="1246"/>
      <c r="G540" s="1246"/>
      <c r="H540" s="1247"/>
      <c r="I540" t="s">
        <v>1446</v>
      </c>
      <c r="AC540" s="2450">
        <v>1</v>
      </c>
      <c r="AD540" s="2415"/>
      <c r="AE540" s="2415"/>
      <c r="AF540" s="2415"/>
      <c r="AG540" s="31" t="s">
        <v>1390</v>
      </c>
      <c r="AH540" s="1260">
        <v>2027</v>
      </c>
      <c r="AI540" s="1260"/>
      <c r="AJ540" s="1260"/>
      <c r="AK540" s="1261"/>
      <c r="AZ540" s="3"/>
      <c r="BA540" s="3"/>
      <c r="BB540" s="3"/>
      <c r="BC540" s="3"/>
      <c r="BD540" s="3"/>
      <c r="BE540" s="3"/>
      <c r="BF540" s="3"/>
      <c r="BG540" s="3"/>
      <c r="BH540" s="3"/>
      <c r="BI540" s="3"/>
      <c r="BJ540" s="3"/>
      <c r="BK540" s="3"/>
      <c r="BL540" s="3"/>
      <c r="BM540" s="3"/>
      <c r="BN540" s="3"/>
      <c r="BO540" s="3"/>
      <c r="BP540" s="3"/>
      <c r="BQ540" s="3"/>
      <c r="BR540" s="3"/>
      <c r="BS540" s="3"/>
      <c r="BT540" s="3"/>
      <c r="BU540" s="3"/>
      <c r="BV540" s="272" t="s">
        <v>1061</v>
      </c>
      <c r="BW540" s="390">
        <v>1540</v>
      </c>
      <c r="BX540" s="391">
        <v>1650</v>
      </c>
      <c r="BY540" s="390">
        <v>1980</v>
      </c>
      <c r="BZ540" s="391">
        <v>2286</v>
      </c>
      <c r="CA540" s="391">
        <v>2550</v>
      </c>
      <c r="CB540" s="392">
        <v>2812</v>
      </c>
      <c r="CC540" s="3"/>
      <c r="CD540" s="785">
        <v>1125</v>
      </c>
      <c r="CE540" s="785">
        <v>1132</v>
      </c>
      <c r="CF540" s="785">
        <v>1461</v>
      </c>
      <c r="CG540" s="785">
        <v>2059</v>
      </c>
      <c r="CH540" s="78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245"/>
      <c r="C541" s="1246"/>
      <c r="D541" s="1246"/>
      <c r="E541" s="1246"/>
      <c r="F541" s="1246"/>
      <c r="G541" s="1246"/>
      <c r="H541" s="1247"/>
      <c r="I541" t="s">
        <v>1447</v>
      </c>
      <c r="AC541" s="2450">
        <v>1</v>
      </c>
      <c r="AD541" s="2415"/>
      <c r="AE541" s="2415"/>
      <c r="AF541" s="2415"/>
      <c r="AG541" s="31" t="s">
        <v>1390</v>
      </c>
      <c r="AH541" s="1260">
        <v>2027</v>
      </c>
      <c r="AI541" s="1260"/>
      <c r="AJ541" s="1260"/>
      <c r="AK541" s="1261"/>
      <c r="AZ541" s="3"/>
      <c r="BA541" s="3"/>
      <c r="BB541" s="3"/>
      <c r="BC541" s="3"/>
      <c r="BD541" s="3"/>
      <c r="BE541" s="3"/>
      <c r="BF541" s="3"/>
      <c r="BG541" s="3"/>
      <c r="BH541" s="3"/>
      <c r="BI541" s="3"/>
      <c r="BJ541" s="3"/>
      <c r="BK541" s="3"/>
      <c r="BL541" s="3"/>
      <c r="BM541" s="3"/>
      <c r="BN541" s="3"/>
      <c r="BO541" s="3"/>
      <c r="BP541" s="3"/>
      <c r="BQ541" s="3"/>
      <c r="BR541" s="3"/>
      <c r="BS541" s="3"/>
      <c r="BT541" s="3"/>
      <c r="BU541" s="3"/>
      <c r="BV541" s="272" t="s">
        <v>1065</v>
      </c>
      <c r="BW541" s="390">
        <v>1540</v>
      </c>
      <c r="BX541" s="391">
        <v>1650</v>
      </c>
      <c r="BY541" s="390">
        <v>1980</v>
      </c>
      <c r="BZ541" s="391">
        <v>2286</v>
      </c>
      <c r="CA541" s="391">
        <v>2550</v>
      </c>
      <c r="CB541" s="392">
        <v>2812</v>
      </c>
      <c r="CC541" s="3"/>
      <c r="CD541" s="785">
        <v>844</v>
      </c>
      <c r="CE541" s="785">
        <v>948</v>
      </c>
      <c r="CF541" s="785">
        <v>1245</v>
      </c>
      <c r="CG541" s="785">
        <v>1695</v>
      </c>
      <c r="CH541" s="78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248"/>
      <c r="C542" s="1249"/>
      <c r="D542" s="1249"/>
      <c r="E542" s="1249"/>
      <c r="F542" s="1249"/>
      <c r="G542" s="1249"/>
      <c r="H542" s="1250"/>
      <c r="I542" s="41" t="s">
        <v>1448</v>
      </c>
      <c r="J542" s="41"/>
      <c r="K542" s="41"/>
      <c r="L542" s="41"/>
      <c r="M542" s="41"/>
      <c r="N542" s="41"/>
      <c r="O542" s="41"/>
      <c r="P542" s="41"/>
      <c r="Q542" s="41"/>
      <c r="R542" s="41"/>
      <c r="S542" s="41"/>
      <c r="T542" s="41"/>
      <c r="U542" s="41"/>
      <c r="V542" s="41"/>
      <c r="W542" s="41"/>
      <c r="X542" s="41"/>
      <c r="Y542" s="41"/>
      <c r="Z542" s="41"/>
      <c r="AA542" s="41"/>
      <c r="AB542" s="41"/>
      <c r="AC542" s="2450">
        <v>4</v>
      </c>
      <c r="AD542" s="2415"/>
      <c r="AE542" s="2415"/>
      <c r="AF542" s="2415"/>
      <c r="AG542" s="31" t="s">
        <v>1390</v>
      </c>
      <c r="AH542" s="1260">
        <v>2027</v>
      </c>
      <c r="AI542" s="1260"/>
      <c r="AJ542" s="1260"/>
      <c r="AK542" s="1261"/>
      <c r="BB542" s="3"/>
      <c r="BC542" s="3"/>
      <c r="BD542" s="3"/>
      <c r="BE542" s="3"/>
      <c r="BF542" s="3"/>
      <c r="BG542" s="3"/>
      <c r="BH542" s="3" t="s">
        <v>17</v>
      </c>
      <c r="BI542" s="3" t="str">
        <f>N649</f>
        <v>Yes</v>
      </c>
      <c r="BJ542" s="3"/>
      <c r="BK542" s="3"/>
      <c r="BL542" s="3"/>
      <c r="BM542" s="3"/>
      <c r="BN542" s="3"/>
      <c r="BO542" s="3"/>
      <c r="BP542" s="3"/>
      <c r="BQ542" s="3"/>
      <c r="BR542" s="3"/>
      <c r="BS542" s="3"/>
      <c r="BT542" s="3"/>
      <c r="BU542" s="3"/>
      <c r="BV542" s="272" t="s">
        <v>1068</v>
      </c>
      <c r="BW542" s="390">
        <v>1540</v>
      </c>
      <c r="BX542" s="391">
        <v>1650</v>
      </c>
      <c r="BY542" s="390">
        <v>1980</v>
      </c>
      <c r="BZ542" s="391">
        <v>2286</v>
      </c>
      <c r="CA542" s="391">
        <v>2550</v>
      </c>
      <c r="CB542" s="392">
        <v>2812</v>
      </c>
      <c r="CC542" s="3"/>
      <c r="CD542" s="785">
        <v>710</v>
      </c>
      <c r="CE542" s="785">
        <v>784</v>
      </c>
      <c r="CF542" s="785">
        <v>1030</v>
      </c>
      <c r="CG542" s="785">
        <v>1451</v>
      </c>
      <c r="CH542" s="78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457"/>
      <c r="C543" s="96"/>
      <c r="D543" s="96"/>
      <c r="E543" s="96"/>
      <c r="F543" s="96"/>
      <c r="G543" s="96"/>
      <c r="H543" s="96"/>
      <c r="AB543" s="96"/>
      <c r="AU543" s="821"/>
      <c r="AV543" s="821"/>
      <c r="AW543" s="821"/>
      <c r="AX543" s="821"/>
      <c r="AY543" s="821"/>
      <c r="BB543" s="3"/>
      <c r="BC543" s="3"/>
      <c r="BD543" s="3"/>
      <c r="BE543" s="3"/>
      <c r="BF543" s="3"/>
      <c r="BG543" s="3"/>
      <c r="BH543" s="3" t="s">
        <v>30</v>
      </c>
      <c r="BI543" s="3" t="str">
        <f>AG649</f>
        <v>Yes</v>
      </c>
      <c r="BJ543" s="3"/>
      <c r="BK543" s="3"/>
      <c r="BL543" s="3"/>
      <c r="BM543" s="3"/>
      <c r="BN543" s="3"/>
      <c r="BO543" s="3"/>
      <c r="BP543" s="3"/>
      <c r="BQ543" s="3"/>
      <c r="BR543" s="3"/>
      <c r="BS543" s="3"/>
      <c r="BT543" s="3"/>
      <c r="BU543" s="3"/>
      <c r="BV543" s="272" t="s">
        <v>1072</v>
      </c>
      <c r="BW543" s="390">
        <v>1540</v>
      </c>
      <c r="BX543" s="391">
        <v>1650</v>
      </c>
      <c r="BY543" s="390">
        <v>1980</v>
      </c>
      <c r="BZ543" s="391">
        <v>2286</v>
      </c>
      <c r="CA543" s="391">
        <v>2550</v>
      </c>
      <c r="CB543" s="392">
        <v>2812</v>
      </c>
      <c r="CC543" s="3"/>
      <c r="CD543" s="785">
        <v>977</v>
      </c>
      <c r="CE543" s="785">
        <v>989</v>
      </c>
      <c r="CF543" s="785">
        <v>1299</v>
      </c>
      <c r="CG543" s="785">
        <v>1809</v>
      </c>
      <c r="CH543" s="78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157" t="s">
        <v>1449</v>
      </c>
      <c r="B544" s="1157"/>
      <c r="C544" s="1157"/>
      <c r="D544" s="1157"/>
      <c r="E544" s="1157"/>
      <c r="F544" s="1157"/>
      <c r="G544" s="1157"/>
      <c r="H544" s="1157"/>
      <c r="I544" s="1157"/>
      <c r="J544" s="1157"/>
      <c r="K544" s="1157"/>
      <c r="L544" s="1157"/>
      <c r="M544" s="1157"/>
      <c r="N544" s="1157"/>
      <c r="O544" s="1157"/>
      <c r="P544" s="1157"/>
      <c r="Q544" s="1157"/>
      <c r="R544" s="1157"/>
      <c r="S544" s="1157"/>
      <c r="T544" s="1157"/>
      <c r="U544" s="1157"/>
      <c r="V544" s="1157"/>
      <c r="W544" s="1157"/>
      <c r="X544" s="1157"/>
      <c r="Y544" s="1157"/>
      <c r="Z544" s="1157"/>
      <c r="AA544" s="1157"/>
      <c r="AB544" s="1157"/>
      <c r="AC544" s="1157"/>
      <c r="AD544" s="1157"/>
      <c r="AE544" s="1157"/>
      <c r="AF544" s="1157"/>
      <c r="AG544" s="1157"/>
      <c r="AH544" s="1157"/>
      <c r="AI544" s="1157"/>
      <c r="AJ544" s="1157"/>
      <c r="AK544" s="1157"/>
      <c r="AL544" s="1157"/>
      <c r="AM544" s="1157"/>
      <c r="AN544" s="1157"/>
      <c r="AO544" s="1157"/>
      <c r="AP544" s="1157"/>
      <c r="AQ544" s="1157"/>
      <c r="AR544" s="1157"/>
      <c r="AS544" s="1157"/>
      <c r="AT544" s="1157"/>
      <c r="AU544" s="821"/>
      <c r="AV544" s="821"/>
      <c r="AW544" s="821"/>
      <c r="AX544" s="821"/>
      <c r="AY544" s="821"/>
      <c r="BB544" s="3"/>
      <c r="BC544" s="3"/>
      <c r="BD544" s="3"/>
      <c r="BE544" s="3"/>
      <c r="BF544" s="3"/>
      <c r="BG544" s="3"/>
      <c r="BH544" s="3"/>
      <c r="BI544" s="3"/>
      <c r="BJ544" s="3"/>
      <c r="BK544" s="3"/>
      <c r="BL544" s="3"/>
      <c r="BM544" s="3"/>
      <c r="BN544" s="3"/>
      <c r="BO544" s="3"/>
      <c r="BP544" s="3"/>
      <c r="BQ544" s="3"/>
      <c r="BR544" s="3"/>
      <c r="BS544" s="3"/>
      <c r="BT544" s="3"/>
      <c r="BU544" s="3"/>
      <c r="BV544" s="272" t="s">
        <v>1074</v>
      </c>
      <c r="BW544" s="390">
        <v>1694</v>
      </c>
      <c r="BX544" s="391">
        <v>1816</v>
      </c>
      <c r="BY544" s="390">
        <v>2180</v>
      </c>
      <c r="BZ544" s="391">
        <v>2520</v>
      </c>
      <c r="CA544" s="391">
        <v>2810</v>
      </c>
      <c r="CB544" s="392">
        <v>3100</v>
      </c>
      <c r="CC544" s="3"/>
      <c r="CD544" s="785">
        <v>919</v>
      </c>
      <c r="CE544" s="785">
        <v>1032</v>
      </c>
      <c r="CF544" s="785">
        <v>1356</v>
      </c>
      <c r="CG544" s="785">
        <v>1795</v>
      </c>
      <c r="CH544" s="78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157"/>
      <c r="B545" s="1157"/>
      <c r="C545" s="1157"/>
      <c r="D545" s="1157"/>
      <c r="E545" s="1157"/>
      <c r="F545" s="1157"/>
      <c r="G545" s="1157"/>
      <c r="H545" s="1157"/>
      <c r="I545" s="1157"/>
      <c r="J545" s="1157"/>
      <c r="K545" s="1157"/>
      <c r="L545" s="1157"/>
      <c r="M545" s="1157"/>
      <c r="N545" s="1157"/>
      <c r="O545" s="1157"/>
      <c r="P545" s="1157"/>
      <c r="Q545" s="1157"/>
      <c r="R545" s="1157"/>
      <c r="S545" s="1157"/>
      <c r="T545" s="1157"/>
      <c r="U545" s="1157"/>
      <c r="V545" s="1157"/>
      <c r="W545" s="1157"/>
      <c r="X545" s="1157"/>
      <c r="Y545" s="1157"/>
      <c r="Z545" s="1157"/>
      <c r="AA545" s="1157"/>
      <c r="AB545" s="1157"/>
      <c r="AC545" s="1157"/>
      <c r="AD545" s="1157"/>
      <c r="AE545" s="1157"/>
      <c r="AF545" s="1157"/>
      <c r="AG545" s="1157"/>
      <c r="AH545" s="1157"/>
      <c r="AI545" s="1157"/>
      <c r="AJ545" s="1157"/>
      <c r="AK545" s="1157"/>
      <c r="AL545" s="1157"/>
      <c r="AM545" s="1157"/>
      <c r="AN545" s="1157"/>
      <c r="AO545" s="1157"/>
      <c r="AP545" s="1157"/>
      <c r="AQ545" s="1157"/>
      <c r="AR545" s="1157"/>
      <c r="AS545" s="1157"/>
      <c r="AT545" s="1157"/>
      <c r="BB545" s="3"/>
      <c r="BC545" s="3"/>
      <c r="BD545" s="3"/>
      <c r="BE545" s="3"/>
      <c r="BF545" s="3"/>
      <c r="BG545" s="3"/>
      <c r="BH545" s="3"/>
      <c r="BI545" s="3"/>
      <c r="BJ545" s="3"/>
      <c r="BK545" s="3"/>
      <c r="BL545" s="3"/>
      <c r="BM545" s="3"/>
      <c r="BN545" s="3"/>
      <c r="BO545" s="3"/>
      <c r="BP545" s="3"/>
      <c r="BQ545" s="3"/>
      <c r="BR545" s="3"/>
      <c r="BS545" s="3"/>
      <c r="BT545" s="3"/>
      <c r="BU545" s="3"/>
      <c r="BV545" s="272" t="s">
        <v>1078</v>
      </c>
      <c r="BW545" s="393">
        <v>2462</v>
      </c>
      <c r="BX545" s="394">
        <v>2638</v>
      </c>
      <c r="BY545" s="393">
        <v>3166</v>
      </c>
      <c r="BZ545" s="394">
        <v>3658</v>
      </c>
      <c r="CA545" s="394">
        <v>4082</v>
      </c>
      <c r="CB545" s="395">
        <v>4502</v>
      </c>
      <c r="CC545" s="3"/>
      <c r="CD545" s="785">
        <v>1725</v>
      </c>
      <c r="CE545" s="785">
        <v>2011</v>
      </c>
      <c r="CF545" s="785">
        <v>2414</v>
      </c>
      <c r="CG545" s="785">
        <v>3310</v>
      </c>
      <c r="CH545" s="78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272" t="s">
        <v>1082</v>
      </c>
      <c r="BW546" s="396">
        <v>2020</v>
      </c>
      <c r="BX546" s="397">
        <v>2162</v>
      </c>
      <c r="BY546" s="396">
        <v>2594</v>
      </c>
      <c r="BZ546" s="397">
        <v>2998</v>
      </c>
      <c r="CA546" s="397">
        <v>3344</v>
      </c>
      <c r="CB546" s="398">
        <v>3690</v>
      </c>
      <c r="CC546" s="3"/>
      <c r="CD546" s="785">
        <v>1497</v>
      </c>
      <c r="CE546" s="785">
        <v>1507</v>
      </c>
      <c r="CF546" s="785">
        <v>1980</v>
      </c>
      <c r="CG546" s="785">
        <v>2717</v>
      </c>
      <c r="CH546" s="78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921</v>
      </c>
      <c r="B547" s="2"/>
      <c r="C547" s="2" t="s">
        <v>171</v>
      </c>
      <c r="BB547" s="3"/>
      <c r="BC547" s="3"/>
      <c r="BD547" s="3"/>
      <c r="BE547" s="3"/>
      <c r="BF547" s="3"/>
      <c r="BG547" s="3"/>
      <c r="BH547" s="3"/>
      <c r="BI547" s="3"/>
      <c r="BJ547" s="3"/>
      <c r="BK547" s="3"/>
      <c r="BL547" s="3"/>
      <c r="BM547" s="3"/>
      <c r="BN547" s="3"/>
      <c r="BO547" s="3"/>
      <c r="BP547" s="3"/>
      <c r="BQ547" s="3"/>
      <c r="BR547" s="3"/>
      <c r="BS547" s="3"/>
      <c r="BT547" s="3"/>
      <c r="BU547" s="3"/>
      <c r="BV547" s="272" t="s">
        <v>1086</v>
      </c>
      <c r="BW547" s="399">
        <v>1540</v>
      </c>
      <c r="BX547" s="400">
        <v>1650</v>
      </c>
      <c r="BY547" s="399">
        <v>1980</v>
      </c>
      <c r="BZ547" s="400">
        <v>2286</v>
      </c>
      <c r="CA547" s="400">
        <v>2550</v>
      </c>
      <c r="CB547" s="401">
        <v>2812</v>
      </c>
      <c r="CC547" s="3"/>
      <c r="CD547" s="785">
        <v>1125</v>
      </c>
      <c r="CE547" s="785">
        <v>1132</v>
      </c>
      <c r="CF547" s="785">
        <v>1461</v>
      </c>
      <c r="CG547" s="785">
        <v>2059</v>
      </c>
      <c r="CH547" s="78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1450</v>
      </c>
      <c r="AC549" s="74"/>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437"/>
      <c r="BB550" s="3"/>
      <c r="BC550" s="3"/>
      <c r="BD550" s="3"/>
      <c r="BE550" s="3"/>
      <c r="BF550" s="3"/>
      <c r="BG550" s="3"/>
      <c r="BH550" s="3" t="s">
        <v>38</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242" t="s">
        <v>1451</v>
      </c>
      <c r="C551" s="1243"/>
      <c r="D551" s="1243"/>
      <c r="E551" s="1243"/>
      <c r="F551" s="1243"/>
      <c r="G551" s="1243"/>
      <c r="H551" s="1243"/>
      <c r="I551" s="1243"/>
      <c r="J551" s="1243"/>
      <c r="K551" s="1243"/>
      <c r="L551" s="1244"/>
      <c r="M551" s="1242" t="s">
        <v>1452</v>
      </c>
      <c r="N551" s="1243"/>
      <c r="O551" s="1243"/>
      <c r="P551" s="1244"/>
      <c r="Q551" s="1242" t="s">
        <v>1453</v>
      </c>
      <c r="R551" s="1243"/>
      <c r="S551" s="1244"/>
      <c r="T551" s="1242" t="s">
        <v>1454</v>
      </c>
      <c r="U551" s="1243"/>
      <c r="V551" s="1244"/>
      <c r="W551" s="1242" t="s">
        <v>1455</v>
      </c>
      <c r="X551" s="1243"/>
      <c r="Y551" s="1244"/>
      <c r="Z551" s="1242" t="s">
        <v>1456</v>
      </c>
      <c r="AA551" s="1243"/>
      <c r="AB551" s="1243"/>
      <c r="AC551" s="1243"/>
      <c r="AD551" s="1244"/>
      <c r="AE551" s="1242" t="s">
        <v>1457</v>
      </c>
      <c r="AF551" s="1243"/>
      <c r="AG551" s="1243"/>
      <c r="AH551" s="1244"/>
      <c r="AI551" s="1242" t="s">
        <v>1458</v>
      </c>
      <c r="AJ551" s="1243"/>
      <c r="AK551" s="1243"/>
      <c r="AL551" s="1244"/>
      <c r="AM551" s="1242" t="s">
        <v>1459</v>
      </c>
      <c r="AN551" s="1243"/>
      <c r="AO551" s="1243"/>
      <c r="AP551" s="1243"/>
      <c r="AQ551" s="1243"/>
      <c r="AR551" s="1243"/>
      <c r="AS551" s="1244"/>
      <c r="BB551" s="3"/>
      <c r="BC551" s="3"/>
      <c r="BD551" s="3"/>
      <c r="BE551" s="3"/>
      <c r="BF551" s="3"/>
      <c r="BG551" s="3"/>
      <c r="BH551" s="3" t="s">
        <v>81</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245"/>
      <c r="C552" s="1246"/>
      <c r="D552" s="1246"/>
      <c r="E552" s="1246"/>
      <c r="F552" s="1246"/>
      <c r="G552" s="1246"/>
      <c r="H552" s="1246"/>
      <c r="I552" s="1246"/>
      <c r="J552" s="1246"/>
      <c r="K552" s="1246"/>
      <c r="L552" s="1247"/>
      <c r="M552" s="1245"/>
      <c r="N552" s="1246"/>
      <c r="O552" s="1246"/>
      <c r="P552" s="1247"/>
      <c r="Q552" s="1245"/>
      <c r="R552" s="1246"/>
      <c r="S552" s="1247"/>
      <c r="T552" s="1245"/>
      <c r="U552" s="1246"/>
      <c r="V552" s="1247"/>
      <c r="W552" s="1245"/>
      <c r="X552" s="1246"/>
      <c r="Y552" s="1247"/>
      <c r="Z552" s="1245"/>
      <c r="AA552" s="1246"/>
      <c r="AB552" s="1246"/>
      <c r="AC552" s="1246"/>
      <c r="AD552" s="1247"/>
      <c r="AE552" s="1245"/>
      <c r="AF552" s="1246"/>
      <c r="AG552" s="1246"/>
      <c r="AH552" s="1247"/>
      <c r="AI552" s="1245"/>
      <c r="AJ552" s="1246"/>
      <c r="AK552" s="1246"/>
      <c r="AL552" s="1247"/>
      <c r="AM552" s="1245"/>
      <c r="AN552" s="1246"/>
      <c r="AO552" s="1246"/>
      <c r="AP552" s="1246"/>
      <c r="AQ552" s="1246"/>
      <c r="AR552" s="1246"/>
      <c r="AS552" s="1247"/>
      <c r="AU552" s="107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248"/>
      <c r="C553" s="1249"/>
      <c r="D553" s="1249"/>
      <c r="E553" s="1249"/>
      <c r="F553" s="1249"/>
      <c r="G553" s="1249"/>
      <c r="H553" s="1249"/>
      <c r="I553" s="1249"/>
      <c r="J553" s="1249"/>
      <c r="K553" s="1249"/>
      <c r="L553" s="1250"/>
      <c r="M553" s="1248"/>
      <c r="N553" s="1249"/>
      <c r="O553" s="1249"/>
      <c r="P553" s="1250"/>
      <c r="Q553" s="1248"/>
      <c r="R553" s="1249"/>
      <c r="S553" s="1250"/>
      <c r="T553" s="1248"/>
      <c r="U553" s="1249"/>
      <c r="V553" s="1250"/>
      <c r="W553" s="1248"/>
      <c r="X553" s="1249"/>
      <c r="Y553" s="1250"/>
      <c r="Z553" s="1248"/>
      <c r="AA553" s="1249"/>
      <c r="AB553" s="1249"/>
      <c r="AC553" s="1249"/>
      <c r="AD553" s="1250"/>
      <c r="AE553" s="1248"/>
      <c r="AF553" s="1249"/>
      <c r="AG553" s="1249"/>
      <c r="AH553" s="1250"/>
      <c r="AI553" s="1248"/>
      <c r="AJ553" s="1249"/>
      <c r="AK553" s="1249"/>
      <c r="AL553" s="1250"/>
      <c r="AM553" s="1248"/>
      <c r="AN553" s="1249"/>
      <c r="AO553" s="1249"/>
      <c r="AP553" s="1249"/>
      <c r="AQ553" s="1249"/>
      <c r="AR553" s="1249"/>
      <c r="AS553" s="1250"/>
      <c r="AU553" s="107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44" t="s">
        <v>17</v>
      </c>
      <c r="C554" s="1291" t="s">
        <v>1460</v>
      </c>
      <c r="D554" s="1291"/>
      <c r="E554" s="1291"/>
      <c r="F554" s="1291"/>
      <c r="G554" s="1291"/>
      <c r="H554" s="1291"/>
      <c r="I554" s="1291"/>
      <c r="J554" s="1291"/>
      <c r="K554" s="1291"/>
      <c r="L554" s="1291"/>
      <c r="M554" s="1291" t="s">
        <v>1433</v>
      </c>
      <c r="N554" s="1291"/>
      <c r="O554" s="1291"/>
      <c r="P554" s="1291"/>
      <c r="Q554" s="1255">
        <v>24</v>
      </c>
      <c r="R554" s="1255"/>
      <c r="S554" s="1256"/>
      <c r="T554" s="1254"/>
      <c r="U554" s="1255"/>
      <c r="V554" s="1256"/>
      <c r="W554" s="1287">
        <v>6.5000000000000002E-2</v>
      </c>
      <c r="X554" s="1288"/>
      <c r="Y554" s="1289"/>
      <c r="Z554" s="1280" t="s">
        <v>1461</v>
      </c>
      <c r="AA554" s="1280"/>
      <c r="AB554" s="1280"/>
      <c r="AC554" s="1280"/>
      <c r="AD554" s="1280"/>
      <c r="AE554" s="1277">
        <v>1</v>
      </c>
      <c r="AF554" s="1278"/>
      <c r="AG554" s="1278"/>
      <c r="AH554" s="1279"/>
      <c r="AI554" s="1257"/>
      <c r="AJ554" s="1258"/>
      <c r="AK554" s="1258"/>
      <c r="AL554" s="1259"/>
      <c r="AM554" s="1265">
        <v>16993197</v>
      </c>
      <c r="AN554" s="1266"/>
      <c r="AO554" s="1266"/>
      <c r="AP554" s="1266"/>
      <c r="AQ554" s="1266"/>
      <c r="AR554" s="1266"/>
      <c r="AS554" s="1267"/>
      <c r="AT554" s="1072"/>
      <c r="AU554" s="107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45" t="s">
        <v>30</v>
      </c>
      <c r="C555" s="1373" t="s">
        <v>1462</v>
      </c>
      <c r="D555" s="1373"/>
      <c r="E555" s="1373"/>
      <c r="F555" s="1373"/>
      <c r="G555" s="1373"/>
      <c r="H555" s="1373"/>
      <c r="I555" s="1373"/>
      <c r="J555" s="1373"/>
      <c r="K555" s="1373"/>
      <c r="L555" s="1373"/>
      <c r="M555" s="1291" t="s">
        <v>1424</v>
      </c>
      <c r="N555" s="1291"/>
      <c r="O555" s="1291"/>
      <c r="P555" s="1291"/>
      <c r="Q555" s="1254">
        <v>24</v>
      </c>
      <c r="R555" s="1255"/>
      <c r="S555" s="1256"/>
      <c r="T555" s="1254"/>
      <c r="U555" s="1255"/>
      <c r="V555" s="1256"/>
      <c r="W555" s="1287">
        <v>7.0000000000000007E-2</v>
      </c>
      <c r="X555" s="1288"/>
      <c r="Y555" s="1289"/>
      <c r="Z555" s="1280" t="s">
        <v>1461</v>
      </c>
      <c r="AA555" s="1280"/>
      <c r="AB555" s="1280"/>
      <c r="AC555" s="1280"/>
      <c r="AD555" s="1280"/>
      <c r="AE555" s="1277">
        <v>1</v>
      </c>
      <c r="AF555" s="1278"/>
      <c r="AG555" s="1278"/>
      <c r="AH555" s="1279"/>
      <c r="AI555" s="1257"/>
      <c r="AJ555" s="1258"/>
      <c r="AK555" s="1258"/>
      <c r="AL555" s="1259"/>
      <c r="AM555" s="1265">
        <v>1809339</v>
      </c>
      <c r="AN555" s="1266"/>
      <c r="AO555" s="1266"/>
      <c r="AP555" s="1266"/>
      <c r="AQ555" s="1266"/>
      <c r="AR555" s="1266"/>
      <c r="AS555" s="1267"/>
      <c r="AT555" s="1072" t="str">
        <f>IF(AND(NOT(C554=""),C555="",NOT(C556="")),"!","")</f>
        <v/>
      </c>
      <c r="AU555" s="107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45" t="s">
        <v>38</v>
      </c>
      <c r="C556" s="1373" t="s">
        <v>1463</v>
      </c>
      <c r="D556" s="1373"/>
      <c r="E556" s="1373"/>
      <c r="F556" s="1373"/>
      <c r="G556" s="1373"/>
      <c r="H556" s="1373"/>
      <c r="I556" s="1373"/>
      <c r="J556" s="1373"/>
      <c r="K556" s="1373"/>
      <c r="L556" s="1373"/>
      <c r="M556" s="1291" t="s">
        <v>1417</v>
      </c>
      <c r="N556" s="1291"/>
      <c r="O556" s="1291"/>
      <c r="P556" s="1291"/>
      <c r="Q556" s="1254"/>
      <c r="R556" s="1255"/>
      <c r="S556" s="1256"/>
      <c r="T556" s="1254"/>
      <c r="U556" s="1255"/>
      <c r="V556" s="1256"/>
      <c r="W556" s="1287"/>
      <c r="X556" s="1288"/>
      <c r="Y556" s="1289"/>
      <c r="Z556" s="1280" t="s">
        <v>1076</v>
      </c>
      <c r="AA556" s="1280"/>
      <c r="AB556" s="1280"/>
      <c r="AC556" s="1280"/>
      <c r="AD556" s="1280"/>
      <c r="AE556" s="1277"/>
      <c r="AF556" s="1278"/>
      <c r="AG556" s="1278"/>
      <c r="AH556" s="1279"/>
      <c r="AI556" s="1257"/>
      <c r="AJ556" s="1258"/>
      <c r="AK556" s="1258"/>
      <c r="AL556" s="1259"/>
      <c r="AM556" s="1265">
        <v>3386751</v>
      </c>
      <c r="AN556" s="1266"/>
      <c r="AO556" s="1266"/>
      <c r="AP556" s="1266"/>
      <c r="AQ556" s="1266"/>
      <c r="AR556" s="1266"/>
      <c r="AS556" s="1267"/>
      <c r="AT556" s="1072" t="str">
        <f>IF(AND(NOT(C555=""),C556="",NOT(C557="")),"!","")</f>
        <v/>
      </c>
      <c r="AU556" s="107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45" t="s">
        <v>81</v>
      </c>
      <c r="C557" s="1373" t="s">
        <v>1464</v>
      </c>
      <c r="D557" s="1373"/>
      <c r="E557" s="1373"/>
      <c r="F557" s="1373"/>
      <c r="G557" s="1373"/>
      <c r="H557" s="1373"/>
      <c r="I557" s="1373"/>
      <c r="J557" s="1373"/>
      <c r="K557" s="1373"/>
      <c r="L557" s="1373"/>
      <c r="M557" s="1291" t="s">
        <v>1417</v>
      </c>
      <c r="N557" s="1291"/>
      <c r="O557" s="1291"/>
      <c r="P557" s="1291"/>
      <c r="Q557" s="1254"/>
      <c r="R557" s="1255"/>
      <c r="S557" s="1256"/>
      <c r="T557" s="1254"/>
      <c r="U557" s="1255"/>
      <c r="V557" s="1256"/>
      <c r="W557" s="1287"/>
      <c r="X557" s="1288"/>
      <c r="Y557" s="1289"/>
      <c r="Z557" s="1280" t="s">
        <v>1076</v>
      </c>
      <c r="AA557" s="1280"/>
      <c r="AB557" s="1280"/>
      <c r="AC557" s="1280"/>
      <c r="AD557" s="1280"/>
      <c r="AE557" s="1277"/>
      <c r="AF557" s="1278"/>
      <c r="AG557" s="1278"/>
      <c r="AH557" s="1279"/>
      <c r="AI557" s="1257"/>
      <c r="AJ557" s="1258"/>
      <c r="AK557" s="1258"/>
      <c r="AL557" s="1259"/>
      <c r="AM557" s="1265">
        <v>1895767</v>
      </c>
      <c r="AN557" s="1266"/>
      <c r="AO557" s="1266"/>
      <c r="AP557" s="1266"/>
      <c r="AQ557" s="1266"/>
      <c r="AR557" s="1266"/>
      <c r="AS557" s="1267"/>
      <c r="AT557" s="1072" t="str">
        <f>IF(AND(NOT(C556=""),C557="",NOT(C558="")),"!","")</f>
        <v/>
      </c>
      <c r="AU557" s="107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45" t="s">
        <v>85</v>
      </c>
      <c r="C558" s="1373" t="s">
        <v>1465</v>
      </c>
      <c r="D558" s="1373"/>
      <c r="E558" s="1373"/>
      <c r="F558" s="1373"/>
      <c r="G558" s="1373"/>
      <c r="H558" s="1373"/>
      <c r="I558" s="1373"/>
      <c r="J558" s="1373"/>
      <c r="K558" s="1373"/>
      <c r="L558" s="1373"/>
      <c r="M558" s="1291" t="s">
        <v>1428</v>
      </c>
      <c r="N558" s="1291"/>
      <c r="O558" s="1291"/>
      <c r="P558" s="1291"/>
      <c r="Q558" s="1254"/>
      <c r="R558" s="1255"/>
      <c r="S558" s="1256"/>
      <c r="T558" s="1254"/>
      <c r="U558" s="1255"/>
      <c r="V558" s="1256"/>
      <c r="W558" s="1287"/>
      <c r="X558" s="1288"/>
      <c r="Y558" s="1289"/>
      <c r="Z558" s="1280" t="s">
        <v>1466</v>
      </c>
      <c r="AA558" s="1280"/>
      <c r="AB558" s="1280"/>
      <c r="AC558" s="1280"/>
      <c r="AD558" s="1280"/>
      <c r="AE558" s="1277"/>
      <c r="AF558" s="1278"/>
      <c r="AG558" s="1278"/>
      <c r="AH558" s="1279"/>
      <c r="AI558" s="1257"/>
      <c r="AJ558" s="1258"/>
      <c r="AK558" s="1258"/>
      <c r="AL558" s="1259"/>
      <c r="AM558" s="1265">
        <v>2200000</v>
      </c>
      <c r="AN558" s="1266"/>
      <c r="AO558" s="1266"/>
      <c r="AP558" s="1266"/>
      <c r="AQ558" s="1266"/>
      <c r="AR558" s="1266"/>
      <c r="AS558" s="1267"/>
      <c r="AT558" s="1072" t="str">
        <f t="shared" ref="AT558:AT565" si="0">IF(AND(NOT(C557=""),C558="",NOT(C559="")),"!","")</f>
        <v/>
      </c>
      <c r="AU558" s="1071"/>
      <c r="BB558" s="3"/>
      <c r="BC558" s="3"/>
      <c r="BD558" s="3"/>
      <c r="BE558" s="3"/>
      <c r="BF558" s="3"/>
      <c r="BG558" s="3"/>
      <c r="BH558" s="3" t="s">
        <v>85</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45" t="s">
        <v>1467</v>
      </c>
      <c r="C559" s="1373" t="s">
        <v>1468</v>
      </c>
      <c r="D559" s="1373"/>
      <c r="E559" s="1373"/>
      <c r="F559" s="1373"/>
      <c r="G559" s="1373"/>
      <c r="H559" s="1373"/>
      <c r="I559" s="1373"/>
      <c r="J559" s="1373"/>
      <c r="K559" s="1373"/>
      <c r="L559" s="1373"/>
      <c r="M559" s="1291" t="s">
        <v>1428</v>
      </c>
      <c r="N559" s="1291"/>
      <c r="O559" s="1291"/>
      <c r="P559" s="1291"/>
      <c r="Q559" s="1254"/>
      <c r="R559" s="1255"/>
      <c r="S559" s="1256"/>
      <c r="T559" s="1254"/>
      <c r="U559" s="1255"/>
      <c r="V559" s="1256"/>
      <c r="W559" s="1287"/>
      <c r="X559" s="1288"/>
      <c r="Y559" s="1289"/>
      <c r="Z559" s="1280" t="s">
        <v>1076</v>
      </c>
      <c r="AA559" s="1280"/>
      <c r="AB559" s="1280"/>
      <c r="AC559" s="1280"/>
      <c r="AD559" s="1280"/>
      <c r="AE559" s="1277"/>
      <c r="AF559" s="1278"/>
      <c r="AG559" s="1278"/>
      <c r="AH559" s="1279"/>
      <c r="AI559" s="1257"/>
      <c r="AJ559" s="1258"/>
      <c r="AK559" s="1258"/>
      <c r="AL559" s="1259"/>
      <c r="AM559" s="1265">
        <v>2500000</v>
      </c>
      <c r="AN559" s="1266"/>
      <c r="AO559" s="1266"/>
      <c r="AP559" s="1266"/>
      <c r="AQ559" s="1266"/>
      <c r="AR559" s="1266"/>
      <c r="AS559" s="1267"/>
      <c r="AT559" s="1072" t="str">
        <f t="shared" si="0"/>
        <v/>
      </c>
      <c r="AU559" s="1071"/>
      <c r="BB559" s="3"/>
      <c r="BC559" s="3"/>
      <c r="BD559" s="3"/>
      <c r="BE559" s="3"/>
      <c r="BF559" s="3"/>
      <c r="BG559" s="3"/>
      <c r="BH559" s="3" t="s">
        <v>1467</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45" t="s">
        <v>1469</v>
      </c>
      <c r="C560" s="1373" t="s">
        <v>1470</v>
      </c>
      <c r="D560" s="1373"/>
      <c r="E560" s="1373"/>
      <c r="F560" s="1373"/>
      <c r="G560" s="1373"/>
      <c r="H560" s="1373"/>
      <c r="I560" s="1373"/>
      <c r="J560" s="1373"/>
      <c r="K560" s="1373"/>
      <c r="L560" s="1373"/>
      <c r="M560" s="1291" t="s">
        <v>1428</v>
      </c>
      <c r="N560" s="1291"/>
      <c r="O560" s="1291"/>
      <c r="P560" s="1291"/>
      <c r="Q560" s="1254"/>
      <c r="R560" s="1255"/>
      <c r="S560" s="1256"/>
      <c r="T560" s="1254"/>
      <c r="U560" s="1255"/>
      <c r="V560" s="1256"/>
      <c r="W560" s="1287"/>
      <c r="X560" s="1288"/>
      <c r="Y560" s="1289"/>
      <c r="Z560" s="1280" t="s">
        <v>1076</v>
      </c>
      <c r="AA560" s="1280"/>
      <c r="AB560" s="1280"/>
      <c r="AC560" s="1280"/>
      <c r="AD560" s="1280"/>
      <c r="AE560" s="1277"/>
      <c r="AF560" s="1278"/>
      <c r="AG560" s="1278"/>
      <c r="AH560" s="1279"/>
      <c r="AI560" s="1257"/>
      <c r="AJ560" s="1258"/>
      <c r="AK560" s="1258"/>
      <c r="AL560" s="1259"/>
      <c r="AM560" s="1265">
        <v>2750000</v>
      </c>
      <c r="AN560" s="1266"/>
      <c r="AO560" s="1266"/>
      <c r="AP560" s="1266"/>
      <c r="AQ560" s="1266"/>
      <c r="AR560" s="1266"/>
      <c r="AS560" s="1267"/>
      <c r="AT560" s="1072" t="str">
        <f t="shared" si="0"/>
        <v/>
      </c>
      <c r="AU560" s="107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45" t="s">
        <v>1471</v>
      </c>
      <c r="C561" s="1373" t="s">
        <v>1472</v>
      </c>
      <c r="D561" s="1373"/>
      <c r="E561" s="1373"/>
      <c r="F561" s="1373"/>
      <c r="G561" s="1373"/>
      <c r="H561" s="1373"/>
      <c r="I561" s="1373"/>
      <c r="J561" s="1373"/>
      <c r="K561" s="1373"/>
      <c r="L561" s="1373"/>
      <c r="M561" s="1291" t="s">
        <v>1409</v>
      </c>
      <c r="N561" s="1291"/>
      <c r="O561" s="1291"/>
      <c r="P561" s="1291"/>
      <c r="Q561" s="1254"/>
      <c r="R561" s="1255"/>
      <c r="S561" s="1256"/>
      <c r="T561" s="1254"/>
      <c r="U561" s="1255"/>
      <c r="V561" s="1256"/>
      <c r="W561" s="1287"/>
      <c r="X561" s="1288"/>
      <c r="Y561" s="1289"/>
      <c r="Z561" s="1280" t="s">
        <v>1076</v>
      </c>
      <c r="AA561" s="1280"/>
      <c r="AB561" s="1280"/>
      <c r="AC561" s="1280"/>
      <c r="AD561" s="1280"/>
      <c r="AE561" s="1277"/>
      <c r="AF561" s="1278"/>
      <c r="AG561" s="1278"/>
      <c r="AH561" s="1279"/>
      <c r="AI561" s="1257"/>
      <c r="AJ561" s="1258"/>
      <c r="AK561" s="1258"/>
      <c r="AL561" s="1259"/>
      <c r="AM561" s="1265">
        <f>35418549-31535054</f>
        <v>3883495</v>
      </c>
      <c r="AN561" s="1266"/>
      <c r="AO561" s="1266"/>
      <c r="AP561" s="1266"/>
      <c r="AQ561" s="1266"/>
      <c r="AR561" s="1266"/>
      <c r="AS561" s="1267"/>
      <c r="AT561" s="1072" t="str">
        <f t="shared" si="0"/>
        <v/>
      </c>
      <c r="AU561" s="107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45" t="s">
        <v>1473</v>
      </c>
      <c r="C562" s="1373"/>
      <c r="D562" s="1373"/>
      <c r="E562" s="1373"/>
      <c r="F562" s="1373"/>
      <c r="G562" s="1373"/>
      <c r="H562" s="1373"/>
      <c r="I562" s="1373"/>
      <c r="J562" s="1373"/>
      <c r="K562" s="1373"/>
      <c r="L562" s="1373"/>
      <c r="M562" s="1291" t="s">
        <v>1076</v>
      </c>
      <c r="N562" s="1291"/>
      <c r="O562" s="1291"/>
      <c r="P562" s="1291"/>
      <c r="Q562" s="1254"/>
      <c r="R562" s="1255"/>
      <c r="S562" s="1256"/>
      <c r="T562" s="1254"/>
      <c r="U562" s="1255"/>
      <c r="V562" s="1256"/>
      <c r="W562" s="1287"/>
      <c r="X562" s="1288"/>
      <c r="Y562" s="1289"/>
      <c r="Z562" s="1280" t="s">
        <v>1076</v>
      </c>
      <c r="AA562" s="1280"/>
      <c r="AB562" s="1280"/>
      <c r="AC562" s="1280"/>
      <c r="AD562" s="1280"/>
      <c r="AE562" s="1277"/>
      <c r="AF562" s="1278"/>
      <c r="AG562" s="1278"/>
      <c r="AH562" s="1279"/>
      <c r="AI562" s="1257"/>
      <c r="AJ562" s="1258"/>
      <c r="AK562" s="1258"/>
      <c r="AL562" s="1259"/>
      <c r="AM562" s="1265"/>
      <c r="AN562" s="1266"/>
      <c r="AO562" s="1266"/>
      <c r="AP562" s="1266"/>
      <c r="AQ562" s="1266"/>
      <c r="AR562" s="1266"/>
      <c r="AS562" s="1267"/>
      <c r="AT562" s="1072" t="str">
        <f t="shared" si="0"/>
        <v/>
      </c>
      <c r="AU562" s="107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45" t="s">
        <v>1474</v>
      </c>
      <c r="C563" s="1373"/>
      <c r="D563" s="1373"/>
      <c r="E563" s="1373"/>
      <c r="F563" s="1373"/>
      <c r="G563" s="1373"/>
      <c r="H563" s="1373"/>
      <c r="I563" s="1373"/>
      <c r="J563" s="1373"/>
      <c r="K563" s="1373"/>
      <c r="L563" s="1373"/>
      <c r="M563" s="1291" t="s">
        <v>1076</v>
      </c>
      <c r="N563" s="1291"/>
      <c r="O563" s="1291"/>
      <c r="P563" s="1291"/>
      <c r="Q563" s="1254"/>
      <c r="R563" s="1255"/>
      <c r="S563" s="1256"/>
      <c r="T563" s="1254"/>
      <c r="U563" s="1255"/>
      <c r="V563" s="1256"/>
      <c r="W563" s="1287"/>
      <c r="X563" s="1288"/>
      <c r="Y563" s="1289"/>
      <c r="Z563" s="1280" t="s">
        <v>1076</v>
      </c>
      <c r="AA563" s="1280"/>
      <c r="AB563" s="1280"/>
      <c r="AC563" s="1280"/>
      <c r="AD563" s="1280"/>
      <c r="AE563" s="1277"/>
      <c r="AF563" s="1278"/>
      <c r="AG563" s="1278"/>
      <c r="AH563" s="1279"/>
      <c r="AI563" s="1257"/>
      <c r="AJ563" s="1258"/>
      <c r="AK563" s="1258"/>
      <c r="AL563" s="1259"/>
      <c r="AM563" s="1265"/>
      <c r="AN563" s="1266"/>
      <c r="AO563" s="1266"/>
      <c r="AP563" s="1266"/>
      <c r="AQ563" s="1266"/>
      <c r="AR563" s="1266"/>
      <c r="AS563" s="1267"/>
      <c r="AT563" s="107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45" t="s">
        <v>1475</v>
      </c>
      <c r="C564" s="1373"/>
      <c r="D564" s="1373"/>
      <c r="E564" s="1373"/>
      <c r="F564" s="1373"/>
      <c r="G564" s="1373"/>
      <c r="H564" s="1373"/>
      <c r="I564" s="1373"/>
      <c r="J564" s="1373"/>
      <c r="K564" s="1373"/>
      <c r="L564" s="1373"/>
      <c r="M564" s="1291" t="s">
        <v>1076</v>
      </c>
      <c r="N564" s="1291"/>
      <c r="O564" s="1291"/>
      <c r="P564" s="1291"/>
      <c r="Q564" s="1254"/>
      <c r="R564" s="1255"/>
      <c r="S564" s="1256"/>
      <c r="T564" s="1254"/>
      <c r="U564" s="1255"/>
      <c r="V564" s="1256"/>
      <c r="W564" s="1287"/>
      <c r="X564" s="1288"/>
      <c r="Y564" s="1289"/>
      <c r="Z564" s="1280" t="s">
        <v>1076</v>
      </c>
      <c r="AA564" s="1280"/>
      <c r="AB564" s="1280"/>
      <c r="AC564" s="1280"/>
      <c r="AD564" s="1280"/>
      <c r="AE564" s="1277"/>
      <c r="AF564" s="1278"/>
      <c r="AG564" s="1278"/>
      <c r="AH564" s="1279"/>
      <c r="AI564" s="1257"/>
      <c r="AJ564" s="1258"/>
      <c r="AK564" s="1258"/>
      <c r="AL564" s="1259"/>
      <c r="AM564" s="1265"/>
      <c r="AN564" s="1266"/>
      <c r="AO564" s="1266"/>
      <c r="AP564" s="1266"/>
      <c r="AQ564" s="1266"/>
      <c r="AR564" s="1266"/>
      <c r="AS564" s="1267"/>
      <c r="AT564" s="107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45" t="s">
        <v>1476</v>
      </c>
      <c r="C565" s="1373"/>
      <c r="D565" s="1373"/>
      <c r="E565" s="1373"/>
      <c r="F565" s="1373"/>
      <c r="G565" s="1373"/>
      <c r="H565" s="1373"/>
      <c r="I565" s="1373"/>
      <c r="J565" s="1373"/>
      <c r="K565" s="1373"/>
      <c r="L565" s="1373"/>
      <c r="M565" s="1291" t="s">
        <v>1076</v>
      </c>
      <c r="N565" s="1291"/>
      <c r="O565" s="1291"/>
      <c r="P565" s="1291"/>
      <c r="Q565" s="1254"/>
      <c r="R565" s="1255"/>
      <c r="S565" s="1256"/>
      <c r="T565" s="1254"/>
      <c r="U565" s="1255"/>
      <c r="V565" s="1256"/>
      <c r="W565" s="1287"/>
      <c r="X565" s="1288"/>
      <c r="Y565" s="1289"/>
      <c r="Z565" s="1280" t="s">
        <v>1076</v>
      </c>
      <c r="AA565" s="1280"/>
      <c r="AB565" s="1280"/>
      <c r="AC565" s="1280"/>
      <c r="AD565" s="1280"/>
      <c r="AE565" s="1277"/>
      <c r="AF565" s="1278"/>
      <c r="AG565" s="1278"/>
      <c r="AH565" s="1279"/>
      <c r="AI565" s="1257"/>
      <c r="AJ565" s="1258"/>
      <c r="AK565" s="1258"/>
      <c r="AL565" s="1259"/>
      <c r="AM565" s="1265"/>
      <c r="AN565" s="1266"/>
      <c r="AO565" s="1266"/>
      <c r="AP565" s="1266"/>
      <c r="AQ565" s="1266"/>
      <c r="AR565" s="1266"/>
      <c r="AS565" s="1267"/>
      <c r="AT565" s="107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390" t="s">
        <v>1477</v>
      </c>
      <c r="C566" s="1391"/>
      <c r="D566" s="1391"/>
      <c r="E566" s="1391"/>
      <c r="F566" s="1391"/>
      <c r="G566" s="1391"/>
      <c r="H566" s="1391"/>
      <c r="I566" s="1391"/>
      <c r="J566" s="1391"/>
      <c r="K566" s="1391"/>
      <c r="L566" s="1391"/>
      <c r="M566" s="1391"/>
      <c r="N566" s="1391"/>
      <c r="O566" s="1391"/>
      <c r="P566" s="1391"/>
      <c r="Q566" s="1391"/>
      <c r="R566" s="1391"/>
      <c r="S566" s="1391"/>
      <c r="T566" s="1391"/>
      <c r="U566" s="1462"/>
      <c r="V566" s="1391"/>
      <c r="W566" s="1391"/>
      <c r="X566" s="1391"/>
      <c r="Y566" s="1391"/>
      <c r="Z566" s="1391"/>
      <c r="AA566" s="1391"/>
      <c r="AB566" s="1391"/>
      <c r="AC566" s="1391"/>
      <c r="AD566" s="1391"/>
      <c r="AE566" s="1391"/>
      <c r="AF566" s="1391"/>
      <c r="AG566" s="1391"/>
      <c r="AH566" s="1391"/>
      <c r="AI566" s="1391"/>
      <c r="AJ566" s="1391"/>
      <c r="AK566" s="1391"/>
      <c r="AL566" s="1392"/>
      <c r="AM566" s="1406">
        <f>SUM(AM554:AS565)</f>
        <v>35418549</v>
      </c>
      <c r="AN566" s="1407"/>
      <c r="AO566" s="1407"/>
      <c r="AP566" s="1407"/>
      <c r="AQ566" s="1407"/>
      <c r="AR566" s="1407"/>
      <c r="AS566" s="1408"/>
      <c r="BB566" s="3"/>
      <c r="BC566" s="3"/>
      <c r="BD566" s="3"/>
      <c r="BE566" s="3"/>
      <c r="BF566" s="3"/>
      <c r="BG566" s="3"/>
      <c r="BH566" s="3" t="s">
        <v>1469</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49"/>
      <c r="C567" s="49"/>
      <c r="D567" s="49"/>
      <c r="E567" s="49"/>
      <c r="F567" s="49"/>
      <c r="G567" s="49"/>
      <c r="H567" s="49"/>
      <c r="I567" s="49"/>
      <c r="J567" s="49"/>
      <c r="K567" s="49"/>
      <c r="L567" s="49"/>
      <c r="M567" s="49"/>
      <c r="N567" s="49"/>
      <c r="O567" s="49"/>
      <c r="P567" s="49"/>
      <c r="Q567" s="49"/>
      <c r="R567" s="49"/>
      <c r="S567" s="49"/>
      <c r="T567" s="49"/>
      <c r="U567" s="49"/>
      <c r="V567" s="49"/>
      <c r="W567" s="49"/>
      <c r="X567" s="49"/>
      <c r="Y567" s="49"/>
      <c r="Z567" s="49"/>
      <c r="AA567" s="49"/>
      <c r="AB567" s="49"/>
      <c r="AC567" s="49"/>
      <c r="AD567" s="49"/>
      <c r="AE567" s="90"/>
      <c r="AF567" s="90"/>
      <c r="AG567" s="90"/>
      <c r="AH567" s="90"/>
      <c r="AI567" s="90"/>
      <c r="AJ567" s="90"/>
      <c r="AK567" s="90"/>
      <c r="BB567" s="3"/>
      <c r="BC567" s="3"/>
      <c r="BD567" s="3"/>
      <c r="BE567" s="3"/>
      <c r="BF567" s="3"/>
      <c r="BG567" s="3"/>
      <c r="BH567" s="3" t="s">
        <v>1471</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48" t="s">
        <v>17</v>
      </c>
      <c r="B568" t="s">
        <v>1478</v>
      </c>
      <c r="G568" s="1290" t="str">
        <f>C554</f>
        <v>CITI Construction Loan (Tax- Exempt)</v>
      </c>
      <c r="H568" s="1290"/>
      <c r="I568" s="1290"/>
      <c r="J568" s="1290"/>
      <c r="K568" s="1290"/>
      <c r="L568" s="1290"/>
      <c r="M568" s="1290"/>
      <c r="N568" s="1290"/>
      <c r="O568" s="1290"/>
      <c r="P568" s="1290"/>
      <c r="Q568" s="1290"/>
      <c r="R568" s="1290"/>
      <c r="S568" s="8"/>
      <c r="T568" s="48" t="s">
        <v>30</v>
      </c>
      <c r="U568" t="s">
        <v>1478</v>
      </c>
      <c r="Z568" s="1290" t="str">
        <f>C555</f>
        <v>CITI Construction Loan (Taxable)</v>
      </c>
      <c r="AA568" s="1290"/>
      <c r="AB568" s="1290"/>
      <c r="AC568" s="1290"/>
      <c r="AD568" s="1290"/>
      <c r="AE568" s="1290"/>
      <c r="AF568" s="1290"/>
      <c r="AG568" s="1290"/>
      <c r="AH568" s="1290"/>
      <c r="AI568" s="1290"/>
      <c r="AJ568" s="1290"/>
      <c r="AK568" s="1290"/>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0"/>
      <c r="B569" t="s">
        <v>1110</v>
      </c>
      <c r="G569" s="1232" t="s">
        <v>1479</v>
      </c>
      <c r="H569" s="1232"/>
      <c r="I569" s="1232"/>
      <c r="J569" s="1232"/>
      <c r="K569" s="1232"/>
      <c r="L569" s="1232"/>
      <c r="M569" s="1232"/>
      <c r="N569" s="1232"/>
      <c r="O569" s="1232"/>
      <c r="P569" s="1232"/>
      <c r="Q569" s="1232"/>
      <c r="R569" s="1232"/>
      <c r="S569" s="8"/>
      <c r="T569" s="20"/>
      <c r="U569" t="s">
        <v>1110</v>
      </c>
      <c r="Z569" s="1232" t="s">
        <v>1479</v>
      </c>
      <c r="AA569" s="1232"/>
      <c r="AB569" s="1232"/>
      <c r="AC569" s="1232"/>
      <c r="AD569" s="1232"/>
      <c r="AE569" s="1232"/>
      <c r="AF569" s="1232"/>
      <c r="AG569" s="1232"/>
      <c r="AH569" s="1232"/>
      <c r="AI569" s="1232"/>
      <c r="AJ569" s="1232"/>
      <c r="AK569" s="1232"/>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0"/>
      <c r="B570" t="s">
        <v>981</v>
      </c>
      <c r="G570" s="1232" t="s">
        <v>1480</v>
      </c>
      <c r="H570" s="1232"/>
      <c r="I570" s="1232"/>
      <c r="J570" s="1232"/>
      <c r="K570" s="1232"/>
      <c r="L570" s="1232"/>
      <c r="M570" s="1232"/>
      <c r="N570" s="1232"/>
      <c r="O570" s="1232"/>
      <c r="P570" s="1232"/>
      <c r="Q570" s="1232"/>
      <c r="R570" s="1232"/>
      <c r="T570" s="20"/>
      <c r="U570" t="s">
        <v>981</v>
      </c>
      <c r="Z570" s="1292" t="s">
        <v>1480</v>
      </c>
      <c r="AA570" s="1292"/>
      <c r="AB570" s="1292"/>
      <c r="AC570" s="1292"/>
      <c r="AD570" s="1292"/>
      <c r="AE570" s="1292"/>
      <c r="AF570" s="1292"/>
      <c r="AG570" s="1292"/>
      <c r="AH570" s="1292"/>
      <c r="AI570" s="1292"/>
      <c r="AJ570" s="1292"/>
      <c r="AK570" s="1292"/>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0"/>
      <c r="B571" t="s">
        <v>1481</v>
      </c>
      <c r="G571" s="1232" t="s">
        <v>1482</v>
      </c>
      <c r="H571" s="1232"/>
      <c r="I571" s="1232"/>
      <c r="J571" s="1232"/>
      <c r="K571" s="1232"/>
      <c r="L571" s="1232"/>
      <c r="M571" s="1232"/>
      <c r="N571" s="1232"/>
      <c r="O571" s="1232"/>
      <c r="P571" s="1232"/>
      <c r="Q571" s="1232"/>
      <c r="R571" s="1232"/>
      <c r="S571" s="8"/>
      <c r="T571" s="20"/>
      <c r="U571" t="s">
        <v>1481</v>
      </c>
      <c r="Z571" s="1292" t="s">
        <v>1482</v>
      </c>
      <c r="AA571" s="1292"/>
      <c r="AB571" s="1292"/>
      <c r="AC571" s="1292"/>
      <c r="AD571" s="1292"/>
      <c r="AE571" s="1292"/>
      <c r="AF571" s="1292"/>
      <c r="AG571" s="1292"/>
      <c r="AH571" s="1292"/>
      <c r="AI571" s="1292"/>
      <c r="AJ571" s="1292"/>
      <c r="AK571" s="1292"/>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0"/>
      <c r="B572" t="s">
        <v>883</v>
      </c>
      <c r="G572" s="1348">
        <v>2122391914</v>
      </c>
      <c r="H572" s="1348"/>
      <c r="I572" s="1348"/>
      <c r="J572" s="1348"/>
      <c r="K572" s="1348"/>
      <c r="L572" s="1348"/>
      <c r="O572" s="949" t="s">
        <v>1119</v>
      </c>
      <c r="P572" s="1309"/>
      <c r="Q572" s="1309"/>
      <c r="R572" s="1309"/>
      <c r="S572" s="10"/>
      <c r="T572" s="20"/>
      <c r="U572" t="s">
        <v>883</v>
      </c>
      <c r="Z572" s="1348">
        <v>2122391914</v>
      </c>
      <c r="AA572" s="1348"/>
      <c r="AB572" s="1348"/>
      <c r="AC572" s="1348"/>
      <c r="AD572" s="1348"/>
      <c r="AE572" s="1348"/>
      <c r="AH572" s="949" t="s">
        <v>1119</v>
      </c>
      <c r="AI572" s="1309"/>
      <c r="AJ572" s="1309"/>
      <c r="AK572" s="1309"/>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0"/>
      <c r="B573" t="s">
        <v>1483</v>
      </c>
      <c r="H573" s="1232" t="s">
        <v>1484</v>
      </c>
      <c r="I573" s="1232"/>
      <c r="J573" s="1232"/>
      <c r="K573" s="1232"/>
      <c r="L573" s="1232"/>
      <c r="M573" s="1232"/>
      <c r="N573" s="1232"/>
      <c r="O573" s="1232"/>
      <c r="P573" s="1232"/>
      <c r="Q573" s="1232"/>
      <c r="R573" s="1232"/>
      <c r="S573" s="8"/>
      <c r="T573" s="20"/>
      <c r="U573" t="s">
        <v>1483</v>
      </c>
      <c r="AA573" s="1232" t="s">
        <v>1485</v>
      </c>
      <c r="AB573" s="1232"/>
      <c r="AC573" s="1232"/>
      <c r="AD573" s="1232"/>
      <c r="AE573" s="1232"/>
      <c r="AF573" s="1232"/>
      <c r="AG573" s="1232"/>
      <c r="AH573" s="1232"/>
      <c r="AI573" s="1232"/>
      <c r="AJ573" s="1232"/>
      <c r="AK573" s="1232"/>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0"/>
      <c r="B574" s="244" t="s">
        <v>1486</v>
      </c>
      <c r="H574" s="8"/>
      <c r="I574" s="8"/>
      <c r="J574" s="8"/>
      <c r="K574" s="8"/>
      <c r="L574" s="8"/>
      <c r="M574" s="1375"/>
      <c r="N574" s="1375"/>
      <c r="O574" s="1375"/>
      <c r="P574" s="1375"/>
      <c r="Q574" s="1375"/>
      <c r="R574" s="1375"/>
      <c r="S574" s="8"/>
      <c r="T574" s="20"/>
      <c r="U574" s="244" t="s">
        <v>1486</v>
      </c>
      <c r="AA574" s="8"/>
      <c r="AB574" s="8"/>
      <c r="AC574" s="8"/>
      <c r="AD574" s="8"/>
      <c r="AE574" s="8"/>
      <c r="AF574" s="1375"/>
      <c r="AG574" s="1375"/>
      <c r="AH574" s="1375"/>
      <c r="AI574" s="1375"/>
      <c r="AJ574" s="1375"/>
      <c r="AK574" s="1375"/>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0"/>
      <c r="B575" t="s">
        <v>1487</v>
      </c>
      <c r="N575" s="1234" t="s">
        <v>837</v>
      </c>
      <c r="O575" s="1234"/>
      <c r="T575" s="20"/>
      <c r="U575" t="s">
        <v>1487</v>
      </c>
      <c r="AG575" s="1234" t="s">
        <v>837</v>
      </c>
      <c r="AH575" s="1234"/>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0"/>
      <c r="T576" s="20"/>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48" t="s">
        <v>38</v>
      </c>
      <c r="B577" t="s">
        <v>1478</v>
      </c>
      <c r="G577" s="1290" t="str">
        <f>C556</f>
        <v>Federal LIHTC Equity</v>
      </c>
      <c r="H577" s="1290"/>
      <c r="I577" s="1290"/>
      <c r="J577" s="1290"/>
      <c r="K577" s="1290"/>
      <c r="L577" s="1290"/>
      <c r="M577" s="1290"/>
      <c r="N577" s="1290"/>
      <c r="O577" s="1290"/>
      <c r="P577" s="1290"/>
      <c r="Q577" s="1290"/>
      <c r="R577" s="1290"/>
      <c r="T577" s="48" t="s">
        <v>81</v>
      </c>
      <c r="U577" t="s">
        <v>1478</v>
      </c>
      <c r="Z577" s="1290" t="str">
        <f>C557</f>
        <v>State LIHTC Equity</v>
      </c>
      <c r="AA577" s="1290"/>
      <c r="AB577" s="1290"/>
      <c r="AC577" s="1290"/>
      <c r="AD577" s="1290"/>
      <c r="AE577" s="1290"/>
      <c r="AF577" s="1290"/>
      <c r="AG577" s="1290"/>
      <c r="AH577" s="1290"/>
      <c r="AI577" s="1290"/>
      <c r="AJ577" s="1290"/>
      <c r="AK577" s="1290"/>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0"/>
      <c r="B578" t="s">
        <v>1110</v>
      </c>
      <c r="G578" s="1232" t="s">
        <v>1210</v>
      </c>
      <c r="H578" s="1232"/>
      <c r="I578" s="1232"/>
      <c r="J578" s="1232"/>
      <c r="K578" s="1232"/>
      <c r="L578" s="1232"/>
      <c r="M578" s="1232"/>
      <c r="N578" s="1232"/>
      <c r="O578" s="1232"/>
      <c r="P578" s="1232"/>
      <c r="Q578" s="1232"/>
      <c r="R578" s="1232"/>
      <c r="T578" s="20"/>
      <c r="U578" t="s">
        <v>1110</v>
      </c>
      <c r="Z578" s="1232" t="s">
        <v>1210</v>
      </c>
      <c r="AA578" s="1232"/>
      <c r="AB578" s="1232"/>
      <c r="AC578" s="1232"/>
      <c r="AD578" s="1232"/>
      <c r="AE578" s="1232"/>
      <c r="AF578" s="1232"/>
      <c r="AG578" s="1232"/>
      <c r="AH578" s="1232"/>
      <c r="AI578" s="1232"/>
      <c r="AJ578" s="1232"/>
      <c r="AK578" s="1232"/>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0"/>
      <c r="B579" t="s">
        <v>981</v>
      </c>
      <c r="G579" s="1292" t="s">
        <v>1211</v>
      </c>
      <c r="H579" s="1292"/>
      <c r="I579" s="1292"/>
      <c r="J579" s="1292"/>
      <c r="K579" s="1292"/>
      <c r="L579" s="1292"/>
      <c r="M579" s="1292"/>
      <c r="N579" s="1292"/>
      <c r="O579" s="1292"/>
      <c r="P579" s="1292"/>
      <c r="Q579" s="1292"/>
      <c r="R579" s="1292"/>
      <c r="T579" s="20"/>
      <c r="U579" t="s">
        <v>981</v>
      </c>
      <c r="Z579" s="1292" t="s">
        <v>1211</v>
      </c>
      <c r="AA579" s="1292"/>
      <c r="AB579" s="1292"/>
      <c r="AC579" s="1292"/>
      <c r="AD579" s="1292"/>
      <c r="AE579" s="1292"/>
      <c r="AF579" s="1292"/>
      <c r="AG579" s="1292"/>
      <c r="AH579" s="1292"/>
      <c r="AI579" s="1292"/>
      <c r="AJ579" s="1292"/>
      <c r="AK579" s="1292"/>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0"/>
      <c r="B580" t="s">
        <v>1481</v>
      </c>
      <c r="G580" s="1292" t="s">
        <v>1212</v>
      </c>
      <c r="H580" s="1292"/>
      <c r="I580" s="1292"/>
      <c r="J580" s="1292"/>
      <c r="K580" s="1292"/>
      <c r="L580" s="1292"/>
      <c r="M580" s="1292"/>
      <c r="N580" s="1292"/>
      <c r="O580" s="1292"/>
      <c r="P580" s="1292"/>
      <c r="Q580" s="1292"/>
      <c r="R580" s="1292"/>
      <c r="T580" s="20"/>
      <c r="U580" t="s">
        <v>1481</v>
      </c>
      <c r="Z580" s="1292" t="s">
        <v>1212</v>
      </c>
      <c r="AA580" s="1292"/>
      <c r="AB580" s="1292"/>
      <c r="AC580" s="1292"/>
      <c r="AD580" s="1292"/>
      <c r="AE580" s="1292"/>
      <c r="AF580" s="1292"/>
      <c r="AG580" s="1292"/>
      <c r="AH580" s="1292"/>
      <c r="AI580" s="1292"/>
      <c r="AJ580" s="1292"/>
      <c r="AK580" s="1292"/>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0"/>
      <c r="B581" t="s">
        <v>883</v>
      </c>
      <c r="G581" s="1348" t="s">
        <v>1214</v>
      </c>
      <c r="H581" s="1348"/>
      <c r="I581" s="1348"/>
      <c r="J581" s="1348"/>
      <c r="K581" s="1348"/>
      <c r="L581" s="1348"/>
      <c r="O581" s="949" t="s">
        <v>1119</v>
      </c>
      <c r="P581" s="1309"/>
      <c r="Q581" s="1309"/>
      <c r="R581" s="1309"/>
      <c r="T581" s="20"/>
      <c r="U581" t="s">
        <v>883</v>
      </c>
      <c r="Z581" s="1348" t="s">
        <v>1214</v>
      </c>
      <c r="AA581" s="1348"/>
      <c r="AB581" s="1348"/>
      <c r="AC581" s="1348"/>
      <c r="AD581" s="1348"/>
      <c r="AE581" s="1348"/>
      <c r="AH581" s="949" t="s">
        <v>1119</v>
      </c>
      <c r="AI581" s="1309"/>
      <c r="AJ581" s="1309"/>
      <c r="AK581" s="1309"/>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0"/>
      <c r="B582" t="s">
        <v>1483</v>
      </c>
      <c r="H582" s="1232" t="s">
        <v>1417</v>
      </c>
      <c r="I582" s="1232"/>
      <c r="J582" s="1232"/>
      <c r="K582" s="1232"/>
      <c r="L582" s="1232"/>
      <c r="M582" s="1232"/>
      <c r="N582" s="1232"/>
      <c r="O582" s="1232"/>
      <c r="P582" s="1232"/>
      <c r="Q582" s="1232"/>
      <c r="R582" s="1232"/>
      <c r="T582" s="20"/>
      <c r="U582" t="s">
        <v>1483</v>
      </c>
      <c r="AA582" s="1232" t="s">
        <v>1417</v>
      </c>
      <c r="AB582" s="1232"/>
      <c r="AC582" s="1232"/>
      <c r="AD582" s="1232"/>
      <c r="AE582" s="1232"/>
      <c r="AF582" s="1232"/>
      <c r="AG582" s="1232"/>
      <c r="AH582" s="1232"/>
      <c r="AI582" s="1232"/>
      <c r="AJ582" s="1232"/>
      <c r="AK582" s="1232"/>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0"/>
      <c r="B583" t="s">
        <v>1487</v>
      </c>
      <c r="N583" s="1234" t="s">
        <v>837</v>
      </c>
      <c r="O583" s="1234"/>
      <c r="T583" s="20"/>
      <c r="U583" t="s">
        <v>1487</v>
      </c>
      <c r="AG583" s="1234" t="s">
        <v>837</v>
      </c>
      <c r="AH583" s="1234"/>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0"/>
      <c r="T584" s="20"/>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48" t="s">
        <v>85</v>
      </c>
      <c r="B585" t="s">
        <v>1478</v>
      </c>
      <c r="G585" s="1290" t="str">
        <f>C558</f>
        <v xml:space="preserve">San Diego Housing Commission </v>
      </c>
      <c r="H585" s="1290"/>
      <c r="I585" s="1290"/>
      <c r="J585" s="1290"/>
      <c r="K585" s="1290"/>
      <c r="L585" s="1290"/>
      <c r="M585" s="1290"/>
      <c r="N585" s="1290"/>
      <c r="O585" s="1290"/>
      <c r="P585" s="1290"/>
      <c r="Q585" s="1290"/>
      <c r="R585" s="1290"/>
      <c r="T585" s="48" t="s">
        <v>1467</v>
      </c>
      <c r="U585" t="s">
        <v>1478</v>
      </c>
      <c r="Z585" s="1290" t="str">
        <f>C559</f>
        <v>City of San Diego CDBG</v>
      </c>
      <c r="AA585" s="1290"/>
      <c r="AB585" s="1290"/>
      <c r="AC585" s="1290"/>
      <c r="AD585" s="1290"/>
      <c r="AE585" s="1290"/>
      <c r="AF585" s="1290"/>
      <c r="AG585" s="1290"/>
      <c r="AH585" s="1290"/>
      <c r="AI585" s="1290"/>
      <c r="AJ585" s="1290"/>
      <c r="AK585" s="1290"/>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0"/>
      <c r="B586" t="s">
        <v>1110</v>
      </c>
      <c r="G586" s="1232" t="s">
        <v>875</v>
      </c>
      <c r="H586" s="1232"/>
      <c r="I586" s="1232"/>
      <c r="J586" s="1232"/>
      <c r="K586" s="1232"/>
      <c r="L586" s="1232"/>
      <c r="M586" s="1232"/>
      <c r="N586" s="1232"/>
      <c r="O586" s="1232"/>
      <c r="P586" s="1232"/>
      <c r="Q586" s="1232"/>
      <c r="R586" s="1232"/>
      <c r="T586" s="20"/>
      <c r="U586" t="s">
        <v>1110</v>
      </c>
      <c r="Z586" s="1232" t="s">
        <v>1488</v>
      </c>
      <c r="AA586" s="1232"/>
      <c r="AB586" s="1232"/>
      <c r="AC586" s="1232"/>
      <c r="AD586" s="1232"/>
      <c r="AE586" s="1232"/>
      <c r="AF586" s="1232"/>
      <c r="AG586" s="1232"/>
      <c r="AH586" s="1232"/>
      <c r="AI586" s="1232"/>
      <c r="AJ586" s="1232"/>
      <c r="AK586" s="1232"/>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0"/>
      <c r="B587" t="s">
        <v>981</v>
      </c>
      <c r="G587" s="1232" t="s">
        <v>1489</v>
      </c>
      <c r="H587" s="1232"/>
      <c r="I587" s="1232"/>
      <c r="J587" s="1232"/>
      <c r="K587" s="1232"/>
      <c r="L587" s="1232"/>
      <c r="M587" s="1232"/>
      <c r="N587" s="1232"/>
      <c r="O587" s="1232"/>
      <c r="P587" s="1232"/>
      <c r="Q587" s="1232"/>
      <c r="R587" s="1232"/>
      <c r="T587" s="20"/>
      <c r="U587" t="s">
        <v>981</v>
      </c>
      <c r="Z587" s="1292" t="s">
        <v>1490</v>
      </c>
      <c r="AA587" s="1292"/>
      <c r="AB587" s="1292"/>
      <c r="AC587" s="1292"/>
      <c r="AD587" s="1292"/>
      <c r="AE587" s="1292"/>
      <c r="AF587" s="1292"/>
      <c r="AG587" s="1292"/>
      <c r="AH587" s="1292"/>
      <c r="AI587" s="1292"/>
      <c r="AJ587" s="1292"/>
      <c r="AK587" s="1292"/>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0"/>
      <c r="B588" t="s">
        <v>1481</v>
      </c>
      <c r="G588" s="1232" t="s">
        <v>1491</v>
      </c>
      <c r="H588" s="1232"/>
      <c r="I588" s="1232"/>
      <c r="J588" s="1232"/>
      <c r="K588" s="1232"/>
      <c r="L588" s="1232"/>
      <c r="M588" s="1232"/>
      <c r="N588" s="1232"/>
      <c r="O588" s="1232"/>
      <c r="P588" s="1232"/>
      <c r="Q588" s="1232"/>
      <c r="R588" s="1232"/>
      <c r="T588" s="20"/>
      <c r="U588" t="s">
        <v>1481</v>
      </c>
      <c r="Z588" s="1292" t="s">
        <v>1492</v>
      </c>
      <c r="AA588" s="1292"/>
      <c r="AB588" s="1292"/>
      <c r="AC588" s="1292"/>
      <c r="AD588" s="1292"/>
      <c r="AE588" s="1292"/>
      <c r="AF588" s="1292"/>
      <c r="AG588" s="1292"/>
      <c r="AH588" s="1292"/>
      <c r="AI588" s="1292"/>
      <c r="AJ588" s="1292"/>
      <c r="AK588" s="1292"/>
    </row>
    <row r="589" spans="1:110" ht="12.95" customHeight="1">
      <c r="A589" s="20"/>
      <c r="B589" t="s">
        <v>883</v>
      </c>
      <c r="G589" s="1348" t="s">
        <v>1493</v>
      </c>
      <c r="H589" s="1348"/>
      <c r="I589" s="1348"/>
      <c r="J589" s="1348"/>
      <c r="K589" s="1348"/>
      <c r="L589" s="1348"/>
      <c r="O589" s="949" t="s">
        <v>1119</v>
      </c>
      <c r="P589" s="1309"/>
      <c r="Q589" s="1309"/>
      <c r="R589" s="1309"/>
      <c r="T589" s="20"/>
      <c r="U589" t="s">
        <v>883</v>
      </c>
      <c r="Z589" s="1348" t="s">
        <v>1494</v>
      </c>
      <c r="AA589" s="1348"/>
      <c r="AB589" s="1348"/>
      <c r="AC589" s="1348"/>
      <c r="AD589" s="1348"/>
      <c r="AE589" s="1348"/>
      <c r="AH589" s="949" t="s">
        <v>1119</v>
      </c>
      <c r="AI589" s="1309"/>
      <c r="AJ589" s="1309"/>
      <c r="AK589" s="1309"/>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0"/>
      <c r="B590" t="s">
        <v>1483</v>
      </c>
      <c r="H590" s="1232" t="s">
        <v>1495</v>
      </c>
      <c r="I590" s="1232"/>
      <c r="J590" s="1232"/>
      <c r="K590" s="1232"/>
      <c r="L590" s="1232"/>
      <c r="M590" s="1232"/>
      <c r="N590" s="1232"/>
      <c r="O590" s="1232"/>
      <c r="P590" s="1232"/>
      <c r="Q590" s="1232"/>
      <c r="R590" s="1232"/>
      <c r="T590" s="20"/>
      <c r="U590" t="s">
        <v>1483</v>
      </c>
      <c r="AA590" s="1232" t="s">
        <v>1495</v>
      </c>
      <c r="AB590" s="1232"/>
      <c r="AC590" s="1232"/>
      <c r="AD590" s="1232"/>
      <c r="AE590" s="1232"/>
      <c r="AF590" s="1232"/>
      <c r="AG590" s="1232"/>
      <c r="AH590" s="1232"/>
      <c r="AI590" s="1232"/>
      <c r="AJ590" s="1232"/>
      <c r="AK590" s="1232"/>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0"/>
      <c r="B591" t="s">
        <v>1487</v>
      </c>
      <c r="N591" s="1234" t="s">
        <v>837</v>
      </c>
      <c r="O591" s="1234"/>
      <c r="T591" s="20"/>
      <c r="U591" t="s">
        <v>1487</v>
      </c>
      <c r="AG591" s="1234" t="s">
        <v>837</v>
      </c>
      <c r="AH591" s="1234"/>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0"/>
      <c r="T592" s="20"/>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48" t="s">
        <v>1469</v>
      </c>
      <c r="B593" t="s">
        <v>1478</v>
      </c>
      <c r="G593" s="1290" t="str">
        <f>C560</f>
        <v>County of San Diego ARPA</v>
      </c>
      <c r="H593" s="1290"/>
      <c r="I593" s="1290"/>
      <c r="J593" s="1290"/>
      <c r="K593" s="1290"/>
      <c r="L593" s="1290"/>
      <c r="M593" s="1290"/>
      <c r="N593" s="1290"/>
      <c r="O593" s="1290"/>
      <c r="P593" s="1290"/>
      <c r="Q593" s="1290"/>
      <c r="R593" s="1290"/>
      <c r="T593" s="48" t="s">
        <v>1471</v>
      </c>
      <c r="U593" t="s">
        <v>1478</v>
      </c>
      <c r="Z593" s="1290" t="str">
        <f>C561</f>
        <v>Deferred Costs</v>
      </c>
      <c r="AA593" s="1290"/>
      <c r="AB593" s="1290"/>
      <c r="AC593" s="1290"/>
      <c r="AD593" s="1290"/>
      <c r="AE593" s="1290"/>
      <c r="AF593" s="1290"/>
      <c r="AG593" s="1290"/>
      <c r="AH593" s="1290"/>
      <c r="AI593" s="1290"/>
      <c r="AJ593" s="1290"/>
      <c r="AK593" s="1290"/>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0"/>
      <c r="B594" t="s">
        <v>1110</v>
      </c>
      <c r="C594"/>
      <c r="D594"/>
      <c r="E594"/>
      <c r="F594"/>
      <c r="G594" s="1232" t="s">
        <v>1488</v>
      </c>
      <c r="H594" s="1232"/>
      <c r="I594" s="1232"/>
      <c r="J594" s="1232"/>
      <c r="K594" s="1232"/>
      <c r="L594" s="1232"/>
      <c r="M594" s="1232"/>
      <c r="N594" s="1232"/>
      <c r="O594" s="1232"/>
      <c r="P594" s="1232"/>
      <c r="Q594" s="1232"/>
      <c r="R594" s="1232"/>
      <c r="S594"/>
      <c r="T594" s="20"/>
      <c r="U594" t="s">
        <v>1110</v>
      </c>
      <c r="V594"/>
      <c r="W594"/>
      <c r="X594"/>
      <c r="Y594"/>
      <c r="Z594" s="1232" t="s">
        <v>1496</v>
      </c>
      <c r="AA594" s="1232"/>
      <c r="AB594" s="1232"/>
      <c r="AC594" s="1232"/>
      <c r="AD594" s="1232"/>
      <c r="AE594" s="1232"/>
      <c r="AF594" s="1232"/>
      <c r="AG594" s="1232"/>
      <c r="AH594" s="1232"/>
      <c r="AI594" s="1232"/>
      <c r="AJ594" s="1232"/>
      <c r="AK594" s="1232"/>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row>
    <row r="595" spans="1:157" s="4" customFormat="1" ht="12.95" customHeight="1">
      <c r="A595" s="20"/>
      <c r="B595" t="s">
        <v>981</v>
      </c>
      <c r="C595"/>
      <c r="D595"/>
      <c r="E595"/>
      <c r="F595"/>
      <c r="G595" s="1232" t="s">
        <v>1490</v>
      </c>
      <c r="H595" s="1232"/>
      <c r="I595" s="1232"/>
      <c r="J595" s="1232"/>
      <c r="K595" s="1232"/>
      <c r="L595" s="1232"/>
      <c r="M595" s="1232"/>
      <c r="N595" s="1232"/>
      <c r="O595" s="1232"/>
      <c r="P595" s="1232"/>
      <c r="Q595" s="1232"/>
      <c r="R595" s="1232"/>
      <c r="S595"/>
      <c r="T595" s="20"/>
      <c r="U595" t="s">
        <v>981</v>
      </c>
      <c r="V595"/>
      <c r="W595"/>
      <c r="X595"/>
      <c r="Y595"/>
      <c r="Z595" s="1292" t="s">
        <v>1497</v>
      </c>
      <c r="AA595" s="1292"/>
      <c r="AB595" s="1292"/>
      <c r="AC595" s="1292"/>
      <c r="AD595" s="1292"/>
      <c r="AE595" s="1292"/>
      <c r="AF595" s="1292"/>
      <c r="AG595" s="1292"/>
      <c r="AH595" s="1292"/>
      <c r="AI595" s="1292"/>
      <c r="AJ595" s="1292"/>
      <c r="AK595" s="1292"/>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1498</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1499</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t="s">
        <v>1500</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0"/>
      <c r="B596" t="s">
        <v>1481</v>
      </c>
      <c r="C596"/>
      <c r="D596"/>
      <c r="E596"/>
      <c r="F596"/>
      <c r="G596" s="1232" t="s">
        <v>1492</v>
      </c>
      <c r="H596" s="1232"/>
      <c r="I596" s="1232"/>
      <c r="J596" s="1232"/>
      <c r="K596" s="1232"/>
      <c r="L596" s="1232"/>
      <c r="M596" s="1232"/>
      <c r="N596" s="1232"/>
      <c r="O596" s="1232"/>
      <c r="P596" s="1232"/>
      <c r="Q596" s="1232"/>
      <c r="R596" s="1232"/>
      <c r="S596"/>
      <c r="T596" s="20"/>
      <c r="U596" t="s">
        <v>1481</v>
      </c>
      <c r="V596"/>
      <c r="W596"/>
      <c r="X596"/>
      <c r="Y596"/>
      <c r="Z596" s="1292" t="s">
        <v>1116</v>
      </c>
      <c r="AA596" s="1292"/>
      <c r="AB596" s="1292"/>
      <c r="AC596" s="1292"/>
      <c r="AD596" s="1292"/>
      <c r="AE596" s="1292"/>
      <c r="AF596" s="1292"/>
      <c r="AG596" s="1292"/>
      <c r="AH596" s="1292"/>
      <c r="AI596" s="1292"/>
      <c r="AJ596" s="1292"/>
      <c r="AK596" s="1292"/>
      <c r="AL596"/>
      <c r="AM596"/>
      <c r="AN596"/>
      <c r="AO596"/>
      <c r="AP596"/>
      <c r="AQ596"/>
      <c r="AR596"/>
      <c r="AS596"/>
      <c r="AT596"/>
      <c r="AU596"/>
      <c r="AV596"/>
      <c r="AW596"/>
      <c r="AX596"/>
      <c r="AY596"/>
      <c r="AZ596" s="3"/>
      <c r="BA596" s="3" t="s">
        <v>1375</v>
      </c>
      <c r="BB596" s="3"/>
      <c r="BC596" s="3"/>
      <c r="BD596" s="3"/>
      <c r="BE596" s="88" t="s">
        <v>1501</v>
      </c>
      <c r="BF596" s="89"/>
      <c r="BG596" s="1235"/>
      <c r="BH596" s="1237"/>
      <c r="BI596" s="88" t="s">
        <v>1502</v>
      </c>
      <c r="BJ596" s="89"/>
      <c r="BK596" s="1235"/>
      <c r="BL596" s="1237"/>
      <c r="BM596" s="3"/>
      <c r="BN596" s="1326" t="s">
        <v>1503</v>
      </c>
      <c r="BO596" s="1327"/>
      <c r="BP596" s="1327"/>
      <c r="BQ596" s="1327"/>
      <c r="BR596" s="1328"/>
      <c r="BS596" s="1330" t="s">
        <v>1376</v>
      </c>
      <c r="BT596" s="1330"/>
      <c r="BU596" s="1330"/>
      <c r="BV596" s="1330"/>
      <c r="BW596" s="1330"/>
      <c r="BX596" s="1330" t="s">
        <v>1377</v>
      </c>
      <c r="BY596" s="1330"/>
      <c r="BZ596" s="1330"/>
      <c r="CA596" s="1330"/>
      <c r="CB596" s="1330"/>
      <c r="CC596" s="1330" t="s">
        <v>1378</v>
      </c>
      <c r="CD596" s="1330"/>
      <c r="CE596" s="1330"/>
      <c r="CF596" s="1330"/>
      <c r="CG596" s="1330"/>
      <c r="CH596" s="1330" t="s">
        <v>1504</v>
      </c>
      <c r="CI596" s="1330"/>
      <c r="CJ596" s="1330"/>
      <c r="CK596" s="1330"/>
      <c r="CL596" s="1330"/>
      <c r="CM596" s="1330" t="s">
        <v>1380</v>
      </c>
      <c r="CN596" s="1330"/>
      <c r="CO596" s="1330"/>
      <c r="CP596" s="1330"/>
      <c r="CQ596" s="1330"/>
      <c r="CR596" s="66"/>
      <c r="CS596" s="1330" t="s">
        <v>1503</v>
      </c>
      <c r="CT596" s="1330"/>
      <c r="CU596" s="1330"/>
      <c r="CV596" s="1330"/>
      <c r="CW596" s="1330"/>
      <c r="CX596" s="1330" t="s">
        <v>1376</v>
      </c>
      <c r="CY596" s="1330"/>
      <c r="CZ596" s="1330"/>
      <c r="DA596" s="1330"/>
      <c r="DB596" s="1330"/>
      <c r="DC596" s="1330" t="s">
        <v>1377</v>
      </c>
      <c r="DD596" s="1330"/>
      <c r="DE596" s="1330"/>
      <c r="DF596" s="1330"/>
      <c r="DG596" s="1330"/>
      <c r="DH596" s="1330" t="s">
        <v>1378</v>
      </c>
      <c r="DI596" s="1330"/>
      <c r="DJ596" s="1330"/>
      <c r="DK596" s="1330"/>
      <c r="DL596" s="1330"/>
      <c r="DM596" s="1330" t="s">
        <v>1504</v>
      </c>
      <c r="DN596" s="1330"/>
      <c r="DO596" s="1330"/>
      <c r="DP596" s="1330"/>
      <c r="DQ596" s="1330"/>
      <c r="DR596" s="1330" t="s">
        <v>1380</v>
      </c>
      <c r="DS596" s="1330"/>
      <c r="DT596" s="1330"/>
      <c r="DU596" s="1330"/>
      <c r="DV596" s="1330"/>
      <c r="DW596" s="3"/>
      <c r="DX596" s="1330" t="s">
        <v>1503</v>
      </c>
      <c r="DY596" s="1330"/>
      <c r="DZ596" s="1330"/>
      <c r="EA596" s="1330"/>
      <c r="EB596" s="1330"/>
      <c r="EC596" s="1330" t="s">
        <v>1376</v>
      </c>
      <c r="ED596" s="1330"/>
      <c r="EE596" s="1330"/>
      <c r="EF596" s="1330"/>
      <c r="EG596" s="1330"/>
      <c r="EH596" s="1330" t="s">
        <v>1377</v>
      </c>
      <c r="EI596" s="1330"/>
      <c r="EJ596" s="1330"/>
      <c r="EK596" s="1330"/>
      <c r="EL596" s="1330"/>
      <c r="EM596" s="1330" t="s">
        <v>1378</v>
      </c>
      <c r="EN596" s="1330"/>
      <c r="EO596" s="1330"/>
      <c r="EP596" s="1330"/>
      <c r="EQ596" s="1330"/>
      <c r="ER596" s="1330" t="s">
        <v>1504</v>
      </c>
      <c r="ES596" s="1330"/>
      <c r="ET596" s="1330"/>
      <c r="EU596" s="1330"/>
      <c r="EV596" s="1330"/>
      <c r="EW596" s="1330" t="s">
        <v>1380</v>
      </c>
      <c r="EX596" s="1330"/>
      <c r="EY596" s="1330"/>
      <c r="EZ596" s="1330"/>
      <c r="FA596" s="1330"/>
    </row>
    <row r="597" spans="1:157" s="4" customFormat="1" ht="12.95" customHeight="1">
      <c r="A597" s="20"/>
      <c r="B597" t="s">
        <v>883</v>
      </c>
      <c r="C597"/>
      <c r="D597"/>
      <c r="E597"/>
      <c r="F597"/>
      <c r="G597" s="1348" t="s">
        <v>1494</v>
      </c>
      <c r="H597" s="1348"/>
      <c r="I597" s="1348"/>
      <c r="J597" s="1348"/>
      <c r="K597" s="1348"/>
      <c r="L597" s="1348"/>
      <c r="M597"/>
      <c r="N597"/>
      <c r="O597" s="949" t="s">
        <v>1119</v>
      </c>
      <c r="P597" s="1309"/>
      <c r="Q597" s="1309"/>
      <c r="R597" s="1309"/>
      <c r="S597"/>
      <c r="T597" s="20"/>
      <c r="U597" t="s">
        <v>883</v>
      </c>
      <c r="V597"/>
      <c r="W597"/>
      <c r="X597"/>
      <c r="Y597"/>
      <c r="Z597" s="1348" t="s">
        <v>1148</v>
      </c>
      <c r="AA597" s="1348"/>
      <c r="AB597" s="1348"/>
      <c r="AC597" s="1348"/>
      <c r="AD597" s="1348"/>
      <c r="AE597" s="1348"/>
      <c r="AF597"/>
      <c r="AG597"/>
      <c r="AH597" s="949" t="s">
        <v>1119</v>
      </c>
      <c r="AI597" s="1309"/>
      <c r="AJ597" s="1309"/>
      <c r="AK597" s="1309"/>
      <c r="AL597"/>
      <c r="AM597"/>
      <c r="AN597"/>
      <c r="AO597"/>
      <c r="AP597"/>
      <c r="AQ597"/>
      <c r="AR597"/>
      <c r="AS597"/>
      <c r="AT597"/>
      <c r="AU597"/>
      <c r="AV597"/>
      <c r="AW597"/>
      <c r="AX597"/>
      <c r="AY597"/>
      <c r="AZ597" s="3"/>
      <c r="BA597" s="3" t="s">
        <v>1376</v>
      </c>
      <c r="BB597" s="3"/>
      <c r="BC597" s="3"/>
      <c r="BD597" s="3"/>
      <c r="BE597" s="1235">
        <f t="shared" ref="BE597:BE631" si="1">IF(AND(AC718&lt;=0.5,AC718&gt;=0.36),1,0)</f>
        <v>0</v>
      </c>
      <c r="BF597" s="1237"/>
      <c r="BG597" s="1235">
        <f t="shared" ref="BG597:BG631" si="2">IF(BE597=1,G718,0)</f>
        <v>0</v>
      </c>
      <c r="BH597" s="1237"/>
      <c r="BI597" s="1235">
        <f t="shared" ref="BI597:BI631" si="3">IF(AND(AC718&lt;=0.35,AC718&gt;0),1,0)</f>
        <v>1</v>
      </c>
      <c r="BJ597" s="1237"/>
      <c r="BK597" s="1235">
        <f t="shared" ref="BK597:BK631" si="4">IF(BI597=1,G718,0)</f>
        <v>12</v>
      </c>
      <c r="BL597" s="1237"/>
      <c r="BM597" s="3"/>
      <c r="BN597" s="2457">
        <f t="shared" ref="BN597:BN631" si="5">IF(B718="SRO/Studio",G718,0)</f>
        <v>0</v>
      </c>
      <c r="BO597" s="2458"/>
      <c r="BP597" s="2458"/>
      <c r="BQ597" s="2458"/>
      <c r="BR597" s="2459"/>
      <c r="BS597" s="2460">
        <f t="shared" ref="BS597:BS631" si="6">IF(B718="1 Bedroom",G718,0)</f>
        <v>12</v>
      </c>
      <c r="BT597" s="2460"/>
      <c r="BU597" s="2460"/>
      <c r="BV597" s="2460"/>
      <c r="BW597" s="2460"/>
      <c r="BX597" s="2460">
        <f t="shared" ref="BX597:BX631" si="7">IF(B718="2 Bedrooms",G718,0)</f>
        <v>0</v>
      </c>
      <c r="BY597" s="2460"/>
      <c r="BZ597" s="2460"/>
      <c r="CA597" s="2460"/>
      <c r="CB597" s="2460"/>
      <c r="CC597" s="2460">
        <f t="shared" ref="CC597:CC631" si="8">IF(B718="3 Bedrooms",G718,0)</f>
        <v>0</v>
      </c>
      <c r="CD597" s="2460"/>
      <c r="CE597" s="2460"/>
      <c r="CF597" s="2460"/>
      <c r="CG597" s="2460"/>
      <c r="CH597" s="2460">
        <f t="shared" ref="CH597:CH631" si="9">IF(B718="4 Bedrooms",G718,0)</f>
        <v>0</v>
      </c>
      <c r="CI597" s="2460"/>
      <c r="CJ597" s="2460"/>
      <c r="CK597" s="2460"/>
      <c r="CL597" s="2460"/>
      <c r="CM597" s="2460">
        <f t="shared" ref="CM597:CM631" si="10">IF(B718="5 Bedrooms",G718,0)</f>
        <v>0</v>
      </c>
      <c r="CN597" s="2460"/>
      <c r="CO597" s="2460"/>
      <c r="CP597" s="2460"/>
      <c r="CQ597" s="2460"/>
      <c r="CR597" s="279"/>
      <c r="CS597" s="2461">
        <f t="shared" ref="CS597:CS631" si="11">IF(AND(B718="SRO/Studio",AC718&lt;=0.3),G718,0)</f>
        <v>0</v>
      </c>
      <c r="CT597" s="2461"/>
      <c r="CU597" s="2461"/>
      <c r="CV597" s="2461"/>
      <c r="CW597" s="2461"/>
      <c r="CX597" s="2461">
        <f t="shared" ref="CX597:CX631" si="12">IF(AND(B718="1 Bedroom",AC718&lt;=0.3),G718,0)</f>
        <v>12</v>
      </c>
      <c r="CY597" s="2461"/>
      <c r="CZ597" s="2461"/>
      <c r="DA597" s="2461"/>
      <c r="DB597" s="2461"/>
      <c r="DC597" s="2461">
        <f t="shared" ref="DC597:DC631" si="13">IF(AND(B718="2 Bedrooms",AC718&lt;=0.3),G718,0)</f>
        <v>0</v>
      </c>
      <c r="DD597" s="2461"/>
      <c r="DE597" s="2461"/>
      <c r="DF597" s="2461"/>
      <c r="DG597" s="2461"/>
      <c r="DH597" s="2461">
        <f t="shared" ref="DH597:DH631" si="14">IF(AND(B718="3 Bedrooms",AC718&lt;=0.3),G718,0)</f>
        <v>0</v>
      </c>
      <c r="DI597" s="2461"/>
      <c r="DJ597" s="2461"/>
      <c r="DK597" s="2461"/>
      <c r="DL597" s="2461"/>
      <c r="DM597" s="2461">
        <f t="shared" ref="DM597:DM631" si="15">IF(AND(B718="4 Bedrooms",AC718&lt;=0.3),G718,0)</f>
        <v>0</v>
      </c>
      <c r="DN597" s="2461"/>
      <c r="DO597" s="2461"/>
      <c r="DP597" s="2461"/>
      <c r="DQ597" s="2461"/>
      <c r="DR597" s="2461">
        <f t="shared" ref="DR597:DR631" si="16">IF(AND(B718="5 Bedrooms",AC718&lt;=0.3),G718,0)</f>
        <v>0</v>
      </c>
      <c r="DS597" s="2461"/>
      <c r="DT597" s="2461"/>
      <c r="DU597" s="2461"/>
      <c r="DV597" s="2461"/>
      <c r="DW597" s="3"/>
      <c r="DX597" s="1235" t="str">
        <f t="shared" ref="DX597:DX631" si="17">IF(BN597&gt;0,O718,"")</f>
        <v/>
      </c>
      <c r="DY597" s="1236"/>
      <c r="DZ597" s="1236"/>
      <c r="EA597" s="1236"/>
      <c r="EB597" s="1237"/>
      <c r="EC597" s="1235">
        <f t="shared" ref="EC597:EC631" si="18">IF(BS597&gt;0,O718,"")</f>
        <v>768</v>
      </c>
      <c r="ED597" s="1236"/>
      <c r="EE597" s="1236"/>
      <c r="EF597" s="1236"/>
      <c r="EG597" s="1237"/>
      <c r="EH597" s="1235" t="str">
        <f t="shared" ref="EH597:EH631" si="19">IF(BX597&gt;0,O718,"")</f>
        <v/>
      </c>
      <c r="EI597" s="1236"/>
      <c r="EJ597" s="1236"/>
      <c r="EK597" s="1236"/>
      <c r="EL597" s="1237"/>
      <c r="EM597" s="1235" t="str">
        <f t="shared" ref="EM597:EM631" si="20">IF(CC597&gt;0,O718,"")</f>
        <v/>
      </c>
      <c r="EN597" s="1236"/>
      <c r="EO597" s="1236"/>
      <c r="EP597" s="1236"/>
      <c r="EQ597" s="1237"/>
      <c r="ER597" s="1235" t="str">
        <f t="shared" ref="ER597:ER631" si="21">IF(CH597&gt;0,O718,"")</f>
        <v/>
      </c>
      <c r="ES597" s="1236"/>
      <c r="ET597" s="1236"/>
      <c r="EU597" s="1236"/>
      <c r="EV597" s="1237"/>
      <c r="EW597" s="1235" t="str">
        <f t="shared" ref="EW597:EW631" si="22">IF(CM597&gt;0,O718,"")</f>
        <v/>
      </c>
      <c r="EX597" s="1236"/>
      <c r="EY597" s="1236"/>
      <c r="EZ597" s="1236"/>
      <c r="FA597" s="1237"/>
    </row>
    <row r="598" spans="1:157" s="4" customFormat="1" ht="12.95" customHeight="1">
      <c r="A598" s="20"/>
      <c r="B598" t="s">
        <v>1483</v>
      </c>
      <c r="C598"/>
      <c r="D598"/>
      <c r="E598"/>
      <c r="F598"/>
      <c r="G598"/>
      <c r="H598" s="1232" t="s">
        <v>1495</v>
      </c>
      <c r="I598" s="1232"/>
      <c r="J598" s="1232"/>
      <c r="K598" s="1232"/>
      <c r="L598" s="1232"/>
      <c r="M598" s="1232"/>
      <c r="N598" s="1232"/>
      <c r="O598" s="1232"/>
      <c r="P598" s="1232"/>
      <c r="Q598" s="1232"/>
      <c r="R598" s="1232"/>
      <c r="S598"/>
      <c r="T598" s="20"/>
      <c r="U598" t="s">
        <v>1483</v>
      </c>
      <c r="V598"/>
      <c r="W598"/>
      <c r="X598"/>
      <c r="Y598"/>
      <c r="Z598"/>
      <c r="AA598" s="1232" t="s">
        <v>1505</v>
      </c>
      <c r="AB598" s="1232"/>
      <c r="AC598" s="1232"/>
      <c r="AD598" s="1232"/>
      <c r="AE598" s="1232"/>
      <c r="AF598" s="1232"/>
      <c r="AG598" s="1232"/>
      <c r="AH598" s="1232"/>
      <c r="AI598" s="1232"/>
      <c r="AJ598" s="1232"/>
      <c r="AK598" s="1232"/>
      <c r="AL598"/>
      <c r="AM598"/>
      <c r="AN598"/>
      <c r="AO598"/>
      <c r="AP598"/>
      <c r="AQ598"/>
      <c r="AR598"/>
      <c r="AS598"/>
      <c r="AT598"/>
      <c r="AU598"/>
      <c r="AV598"/>
      <c r="AW598"/>
      <c r="AX598"/>
      <c r="AY598"/>
      <c r="AZ598" s="3"/>
      <c r="BA598" s="3" t="s">
        <v>1377</v>
      </c>
      <c r="BB598" s="3"/>
      <c r="BC598" s="3"/>
      <c r="BD598" s="3"/>
      <c r="BE598" s="1235">
        <f t="shared" si="1"/>
        <v>0</v>
      </c>
      <c r="BF598" s="1237"/>
      <c r="BG598" s="1235">
        <f t="shared" si="2"/>
        <v>0</v>
      </c>
      <c r="BH598" s="1237"/>
      <c r="BI598" s="1235">
        <f t="shared" si="3"/>
        <v>0</v>
      </c>
      <c r="BJ598" s="1237"/>
      <c r="BK598" s="1235">
        <f t="shared" si="4"/>
        <v>0</v>
      </c>
      <c r="BL598" s="1237"/>
      <c r="BM598" s="3"/>
      <c r="BN598" s="2457">
        <f t="shared" si="5"/>
        <v>0</v>
      </c>
      <c r="BO598" s="2458"/>
      <c r="BP598" s="2458"/>
      <c r="BQ598" s="2458"/>
      <c r="BR598" s="2459"/>
      <c r="BS598" s="2460">
        <f t="shared" si="6"/>
        <v>0</v>
      </c>
      <c r="BT598" s="2460"/>
      <c r="BU598" s="2460"/>
      <c r="BV598" s="2460"/>
      <c r="BW598" s="2460"/>
      <c r="BX598" s="2460">
        <f t="shared" si="7"/>
        <v>12</v>
      </c>
      <c r="BY598" s="2460"/>
      <c r="BZ598" s="2460"/>
      <c r="CA598" s="2460"/>
      <c r="CB598" s="2460"/>
      <c r="CC598" s="2460">
        <f t="shared" si="8"/>
        <v>0</v>
      </c>
      <c r="CD598" s="2460"/>
      <c r="CE598" s="2460"/>
      <c r="CF598" s="2460"/>
      <c r="CG598" s="2460"/>
      <c r="CH598" s="2460">
        <f t="shared" si="9"/>
        <v>0</v>
      </c>
      <c r="CI598" s="2460"/>
      <c r="CJ598" s="2460"/>
      <c r="CK598" s="2460"/>
      <c r="CL598" s="2460"/>
      <c r="CM598" s="2460">
        <f t="shared" si="10"/>
        <v>0</v>
      </c>
      <c r="CN598" s="2460"/>
      <c r="CO598" s="2460"/>
      <c r="CP598" s="2460"/>
      <c r="CQ598" s="2460"/>
      <c r="CR598" s="279"/>
      <c r="CS598" s="2461">
        <f t="shared" si="11"/>
        <v>0</v>
      </c>
      <c r="CT598" s="2461"/>
      <c r="CU598" s="2461"/>
      <c r="CV598" s="2461"/>
      <c r="CW598" s="2461"/>
      <c r="CX598" s="2461">
        <f t="shared" si="12"/>
        <v>0</v>
      </c>
      <c r="CY598" s="2461"/>
      <c r="CZ598" s="2461"/>
      <c r="DA598" s="2461"/>
      <c r="DB598" s="2461"/>
      <c r="DC598" s="2461">
        <f t="shared" si="13"/>
        <v>0</v>
      </c>
      <c r="DD598" s="2461"/>
      <c r="DE598" s="2461"/>
      <c r="DF598" s="2461"/>
      <c r="DG598" s="2461"/>
      <c r="DH598" s="2461">
        <f t="shared" si="14"/>
        <v>0</v>
      </c>
      <c r="DI598" s="2461"/>
      <c r="DJ598" s="2461"/>
      <c r="DK598" s="2461"/>
      <c r="DL598" s="2461"/>
      <c r="DM598" s="2461">
        <f t="shared" si="15"/>
        <v>0</v>
      </c>
      <c r="DN598" s="2461"/>
      <c r="DO598" s="2461"/>
      <c r="DP598" s="2461"/>
      <c r="DQ598" s="2461"/>
      <c r="DR598" s="2461">
        <f t="shared" si="16"/>
        <v>0</v>
      </c>
      <c r="DS598" s="2461"/>
      <c r="DT598" s="2461"/>
      <c r="DU598" s="2461"/>
      <c r="DV598" s="2461"/>
      <c r="DW598" s="3"/>
      <c r="DX598" s="1235" t="str">
        <f t="shared" si="17"/>
        <v/>
      </c>
      <c r="DY598" s="1236"/>
      <c r="DZ598" s="1236"/>
      <c r="EA598" s="1236"/>
      <c r="EB598" s="1237"/>
      <c r="EC598" s="1235" t="str">
        <f t="shared" si="18"/>
        <v/>
      </c>
      <c r="ED598" s="1236"/>
      <c r="EE598" s="1236"/>
      <c r="EF598" s="1236"/>
      <c r="EG598" s="1237"/>
      <c r="EH598" s="1235">
        <f t="shared" si="19"/>
        <v>1935</v>
      </c>
      <c r="EI598" s="1236"/>
      <c r="EJ598" s="1236"/>
      <c r="EK598" s="1236"/>
      <c r="EL598" s="1237"/>
      <c r="EM598" s="1235" t="str">
        <f t="shared" si="20"/>
        <v/>
      </c>
      <c r="EN598" s="1236"/>
      <c r="EO598" s="1236"/>
      <c r="EP598" s="1236"/>
      <c r="EQ598" s="1237"/>
      <c r="ER598" s="1235" t="str">
        <f t="shared" si="21"/>
        <v/>
      </c>
      <c r="ES598" s="1236"/>
      <c r="ET598" s="1236"/>
      <c r="EU598" s="1236"/>
      <c r="EV598" s="1237"/>
      <c r="EW598" s="1235" t="str">
        <f t="shared" si="22"/>
        <v/>
      </c>
      <c r="EX598" s="1236"/>
      <c r="EY598" s="1236"/>
      <c r="EZ598" s="1236"/>
      <c r="FA598" s="1237"/>
    </row>
    <row r="599" spans="1:157" ht="12.95" customHeight="1">
      <c r="A599" s="20"/>
      <c r="B599" t="s">
        <v>1487</v>
      </c>
      <c r="N599" s="1234" t="s">
        <v>837</v>
      </c>
      <c r="O599" s="1234"/>
      <c r="T599" s="20"/>
      <c r="U599" t="s">
        <v>1487</v>
      </c>
      <c r="AG599" s="1234" t="s">
        <v>837</v>
      </c>
      <c r="AH599" s="1234"/>
      <c r="BA599" s="3" t="s">
        <v>1378</v>
      </c>
      <c r="BB599" s="3"/>
      <c r="BC599" s="3"/>
      <c r="BD599" s="3"/>
      <c r="BE599" s="1235">
        <f t="shared" si="1"/>
        <v>1</v>
      </c>
      <c r="BF599" s="1237"/>
      <c r="BG599" s="1235">
        <f t="shared" si="2"/>
        <v>4</v>
      </c>
      <c r="BH599" s="1237"/>
      <c r="BI599" s="1235">
        <f t="shared" si="3"/>
        <v>0</v>
      </c>
      <c r="BJ599" s="1237"/>
      <c r="BK599" s="1235">
        <f t="shared" si="4"/>
        <v>0</v>
      </c>
      <c r="BL599" s="1237"/>
      <c r="BM599" s="3"/>
      <c r="BN599" s="2457">
        <f t="shared" si="5"/>
        <v>0</v>
      </c>
      <c r="BO599" s="2458"/>
      <c r="BP599" s="2458"/>
      <c r="BQ599" s="2458"/>
      <c r="BR599" s="2459"/>
      <c r="BS599" s="2460">
        <f t="shared" si="6"/>
        <v>0</v>
      </c>
      <c r="BT599" s="2460"/>
      <c r="BU599" s="2460"/>
      <c r="BV599" s="2460"/>
      <c r="BW599" s="2460"/>
      <c r="BX599" s="2460">
        <f t="shared" si="7"/>
        <v>4</v>
      </c>
      <c r="BY599" s="2460"/>
      <c r="BZ599" s="2460"/>
      <c r="CA599" s="2460"/>
      <c r="CB599" s="2460"/>
      <c r="CC599" s="2460">
        <f t="shared" si="8"/>
        <v>0</v>
      </c>
      <c r="CD599" s="2460"/>
      <c r="CE599" s="2460"/>
      <c r="CF599" s="2460"/>
      <c r="CG599" s="2460"/>
      <c r="CH599" s="2460">
        <f t="shared" si="9"/>
        <v>0</v>
      </c>
      <c r="CI599" s="2460"/>
      <c r="CJ599" s="2460"/>
      <c r="CK599" s="2460"/>
      <c r="CL599" s="2460"/>
      <c r="CM599" s="2460">
        <f t="shared" si="10"/>
        <v>0</v>
      </c>
      <c r="CN599" s="2460"/>
      <c r="CO599" s="2460"/>
      <c r="CP599" s="2460"/>
      <c r="CQ599" s="2460"/>
      <c r="CR599" s="279"/>
      <c r="CS599" s="2461">
        <f t="shared" si="11"/>
        <v>0</v>
      </c>
      <c r="CT599" s="2461"/>
      <c r="CU599" s="2461"/>
      <c r="CV599" s="2461"/>
      <c r="CW599" s="2461"/>
      <c r="CX599" s="2461">
        <f t="shared" si="12"/>
        <v>0</v>
      </c>
      <c r="CY599" s="2461"/>
      <c r="CZ599" s="2461"/>
      <c r="DA599" s="2461"/>
      <c r="DB599" s="2461"/>
      <c r="DC599" s="2461">
        <f t="shared" si="13"/>
        <v>0</v>
      </c>
      <c r="DD599" s="2461"/>
      <c r="DE599" s="2461"/>
      <c r="DF599" s="2461"/>
      <c r="DG599" s="2461"/>
      <c r="DH599" s="2461">
        <f t="shared" si="14"/>
        <v>0</v>
      </c>
      <c r="DI599" s="2461"/>
      <c r="DJ599" s="2461"/>
      <c r="DK599" s="2461"/>
      <c r="DL599" s="2461"/>
      <c r="DM599" s="2461">
        <f t="shared" si="15"/>
        <v>0</v>
      </c>
      <c r="DN599" s="2461"/>
      <c r="DO599" s="2461"/>
      <c r="DP599" s="2461"/>
      <c r="DQ599" s="2461"/>
      <c r="DR599" s="2461">
        <f t="shared" si="16"/>
        <v>0</v>
      </c>
      <c r="DS599" s="2461"/>
      <c r="DT599" s="2461"/>
      <c r="DU599" s="2461"/>
      <c r="DV599" s="2461"/>
      <c r="DX599" s="1235" t="str">
        <f t="shared" si="17"/>
        <v/>
      </c>
      <c r="DY599" s="1236"/>
      <c r="DZ599" s="1236"/>
      <c r="EA599" s="1236"/>
      <c r="EB599" s="1237"/>
      <c r="EC599" s="1235" t="str">
        <f t="shared" si="18"/>
        <v/>
      </c>
      <c r="ED599" s="1236"/>
      <c r="EE599" s="1236"/>
      <c r="EF599" s="1236"/>
      <c r="EG599" s="1237"/>
      <c r="EH599" s="1235">
        <f t="shared" si="19"/>
        <v>1594</v>
      </c>
      <c r="EI599" s="1236"/>
      <c r="EJ599" s="1236"/>
      <c r="EK599" s="1236"/>
      <c r="EL599" s="1237"/>
      <c r="EM599" s="1235" t="str">
        <f t="shared" si="20"/>
        <v/>
      </c>
      <c r="EN599" s="1236"/>
      <c r="EO599" s="1236"/>
      <c r="EP599" s="1236"/>
      <c r="EQ599" s="1237"/>
      <c r="ER599" s="1235" t="str">
        <f t="shared" si="21"/>
        <v/>
      </c>
      <c r="ES599" s="1236"/>
      <c r="ET599" s="1236"/>
      <c r="EU599" s="1236"/>
      <c r="EV599" s="1237"/>
      <c r="EW599" s="1235" t="str">
        <f t="shared" si="22"/>
        <v/>
      </c>
      <c r="EX599" s="1236"/>
      <c r="EY599" s="1236"/>
      <c r="EZ599" s="1236"/>
      <c r="FA599" s="1237"/>
    </row>
    <row r="600" spans="1:157" ht="12.95" customHeight="1">
      <c r="A600" s="20"/>
      <c r="T600" s="20"/>
      <c r="BA600" s="3" t="s">
        <v>1379</v>
      </c>
      <c r="BB600" s="3"/>
      <c r="BC600" s="3"/>
      <c r="BD600" s="3"/>
      <c r="BE600" s="1235">
        <f t="shared" si="1"/>
        <v>1</v>
      </c>
      <c r="BF600" s="1237"/>
      <c r="BG600" s="1235">
        <f t="shared" si="2"/>
        <v>4</v>
      </c>
      <c r="BH600" s="1237"/>
      <c r="BI600" s="1235">
        <f t="shared" si="3"/>
        <v>0</v>
      </c>
      <c r="BJ600" s="1237"/>
      <c r="BK600" s="1235">
        <f t="shared" si="4"/>
        <v>0</v>
      </c>
      <c r="BL600" s="1237"/>
      <c r="BM600" s="3"/>
      <c r="BN600" s="2457">
        <f t="shared" si="5"/>
        <v>0</v>
      </c>
      <c r="BO600" s="2458"/>
      <c r="BP600" s="2458"/>
      <c r="BQ600" s="2458"/>
      <c r="BR600" s="2459"/>
      <c r="BS600" s="2460">
        <f t="shared" si="6"/>
        <v>0</v>
      </c>
      <c r="BT600" s="2460"/>
      <c r="BU600" s="2460"/>
      <c r="BV600" s="2460"/>
      <c r="BW600" s="2460"/>
      <c r="BX600" s="2460">
        <f t="shared" si="7"/>
        <v>4</v>
      </c>
      <c r="BY600" s="2460"/>
      <c r="BZ600" s="2460"/>
      <c r="CA600" s="2460"/>
      <c r="CB600" s="2460"/>
      <c r="CC600" s="2460">
        <f t="shared" si="8"/>
        <v>0</v>
      </c>
      <c r="CD600" s="2460"/>
      <c r="CE600" s="2460"/>
      <c r="CF600" s="2460"/>
      <c r="CG600" s="2460"/>
      <c r="CH600" s="2460">
        <f t="shared" si="9"/>
        <v>0</v>
      </c>
      <c r="CI600" s="2460"/>
      <c r="CJ600" s="2460"/>
      <c r="CK600" s="2460"/>
      <c r="CL600" s="2460"/>
      <c r="CM600" s="2460">
        <f t="shared" si="10"/>
        <v>0</v>
      </c>
      <c r="CN600" s="2460"/>
      <c r="CO600" s="2460"/>
      <c r="CP600" s="2460"/>
      <c r="CQ600" s="2460"/>
      <c r="CR600" s="279"/>
      <c r="CS600" s="2461">
        <f t="shared" si="11"/>
        <v>0</v>
      </c>
      <c r="CT600" s="2461"/>
      <c r="CU600" s="2461"/>
      <c r="CV600" s="2461"/>
      <c r="CW600" s="2461"/>
      <c r="CX600" s="2461">
        <f t="shared" si="12"/>
        <v>0</v>
      </c>
      <c r="CY600" s="2461"/>
      <c r="CZ600" s="2461"/>
      <c r="DA600" s="2461"/>
      <c r="DB600" s="2461"/>
      <c r="DC600" s="2461">
        <f t="shared" si="13"/>
        <v>0</v>
      </c>
      <c r="DD600" s="2461"/>
      <c r="DE600" s="2461"/>
      <c r="DF600" s="2461"/>
      <c r="DG600" s="2461"/>
      <c r="DH600" s="2461">
        <f t="shared" si="14"/>
        <v>0</v>
      </c>
      <c r="DI600" s="2461"/>
      <c r="DJ600" s="2461"/>
      <c r="DK600" s="2461"/>
      <c r="DL600" s="2461"/>
      <c r="DM600" s="2461">
        <f t="shared" si="15"/>
        <v>0</v>
      </c>
      <c r="DN600" s="2461"/>
      <c r="DO600" s="2461"/>
      <c r="DP600" s="2461"/>
      <c r="DQ600" s="2461"/>
      <c r="DR600" s="2461">
        <f t="shared" si="16"/>
        <v>0</v>
      </c>
      <c r="DS600" s="2461"/>
      <c r="DT600" s="2461"/>
      <c r="DU600" s="2461"/>
      <c r="DV600" s="2461"/>
      <c r="DX600" s="1235" t="str">
        <f t="shared" si="17"/>
        <v/>
      </c>
      <c r="DY600" s="1236"/>
      <c r="DZ600" s="1236"/>
      <c r="EA600" s="1236"/>
      <c r="EB600" s="1237"/>
      <c r="EC600" s="1235" t="str">
        <f t="shared" si="18"/>
        <v/>
      </c>
      <c r="ED600" s="1236"/>
      <c r="EE600" s="1236"/>
      <c r="EF600" s="1236"/>
      <c r="EG600" s="1237"/>
      <c r="EH600" s="1235">
        <f t="shared" si="19"/>
        <v>1253</v>
      </c>
      <c r="EI600" s="1236"/>
      <c r="EJ600" s="1236"/>
      <c r="EK600" s="1236"/>
      <c r="EL600" s="1237"/>
      <c r="EM600" s="1235" t="str">
        <f t="shared" si="20"/>
        <v/>
      </c>
      <c r="EN600" s="1236"/>
      <c r="EO600" s="1236"/>
      <c r="EP600" s="1236"/>
      <c r="EQ600" s="1237"/>
      <c r="ER600" s="1235" t="str">
        <f t="shared" si="21"/>
        <v/>
      </c>
      <c r="ES600" s="1236"/>
      <c r="ET600" s="1236"/>
      <c r="EU600" s="1236"/>
      <c r="EV600" s="1237"/>
      <c r="EW600" s="1235" t="str">
        <f t="shared" si="22"/>
        <v/>
      </c>
      <c r="EX600" s="1236"/>
      <c r="EY600" s="1236"/>
      <c r="EZ600" s="1236"/>
      <c r="FA600" s="1237"/>
    </row>
    <row r="601" spans="1:157" ht="12.95" customHeight="1">
      <c r="A601" s="48" t="s">
        <v>1473</v>
      </c>
      <c r="B601" t="s">
        <v>1478</v>
      </c>
      <c r="G601" s="1290">
        <f>C562</f>
        <v>0</v>
      </c>
      <c r="H601" s="1290"/>
      <c r="I601" s="1290"/>
      <c r="J601" s="1290"/>
      <c r="K601" s="1290"/>
      <c r="L601" s="1290"/>
      <c r="M601" s="1290"/>
      <c r="N601" s="1290"/>
      <c r="O601" s="1290"/>
      <c r="P601" s="1290"/>
      <c r="Q601" s="1290"/>
      <c r="R601" s="1290"/>
      <c r="T601" s="48" t="s">
        <v>1474</v>
      </c>
      <c r="U601" t="s">
        <v>1478</v>
      </c>
      <c r="Z601" s="1290">
        <f>C563</f>
        <v>0</v>
      </c>
      <c r="AA601" s="1290"/>
      <c r="AB601" s="1290"/>
      <c r="AC601" s="1290"/>
      <c r="AD601" s="1290"/>
      <c r="AE601" s="1290"/>
      <c r="AF601" s="1290"/>
      <c r="AG601" s="1290"/>
      <c r="AH601" s="1290"/>
      <c r="AI601" s="1290"/>
      <c r="AJ601" s="1290"/>
      <c r="AK601" s="1290"/>
      <c r="BA601" s="3" t="s">
        <v>1380</v>
      </c>
      <c r="BB601" s="3"/>
      <c r="BC601" s="3"/>
      <c r="BD601" s="3"/>
      <c r="BE601" s="1235">
        <f t="shared" si="1"/>
        <v>0</v>
      </c>
      <c r="BF601" s="1237"/>
      <c r="BG601" s="1235">
        <f t="shared" si="2"/>
        <v>0</v>
      </c>
      <c r="BH601" s="1237"/>
      <c r="BI601" s="1235">
        <f t="shared" si="3"/>
        <v>1</v>
      </c>
      <c r="BJ601" s="1237"/>
      <c r="BK601" s="1235">
        <f t="shared" si="4"/>
        <v>3</v>
      </c>
      <c r="BL601" s="1237"/>
      <c r="BM601" s="3"/>
      <c r="BN601" s="2457">
        <f t="shared" si="5"/>
        <v>0</v>
      </c>
      <c r="BO601" s="2458"/>
      <c r="BP601" s="2458"/>
      <c r="BQ601" s="2458"/>
      <c r="BR601" s="2459"/>
      <c r="BS601" s="2460">
        <f t="shared" si="6"/>
        <v>0</v>
      </c>
      <c r="BT601" s="2460"/>
      <c r="BU601" s="2460"/>
      <c r="BV601" s="2460"/>
      <c r="BW601" s="2460"/>
      <c r="BX601" s="2460">
        <f t="shared" si="7"/>
        <v>3</v>
      </c>
      <c r="BY601" s="2460"/>
      <c r="BZ601" s="2460"/>
      <c r="CA601" s="2460"/>
      <c r="CB601" s="2460"/>
      <c r="CC601" s="2460">
        <f t="shared" si="8"/>
        <v>0</v>
      </c>
      <c r="CD601" s="2460"/>
      <c r="CE601" s="2460"/>
      <c r="CF601" s="2460"/>
      <c r="CG601" s="2460"/>
      <c r="CH601" s="2460">
        <f t="shared" si="9"/>
        <v>0</v>
      </c>
      <c r="CI601" s="2460"/>
      <c r="CJ601" s="2460"/>
      <c r="CK601" s="2460"/>
      <c r="CL601" s="2460"/>
      <c r="CM601" s="2460">
        <f t="shared" si="10"/>
        <v>0</v>
      </c>
      <c r="CN601" s="2460"/>
      <c r="CO601" s="2460"/>
      <c r="CP601" s="2460"/>
      <c r="CQ601" s="2460"/>
      <c r="CR601" s="279"/>
      <c r="CS601" s="2461">
        <f t="shared" si="11"/>
        <v>0</v>
      </c>
      <c r="CT601" s="2461"/>
      <c r="CU601" s="2461"/>
      <c r="CV601" s="2461"/>
      <c r="CW601" s="2461"/>
      <c r="CX601" s="2461">
        <f t="shared" si="12"/>
        <v>0</v>
      </c>
      <c r="CY601" s="2461"/>
      <c r="CZ601" s="2461"/>
      <c r="DA601" s="2461"/>
      <c r="DB601" s="2461"/>
      <c r="DC601" s="2461">
        <f t="shared" si="13"/>
        <v>3</v>
      </c>
      <c r="DD601" s="2461"/>
      <c r="DE601" s="2461"/>
      <c r="DF601" s="2461"/>
      <c r="DG601" s="2461"/>
      <c r="DH601" s="2461">
        <f t="shared" si="14"/>
        <v>0</v>
      </c>
      <c r="DI601" s="2461"/>
      <c r="DJ601" s="2461"/>
      <c r="DK601" s="2461"/>
      <c r="DL601" s="2461"/>
      <c r="DM601" s="2461">
        <f t="shared" si="15"/>
        <v>0</v>
      </c>
      <c r="DN601" s="2461"/>
      <c r="DO601" s="2461"/>
      <c r="DP601" s="2461"/>
      <c r="DQ601" s="2461"/>
      <c r="DR601" s="2461">
        <f t="shared" si="16"/>
        <v>0</v>
      </c>
      <c r="DS601" s="2461"/>
      <c r="DT601" s="2461"/>
      <c r="DU601" s="2461"/>
      <c r="DV601" s="2461"/>
      <c r="DX601" s="1235" t="str">
        <f t="shared" si="17"/>
        <v/>
      </c>
      <c r="DY601" s="1236"/>
      <c r="DZ601" s="1236"/>
      <c r="EA601" s="1236"/>
      <c r="EB601" s="1237"/>
      <c r="EC601" s="1235" t="str">
        <f t="shared" si="18"/>
        <v/>
      </c>
      <c r="ED601" s="1236"/>
      <c r="EE601" s="1236"/>
      <c r="EF601" s="1236"/>
      <c r="EG601" s="1237"/>
      <c r="EH601" s="1235">
        <f t="shared" si="19"/>
        <v>912</v>
      </c>
      <c r="EI601" s="1236"/>
      <c r="EJ601" s="1236"/>
      <c r="EK601" s="1236"/>
      <c r="EL601" s="1237"/>
      <c r="EM601" s="1235" t="str">
        <f t="shared" si="20"/>
        <v/>
      </c>
      <c r="EN601" s="1236"/>
      <c r="EO601" s="1236"/>
      <c r="EP601" s="1236"/>
      <c r="EQ601" s="1237"/>
      <c r="ER601" s="1235" t="str">
        <f t="shared" si="21"/>
        <v/>
      </c>
      <c r="ES601" s="1236"/>
      <c r="ET601" s="1236"/>
      <c r="EU601" s="1236"/>
      <c r="EV601" s="1237"/>
      <c r="EW601" s="1235" t="str">
        <f t="shared" si="22"/>
        <v/>
      </c>
      <c r="EX601" s="1236"/>
      <c r="EY601" s="1236"/>
      <c r="EZ601" s="1236"/>
      <c r="FA601" s="1237"/>
    </row>
    <row r="602" spans="1:157" ht="12.95" customHeight="1">
      <c r="A602" s="20"/>
      <c r="B602" t="s">
        <v>1110</v>
      </c>
      <c r="G602" s="1232"/>
      <c r="H602" s="1232"/>
      <c r="I602" s="1232"/>
      <c r="J602" s="1232"/>
      <c r="K602" s="1232"/>
      <c r="L602" s="1232"/>
      <c r="M602" s="1232"/>
      <c r="N602" s="1232"/>
      <c r="O602" s="1232"/>
      <c r="P602" s="1232"/>
      <c r="Q602" s="1232"/>
      <c r="R602" s="1232"/>
      <c r="T602" s="20"/>
      <c r="U602" t="s">
        <v>1110</v>
      </c>
      <c r="Z602" s="1232"/>
      <c r="AA602" s="1232"/>
      <c r="AB602" s="1232"/>
      <c r="AC602" s="1232"/>
      <c r="AD602" s="1232"/>
      <c r="AE602" s="1232"/>
      <c r="AF602" s="1232"/>
      <c r="AG602" s="1232"/>
      <c r="AH602" s="1232"/>
      <c r="AI602" s="1232"/>
      <c r="AJ602" s="1232"/>
      <c r="AK602" s="1232"/>
      <c r="AZ602" s="3"/>
      <c r="BA602" s="3"/>
      <c r="BB602" s="3"/>
      <c r="BC602" s="3"/>
      <c r="BD602" s="3"/>
      <c r="BE602" s="1235">
        <f t="shared" si="1"/>
        <v>0</v>
      </c>
      <c r="BF602" s="1237"/>
      <c r="BG602" s="1235">
        <f t="shared" si="2"/>
        <v>0</v>
      </c>
      <c r="BH602" s="1237"/>
      <c r="BI602" s="1235">
        <f t="shared" si="3"/>
        <v>0</v>
      </c>
      <c r="BJ602" s="1237"/>
      <c r="BK602" s="1235">
        <f t="shared" si="4"/>
        <v>0</v>
      </c>
      <c r="BL602" s="1237"/>
      <c r="BM602" s="3"/>
      <c r="BN602" s="2457">
        <f t="shared" si="5"/>
        <v>0</v>
      </c>
      <c r="BO602" s="2458"/>
      <c r="BP602" s="2458"/>
      <c r="BQ602" s="2458"/>
      <c r="BR602" s="2459"/>
      <c r="BS602" s="2460">
        <f t="shared" si="6"/>
        <v>0</v>
      </c>
      <c r="BT602" s="2460"/>
      <c r="BU602" s="2460"/>
      <c r="BV602" s="2460"/>
      <c r="BW602" s="2460"/>
      <c r="BX602" s="2460">
        <f t="shared" si="7"/>
        <v>0</v>
      </c>
      <c r="BY602" s="2460"/>
      <c r="BZ602" s="2460"/>
      <c r="CA602" s="2460"/>
      <c r="CB602" s="2460"/>
      <c r="CC602" s="2460">
        <f t="shared" si="8"/>
        <v>6</v>
      </c>
      <c r="CD602" s="2460"/>
      <c r="CE602" s="2460"/>
      <c r="CF602" s="2460"/>
      <c r="CG602" s="2460"/>
      <c r="CH602" s="2460">
        <f t="shared" si="9"/>
        <v>0</v>
      </c>
      <c r="CI602" s="2460"/>
      <c r="CJ602" s="2460"/>
      <c r="CK602" s="2460"/>
      <c r="CL602" s="2460"/>
      <c r="CM602" s="2460">
        <f t="shared" si="10"/>
        <v>0</v>
      </c>
      <c r="CN602" s="2460"/>
      <c r="CO602" s="2460"/>
      <c r="CP602" s="2460"/>
      <c r="CQ602" s="2460"/>
      <c r="CR602" s="279"/>
      <c r="CS602" s="2461">
        <f t="shared" si="11"/>
        <v>0</v>
      </c>
      <c r="CT602" s="2461"/>
      <c r="CU602" s="2461"/>
      <c r="CV602" s="2461"/>
      <c r="CW602" s="2461"/>
      <c r="CX602" s="2461">
        <f t="shared" si="12"/>
        <v>0</v>
      </c>
      <c r="CY602" s="2461"/>
      <c r="CZ602" s="2461"/>
      <c r="DA602" s="2461"/>
      <c r="DB602" s="2461"/>
      <c r="DC602" s="2461">
        <f t="shared" si="13"/>
        <v>0</v>
      </c>
      <c r="DD602" s="2461"/>
      <c r="DE602" s="2461"/>
      <c r="DF602" s="2461"/>
      <c r="DG602" s="2461"/>
      <c r="DH602" s="2461">
        <f t="shared" si="14"/>
        <v>0</v>
      </c>
      <c r="DI602" s="2461"/>
      <c r="DJ602" s="2461"/>
      <c r="DK602" s="2461"/>
      <c r="DL602" s="2461"/>
      <c r="DM602" s="2461">
        <f t="shared" si="15"/>
        <v>0</v>
      </c>
      <c r="DN602" s="2461"/>
      <c r="DO602" s="2461"/>
      <c r="DP602" s="2461"/>
      <c r="DQ602" s="2461"/>
      <c r="DR602" s="2461">
        <f t="shared" si="16"/>
        <v>0</v>
      </c>
      <c r="DS602" s="2461"/>
      <c r="DT602" s="2461"/>
      <c r="DU602" s="2461"/>
      <c r="DV602" s="2461"/>
      <c r="DX602" s="1235" t="str">
        <f t="shared" si="17"/>
        <v/>
      </c>
      <c r="DY602" s="1236"/>
      <c r="DZ602" s="1236"/>
      <c r="EA602" s="1236"/>
      <c r="EB602" s="1237"/>
      <c r="EC602" s="1235" t="str">
        <f t="shared" si="18"/>
        <v/>
      </c>
      <c r="ED602" s="1236"/>
      <c r="EE602" s="1236"/>
      <c r="EF602" s="1236"/>
      <c r="EG602" s="1237"/>
      <c r="EH602" s="1235" t="str">
        <f t="shared" si="19"/>
        <v/>
      </c>
      <c r="EI602" s="1236"/>
      <c r="EJ602" s="1236"/>
      <c r="EK602" s="1236"/>
      <c r="EL602" s="1237"/>
      <c r="EM602" s="1235">
        <f t="shared" si="20"/>
        <v>2219</v>
      </c>
      <c r="EN602" s="1236"/>
      <c r="EO602" s="1236"/>
      <c r="EP602" s="1236"/>
      <c r="EQ602" s="1237"/>
      <c r="ER602" s="1235" t="str">
        <f t="shared" si="21"/>
        <v/>
      </c>
      <c r="ES602" s="1236"/>
      <c r="ET602" s="1236"/>
      <c r="EU602" s="1236"/>
      <c r="EV602" s="1237"/>
      <c r="EW602" s="1235" t="str">
        <f t="shared" si="22"/>
        <v/>
      </c>
      <c r="EX602" s="1236"/>
      <c r="EY602" s="1236"/>
      <c r="EZ602" s="1236"/>
      <c r="FA602" s="1237"/>
    </row>
    <row r="603" spans="1:157" ht="12.95" customHeight="1">
      <c r="A603" s="20"/>
      <c r="B603" t="s">
        <v>981</v>
      </c>
      <c r="G603" s="1232"/>
      <c r="H603" s="1232"/>
      <c r="I603" s="1232"/>
      <c r="J603" s="1232"/>
      <c r="K603" s="1232"/>
      <c r="L603" s="1232"/>
      <c r="M603" s="1232"/>
      <c r="N603" s="1232"/>
      <c r="O603" s="1232"/>
      <c r="P603" s="1232"/>
      <c r="Q603" s="1232"/>
      <c r="R603" s="1232"/>
      <c r="T603" s="20"/>
      <c r="U603" t="s">
        <v>981</v>
      </c>
      <c r="Z603" s="1292"/>
      <c r="AA603" s="1292"/>
      <c r="AB603" s="1292"/>
      <c r="AC603" s="1292"/>
      <c r="AD603" s="1292"/>
      <c r="AE603" s="1292"/>
      <c r="AF603" s="1292"/>
      <c r="AG603" s="1292"/>
      <c r="AH603" s="1292"/>
      <c r="AI603" s="1292"/>
      <c r="AJ603" s="1292"/>
      <c r="AK603" s="1292"/>
      <c r="AZ603" s="3"/>
      <c r="BA603" s="3"/>
      <c r="BB603" s="3"/>
      <c r="BC603" s="3"/>
      <c r="BD603" s="3"/>
      <c r="BE603" s="1235">
        <f t="shared" si="1"/>
        <v>1</v>
      </c>
      <c r="BF603" s="1237"/>
      <c r="BG603" s="1235">
        <f t="shared" si="2"/>
        <v>4</v>
      </c>
      <c r="BH603" s="1237"/>
      <c r="BI603" s="1235">
        <f t="shared" si="3"/>
        <v>0</v>
      </c>
      <c r="BJ603" s="1237"/>
      <c r="BK603" s="1235">
        <f t="shared" si="4"/>
        <v>0</v>
      </c>
      <c r="BL603" s="1237"/>
      <c r="BM603" s="3"/>
      <c r="BN603" s="2457">
        <f t="shared" si="5"/>
        <v>0</v>
      </c>
      <c r="BO603" s="2458"/>
      <c r="BP603" s="2458"/>
      <c r="BQ603" s="2458"/>
      <c r="BR603" s="2459"/>
      <c r="BS603" s="2460">
        <f t="shared" si="6"/>
        <v>0</v>
      </c>
      <c r="BT603" s="2460"/>
      <c r="BU603" s="2460"/>
      <c r="BV603" s="2460"/>
      <c r="BW603" s="2460"/>
      <c r="BX603" s="2460">
        <f t="shared" si="7"/>
        <v>0</v>
      </c>
      <c r="BY603" s="2460"/>
      <c r="BZ603" s="2460"/>
      <c r="CA603" s="2460"/>
      <c r="CB603" s="2460"/>
      <c r="CC603" s="2460">
        <f t="shared" si="8"/>
        <v>4</v>
      </c>
      <c r="CD603" s="2460"/>
      <c r="CE603" s="2460"/>
      <c r="CF603" s="2460"/>
      <c r="CG603" s="2460"/>
      <c r="CH603" s="2460">
        <f t="shared" si="9"/>
        <v>0</v>
      </c>
      <c r="CI603" s="2460"/>
      <c r="CJ603" s="2460"/>
      <c r="CK603" s="2460"/>
      <c r="CL603" s="2460"/>
      <c r="CM603" s="2460">
        <f t="shared" si="10"/>
        <v>0</v>
      </c>
      <c r="CN603" s="2460"/>
      <c r="CO603" s="2460"/>
      <c r="CP603" s="2460"/>
      <c r="CQ603" s="2460"/>
      <c r="CR603" s="279"/>
      <c r="CS603" s="2461">
        <f t="shared" si="11"/>
        <v>0</v>
      </c>
      <c r="CT603" s="2461"/>
      <c r="CU603" s="2461"/>
      <c r="CV603" s="2461"/>
      <c r="CW603" s="2461"/>
      <c r="CX603" s="2461">
        <f t="shared" si="12"/>
        <v>0</v>
      </c>
      <c r="CY603" s="2461"/>
      <c r="CZ603" s="2461"/>
      <c r="DA603" s="2461"/>
      <c r="DB603" s="2461"/>
      <c r="DC603" s="2461">
        <f t="shared" si="13"/>
        <v>0</v>
      </c>
      <c r="DD603" s="2461"/>
      <c r="DE603" s="2461"/>
      <c r="DF603" s="2461"/>
      <c r="DG603" s="2461"/>
      <c r="DH603" s="2461">
        <f t="shared" si="14"/>
        <v>0</v>
      </c>
      <c r="DI603" s="2461"/>
      <c r="DJ603" s="2461"/>
      <c r="DK603" s="2461"/>
      <c r="DL603" s="2461"/>
      <c r="DM603" s="2461">
        <f t="shared" si="15"/>
        <v>0</v>
      </c>
      <c r="DN603" s="2461"/>
      <c r="DO603" s="2461"/>
      <c r="DP603" s="2461"/>
      <c r="DQ603" s="2461"/>
      <c r="DR603" s="2461">
        <f t="shared" si="16"/>
        <v>0</v>
      </c>
      <c r="DS603" s="2461"/>
      <c r="DT603" s="2461"/>
      <c r="DU603" s="2461"/>
      <c r="DV603" s="2461"/>
      <c r="DX603" s="1235" t="str">
        <f t="shared" si="17"/>
        <v/>
      </c>
      <c r="DY603" s="1236"/>
      <c r="DZ603" s="1236"/>
      <c r="EA603" s="1236"/>
      <c r="EB603" s="1237"/>
      <c r="EC603" s="1235" t="str">
        <f t="shared" si="18"/>
        <v/>
      </c>
      <c r="ED603" s="1236"/>
      <c r="EE603" s="1236"/>
      <c r="EF603" s="1236"/>
      <c r="EG603" s="1237"/>
      <c r="EH603" s="1235" t="str">
        <f t="shared" si="19"/>
        <v/>
      </c>
      <c r="EI603" s="1236"/>
      <c r="EJ603" s="1236"/>
      <c r="EK603" s="1236"/>
      <c r="EL603" s="1237"/>
      <c r="EM603" s="1235">
        <f t="shared" si="20"/>
        <v>1825</v>
      </c>
      <c r="EN603" s="1236"/>
      <c r="EO603" s="1236"/>
      <c r="EP603" s="1236"/>
      <c r="EQ603" s="1237"/>
      <c r="ER603" s="1235" t="str">
        <f t="shared" si="21"/>
        <v/>
      </c>
      <c r="ES603" s="1236"/>
      <c r="ET603" s="1236"/>
      <c r="EU603" s="1236"/>
      <c r="EV603" s="1237"/>
      <c r="EW603" s="1235" t="str">
        <f t="shared" si="22"/>
        <v/>
      </c>
      <c r="EX603" s="1236"/>
      <c r="EY603" s="1236"/>
      <c r="EZ603" s="1236"/>
      <c r="FA603" s="1237"/>
    </row>
    <row r="604" spans="1:157" ht="12.95" customHeight="1">
      <c r="A604" s="20"/>
      <c r="B604" t="s">
        <v>1481</v>
      </c>
      <c r="G604" s="1232"/>
      <c r="H604" s="1232"/>
      <c r="I604" s="1232"/>
      <c r="J604" s="1232"/>
      <c r="K604" s="1232"/>
      <c r="L604" s="1232"/>
      <c r="M604" s="1232"/>
      <c r="N604" s="1232"/>
      <c r="O604" s="1232"/>
      <c r="P604" s="1232"/>
      <c r="Q604" s="1232"/>
      <c r="R604" s="1232"/>
      <c r="T604" s="20"/>
      <c r="U604" t="s">
        <v>1481</v>
      </c>
      <c r="Z604" s="1292"/>
      <c r="AA604" s="1292"/>
      <c r="AB604" s="1292"/>
      <c r="AC604" s="1292"/>
      <c r="AD604" s="1292"/>
      <c r="AE604" s="1292"/>
      <c r="AF604" s="1292"/>
      <c r="AG604" s="1292"/>
      <c r="AH604" s="1292"/>
      <c r="AI604" s="1292"/>
      <c r="AJ604" s="1292"/>
      <c r="AK604" s="1292"/>
      <c r="AZ604" s="3"/>
      <c r="BA604" s="3"/>
      <c r="BB604" s="3"/>
      <c r="BC604" s="3"/>
      <c r="BD604" s="3"/>
      <c r="BE604" s="1235">
        <f t="shared" si="1"/>
        <v>0</v>
      </c>
      <c r="BF604" s="1237"/>
      <c r="BG604" s="1235">
        <f t="shared" si="2"/>
        <v>0</v>
      </c>
      <c r="BH604" s="1237"/>
      <c r="BI604" s="1235">
        <f t="shared" si="3"/>
        <v>1</v>
      </c>
      <c r="BJ604" s="1237"/>
      <c r="BK604" s="1235">
        <f t="shared" si="4"/>
        <v>2</v>
      </c>
      <c r="BL604" s="1237"/>
      <c r="BM604" s="3"/>
      <c r="BN604" s="2457">
        <f t="shared" si="5"/>
        <v>0</v>
      </c>
      <c r="BO604" s="2458"/>
      <c r="BP604" s="2458"/>
      <c r="BQ604" s="2458"/>
      <c r="BR604" s="2459"/>
      <c r="BS604" s="2460">
        <f t="shared" si="6"/>
        <v>0</v>
      </c>
      <c r="BT604" s="2460"/>
      <c r="BU604" s="2460"/>
      <c r="BV604" s="2460"/>
      <c r="BW604" s="2460"/>
      <c r="BX604" s="2460">
        <f t="shared" si="7"/>
        <v>0</v>
      </c>
      <c r="BY604" s="2460"/>
      <c r="BZ604" s="2460"/>
      <c r="CA604" s="2460"/>
      <c r="CB604" s="2460"/>
      <c r="CC604" s="2460">
        <f t="shared" si="8"/>
        <v>2</v>
      </c>
      <c r="CD604" s="2460"/>
      <c r="CE604" s="2460"/>
      <c r="CF604" s="2460"/>
      <c r="CG604" s="2460"/>
      <c r="CH604" s="2460">
        <f t="shared" si="9"/>
        <v>0</v>
      </c>
      <c r="CI604" s="2460"/>
      <c r="CJ604" s="2460"/>
      <c r="CK604" s="2460"/>
      <c r="CL604" s="2460"/>
      <c r="CM604" s="2460">
        <f t="shared" si="10"/>
        <v>0</v>
      </c>
      <c r="CN604" s="2460"/>
      <c r="CO604" s="2460"/>
      <c r="CP604" s="2460"/>
      <c r="CQ604" s="2460"/>
      <c r="CR604" s="279"/>
      <c r="CS604" s="2461">
        <f t="shared" si="11"/>
        <v>0</v>
      </c>
      <c r="CT604" s="2461"/>
      <c r="CU604" s="2461"/>
      <c r="CV604" s="2461"/>
      <c r="CW604" s="2461"/>
      <c r="CX604" s="2461">
        <f t="shared" si="12"/>
        <v>0</v>
      </c>
      <c r="CY604" s="2461"/>
      <c r="CZ604" s="2461"/>
      <c r="DA604" s="2461"/>
      <c r="DB604" s="2461"/>
      <c r="DC604" s="2461">
        <f t="shared" si="13"/>
        <v>0</v>
      </c>
      <c r="DD604" s="2461"/>
      <c r="DE604" s="2461"/>
      <c r="DF604" s="2461"/>
      <c r="DG604" s="2461"/>
      <c r="DH604" s="2461">
        <f t="shared" si="14"/>
        <v>2</v>
      </c>
      <c r="DI604" s="2461"/>
      <c r="DJ604" s="2461"/>
      <c r="DK604" s="2461"/>
      <c r="DL604" s="2461"/>
      <c r="DM604" s="2461">
        <f t="shared" si="15"/>
        <v>0</v>
      </c>
      <c r="DN604" s="2461"/>
      <c r="DO604" s="2461"/>
      <c r="DP604" s="2461"/>
      <c r="DQ604" s="2461"/>
      <c r="DR604" s="2461">
        <f t="shared" si="16"/>
        <v>0</v>
      </c>
      <c r="DS604" s="2461"/>
      <c r="DT604" s="2461"/>
      <c r="DU604" s="2461"/>
      <c r="DV604" s="2461"/>
      <c r="DX604" s="1235" t="str">
        <f t="shared" si="17"/>
        <v/>
      </c>
      <c r="DY604" s="1236"/>
      <c r="DZ604" s="1236"/>
      <c r="EA604" s="1236"/>
      <c r="EB604" s="1237"/>
      <c r="EC604" s="1235" t="str">
        <f t="shared" si="18"/>
        <v/>
      </c>
      <c r="ED604" s="1236"/>
      <c r="EE604" s="1236"/>
      <c r="EF604" s="1236"/>
      <c r="EG604" s="1237"/>
      <c r="EH604" s="1235" t="str">
        <f t="shared" si="19"/>
        <v/>
      </c>
      <c r="EI604" s="1236"/>
      <c r="EJ604" s="1236"/>
      <c r="EK604" s="1236"/>
      <c r="EL604" s="1237"/>
      <c r="EM604" s="1235">
        <f t="shared" si="20"/>
        <v>1037</v>
      </c>
      <c r="EN604" s="1236"/>
      <c r="EO604" s="1236"/>
      <c r="EP604" s="1236"/>
      <c r="EQ604" s="1237"/>
      <c r="ER604" s="1235" t="str">
        <f t="shared" si="21"/>
        <v/>
      </c>
      <c r="ES604" s="1236"/>
      <c r="ET604" s="1236"/>
      <c r="EU604" s="1236"/>
      <c r="EV604" s="1237"/>
      <c r="EW604" s="1235" t="str">
        <f t="shared" si="22"/>
        <v/>
      </c>
      <c r="EX604" s="1236"/>
      <c r="EY604" s="1236"/>
      <c r="EZ604" s="1236"/>
      <c r="FA604" s="1237"/>
    </row>
    <row r="605" spans="1:157" s="4" customFormat="1" ht="12.95" customHeight="1">
      <c r="A605" s="20"/>
      <c r="B605" t="s">
        <v>883</v>
      </c>
      <c r="C605"/>
      <c r="D605"/>
      <c r="E605"/>
      <c r="F605"/>
      <c r="G605" s="1348"/>
      <c r="H605" s="1348"/>
      <c r="I605" s="1348"/>
      <c r="J605" s="1348"/>
      <c r="K605" s="1348"/>
      <c r="L605" s="1348"/>
      <c r="M605"/>
      <c r="N605"/>
      <c r="O605" s="949" t="s">
        <v>1119</v>
      </c>
      <c r="P605" s="1309"/>
      <c r="Q605" s="1309"/>
      <c r="R605" s="1309"/>
      <c r="S605"/>
      <c r="T605" s="20"/>
      <c r="U605" t="s">
        <v>883</v>
      </c>
      <c r="V605"/>
      <c r="W605"/>
      <c r="X605"/>
      <c r="Y605"/>
      <c r="Z605" s="1348"/>
      <c r="AA605" s="1348"/>
      <c r="AB605" s="1348"/>
      <c r="AC605" s="1348"/>
      <c r="AD605" s="1348"/>
      <c r="AE605" s="1348"/>
      <c r="AF605"/>
      <c r="AG605"/>
      <c r="AH605" s="949" t="s">
        <v>1119</v>
      </c>
      <c r="AI605" s="1309"/>
      <c r="AJ605" s="1309"/>
      <c r="AK605" s="1309"/>
      <c r="AL605"/>
      <c r="AM605"/>
      <c r="AN605"/>
      <c r="AO605"/>
      <c r="AP605"/>
      <c r="AQ605"/>
      <c r="AR605"/>
      <c r="AS605"/>
      <c r="AT605"/>
      <c r="AU605"/>
      <c r="AV605"/>
      <c r="AW605"/>
      <c r="AX605"/>
      <c r="AY605"/>
      <c r="AZ605" s="3"/>
      <c r="BA605" s="3"/>
      <c r="BB605" s="3"/>
      <c r="BC605" s="3"/>
      <c r="BD605" s="3"/>
      <c r="BE605" s="1235">
        <f t="shared" si="1"/>
        <v>0</v>
      </c>
      <c r="BF605" s="1237"/>
      <c r="BG605" s="1235">
        <f t="shared" si="2"/>
        <v>0</v>
      </c>
      <c r="BH605" s="1237"/>
      <c r="BI605" s="1235">
        <f t="shared" si="3"/>
        <v>0</v>
      </c>
      <c r="BJ605" s="1237"/>
      <c r="BK605" s="1235">
        <f t="shared" si="4"/>
        <v>0</v>
      </c>
      <c r="BL605" s="1237"/>
      <c r="BM605" s="3"/>
      <c r="BN605" s="2457">
        <f t="shared" si="5"/>
        <v>0</v>
      </c>
      <c r="BO605" s="2458"/>
      <c r="BP605" s="2458"/>
      <c r="BQ605" s="2458"/>
      <c r="BR605" s="2459"/>
      <c r="BS605" s="2460">
        <f t="shared" si="6"/>
        <v>0</v>
      </c>
      <c r="BT605" s="2460"/>
      <c r="BU605" s="2460"/>
      <c r="BV605" s="2460"/>
      <c r="BW605" s="2460"/>
      <c r="BX605" s="2460">
        <f t="shared" si="7"/>
        <v>0</v>
      </c>
      <c r="BY605" s="2460"/>
      <c r="BZ605" s="2460"/>
      <c r="CA605" s="2460"/>
      <c r="CB605" s="2460"/>
      <c r="CC605" s="2460">
        <f t="shared" si="8"/>
        <v>0</v>
      </c>
      <c r="CD605" s="2460"/>
      <c r="CE605" s="2460"/>
      <c r="CF605" s="2460"/>
      <c r="CG605" s="2460"/>
      <c r="CH605" s="2460">
        <f t="shared" si="9"/>
        <v>0</v>
      </c>
      <c r="CI605" s="2460"/>
      <c r="CJ605" s="2460"/>
      <c r="CK605" s="2460"/>
      <c r="CL605" s="2460"/>
      <c r="CM605" s="2460">
        <f t="shared" si="10"/>
        <v>0</v>
      </c>
      <c r="CN605" s="2460"/>
      <c r="CO605" s="2460"/>
      <c r="CP605" s="2460"/>
      <c r="CQ605" s="2460"/>
      <c r="CR605" s="279"/>
      <c r="CS605" s="2461">
        <f t="shared" si="11"/>
        <v>0</v>
      </c>
      <c r="CT605" s="2461"/>
      <c r="CU605" s="2461"/>
      <c r="CV605" s="2461"/>
      <c r="CW605" s="2461"/>
      <c r="CX605" s="2461">
        <f t="shared" si="12"/>
        <v>0</v>
      </c>
      <c r="CY605" s="2461"/>
      <c r="CZ605" s="2461"/>
      <c r="DA605" s="2461"/>
      <c r="DB605" s="2461"/>
      <c r="DC605" s="2461">
        <f t="shared" si="13"/>
        <v>0</v>
      </c>
      <c r="DD605" s="2461"/>
      <c r="DE605" s="2461"/>
      <c r="DF605" s="2461"/>
      <c r="DG605" s="2461"/>
      <c r="DH605" s="2461">
        <f t="shared" si="14"/>
        <v>0</v>
      </c>
      <c r="DI605" s="2461"/>
      <c r="DJ605" s="2461"/>
      <c r="DK605" s="2461"/>
      <c r="DL605" s="2461"/>
      <c r="DM605" s="2461">
        <f t="shared" si="15"/>
        <v>0</v>
      </c>
      <c r="DN605" s="2461"/>
      <c r="DO605" s="2461"/>
      <c r="DP605" s="2461"/>
      <c r="DQ605" s="2461"/>
      <c r="DR605" s="2461">
        <f t="shared" si="16"/>
        <v>0</v>
      </c>
      <c r="DS605" s="2461"/>
      <c r="DT605" s="2461"/>
      <c r="DU605" s="2461"/>
      <c r="DV605" s="2461"/>
      <c r="DW605" s="3"/>
      <c r="DX605" s="1235" t="str">
        <f t="shared" si="17"/>
        <v/>
      </c>
      <c r="DY605" s="1236"/>
      <c r="DZ605" s="1236"/>
      <c r="EA605" s="1236"/>
      <c r="EB605" s="1237"/>
      <c r="EC605" s="1235" t="str">
        <f t="shared" si="18"/>
        <v/>
      </c>
      <c r="ED605" s="1236"/>
      <c r="EE605" s="1236"/>
      <c r="EF605" s="1236"/>
      <c r="EG605" s="1237"/>
      <c r="EH605" s="1235" t="str">
        <f t="shared" si="19"/>
        <v/>
      </c>
      <c r="EI605" s="1236"/>
      <c r="EJ605" s="1236"/>
      <c r="EK605" s="1236"/>
      <c r="EL605" s="1237"/>
      <c r="EM605" s="1235" t="str">
        <f t="shared" si="20"/>
        <v/>
      </c>
      <c r="EN605" s="1236"/>
      <c r="EO605" s="1236"/>
      <c r="EP605" s="1236"/>
      <c r="EQ605" s="1237"/>
      <c r="ER605" s="1235" t="str">
        <f t="shared" si="21"/>
        <v/>
      </c>
      <c r="ES605" s="1236"/>
      <c r="ET605" s="1236"/>
      <c r="EU605" s="1236"/>
      <c r="EV605" s="1237"/>
      <c r="EW605" s="1235" t="str">
        <f t="shared" si="22"/>
        <v/>
      </c>
      <c r="EX605" s="1236"/>
      <c r="EY605" s="1236"/>
      <c r="EZ605" s="1236"/>
      <c r="FA605" s="1237"/>
    </row>
    <row r="606" spans="1:157" s="4" customFormat="1" ht="12.95" customHeight="1">
      <c r="A606" s="20"/>
      <c r="B606" t="s">
        <v>1483</v>
      </c>
      <c r="C606"/>
      <c r="D606"/>
      <c r="E606"/>
      <c r="F606"/>
      <c r="G606"/>
      <c r="H606" s="1232"/>
      <c r="I606" s="1232"/>
      <c r="J606" s="1232"/>
      <c r="K606" s="1232"/>
      <c r="L606" s="1232"/>
      <c r="M606" s="1232"/>
      <c r="N606" s="1232"/>
      <c r="O606" s="1232"/>
      <c r="P606" s="1232"/>
      <c r="Q606" s="1232"/>
      <c r="R606" s="1232"/>
      <c r="S606"/>
      <c r="T606" s="20"/>
      <c r="U606" t="s">
        <v>1483</v>
      </c>
      <c r="V606"/>
      <c r="W606"/>
      <c r="X606"/>
      <c r="Y606"/>
      <c r="Z606"/>
      <c r="AA606" s="1232"/>
      <c r="AB606" s="1232"/>
      <c r="AC606" s="1232"/>
      <c r="AD606" s="1232"/>
      <c r="AE606" s="1232"/>
      <c r="AF606" s="1232"/>
      <c r="AG606" s="1232"/>
      <c r="AH606" s="1232"/>
      <c r="AI606" s="1232"/>
      <c r="AJ606" s="1232"/>
      <c r="AK606" s="1232"/>
      <c r="AL606"/>
      <c r="AM606"/>
      <c r="AN606"/>
      <c r="AO606"/>
      <c r="AP606"/>
      <c r="AQ606"/>
      <c r="AR606"/>
      <c r="AS606"/>
      <c r="AT606"/>
      <c r="AU606"/>
      <c r="AV606"/>
      <c r="AW606"/>
      <c r="AX606"/>
      <c r="AY606"/>
      <c r="AZ606" s="3"/>
      <c r="BA606" s="3"/>
      <c r="BB606" s="3"/>
      <c r="BC606" s="3"/>
      <c r="BD606" s="3"/>
      <c r="BE606" s="1235">
        <f t="shared" si="1"/>
        <v>0</v>
      </c>
      <c r="BF606" s="1237"/>
      <c r="BG606" s="1235">
        <f t="shared" si="2"/>
        <v>0</v>
      </c>
      <c r="BH606" s="1237"/>
      <c r="BI606" s="1235">
        <f t="shared" si="3"/>
        <v>0</v>
      </c>
      <c r="BJ606" s="1237"/>
      <c r="BK606" s="1235">
        <f t="shared" si="4"/>
        <v>0</v>
      </c>
      <c r="BL606" s="1237"/>
      <c r="BM606" s="3"/>
      <c r="BN606" s="2457">
        <f t="shared" si="5"/>
        <v>0</v>
      </c>
      <c r="BO606" s="2458"/>
      <c r="BP606" s="2458"/>
      <c r="BQ606" s="2458"/>
      <c r="BR606" s="2459"/>
      <c r="BS606" s="2460">
        <f t="shared" si="6"/>
        <v>0</v>
      </c>
      <c r="BT606" s="2460"/>
      <c r="BU606" s="2460"/>
      <c r="BV606" s="2460"/>
      <c r="BW606" s="2460"/>
      <c r="BX606" s="2460">
        <f t="shared" si="7"/>
        <v>0</v>
      </c>
      <c r="BY606" s="2460"/>
      <c r="BZ606" s="2460"/>
      <c r="CA606" s="2460"/>
      <c r="CB606" s="2460"/>
      <c r="CC606" s="2460">
        <f t="shared" si="8"/>
        <v>0</v>
      </c>
      <c r="CD606" s="2460"/>
      <c r="CE606" s="2460"/>
      <c r="CF606" s="2460"/>
      <c r="CG606" s="2460"/>
      <c r="CH606" s="2460">
        <f t="shared" si="9"/>
        <v>0</v>
      </c>
      <c r="CI606" s="2460"/>
      <c r="CJ606" s="2460"/>
      <c r="CK606" s="2460"/>
      <c r="CL606" s="2460"/>
      <c r="CM606" s="2460">
        <f t="shared" si="10"/>
        <v>0</v>
      </c>
      <c r="CN606" s="2460"/>
      <c r="CO606" s="2460"/>
      <c r="CP606" s="2460"/>
      <c r="CQ606" s="2460"/>
      <c r="CR606" s="279"/>
      <c r="CS606" s="2461">
        <f t="shared" si="11"/>
        <v>0</v>
      </c>
      <c r="CT606" s="2461"/>
      <c r="CU606" s="2461"/>
      <c r="CV606" s="2461"/>
      <c r="CW606" s="2461"/>
      <c r="CX606" s="2461">
        <f t="shared" si="12"/>
        <v>0</v>
      </c>
      <c r="CY606" s="2461"/>
      <c r="CZ606" s="2461"/>
      <c r="DA606" s="2461"/>
      <c r="DB606" s="2461"/>
      <c r="DC606" s="2461">
        <f t="shared" si="13"/>
        <v>0</v>
      </c>
      <c r="DD606" s="2461"/>
      <c r="DE606" s="2461"/>
      <c r="DF606" s="2461"/>
      <c r="DG606" s="2461"/>
      <c r="DH606" s="2461">
        <f t="shared" si="14"/>
        <v>0</v>
      </c>
      <c r="DI606" s="2461"/>
      <c r="DJ606" s="2461"/>
      <c r="DK606" s="2461"/>
      <c r="DL606" s="2461"/>
      <c r="DM606" s="2461">
        <f t="shared" si="15"/>
        <v>0</v>
      </c>
      <c r="DN606" s="2461"/>
      <c r="DO606" s="2461"/>
      <c r="DP606" s="2461"/>
      <c r="DQ606" s="2461"/>
      <c r="DR606" s="2461">
        <f t="shared" si="16"/>
        <v>0</v>
      </c>
      <c r="DS606" s="2461"/>
      <c r="DT606" s="2461"/>
      <c r="DU606" s="2461"/>
      <c r="DV606" s="2461"/>
      <c r="DW606" s="3"/>
      <c r="DX606" s="1235" t="str">
        <f t="shared" si="17"/>
        <v/>
      </c>
      <c r="DY606" s="1236"/>
      <c r="DZ606" s="1236"/>
      <c r="EA606" s="1236"/>
      <c r="EB606" s="1237"/>
      <c r="EC606" s="1235" t="str">
        <f t="shared" si="18"/>
        <v/>
      </c>
      <c r="ED606" s="1236"/>
      <c r="EE606" s="1236"/>
      <c r="EF606" s="1236"/>
      <c r="EG606" s="1237"/>
      <c r="EH606" s="1235" t="str">
        <f t="shared" si="19"/>
        <v/>
      </c>
      <c r="EI606" s="1236"/>
      <c r="EJ606" s="1236"/>
      <c r="EK606" s="1236"/>
      <c r="EL606" s="1237"/>
      <c r="EM606" s="1235" t="str">
        <f t="shared" si="20"/>
        <v/>
      </c>
      <c r="EN606" s="1236"/>
      <c r="EO606" s="1236"/>
      <c r="EP606" s="1236"/>
      <c r="EQ606" s="1237"/>
      <c r="ER606" s="1235" t="str">
        <f t="shared" si="21"/>
        <v/>
      </c>
      <c r="ES606" s="1236"/>
      <c r="ET606" s="1236"/>
      <c r="EU606" s="1236"/>
      <c r="EV606" s="1237"/>
      <c r="EW606" s="1235" t="str">
        <f t="shared" si="22"/>
        <v/>
      </c>
      <c r="EX606" s="1236"/>
      <c r="EY606" s="1236"/>
      <c r="EZ606" s="1236"/>
      <c r="FA606" s="1237"/>
    </row>
    <row r="607" spans="1:157" s="4" customFormat="1" ht="12.95" customHeight="1">
      <c r="A607" s="20"/>
      <c r="B607" t="s">
        <v>1487</v>
      </c>
      <c r="C607"/>
      <c r="D607"/>
      <c r="E607"/>
      <c r="F607"/>
      <c r="G607"/>
      <c r="H607"/>
      <c r="I607"/>
      <c r="J607"/>
      <c r="K607"/>
      <c r="L607"/>
      <c r="M607"/>
      <c r="N607" s="1234" t="s">
        <v>894</v>
      </c>
      <c r="O607" s="1234"/>
      <c r="P607"/>
      <c r="Q607"/>
      <c r="R607"/>
      <c r="S607"/>
      <c r="T607" s="20"/>
      <c r="U607" t="s">
        <v>1487</v>
      </c>
      <c r="V607"/>
      <c r="W607"/>
      <c r="X607"/>
      <c r="Y607"/>
      <c r="Z607"/>
      <c r="AA607"/>
      <c r="AB607"/>
      <c r="AC607"/>
      <c r="AD607"/>
      <c r="AE607"/>
      <c r="AF607"/>
      <c r="AG607" s="1234" t="s">
        <v>894</v>
      </c>
      <c r="AH607" s="1234"/>
      <c r="AI607"/>
      <c r="AJ607"/>
      <c r="AK607"/>
      <c r="AL607"/>
      <c r="AM607"/>
      <c r="AN607"/>
      <c r="AO607"/>
      <c r="AP607"/>
      <c r="AQ607"/>
      <c r="AR607"/>
      <c r="AS607"/>
      <c r="AT607"/>
      <c r="AU607"/>
      <c r="AV607"/>
      <c r="AW607"/>
      <c r="AX607"/>
      <c r="AY607"/>
      <c r="AZ607" s="3"/>
      <c r="BA607" s="3"/>
      <c r="BB607" s="3"/>
      <c r="BC607" s="3"/>
      <c r="BD607" s="3"/>
      <c r="BE607" s="1235">
        <f t="shared" si="1"/>
        <v>0</v>
      </c>
      <c r="BF607" s="1237"/>
      <c r="BG607" s="1235">
        <f t="shared" si="2"/>
        <v>0</v>
      </c>
      <c r="BH607" s="1237"/>
      <c r="BI607" s="1235">
        <f t="shared" si="3"/>
        <v>0</v>
      </c>
      <c r="BJ607" s="1237"/>
      <c r="BK607" s="1235">
        <f t="shared" si="4"/>
        <v>0</v>
      </c>
      <c r="BL607" s="1237"/>
      <c r="BM607" s="3"/>
      <c r="BN607" s="2457">
        <f t="shared" si="5"/>
        <v>0</v>
      </c>
      <c r="BO607" s="2458"/>
      <c r="BP607" s="2458"/>
      <c r="BQ607" s="2458"/>
      <c r="BR607" s="2459"/>
      <c r="BS607" s="2460">
        <f t="shared" si="6"/>
        <v>0</v>
      </c>
      <c r="BT607" s="2460"/>
      <c r="BU607" s="2460"/>
      <c r="BV607" s="2460"/>
      <c r="BW607" s="2460"/>
      <c r="BX607" s="2460">
        <f t="shared" si="7"/>
        <v>0</v>
      </c>
      <c r="BY607" s="2460"/>
      <c r="BZ607" s="2460"/>
      <c r="CA607" s="2460"/>
      <c r="CB607" s="2460"/>
      <c r="CC607" s="2460">
        <f t="shared" si="8"/>
        <v>0</v>
      </c>
      <c r="CD607" s="2460"/>
      <c r="CE607" s="2460"/>
      <c r="CF607" s="2460"/>
      <c r="CG607" s="2460"/>
      <c r="CH607" s="2460">
        <f t="shared" si="9"/>
        <v>0</v>
      </c>
      <c r="CI607" s="2460"/>
      <c r="CJ607" s="2460"/>
      <c r="CK607" s="2460"/>
      <c r="CL607" s="2460"/>
      <c r="CM607" s="2460">
        <f t="shared" si="10"/>
        <v>0</v>
      </c>
      <c r="CN607" s="2460"/>
      <c r="CO607" s="2460"/>
      <c r="CP607" s="2460"/>
      <c r="CQ607" s="2460"/>
      <c r="CR607" s="279"/>
      <c r="CS607" s="2461">
        <f t="shared" si="11"/>
        <v>0</v>
      </c>
      <c r="CT607" s="2461"/>
      <c r="CU607" s="2461"/>
      <c r="CV607" s="2461"/>
      <c r="CW607" s="2461"/>
      <c r="CX607" s="2461">
        <f t="shared" si="12"/>
        <v>0</v>
      </c>
      <c r="CY607" s="2461"/>
      <c r="CZ607" s="2461"/>
      <c r="DA607" s="2461"/>
      <c r="DB607" s="2461"/>
      <c r="DC607" s="2461">
        <f t="shared" si="13"/>
        <v>0</v>
      </c>
      <c r="DD607" s="2461"/>
      <c r="DE607" s="2461"/>
      <c r="DF607" s="2461"/>
      <c r="DG607" s="2461"/>
      <c r="DH607" s="2461">
        <f t="shared" si="14"/>
        <v>0</v>
      </c>
      <c r="DI607" s="2461"/>
      <c r="DJ607" s="2461"/>
      <c r="DK607" s="2461"/>
      <c r="DL607" s="2461"/>
      <c r="DM607" s="2461">
        <f t="shared" si="15"/>
        <v>0</v>
      </c>
      <c r="DN607" s="2461"/>
      <c r="DO607" s="2461"/>
      <c r="DP607" s="2461"/>
      <c r="DQ607" s="2461"/>
      <c r="DR607" s="2461">
        <f t="shared" si="16"/>
        <v>0</v>
      </c>
      <c r="DS607" s="2461"/>
      <c r="DT607" s="2461"/>
      <c r="DU607" s="2461"/>
      <c r="DV607" s="2461"/>
      <c r="DW607" s="3"/>
      <c r="DX607" s="1235" t="str">
        <f t="shared" si="17"/>
        <v/>
      </c>
      <c r="DY607" s="1236"/>
      <c r="DZ607" s="1236"/>
      <c r="EA607" s="1236"/>
      <c r="EB607" s="1237"/>
      <c r="EC607" s="1235" t="str">
        <f t="shared" si="18"/>
        <v/>
      </c>
      <c r="ED607" s="1236"/>
      <c r="EE607" s="1236"/>
      <c r="EF607" s="1236"/>
      <c r="EG607" s="1237"/>
      <c r="EH607" s="1235" t="str">
        <f t="shared" si="19"/>
        <v/>
      </c>
      <c r="EI607" s="1236"/>
      <c r="EJ607" s="1236"/>
      <c r="EK607" s="1236"/>
      <c r="EL607" s="1237"/>
      <c r="EM607" s="1235" t="str">
        <f t="shared" si="20"/>
        <v/>
      </c>
      <c r="EN607" s="1236"/>
      <c r="EO607" s="1236"/>
      <c r="EP607" s="1236"/>
      <c r="EQ607" s="1237"/>
      <c r="ER607" s="1235" t="str">
        <f t="shared" si="21"/>
        <v/>
      </c>
      <c r="ES607" s="1236"/>
      <c r="ET607" s="1236"/>
      <c r="EU607" s="1236"/>
      <c r="EV607" s="1237"/>
      <c r="EW607" s="1235" t="str">
        <f t="shared" si="22"/>
        <v/>
      </c>
      <c r="EX607" s="1236"/>
      <c r="EY607" s="1236"/>
      <c r="EZ607" s="1236"/>
      <c r="FA607" s="1237"/>
    </row>
    <row r="608" spans="1:157" ht="12.95" customHeight="1">
      <c r="A608" s="20"/>
      <c r="T608" s="20"/>
      <c r="AZ608" s="3"/>
      <c r="BA608" s="3"/>
      <c r="BB608" s="3"/>
      <c r="BC608" s="3"/>
      <c r="BD608" s="3"/>
      <c r="BE608" s="1235">
        <f t="shared" si="1"/>
        <v>0</v>
      </c>
      <c r="BF608" s="1237"/>
      <c r="BG608" s="1235">
        <f t="shared" si="2"/>
        <v>0</v>
      </c>
      <c r="BH608" s="1237"/>
      <c r="BI608" s="1235">
        <f t="shared" si="3"/>
        <v>0</v>
      </c>
      <c r="BJ608" s="1237"/>
      <c r="BK608" s="1235">
        <f t="shared" si="4"/>
        <v>0</v>
      </c>
      <c r="BL608" s="1237"/>
      <c r="BM608" s="3"/>
      <c r="BN608" s="2457">
        <f t="shared" si="5"/>
        <v>0</v>
      </c>
      <c r="BO608" s="2458"/>
      <c r="BP608" s="2458"/>
      <c r="BQ608" s="2458"/>
      <c r="BR608" s="2459"/>
      <c r="BS608" s="2460">
        <f t="shared" si="6"/>
        <v>0</v>
      </c>
      <c r="BT608" s="2460"/>
      <c r="BU608" s="2460"/>
      <c r="BV608" s="2460"/>
      <c r="BW608" s="2460"/>
      <c r="BX608" s="2460">
        <f t="shared" si="7"/>
        <v>0</v>
      </c>
      <c r="BY608" s="2460"/>
      <c r="BZ608" s="2460"/>
      <c r="CA608" s="2460"/>
      <c r="CB608" s="2460"/>
      <c r="CC608" s="2460">
        <f t="shared" si="8"/>
        <v>0</v>
      </c>
      <c r="CD608" s="2460"/>
      <c r="CE608" s="2460"/>
      <c r="CF608" s="2460"/>
      <c r="CG608" s="2460"/>
      <c r="CH608" s="2460">
        <f t="shared" si="9"/>
        <v>0</v>
      </c>
      <c r="CI608" s="2460"/>
      <c r="CJ608" s="2460"/>
      <c r="CK608" s="2460"/>
      <c r="CL608" s="2460"/>
      <c r="CM608" s="2460">
        <f t="shared" si="10"/>
        <v>0</v>
      </c>
      <c r="CN608" s="2460"/>
      <c r="CO608" s="2460"/>
      <c r="CP608" s="2460"/>
      <c r="CQ608" s="2460"/>
      <c r="CR608" s="279"/>
      <c r="CS608" s="2461">
        <f t="shared" si="11"/>
        <v>0</v>
      </c>
      <c r="CT608" s="2461"/>
      <c r="CU608" s="2461"/>
      <c r="CV608" s="2461"/>
      <c r="CW608" s="2461"/>
      <c r="CX608" s="2461">
        <f t="shared" si="12"/>
        <v>0</v>
      </c>
      <c r="CY608" s="2461"/>
      <c r="CZ608" s="2461"/>
      <c r="DA608" s="2461"/>
      <c r="DB608" s="2461"/>
      <c r="DC608" s="2461">
        <f t="shared" si="13"/>
        <v>0</v>
      </c>
      <c r="DD608" s="2461"/>
      <c r="DE608" s="2461"/>
      <c r="DF608" s="2461"/>
      <c r="DG608" s="2461"/>
      <c r="DH608" s="2461">
        <f t="shared" si="14"/>
        <v>0</v>
      </c>
      <c r="DI608" s="2461"/>
      <c r="DJ608" s="2461"/>
      <c r="DK608" s="2461"/>
      <c r="DL608" s="2461"/>
      <c r="DM608" s="2461">
        <f t="shared" si="15"/>
        <v>0</v>
      </c>
      <c r="DN608" s="2461"/>
      <c r="DO608" s="2461"/>
      <c r="DP608" s="2461"/>
      <c r="DQ608" s="2461"/>
      <c r="DR608" s="2461">
        <f t="shared" si="16"/>
        <v>0</v>
      </c>
      <c r="DS608" s="2461"/>
      <c r="DT608" s="2461"/>
      <c r="DU608" s="2461"/>
      <c r="DV608" s="2461"/>
      <c r="DX608" s="1235" t="str">
        <f t="shared" si="17"/>
        <v/>
      </c>
      <c r="DY608" s="1236"/>
      <c r="DZ608" s="1236"/>
      <c r="EA608" s="1236"/>
      <c r="EB608" s="1237"/>
      <c r="EC608" s="1235" t="str">
        <f t="shared" si="18"/>
        <v/>
      </c>
      <c r="ED608" s="1236"/>
      <c r="EE608" s="1236"/>
      <c r="EF608" s="1236"/>
      <c r="EG608" s="1237"/>
      <c r="EH608" s="1235" t="str">
        <f t="shared" si="19"/>
        <v/>
      </c>
      <c r="EI608" s="1236"/>
      <c r="EJ608" s="1236"/>
      <c r="EK608" s="1236"/>
      <c r="EL608" s="1237"/>
      <c r="EM608" s="1235" t="str">
        <f t="shared" si="20"/>
        <v/>
      </c>
      <c r="EN608" s="1236"/>
      <c r="EO608" s="1236"/>
      <c r="EP608" s="1236"/>
      <c r="EQ608" s="1237"/>
      <c r="ER608" s="1235" t="str">
        <f t="shared" si="21"/>
        <v/>
      </c>
      <c r="ES608" s="1236"/>
      <c r="ET608" s="1236"/>
      <c r="EU608" s="1236"/>
      <c r="EV608" s="1237"/>
      <c r="EW608" s="1235" t="str">
        <f t="shared" si="22"/>
        <v/>
      </c>
      <c r="EX608" s="1236"/>
      <c r="EY608" s="1236"/>
      <c r="EZ608" s="1236"/>
      <c r="FA608" s="1237"/>
    </row>
    <row r="609" spans="1:157" ht="12.95" customHeight="1">
      <c r="A609" s="48" t="s">
        <v>1475</v>
      </c>
      <c r="B609" t="s">
        <v>1478</v>
      </c>
      <c r="G609" s="1290">
        <f>C564</f>
        <v>0</v>
      </c>
      <c r="H609" s="1290"/>
      <c r="I609" s="1290"/>
      <c r="J609" s="1290"/>
      <c r="K609" s="1290"/>
      <c r="L609" s="1290"/>
      <c r="M609" s="1290"/>
      <c r="N609" s="1290"/>
      <c r="O609" s="1290"/>
      <c r="P609" s="1290"/>
      <c r="Q609" s="1290"/>
      <c r="R609" s="1290"/>
      <c r="T609" s="48" t="s">
        <v>1476</v>
      </c>
      <c r="U609" t="s">
        <v>1478</v>
      </c>
      <c r="Z609" s="1290">
        <f>C565</f>
        <v>0</v>
      </c>
      <c r="AA609" s="1290"/>
      <c r="AB609" s="1290"/>
      <c r="AC609" s="1290"/>
      <c r="AD609" s="1290"/>
      <c r="AE609" s="1290"/>
      <c r="AF609" s="1290"/>
      <c r="AG609" s="1290"/>
      <c r="AH609" s="1290"/>
      <c r="AI609" s="1290"/>
      <c r="AJ609" s="1290"/>
      <c r="AK609" s="1290"/>
      <c r="AZ609" s="3"/>
      <c r="BA609" s="3"/>
      <c r="BB609" s="3"/>
      <c r="BC609" s="3"/>
      <c r="BD609" s="3"/>
      <c r="BE609" s="1235">
        <f t="shared" si="1"/>
        <v>0</v>
      </c>
      <c r="BF609" s="1237"/>
      <c r="BG609" s="1235">
        <f t="shared" si="2"/>
        <v>0</v>
      </c>
      <c r="BH609" s="1237"/>
      <c r="BI609" s="1235">
        <f t="shared" si="3"/>
        <v>0</v>
      </c>
      <c r="BJ609" s="1237"/>
      <c r="BK609" s="1235">
        <f t="shared" si="4"/>
        <v>0</v>
      </c>
      <c r="BL609" s="1237"/>
      <c r="BM609" s="3"/>
      <c r="BN609" s="2457">
        <f t="shared" si="5"/>
        <v>0</v>
      </c>
      <c r="BO609" s="2458"/>
      <c r="BP609" s="2458"/>
      <c r="BQ609" s="2458"/>
      <c r="BR609" s="2459"/>
      <c r="BS609" s="2460">
        <f t="shared" si="6"/>
        <v>0</v>
      </c>
      <c r="BT609" s="2460"/>
      <c r="BU609" s="2460"/>
      <c r="BV609" s="2460"/>
      <c r="BW609" s="2460"/>
      <c r="BX609" s="2460">
        <f t="shared" si="7"/>
        <v>0</v>
      </c>
      <c r="BY609" s="2460"/>
      <c r="BZ609" s="2460"/>
      <c r="CA609" s="2460"/>
      <c r="CB609" s="2460"/>
      <c r="CC609" s="2460">
        <f t="shared" si="8"/>
        <v>0</v>
      </c>
      <c r="CD609" s="2460"/>
      <c r="CE609" s="2460"/>
      <c r="CF609" s="2460"/>
      <c r="CG609" s="2460"/>
      <c r="CH609" s="2460">
        <f t="shared" si="9"/>
        <v>0</v>
      </c>
      <c r="CI609" s="2460"/>
      <c r="CJ609" s="2460"/>
      <c r="CK609" s="2460"/>
      <c r="CL609" s="2460"/>
      <c r="CM609" s="2460">
        <f t="shared" si="10"/>
        <v>0</v>
      </c>
      <c r="CN609" s="2460"/>
      <c r="CO609" s="2460"/>
      <c r="CP609" s="2460"/>
      <c r="CQ609" s="2460"/>
      <c r="CR609" s="279"/>
      <c r="CS609" s="2461">
        <f t="shared" si="11"/>
        <v>0</v>
      </c>
      <c r="CT609" s="2461"/>
      <c r="CU609" s="2461"/>
      <c r="CV609" s="2461"/>
      <c r="CW609" s="2461"/>
      <c r="CX609" s="2461">
        <f t="shared" si="12"/>
        <v>0</v>
      </c>
      <c r="CY609" s="2461"/>
      <c r="CZ609" s="2461"/>
      <c r="DA609" s="2461"/>
      <c r="DB609" s="2461"/>
      <c r="DC609" s="2461">
        <f t="shared" si="13"/>
        <v>0</v>
      </c>
      <c r="DD609" s="2461"/>
      <c r="DE609" s="2461"/>
      <c r="DF609" s="2461"/>
      <c r="DG609" s="2461"/>
      <c r="DH609" s="2461">
        <f t="shared" si="14"/>
        <v>0</v>
      </c>
      <c r="DI609" s="2461"/>
      <c r="DJ609" s="2461"/>
      <c r="DK609" s="2461"/>
      <c r="DL609" s="2461"/>
      <c r="DM609" s="2461">
        <f t="shared" si="15"/>
        <v>0</v>
      </c>
      <c r="DN609" s="2461"/>
      <c r="DO609" s="2461"/>
      <c r="DP609" s="2461"/>
      <c r="DQ609" s="2461"/>
      <c r="DR609" s="2461">
        <f t="shared" si="16"/>
        <v>0</v>
      </c>
      <c r="DS609" s="2461"/>
      <c r="DT609" s="2461"/>
      <c r="DU609" s="2461"/>
      <c r="DV609" s="2461"/>
      <c r="DX609" s="1235" t="str">
        <f t="shared" si="17"/>
        <v/>
      </c>
      <c r="DY609" s="1236"/>
      <c r="DZ609" s="1236"/>
      <c r="EA609" s="1236"/>
      <c r="EB609" s="1237"/>
      <c r="EC609" s="1235" t="str">
        <f t="shared" si="18"/>
        <v/>
      </c>
      <c r="ED609" s="1236"/>
      <c r="EE609" s="1236"/>
      <c r="EF609" s="1236"/>
      <c r="EG609" s="1237"/>
      <c r="EH609" s="1235" t="str">
        <f t="shared" si="19"/>
        <v/>
      </c>
      <c r="EI609" s="1236"/>
      <c r="EJ609" s="1236"/>
      <c r="EK609" s="1236"/>
      <c r="EL609" s="1237"/>
      <c r="EM609" s="1235" t="str">
        <f t="shared" si="20"/>
        <v/>
      </c>
      <c r="EN609" s="1236"/>
      <c r="EO609" s="1236"/>
      <c r="EP609" s="1236"/>
      <c r="EQ609" s="1237"/>
      <c r="ER609" s="1235" t="str">
        <f t="shared" si="21"/>
        <v/>
      </c>
      <c r="ES609" s="1236"/>
      <c r="ET609" s="1236"/>
      <c r="EU609" s="1236"/>
      <c r="EV609" s="1237"/>
      <c r="EW609" s="1235" t="str">
        <f t="shared" si="22"/>
        <v/>
      </c>
      <c r="EX609" s="1236"/>
      <c r="EY609" s="1236"/>
      <c r="EZ609" s="1236"/>
      <c r="FA609" s="1237"/>
    </row>
    <row r="610" spans="1:157" ht="12.95" customHeight="1">
      <c r="B610" t="s">
        <v>1110</v>
      </c>
      <c r="G610" s="1232"/>
      <c r="H610" s="1232"/>
      <c r="I610" s="1232"/>
      <c r="J610" s="1232"/>
      <c r="K610" s="1232"/>
      <c r="L610" s="1232"/>
      <c r="M610" s="1232"/>
      <c r="N610" s="1232"/>
      <c r="O610" s="1232"/>
      <c r="P610" s="1232"/>
      <c r="Q610" s="1232"/>
      <c r="R610" s="1232"/>
      <c r="U610" t="s">
        <v>1110</v>
      </c>
      <c r="Z610" s="1232"/>
      <c r="AA610" s="1232"/>
      <c r="AB610" s="1232"/>
      <c r="AC610" s="1232"/>
      <c r="AD610" s="1232"/>
      <c r="AE610" s="1232"/>
      <c r="AF610" s="1232"/>
      <c r="AG610" s="1232"/>
      <c r="AH610" s="1232"/>
      <c r="AI610" s="1232"/>
      <c r="AJ610" s="1232"/>
      <c r="AK610" s="1232"/>
      <c r="AZ610" s="3"/>
      <c r="BA610" s="3"/>
      <c r="BB610" s="3"/>
      <c r="BC610" s="3"/>
      <c r="BD610" s="3"/>
      <c r="BE610" s="1235">
        <f t="shared" si="1"/>
        <v>0</v>
      </c>
      <c r="BF610" s="1237"/>
      <c r="BG610" s="1235">
        <f t="shared" si="2"/>
        <v>0</v>
      </c>
      <c r="BH610" s="1237"/>
      <c r="BI610" s="1235">
        <f t="shared" si="3"/>
        <v>0</v>
      </c>
      <c r="BJ610" s="1237"/>
      <c r="BK610" s="1235">
        <f t="shared" si="4"/>
        <v>0</v>
      </c>
      <c r="BL610" s="1237"/>
      <c r="BM610" s="3"/>
      <c r="BN610" s="2457">
        <f t="shared" si="5"/>
        <v>0</v>
      </c>
      <c r="BO610" s="2458"/>
      <c r="BP610" s="2458"/>
      <c r="BQ610" s="2458"/>
      <c r="BR610" s="2459"/>
      <c r="BS610" s="2460">
        <f t="shared" si="6"/>
        <v>0</v>
      </c>
      <c r="BT610" s="2460"/>
      <c r="BU610" s="2460"/>
      <c r="BV610" s="2460"/>
      <c r="BW610" s="2460"/>
      <c r="BX610" s="2460">
        <f t="shared" si="7"/>
        <v>0</v>
      </c>
      <c r="BY610" s="2460"/>
      <c r="BZ610" s="2460"/>
      <c r="CA610" s="2460"/>
      <c r="CB610" s="2460"/>
      <c r="CC610" s="2460">
        <f t="shared" si="8"/>
        <v>0</v>
      </c>
      <c r="CD610" s="2460"/>
      <c r="CE610" s="2460"/>
      <c r="CF610" s="2460"/>
      <c r="CG610" s="2460"/>
      <c r="CH610" s="2460">
        <f t="shared" si="9"/>
        <v>0</v>
      </c>
      <c r="CI610" s="2460"/>
      <c r="CJ610" s="2460"/>
      <c r="CK610" s="2460"/>
      <c r="CL610" s="2460"/>
      <c r="CM610" s="2460">
        <f t="shared" si="10"/>
        <v>0</v>
      </c>
      <c r="CN610" s="2460"/>
      <c r="CO610" s="2460"/>
      <c r="CP610" s="2460"/>
      <c r="CQ610" s="2460"/>
      <c r="CR610" s="279"/>
      <c r="CS610" s="2461">
        <f t="shared" si="11"/>
        <v>0</v>
      </c>
      <c r="CT610" s="2461"/>
      <c r="CU610" s="2461"/>
      <c r="CV610" s="2461"/>
      <c r="CW610" s="2461"/>
      <c r="CX610" s="2461">
        <f t="shared" si="12"/>
        <v>0</v>
      </c>
      <c r="CY610" s="2461"/>
      <c r="CZ610" s="2461"/>
      <c r="DA610" s="2461"/>
      <c r="DB610" s="2461"/>
      <c r="DC610" s="2461">
        <f t="shared" si="13"/>
        <v>0</v>
      </c>
      <c r="DD610" s="2461"/>
      <c r="DE610" s="2461"/>
      <c r="DF610" s="2461"/>
      <c r="DG610" s="2461"/>
      <c r="DH610" s="2461">
        <f t="shared" si="14"/>
        <v>0</v>
      </c>
      <c r="DI610" s="2461"/>
      <c r="DJ610" s="2461"/>
      <c r="DK610" s="2461"/>
      <c r="DL610" s="2461"/>
      <c r="DM610" s="2461">
        <f t="shared" si="15"/>
        <v>0</v>
      </c>
      <c r="DN610" s="2461"/>
      <c r="DO610" s="2461"/>
      <c r="DP610" s="2461"/>
      <c r="DQ610" s="2461"/>
      <c r="DR610" s="2461">
        <f t="shared" si="16"/>
        <v>0</v>
      </c>
      <c r="DS610" s="2461"/>
      <c r="DT610" s="2461"/>
      <c r="DU610" s="2461"/>
      <c r="DV610" s="2461"/>
      <c r="DX610" s="1235" t="str">
        <f t="shared" si="17"/>
        <v/>
      </c>
      <c r="DY610" s="1236"/>
      <c r="DZ610" s="1236"/>
      <c r="EA610" s="1236"/>
      <c r="EB610" s="1237"/>
      <c r="EC610" s="1235" t="str">
        <f t="shared" si="18"/>
        <v/>
      </c>
      <c r="ED610" s="1236"/>
      <c r="EE610" s="1236"/>
      <c r="EF610" s="1236"/>
      <c r="EG610" s="1237"/>
      <c r="EH610" s="1235" t="str">
        <f t="shared" si="19"/>
        <v/>
      </c>
      <c r="EI610" s="1236"/>
      <c r="EJ610" s="1236"/>
      <c r="EK610" s="1236"/>
      <c r="EL610" s="1237"/>
      <c r="EM610" s="1235" t="str">
        <f t="shared" si="20"/>
        <v/>
      </c>
      <c r="EN610" s="1236"/>
      <c r="EO610" s="1236"/>
      <c r="EP610" s="1236"/>
      <c r="EQ610" s="1237"/>
      <c r="ER610" s="1235" t="str">
        <f t="shared" si="21"/>
        <v/>
      </c>
      <c r="ES610" s="1236"/>
      <c r="ET610" s="1236"/>
      <c r="EU610" s="1236"/>
      <c r="EV610" s="1237"/>
      <c r="EW610" s="1235" t="str">
        <f t="shared" si="22"/>
        <v/>
      </c>
      <c r="EX610" s="1236"/>
      <c r="EY610" s="1236"/>
      <c r="EZ610" s="1236"/>
      <c r="FA610" s="1237"/>
    </row>
    <row r="611" spans="1:157" ht="12.95" customHeight="1">
      <c r="B611" t="s">
        <v>981</v>
      </c>
      <c r="G611" s="1232"/>
      <c r="H611" s="1232"/>
      <c r="I611" s="1232"/>
      <c r="J611" s="1232"/>
      <c r="K611" s="1232"/>
      <c r="L611" s="1232"/>
      <c r="M611" s="1232"/>
      <c r="N611" s="1232"/>
      <c r="O611" s="1232"/>
      <c r="P611" s="1232"/>
      <c r="Q611" s="1232"/>
      <c r="R611" s="1232"/>
      <c r="U611" t="s">
        <v>981</v>
      </c>
      <c r="Z611" s="1292"/>
      <c r="AA611" s="1292"/>
      <c r="AB611" s="1292"/>
      <c r="AC611" s="1292"/>
      <c r="AD611" s="1292"/>
      <c r="AE611" s="1292"/>
      <c r="AF611" s="1292"/>
      <c r="AG611" s="1292"/>
      <c r="AH611" s="1292"/>
      <c r="AI611" s="1292"/>
      <c r="AJ611" s="1292"/>
      <c r="AK611" s="1292"/>
      <c r="AZ611" s="3"/>
      <c r="BA611" s="3"/>
      <c r="BB611" s="3"/>
      <c r="BC611" s="3"/>
      <c r="BD611" s="3"/>
      <c r="BE611" s="1235">
        <f t="shared" si="1"/>
        <v>0</v>
      </c>
      <c r="BF611" s="1237"/>
      <c r="BG611" s="1235">
        <f t="shared" si="2"/>
        <v>0</v>
      </c>
      <c r="BH611" s="1237"/>
      <c r="BI611" s="1235">
        <f t="shared" si="3"/>
        <v>0</v>
      </c>
      <c r="BJ611" s="1237"/>
      <c r="BK611" s="1235">
        <f t="shared" si="4"/>
        <v>0</v>
      </c>
      <c r="BL611" s="1237"/>
      <c r="BM611" s="3"/>
      <c r="BN611" s="2457">
        <f t="shared" si="5"/>
        <v>0</v>
      </c>
      <c r="BO611" s="2458"/>
      <c r="BP611" s="2458"/>
      <c r="BQ611" s="2458"/>
      <c r="BR611" s="2459"/>
      <c r="BS611" s="2460">
        <f t="shared" si="6"/>
        <v>0</v>
      </c>
      <c r="BT611" s="2460"/>
      <c r="BU611" s="2460"/>
      <c r="BV611" s="2460"/>
      <c r="BW611" s="2460"/>
      <c r="BX611" s="2460">
        <f t="shared" si="7"/>
        <v>0</v>
      </c>
      <c r="BY611" s="2460"/>
      <c r="BZ611" s="2460"/>
      <c r="CA611" s="2460"/>
      <c r="CB611" s="2460"/>
      <c r="CC611" s="2460">
        <f t="shared" si="8"/>
        <v>0</v>
      </c>
      <c r="CD611" s="2460"/>
      <c r="CE611" s="2460"/>
      <c r="CF611" s="2460"/>
      <c r="CG611" s="2460"/>
      <c r="CH611" s="2460">
        <f t="shared" si="9"/>
        <v>0</v>
      </c>
      <c r="CI611" s="2460"/>
      <c r="CJ611" s="2460"/>
      <c r="CK611" s="2460"/>
      <c r="CL611" s="2460"/>
      <c r="CM611" s="2460">
        <f t="shared" si="10"/>
        <v>0</v>
      </c>
      <c r="CN611" s="2460"/>
      <c r="CO611" s="2460"/>
      <c r="CP611" s="2460"/>
      <c r="CQ611" s="2460"/>
      <c r="CR611" s="279"/>
      <c r="CS611" s="2461">
        <f t="shared" si="11"/>
        <v>0</v>
      </c>
      <c r="CT611" s="2461"/>
      <c r="CU611" s="2461"/>
      <c r="CV611" s="2461"/>
      <c r="CW611" s="2461"/>
      <c r="CX611" s="2461">
        <f t="shared" si="12"/>
        <v>0</v>
      </c>
      <c r="CY611" s="2461"/>
      <c r="CZ611" s="2461"/>
      <c r="DA611" s="2461"/>
      <c r="DB611" s="2461"/>
      <c r="DC611" s="2461">
        <f t="shared" si="13"/>
        <v>0</v>
      </c>
      <c r="DD611" s="2461"/>
      <c r="DE611" s="2461"/>
      <c r="DF611" s="2461"/>
      <c r="DG611" s="2461"/>
      <c r="DH611" s="2461">
        <f t="shared" si="14"/>
        <v>0</v>
      </c>
      <c r="DI611" s="2461"/>
      <c r="DJ611" s="2461"/>
      <c r="DK611" s="2461"/>
      <c r="DL611" s="2461"/>
      <c r="DM611" s="2461">
        <f t="shared" si="15"/>
        <v>0</v>
      </c>
      <c r="DN611" s="2461"/>
      <c r="DO611" s="2461"/>
      <c r="DP611" s="2461"/>
      <c r="DQ611" s="2461"/>
      <c r="DR611" s="2461">
        <f t="shared" si="16"/>
        <v>0</v>
      </c>
      <c r="DS611" s="2461"/>
      <c r="DT611" s="2461"/>
      <c r="DU611" s="2461"/>
      <c r="DV611" s="2461"/>
      <c r="DX611" s="1235" t="str">
        <f t="shared" si="17"/>
        <v/>
      </c>
      <c r="DY611" s="1236"/>
      <c r="DZ611" s="1236"/>
      <c r="EA611" s="1236"/>
      <c r="EB611" s="1237"/>
      <c r="EC611" s="1235" t="str">
        <f t="shared" si="18"/>
        <v/>
      </c>
      <c r="ED611" s="1236"/>
      <c r="EE611" s="1236"/>
      <c r="EF611" s="1236"/>
      <c r="EG611" s="1237"/>
      <c r="EH611" s="1235" t="str">
        <f t="shared" si="19"/>
        <v/>
      </c>
      <c r="EI611" s="1236"/>
      <c r="EJ611" s="1236"/>
      <c r="EK611" s="1236"/>
      <c r="EL611" s="1237"/>
      <c r="EM611" s="1235" t="str">
        <f t="shared" si="20"/>
        <v/>
      </c>
      <c r="EN611" s="1236"/>
      <c r="EO611" s="1236"/>
      <c r="EP611" s="1236"/>
      <c r="EQ611" s="1237"/>
      <c r="ER611" s="1235" t="str">
        <f t="shared" si="21"/>
        <v/>
      </c>
      <c r="ES611" s="1236"/>
      <c r="ET611" s="1236"/>
      <c r="EU611" s="1236"/>
      <c r="EV611" s="1237"/>
      <c r="EW611" s="1235" t="str">
        <f t="shared" si="22"/>
        <v/>
      </c>
      <c r="EX611" s="1236"/>
      <c r="EY611" s="1236"/>
      <c r="EZ611" s="1236"/>
      <c r="FA611" s="1237"/>
    </row>
    <row r="612" spans="1:157" ht="12.95" customHeight="1">
      <c r="B612" t="s">
        <v>1481</v>
      </c>
      <c r="G612" s="1232"/>
      <c r="H612" s="1232"/>
      <c r="I612" s="1232"/>
      <c r="J612" s="1232"/>
      <c r="K612" s="1232"/>
      <c r="L612" s="1232"/>
      <c r="M612" s="1232"/>
      <c r="N612" s="1232"/>
      <c r="O612" s="1232"/>
      <c r="P612" s="1232"/>
      <c r="Q612" s="1232"/>
      <c r="R612" s="1232"/>
      <c r="U612" t="s">
        <v>1481</v>
      </c>
      <c r="Z612" s="1292"/>
      <c r="AA612" s="1292"/>
      <c r="AB612" s="1292"/>
      <c r="AC612" s="1292"/>
      <c r="AD612" s="1292"/>
      <c r="AE612" s="1292"/>
      <c r="AF612" s="1292"/>
      <c r="AG612" s="1292"/>
      <c r="AH612" s="1292"/>
      <c r="AI612" s="1292"/>
      <c r="AJ612" s="1292"/>
      <c r="AK612" s="1292"/>
      <c r="AZ612" s="3"/>
      <c r="BA612" s="3"/>
      <c r="BB612" s="3"/>
      <c r="BC612" s="3"/>
      <c r="BD612" s="3"/>
      <c r="BE612" s="1235">
        <f t="shared" si="1"/>
        <v>0</v>
      </c>
      <c r="BF612" s="1237"/>
      <c r="BG612" s="1235">
        <f t="shared" si="2"/>
        <v>0</v>
      </c>
      <c r="BH612" s="1237"/>
      <c r="BI612" s="1235">
        <f t="shared" si="3"/>
        <v>0</v>
      </c>
      <c r="BJ612" s="1237"/>
      <c r="BK612" s="1235">
        <f t="shared" si="4"/>
        <v>0</v>
      </c>
      <c r="BL612" s="1237"/>
      <c r="BM612" s="3"/>
      <c r="BN612" s="2457">
        <f t="shared" si="5"/>
        <v>0</v>
      </c>
      <c r="BO612" s="2458"/>
      <c r="BP612" s="2458"/>
      <c r="BQ612" s="2458"/>
      <c r="BR612" s="2459"/>
      <c r="BS612" s="2460">
        <f t="shared" si="6"/>
        <v>0</v>
      </c>
      <c r="BT612" s="2460"/>
      <c r="BU612" s="2460"/>
      <c r="BV612" s="2460"/>
      <c r="BW612" s="2460"/>
      <c r="BX612" s="2460">
        <f t="shared" si="7"/>
        <v>0</v>
      </c>
      <c r="BY612" s="2460"/>
      <c r="BZ612" s="2460"/>
      <c r="CA612" s="2460"/>
      <c r="CB612" s="2460"/>
      <c r="CC612" s="2460">
        <f t="shared" si="8"/>
        <v>0</v>
      </c>
      <c r="CD612" s="2460"/>
      <c r="CE612" s="2460"/>
      <c r="CF612" s="2460"/>
      <c r="CG612" s="2460"/>
      <c r="CH612" s="2460">
        <f t="shared" si="9"/>
        <v>0</v>
      </c>
      <c r="CI612" s="2460"/>
      <c r="CJ612" s="2460"/>
      <c r="CK612" s="2460"/>
      <c r="CL612" s="2460"/>
      <c r="CM612" s="2460">
        <f t="shared" si="10"/>
        <v>0</v>
      </c>
      <c r="CN612" s="2460"/>
      <c r="CO612" s="2460"/>
      <c r="CP612" s="2460"/>
      <c r="CQ612" s="2460"/>
      <c r="CR612" s="279"/>
      <c r="CS612" s="2461">
        <f t="shared" si="11"/>
        <v>0</v>
      </c>
      <c r="CT612" s="2461"/>
      <c r="CU612" s="2461"/>
      <c r="CV612" s="2461"/>
      <c r="CW612" s="2461"/>
      <c r="CX612" s="2461">
        <f t="shared" si="12"/>
        <v>0</v>
      </c>
      <c r="CY612" s="2461"/>
      <c r="CZ612" s="2461"/>
      <c r="DA612" s="2461"/>
      <c r="DB612" s="2461"/>
      <c r="DC612" s="2461">
        <f t="shared" si="13"/>
        <v>0</v>
      </c>
      <c r="DD612" s="2461"/>
      <c r="DE612" s="2461"/>
      <c r="DF612" s="2461"/>
      <c r="DG612" s="2461"/>
      <c r="DH612" s="2461">
        <f t="shared" si="14"/>
        <v>0</v>
      </c>
      <c r="DI612" s="2461"/>
      <c r="DJ612" s="2461"/>
      <c r="DK612" s="2461"/>
      <c r="DL612" s="2461"/>
      <c r="DM612" s="2461">
        <f t="shared" si="15"/>
        <v>0</v>
      </c>
      <c r="DN612" s="2461"/>
      <c r="DO612" s="2461"/>
      <c r="DP612" s="2461"/>
      <c r="DQ612" s="2461"/>
      <c r="DR612" s="2461">
        <f t="shared" si="16"/>
        <v>0</v>
      </c>
      <c r="DS612" s="2461"/>
      <c r="DT612" s="2461"/>
      <c r="DU612" s="2461"/>
      <c r="DV612" s="2461"/>
      <c r="DX612" s="1235" t="str">
        <f t="shared" si="17"/>
        <v/>
      </c>
      <c r="DY612" s="1236"/>
      <c r="DZ612" s="1236"/>
      <c r="EA612" s="1236"/>
      <c r="EB612" s="1237"/>
      <c r="EC612" s="1235" t="str">
        <f t="shared" si="18"/>
        <v/>
      </c>
      <c r="ED612" s="1236"/>
      <c r="EE612" s="1236"/>
      <c r="EF612" s="1236"/>
      <c r="EG612" s="1237"/>
      <c r="EH612" s="1235" t="str">
        <f t="shared" si="19"/>
        <v/>
      </c>
      <c r="EI612" s="1236"/>
      <c r="EJ612" s="1236"/>
      <c r="EK612" s="1236"/>
      <c r="EL612" s="1237"/>
      <c r="EM612" s="1235" t="str">
        <f t="shared" si="20"/>
        <v/>
      </c>
      <c r="EN612" s="1236"/>
      <c r="EO612" s="1236"/>
      <c r="EP612" s="1236"/>
      <c r="EQ612" s="1237"/>
      <c r="ER612" s="1235" t="str">
        <f t="shared" si="21"/>
        <v/>
      </c>
      <c r="ES612" s="1236"/>
      <c r="ET612" s="1236"/>
      <c r="EU612" s="1236"/>
      <c r="EV612" s="1237"/>
      <c r="EW612" s="1235" t="str">
        <f t="shared" si="22"/>
        <v/>
      </c>
      <c r="EX612" s="1236"/>
      <c r="EY612" s="1236"/>
      <c r="EZ612" s="1236"/>
      <c r="FA612" s="1237"/>
    </row>
    <row r="613" spans="1:157" ht="12.95" customHeight="1">
      <c r="B613" t="s">
        <v>883</v>
      </c>
      <c r="G613" s="1348"/>
      <c r="H613" s="1348"/>
      <c r="I613" s="1348"/>
      <c r="J613" s="1348"/>
      <c r="K613" s="1348"/>
      <c r="L613" s="1348"/>
      <c r="O613" s="949" t="s">
        <v>1119</v>
      </c>
      <c r="P613" s="1309"/>
      <c r="Q613" s="1309"/>
      <c r="R613" s="1309"/>
      <c r="U613" t="s">
        <v>883</v>
      </c>
      <c r="Z613" s="1348"/>
      <c r="AA613" s="1348"/>
      <c r="AB613" s="1348"/>
      <c r="AC613" s="1348"/>
      <c r="AD613" s="1348"/>
      <c r="AE613" s="1348"/>
      <c r="AH613" s="949" t="s">
        <v>1119</v>
      </c>
      <c r="AI613" s="1309"/>
      <c r="AJ613" s="1309"/>
      <c r="AK613" s="1309"/>
      <c r="AZ613" s="3"/>
      <c r="BA613" s="3"/>
      <c r="BB613" s="3"/>
      <c r="BC613" s="3"/>
      <c r="BD613" s="3"/>
      <c r="BE613" s="1235">
        <f t="shared" si="1"/>
        <v>0</v>
      </c>
      <c r="BF613" s="1237"/>
      <c r="BG613" s="1235">
        <f t="shared" si="2"/>
        <v>0</v>
      </c>
      <c r="BH613" s="1237"/>
      <c r="BI613" s="1235">
        <f t="shared" si="3"/>
        <v>0</v>
      </c>
      <c r="BJ613" s="1237"/>
      <c r="BK613" s="1235">
        <f t="shared" si="4"/>
        <v>0</v>
      </c>
      <c r="BL613" s="1237"/>
      <c r="BM613" s="3"/>
      <c r="BN613" s="2457">
        <f t="shared" si="5"/>
        <v>0</v>
      </c>
      <c r="BO613" s="2458"/>
      <c r="BP613" s="2458"/>
      <c r="BQ613" s="2458"/>
      <c r="BR613" s="2459"/>
      <c r="BS613" s="2460">
        <f t="shared" si="6"/>
        <v>0</v>
      </c>
      <c r="BT613" s="2460"/>
      <c r="BU613" s="2460"/>
      <c r="BV613" s="2460"/>
      <c r="BW613" s="2460"/>
      <c r="BX613" s="2460">
        <f t="shared" si="7"/>
        <v>0</v>
      </c>
      <c r="BY613" s="2460"/>
      <c r="BZ613" s="2460"/>
      <c r="CA613" s="2460"/>
      <c r="CB613" s="2460"/>
      <c r="CC613" s="2460">
        <f t="shared" si="8"/>
        <v>0</v>
      </c>
      <c r="CD613" s="2460"/>
      <c r="CE613" s="2460"/>
      <c r="CF613" s="2460"/>
      <c r="CG613" s="2460"/>
      <c r="CH613" s="2460">
        <f t="shared" si="9"/>
        <v>0</v>
      </c>
      <c r="CI613" s="2460"/>
      <c r="CJ613" s="2460"/>
      <c r="CK613" s="2460"/>
      <c r="CL613" s="2460"/>
      <c r="CM613" s="2460">
        <f t="shared" si="10"/>
        <v>0</v>
      </c>
      <c r="CN613" s="2460"/>
      <c r="CO613" s="2460"/>
      <c r="CP613" s="2460"/>
      <c r="CQ613" s="2460"/>
      <c r="CR613" s="279"/>
      <c r="CS613" s="2461">
        <f t="shared" si="11"/>
        <v>0</v>
      </c>
      <c r="CT613" s="2461"/>
      <c r="CU613" s="2461"/>
      <c r="CV613" s="2461"/>
      <c r="CW613" s="2461"/>
      <c r="CX613" s="2461">
        <f t="shared" si="12"/>
        <v>0</v>
      </c>
      <c r="CY613" s="2461"/>
      <c r="CZ613" s="2461"/>
      <c r="DA613" s="2461"/>
      <c r="DB613" s="2461"/>
      <c r="DC613" s="2461">
        <f t="shared" si="13"/>
        <v>0</v>
      </c>
      <c r="DD613" s="2461"/>
      <c r="DE613" s="2461"/>
      <c r="DF613" s="2461"/>
      <c r="DG613" s="2461"/>
      <c r="DH613" s="2461">
        <f t="shared" si="14"/>
        <v>0</v>
      </c>
      <c r="DI613" s="2461"/>
      <c r="DJ613" s="2461"/>
      <c r="DK613" s="2461"/>
      <c r="DL613" s="2461"/>
      <c r="DM613" s="2461">
        <f t="shared" si="15"/>
        <v>0</v>
      </c>
      <c r="DN613" s="2461"/>
      <c r="DO613" s="2461"/>
      <c r="DP613" s="2461"/>
      <c r="DQ613" s="2461"/>
      <c r="DR613" s="2461">
        <f t="shared" si="16"/>
        <v>0</v>
      </c>
      <c r="DS613" s="2461"/>
      <c r="DT613" s="2461"/>
      <c r="DU613" s="2461"/>
      <c r="DV613" s="2461"/>
      <c r="DX613" s="1235" t="str">
        <f t="shared" si="17"/>
        <v/>
      </c>
      <c r="DY613" s="1236"/>
      <c r="DZ613" s="1236"/>
      <c r="EA613" s="1236"/>
      <c r="EB613" s="1237"/>
      <c r="EC613" s="1235" t="str">
        <f t="shared" si="18"/>
        <v/>
      </c>
      <c r="ED613" s="1236"/>
      <c r="EE613" s="1236"/>
      <c r="EF613" s="1236"/>
      <c r="EG613" s="1237"/>
      <c r="EH613" s="1235" t="str">
        <f t="shared" si="19"/>
        <v/>
      </c>
      <c r="EI613" s="1236"/>
      <c r="EJ613" s="1236"/>
      <c r="EK613" s="1236"/>
      <c r="EL613" s="1237"/>
      <c r="EM613" s="1235" t="str">
        <f t="shared" si="20"/>
        <v/>
      </c>
      <c r="EN613" s="1236"/>
      <c r="EO613" s="1236"/>
      <c r="EP613" s="1236"/>
      <c r="EQ613" s="1237"/>
      <c r="ER613" s="1235" t="str">
        <f t="shared" si="21"/>
        <v/>
      </c>
      <c r="ES613" s="1236"/>
      <c r="ET613" s="1236"/>
      <c r="EU613" s="1236"/>
      <c r="EV613" s="1237"/>
      <c r="EW613" s="1235" t="str">
        <f t="shared" si="22"/>
        <v/>
      </c>
      <c r="EX613" s="1236"/>
      <c r="EY613" s="1236"/>
      <c r="EZ613" s="1236"/>
      <c r="FA613" s="1237"/>
    </row>
    <row r="614" spans="1:157" ht="12.95" customHeight="1">
      <c r="B614" t="s">
        <v>1483</v>
      </c>
      <c r="H614" s="1232"/>
      <c r="I614" s="1232"/>
      <c r="J614" s="1232"/>
      <c r="K614" s="1232"/>
      <c r="L614" s="1232"/>
      <c r="M614" s="1232"/>
      <c r="N614" s="1232"/>
      <c r="O614" s="1232"/>
      <c r="P614" s="1232"/>
      <c r="Q614" s="1232"/>
      <c r="R614" s="1232"/>
      <c r="U614" t="s">
        <v>1483</v>
      </c>
      <c r="AA614" s="1232"/>
      <c r="AB614" s="1232"/>
      <c r="AC614" s="1232"/>
      <c r="AD614" s="1232"/>
      <c r="AE614" s="1232"/>
      <c r="AF614" s="1232"/>
      <c r="AG614" s="1232"/>
      <c r="AH614" s="1232"/>
      <c r="AI614" s="1232"/>
      <c r="AJ614" s="1232"/>
      <c r="AK614" s="1232"/>
      <c r="AU614" s="821"/>
      <c r="AV614" s="821"/>
      <c r="AW614" s="821"/>
      <c r="AX614" s="821"/>
      <c r="AY614" s="821"/>
      <c r="AZ614" s="3"/>
      <c r="BA614" s="3"/>
      <c r="BB614" s="3"/>
      <c r="BC614" s="3"/>
      <c r="BD614" s="3"/>
      <c r="BE614" s="1235">
        <f t="shared" si="1"/>
        <v>0</v>
      </c>
      <c r="BF614" s="1237"/>
      <c r="BG614" s="1235">
        <f t="shared" si="2"/>
        <v>0</v>
      </c>
      <c r="BH614" s="1237"/>
      <c r="BI614" s="1235">
        <f t="shared" si="3"/>
        <v>0</v>
      </c>
      <c r="BJ614" s="1237"/>
      <c r="BK614" s="1235">
        <f t="shared" si="4"/>
        <v>0</v>
      </c>
      <c r="BL614" s="1237"/>
      <c r="BM614" s="3"/>
      <c r="BN614" s="2457">
        <f t="shared" si="5"/>
        <v>0</v>
      </c>
      <c r="BO614" s="2458"/>
      <c r="BP614" s="2458"/>
      <c r="BQ614" s="2458"/>
      <c r="BR614" s="2459"/>
      <c r="BS614" s="2460">
        <f t="shared" si="6"/>
        <v>0</v>
      </c>
      <c r="BT614" s="2460"/>
      <c r="BU614" s="2460"/>
      <c r="BV614" s="2460"/>
      <c r="BW614" s="2460"/>
      <c r="BX614" s="2460">
        <f t="shared" si="7"/>
        <v>0</v>
      </c>
      <c r="BY614" s="2460"/>
      <c r="BZ614" s="2460"/>
      <c r="CA614" s="2460"/>
      <c r="CB614" s="2460"/>
      <c r="CC614" s="2460">
        <f t="shared" si="8"/>
        <v>0</v>
      </c>
      <c r="CD614" s="2460"/>
      <c r="CE614" s="2460"/>
      <c r="CF614" s="2460"/>
      <c r="CG614" s="2460"/>
      <c r="CH614" s="2460">
        <f t="shared" si="9"/>
        <v>0</v>
      </c>
      <c r="CI614" s="2460"/>
      <c r="CJ614" s="2460"/>
      <c r="CK614" s="2460"/>
      <c r="CL614" s="2460"/>
      <c r="CM614" s="2460">
        <f t="shared" si="10"/>
        <v>0</v>
      </c>
      <c r="CN614" s="2460"/>
      <c r="CO614" s="2460"/>
      <c r="CP614" s="2460"/>
      <c r="CQ614" s="2460"/>
      <c r="CR614" s="279"/>
      <c r="CS614" s="2461">
        <f t="shared" si="11"/>
        <v>0</v>
      </c>
      <c r="CT614" s="2461"/>
      <c r="CU614" s="2461"/>
      <c r="CV614" s="2461"/>
      <c r="CW614" s="2461"/>
      <c r="CX614" s="2461">
        <f t="shared" si="12"/>
        <v>0</v>
      </c>
      <c r="CY614" s="2461"/>
      <c r="CZ614" s="2461"/>
      <c r="DA614" s="2461"/>
      <c r="DB614" s="2461"/>
      <c r="DC614" s="2461">
        <f t="shared" si="13"/>
        <v>0</v>
      </c>
      <c r="DD614" s="2461"/>
      <c r="DE614" s="2461"/>
      <c r="DF614" s="2461"/>
      <c r="DG614" s="2461"/>
      <c r="DH614" s="2461">
        <f t="shared" si="14"/>
        <v>0</v>
      </c>
      <c r="DI614" s="2461"/>
      <c r="DJ614" s="2461"/>
      <c r="DK614" s="2461"/>
      <c r="DL614" s="2461"/>
      <c r="DM614" s="2461">
        <f t="shared" si="15"/>
        <v>0</v>
      </c>
      <c r="DN614" s="2461"/>
      <c r="DO614" s="2461"/>
      <c r="DP614" s="2461"/>
      <c r="DQ614" s="2461"/>
      <c r="DR614" s="2461">
        <f t="shared" si="16"/>
        <v>0</v>
      </c>
      <c r="DS614" s="2461"/>
      <c r="DT614" s="2461"/>
      <c r="DU614" s="2461"/>
      <c r="DV614" s="2461"/>
      <c r="DX614" s="1235" t="str">
        <f t="shared" si="17"/>
        <v/>
      </c>
      <c r="DY614" s="1236"/>
      <c r="DZ614" s="1236"/>
      <c r="EA614" s="1236"/>
      <c r="EB614" s="1237"/>
      <c r="EC614" s="1235" t="str">
        <f t="shared" si="18"/>
        <v/>
      </c>
      <c r="ED614" s="1236"/>
      <c r="EE614" s="1236"/>
      <c r="EF614" s="1236"/>
      <c r="EG614" s="1237"/>
      <c r="EH614" s="1235" t="str">
        <f t="shared" si="19"/>
        <v/>
      </c>
      <c r="EI614" s="1236"/>
      <c r="EJ614" s="1236"/>
      <c r="EK614" s="1236"/>
      <c r="EL614" s="1237"/>
      <c r="EM614" s="1235" t="str">
        <f t="shared" si="20"/>
        <v/>
      </c>
      <c r="EN614" s="1236"/>
      <c r="EO614" s="1236"/>
      <c r="EP614" s="1236"/>
      <c r="EQ614" s="1237"/>
      <c r="ER614" s="1235" t="str">
        <f t="shared" si="21"/>
        <v/>
      </c>
      <c r="ES614" s="1236"/>
      <c r="ET614" s="1236"/>
      <c r="EU614" s="1236"/>
      <c r="EV614" s="1237"/>
      <c r="EW614" s="1235" t="str">
        <f t="shared" si="22"/>
        <v/>
      </c>
      <c r="EX614" s="1236"/>
      <c r="EY614" s="1236"/>
      <c r="EZ614" s="1236"/>
      <c r="FA614" s="1237"/>
    </row>
    <row r="615" spans="1:157" ht="12.95" customHeight="1">
      <c r="B615" t="s">
        <v>1487</v>
      </c>
      <c r="N615" s="1234" t="s">
        <v>894</v>
      </c>
      <c r="O615" s="1234"/>
      <c r="U615" t="s">
        <v>1487</v>
      </c>
      <c r="AG615" s="1234" t="s">
        <v>894</v>
      </c>
      <c r="AH615" s="1234"/>
      <c r="AU615" s="821"/>
      <c r="AV615" s="821"/>
      <c r="AW615" s="821"/>
      <c r="AX615" s="821"/>
      <c r="AY615" s="821"/>
      <c r="AZ615" s="3"/>
      <c r="BA615" s="3"/>
      <c r="BB615" s="3"/>
      <c r="BC615" s="3"/>
      <c r="BD615" s="3"/>
      <c r="BE615" s="1235">
        <f t="shared" si="1"/>
        <v>0</v>
      </c>
      <c r="BF615" s="1237"/>
      <c r="BG615" s="1235">
        <f t="shared" si="2"/>
        <v>0</v>
      </c>
      <c r="BH615" s="1237"/>
      <c r="BI615" s="1235">
        <f t="shared" si="3"/>
        <v>0</v>
      </c>
      <c r="BJ615" s="1237"/>
      <c r="BK615" s="1235">
        <f t="shared" si="4"/>
        <v>0</v>
      </c>
      <c r="BL615" s="1237"/>
      <c r="BM615" s="3"/>
      <c r="BN615" s="2457">
        <f t="shared" si="5"/>
        <v>0</v>
      </c>
      <c r="BO615" s="2458"/>
      <c r="BP615" s="2458"/>
      <c r="BQ615" s="2458"/>
      <c r="BR615" s="2459"/>
      <c r="BS615" s="2460">
        <f t="shared" si="6"/>
        <v>0</v>
      </c>
      <c r="BT615" s="2460"/>
      <c r="BU615" s="2460"/>
      <c r="BV615" s="2460"/>
      <c r="BW615" s="2460"/>
      <c r="BX615" s="2460">
        <f t="shared" si="7"/>
        <v>0</v>
      </c>
      <c r="BY615" s="2460"/>
      <c r="BZ615" s="2460"/>
      <c r="CA615" s="2460"/>
      <c r="CB615" s="2460"/>
      <c r="CC615" s="2460">
        <f t="shared" si="8"/>
        <v>0</v>
      </c>
      <c r="CD615" s="2460"/>
      <c r="CE615" s="2460"/>
      <c r="CF615" s="2460"/>
      <c r="CG615" s="2460"/>
      <c r="CH615" s="2460">
        <f t="shared" si="9"/>
        <v>0</v>
      </c>
      <c r="CI615" s="2460"/>
      <c r="CJ615" s="2460"/>
      <c r="CK615" s="2460"/>
      <c r="CL615" s="2460"/>
      <c r="CM615" s="2460">
        <f t="shared" si="10"/>
        <v>0</v>
      </c>
      <c r="CN615" s="2460"/>
      <c r="CO615" s="2460"/>
      <c r="CP615" s="2460"/>
      <c r="CQ615" s="2460"/>
      <c r="CR615" s="279"/>
      <c r="CS615" s="2461">
        <f t="shared" si="11"/>
        <v>0</v>
      </c>
      <c r="CT615" s="2461"/>
      <c r="CU615" s="2461"/>
      <c r="CV615" s="2461"/>
      <c r="CW615" s="2461"/>
      <c r="CX615" s="2461">
        <f t="shared" si="12"/>
        <v>0</v>
      </c>
      <c r="CY615" s="2461"/>
      <c r="CZ615" s="2461"/>
      <c r="DA615" s="2461"/>
      <c r="DB615" s="2461"/>
      <c r="DC615" s="2461">
        <f t="shared" si="13"/>
        <v>0</v>
      </c>
      <c r="DD615" s="2461"/>
      <c r="DE615" s="2461"/>
      <c r="DF615" s="2461"/>
      <c r="DG615" s="2461"/>
      <c r="DH615" s="2461">
        <f t="shared" si="14"/>
        <v>0</v>
      </c>
      <c r="DI615" s="2461"/>
      <c r="DJ615" s="2461"/>
      <c r="DK615" s="2461"/>
      <c r="DL615" s="2461"/>
      <c r="DM615" s="2461">
        <f t="shared" si="15"/>
        <v>0</v>
      </c>
      <c r="DN615" s="2461"/>
      <c r="DO615" s="2461"/>
      <c r="DP615" s="2461"/>
      <c r="DQ615" s="2461"/>
      <c r="DR615" s="2461">
        <f t="shared" si="16"/>
        <v>0</v>
      </c>
      <c r="DS615" s="2461"/>
      <c r="DT615" s="2461"/>
      <c r="DU615" s="2461"/>
      <c r="DV615" s="2461"/>
      <c r="DX615" s="1235" t="str">
        <f t="shared" si="17"/>
        <v/>
      </c>
      <c r="DY615" s="1236"/>
      <c r="DZ615" s="1236"/>
      <c r="EA615" s="1236"/>
      <c r="EB615" s="1237"/>
      <c r="EC615" s="1235" t="str">
        <f t="shared" si="18"/>
        <v/>
      </c>
      <c r="ED615" s="1236"/>
      <c r="EE615" s="1236"/>
      <c r="EF615" s="1236"/>
      <c r="EG615" s="1237"/>
      <c r="EH615" s="1235" t="str">
        <f t="shared" si="19"/>
        <v/>
      </c>
      <c r="EI615" s="1236"/>
      <c r="EJ615" s="1236"/>
      <c r="EK615" s="1236"/>
      <c r="EL615" s="1237"/>
      <c r="EM615" s="1235" t="str">
        <f t="shared" si="20"/>
        <v/>
      </c>
      <c r="EN615" s="1236"/>
      <c r="EO615" s="1236"/>
      <c r="EP615" s="1236"/>
      <c r="EQ615" s="1237"/>
      <c r="ER615" s="1235" t="str">
        <f t="shared" si="21"/>
        <v/>
      </c>
      <c r="ES615" s="1236"/>
      <c r="ET615" s="1236"/>
      <c r="EU615" s="1236"/>
      <c r="EV615" s="1237"/>
      <c r="EW615" s="1235" t="str">
        <f t="shared" si="22"/>
        <v/>
      </c>
      <c r="EX615" s="1236"/>
      <c r="EY615" s="1236"/>
      <c r="EZ615" s="1236"/>
      <c r="FA615" s="1237"/>
    </row>
    <row r="616" spans="1:157" ht="12.95" customHeight="1">
      <c r="AZ616" s="3"/>
      <c r="BA616" s="3"/>
      <c r="BB616" s="3"/>
      <c r="BC616" s="3"/>
      <c r="BD616" s="3"/>
      <c r="BE616" s="1235">
        <f t="shared" si="1"/>
        <v>0</v>
      </c>
      <c r="BF616" s="1237"/>
      <c r="BG616" s="1235">
        <f t="shared" si="2"/>
        <v>0</v>
      </c>
      <c r="BH616" s="1237"/>
      <c r="BI616" s="1235">
        <f t="shared" si="3"/>
        <v>0</v>
      </c>
      <c r="BJ616" s="1237"/>
      <c r="BK616" s="1235">
        <f t="shared" si="4"/>
        <v>0</v>
      </c>
      <c r="BL616" s="1237"/>
      <c r="BM616" s="3"/>
      <c r="BN616" s="2457">
        <f t="shared" si="5"/>
        <v>0</v>
      </c>
      <c r="BO616" s="2458"/>
      <c r="BP616" s="2458"/>
      <c r="BQ616" s="2458"/>
      <c r="BR616" s="2459"/>
      <c r="BS616" s="2460">
        <f t="shared" si="6"/>
        <v>0</v>
      </c>
      <c r="BT616" s="2460"/>
      <c r="BU616" s="2460"/>
      <c r="BV616" s="2460"/>
      <c r="BW616" s="2460"/>
      <c r="BX616" s="2460">
        <f t="shared" si="7"/>
        <v>0</v>
      </c>
      <c r="BY616" s="2460"/>
      <c r="BZ616" s="2460"/>
      <c r="CA616" s="2460"/>
      <c r="CB616" s="2460"/>
      <c r="CC616" s="2460">
        <f t="shared" si="8"/>
        <v>0</v>
      </c>
      <c r="CD616" s="2460"/>
      <c r="CE616" s="2460"/>
      <c r="CF616" s="2460"/>
      <c r="CG616" s="2460"/>
      <c r="CH616" s="2460">
        <f t="shared" si="9"/>
        <v>0</v>
      </c>
      <c r="CI616" s="2460"/>
      <c r="CJ616" s="2460"/>
      <c r="CK616" s="2460"/>
      <c r="CL616" s="2460"/>
      <c r="CM616" s="2460">
        <f t="shared" si="10"/>
        <v>0</v>
      </c>
      <c r="CN616" s="2460"/>
      <c r="CO616" s="2460"/>
      <c r="CP616" s="2460"/>
      <c r="CQ616" s="2460"/>
      <c r="CR616" s="279"/>
      <c r="CS616" s="2461">
        <f t="shared" si="11"/>
        <v>0</v>
      </c>
      <c r="CT616" s="2461"/>
      <c r="CU616" s="2461"/>
      <c r="CV616" s="2461"/>
      <c r="CW616" s="2461"/>
      <c r="CX616" s="2461">
        <f t="shared" si="12"/>
        <v>0</v>
      </c>
      <c r="CY616" s="2461"/>
      <c r="CZ616" s="2461"/>
      <c r="DA616" s="2461"/>
      <c r="DB616" s="2461"/>
      <c r="DC616" s="2461">
        <f t="shared" si="13"/>
        <v>0</v>
      </c>
      <c r="DD616" s="2461"/>
      <c r="DE616" s="2461"/>
      <c r="DF616" s="2461"/>
      <c r="DG616" s="2461"/>
      <c r="DH616" s="2461">
        <f t="shared" si="14"/>
        <v>0</v>
      </c>
      <c r="DI616" s="2461"/>
      <c r="DJ616" s="2461"/>
      <c r="DK616" s="2461"/>
      <c r="DL616" s="2461"/>
      <c r="DM616" s="2461">
        <f t="shared" si="15"/>
        <v>0</v>
      </c>
      <c r="DN616" s="2461"/>
      <c r="DO616" s="2461"/>
      <c r="DP616" s="2461"/>
      <c r="DQ616" s="2461"/>
      <c r="DR616" s="2461">
        <f t="shared" si="16"/>
        <v>0</v>
      </c>
      <c r="DS616" s="2461"/>
      <c r="DT616" s="2461"/>
      <c r="DU616" s="2461"/>
      <c r="DV616" s="2461"/>
      <c r="DX616" s="1235" t="str">
        <f t="shared" si="17"/>
        <v/>
      </c>
      <c r="DY616" s="1236"/>
      <c r="DZ616" s="1236"/>
      <c r="EA616" s="1236"/>
      <c r="EB616" s="1237"/>
      <c r="EC616" s="1235" t="str">
        <f t="shared" si="18"/>
        <v/>
      </c>
      <c r="ED616" s="1236"/>
      <c r="EE616" s="1236"/>
      <c r="EF616" s="1236"/>
      <c r="EG616" s="1237"/>
      <c r="EH616" s="1235" t="str">
        <f t="shared" si="19"/>
        <v/>
      </c>
      <c r="EI616" s="1236"/>
      <c r="EJ616" s="1236"/>
      <c r="EK616" s="1236"/>
      <c r="EL616" s="1237"/>
      <c r="EM616" s="1235" t="str">
        <f t="shared" si="20"/>
        <v/>
      </c>
      <c r="EN616" s="1236"/>
      <c r="EO616" s="1236"/>
      <c r="EP616" s="1236"/>
      <c r="EQ616" s="1237"/>
      <c r="ER616" s="1235" t="str">
        <f t="shared" si="21"/>
        <v/>
      </c>
      <c r="ES616" s="1236"/>
      <c r="ET616" s="1236"/>
      <c r="EU616" s="1236"/>
      <c r="EV616" s="1237"/>
      <c r="EW616" s="1235" t="str">
        <f t="shared" si="22"/>
        <v/>
      </c>
      <c r="EX616" s="1236"/>
      <c r="EY616" s="1236"/>
      <c r="EZ616" s="1236"/>
      <c r="FA616" s="1237"/>
    </row>
    <row r="617" spans="1:157" ht="12.95" customHeight="1">
      <c r="A617" s="1157" t="s">
        <v>1506</v>
      </c>
      <c r="B617" s="1157"/>
      <c r="C617" s="1157"/>
      <c r="D617" s="1157"/>
      <c r="E617" s="1157"/>
      <c r="F617" s="1157"/>
      <c r="G617" s="1157"/>
      <c r="H617" s="1157"/>
      <c r="I617" s="1157"/>
      <c r="J617" s="1157"/>
      <c r="K617" s="1157"/>
      <c r="L617" s="1157"/>
      <c r="M617" s="1157"/>
      <c r="N617" s="1157"/>
      <c r="O617" s="1157"/>
      <c r="P617" s="1157"/>
      <c r="Q617" s="1157"/>
      <c r="R617" s="1157"/>
      <c r="S617" s="1157"/>
      <c r="T617" s="1157"/>
      <c r="U617" s="1157"/>
      <c r="V617" s="1157"/>
      <c r="W617" s="1157"/>
      <c r="X617" s="1157"/>
      <c r="Y617" s="1157"/>
      <c r="Z617" s="1157"/>
      <c r="AA617" s="1157"/>
      <c r="AB617" s="1157"/>
      <c r="AC617" s="1157"/>
      <c r="AD617" s="1157"/>
      <c r="AE617" s="1157"/>
      <c r="AF617" s="1157"/>
      <c r="AG617" s="1157"/>
      <c r="AH617" s="1157"/>
      <c r="AI617" s="1157"/>
      <c r="AJ617" s="1157"/>
      <c r="AK617" s="1157"/>
      <c r="AL617" s="1157"/>
      <c r="AM617" s="1157"/>
      <c r="AN617" s="1157"/>
      <c r="AO617" s="1157"/>
      <c r="AP617" s="1157"/>
      <c r="AQ617" s="1157"/>
      <c r="AR617" s="1157"/>
      <c r="AS617" s="1157"/>
      <c r="AT617" s="1157"/>
      <c r="AZ617" s="3"/>
      <c r="BA617" s="3"/>
      <c r="BB617" s="3"/>
      <c r="BC617" s="3"/>
      <c r="BD617" s="3"/>
      <c r="BE617" s="1235">
        <f t="shared" si="1"/>
        <v>0</v>
      </c>
      <c r="BF617" s="1237"/>
      <c r="BG617" s="1235">
        <f t="shared" si="2"/>
        <v>0</v>
      </c>
      <c r="BH617" s="1237"/>
      <c r="BI617" s="1235">
        <f t="shared" si="3"/>
        <v>0</v>
      </c>
      <c r="BJ617" s="1237"/>
      <c r="BK617" s="1235">
        <f t="shared" si="4"/>
        <v>0</v>
      </c>
      <c r="BL617" s="1237"/>
      <c r="BM617" s="3"/>
      <c r="BN617" s="2457">
        <f t="shared" si="5"/>
        <v>0</v>
      </c>
      <c r="BO617" s="2458"/>
      <c r="BP617" s="2458"/>
      <c r="BQ617" s="2458"/>
      <c r="BR617" s="2459"/>
      <c r="BS617" s="2460">
        <f t="shared" si="6"/>
        <v>0</v>
      </c>
      <c r="BT617" s="2460"/>
      <c r="BU617" s="2460"/>
      <c r="BV617" s="2460"/>
      <c r="BW617" s="2460"/>
      <c r="BX617" s="2460">
        <f t="shared" si="7"/>
        <v>0</v>
      </c>
      <c r="BY617" s="2460"/>
      <c r="BZ617" s="2460"/>
      <c r="CA617" s="2460"/>
      <c r="CB617" s="2460"/>
      <c r="CC617" s="2460">
        <f t="shared" si="8"/>
        <v>0</v>
      </c>
      <c r="CD617" s="2460"/>
      <c r="CE617" s="2460"/>
      <c r="CF617" s="2460"/>
      <c r="CG617" s="2460"/>
      <c r="CH617" s="2460">
        <f t="shared" si="9"/>
        <v>0</v>
      </c>
      <c r="CI617" s="2460"/>
      <c r="CJ617" s="2460"/>
      <c r="CK617" s="2460"/>
      <c r="CL617" s="2460"/>
      <c r="CM617" s="2460">
        <f t="shared" si="10"/>
        <v>0</v>
      </c>
      <c r="CN617" s="2460"/>
      <c r="CO617" s="2460"/>
      <c r="CP617" s="2460"/>
      <c r="CQ617" s="2460"/>
      <c r="CR617" s="279"/>
      <c r="CS617" s="2461">
        <f t="shared" si="11"/>
        <v>0</v>
      </c>
      <c r="CT617" s="2461"/>
      <c r="CU617" s="2461"/>
      <c r="CV617" s="2461"/>
      <c r="CW617" s="2461"/>
      <c r="CX617" s="2461">
        <f t="shared" si="12"/>
        <v>0</v>
      </c>
      <c r="CY617" s="2461"/>
      <c r="CZ617" s="2461"/>
      <c r="DA617" s="2461"/>
      <c r="DB617" s="2461"/>
      <c r="DC617" s="2461">
        <f t="shared" si="13"/>
        <v>0</v>
      </c>
      <c r="DD617" s="2461"/>
      <c r="DE617" s="2461"/>
      <c r="DF617" s="2461"/>
      <c r="DG617" s="2461"/>
      <c r="DH617" s="2461">
        <f t="shared" si="14"/>
        <v>0</v>
      </c>
      <c r="DI617" s="2461"/>
      <c r="DJ617" s="2461"/>
      <c r="DK617" s="2461"/>
      <c r="DL617" s="2461"/>
      <c r="DM617" s="2461">
        <f t="shared" si="15"/>
        <v>0</v>
      </c>
      <c r="DN617" s="2461"/>
      <c r="DO617" s="2461"/>
      <c r="DP617" s="2461"/>
      <c r="DQ617" s="2461"/>
      <c r="DR617" s="2461">
        <f t="shared" si="16"/>
        <v>0</v>
      </c>
      <c r="DS617" s="2461"/>
      <c r="DT617" s="2461"/>
      <c r="DU617" s="2461"/>
      <c r="DV617" s="2461"/>
      <c r="DX617" s="1235" t="str">
        <f t="shared" si="17"/>
        <v/>
      </c>
      <c r="DY617" s="1236"/>
      <c r="DZ617" s="1236"/>
      <c r="EA617" s="1236"/>
      <c r="EB617" s="1237"/>
      <c r="EC617" s="1235" t="str">
        <f t="shared" si="18"/>
        <v/>
      </c>
      <c r="ED617" s="1236"/>
      <c r="EE617" s="1236"/>
      <c r="EF617" s="1236"/>
      <c r="EG617" s="1237"/>
      <c r="EH617" s="1235" t="str">
        <f t="shared" si="19"/>
        <v/>
      </c>
      <c r="EI617" s="1236"/>
      <c r="EJ617" s="1236"/>
      <c r="EK617" s="1236"/>
      <c r="EL617" s="1237"/>
      <c r="EM617" s="1235" t="str">
        <f t="shared" si="20"/>
        <v/>
      </c>
      <c r="EN617" s="1236"/>
      <c r="EO617" s="1236"/>
      <c r="EP617" s="1236"/>
      <c r="EQ617" s="1237"/>
      <c r="ER617" s="1235" t="str">
        <f t="shared" si="21"/>
        <v/>
      </c>
      <c r="ES617" s="1236"/>
      <c r="ET617" s="1236"/>
      <c r="EU617" s="1236"/>
      <c r="EV617" s="1237"/>
      <c r="EW617" s="1235" t="str">
        <f t="shared" si="22"/>
        <v/>
      </c>
      <c r="EX617" s="1236"/>
      <c r="EY617" s="1236"/>
      <c r="EZ617" s="1236"/>
      <c r="FA617" s="1237"/>
    </row>
    <row r="618" spans="1:157" ht="12.95" customHeight="1">
      <c r="A618" s="1157"/>
      <c r="B618" s="1157"/>
      <c r="C618" s="1157"/>
      <c r="D618" s="1157"/>
      <c r="E618" s="1157"/>
      <c r="F618" s="1157"/>
      <c r="G618" s="1157"/>
      <c r="H618" s="1157"/>
      <c r="I618" s="1157"/>
      <c r="J618" s="1157"/>
      <c r="K618" s="1157"/>
      <c r="L618" s="1157"/>
      <c r="M618" s="1157"/>
      <c r="N618" s="1157"/>
      <c r="O618" s="1157"/>
      <c r="P618" s="1157"/>
      <c r="Q618" s="1157"/>
      <c r="R618" s="1157"/>
      <c r="S618" s="1157"/>
      <c r="T618" s="1157"/>
      <c r="U618" s="1157"/>
      <c r="V618" s="1157"/>
      <c r="W618" s="1157"/>
      <c r="X618" s="1157"/>
      <c r="Y618" s="1157"/>
      <c r="Z618" s="1157"/>
      <c r="AA618" s="1157"/>
      <c r="AB618" s="1157"/>
      <c r="AC618" s="1157"/>
      <c r="AD618" s="1157"/>
      <c r="AE618" s="1157"/>
      <c r="AF618" s="1157"/>
      <c r="AG618" s="1157"/>
      <c r="AH618" s="1157"/>
      <c r="AI618" s="1157"/>
      <c r="AJ618" s="1157"/>
      <c r="AK618" s="1157"/>
      <c r="AL618" s="1157"/>
      <c r="AM618" s="1157"/>
      <c r="AN618" s="1157"/>
      <c r="AO618" s="1157"/>
      <c r="AP618" s="1157"/>
      <c r="AQ618" s="1157"/>
      <c r="AR618" s="1157"/>
      <c r="AS618" s="1157"/>
      <c r="AT618" s="1157"/>
      <c r="AZ618" s="3"/>
      <c r="BA618" s="3"/>
      <c r="BB618" s="3"/>
      <c r="BC618" s="3"/>
      <c r="BD618" s="3"/>
      <c r="BE618" s="1235">
        <f t="shared" si="1"/>
        <v>0</v>
      </c>
      <c r="BF618" s="1237"/>
      <c r="BG618" s="1235">
        <f t="shared" si="2"/>
        <v>0</v>
      </c>
      <c r="BH618" s="1237"/>
      <c r="BI618" s="1235">
        <f t="shared" si="3"/>
        <v>0</v>
      </c>
      <c r="BJ618" s="1237"/>
      <c r="BK618" s="1235">
        <f t="shared" si="4"/>
        <v>0</v>
      </c>
      <c r="BL618" s="1237"/>
      <c r="BM618" s="3"/>
      <c r="BN618" s="2457">
        <f t="shared" si="5"/>
        <v>0</v>
      </c>
      <c r="BO618" s="2458"/>
      <c r="BP618" s="2458"/>
      <c r="BQ618" s="2458"/>
      <c r="BR618" s="2459"/>
      <c r="BS618" s="2460">
        <f t="shared" si="6"/>
        <v>0</v>
      </c>
      <c r="BT618" s="2460"/>
      <c r="BU618" s="2460"/>
      <c r="BV618" s="2460"/>
      <c r="BW618" s="2460"/>
      <c r="BX618" s="2460">
        <f t="shared" si="7"/>
        <v>0</v>
      </c>
      <c r="BY618" s="2460"/>
      <c r="BZ618" s="2460"/>
      <c r="CA618" s="2460"/>
      <c r="CB618" s="2460"/>
      <c r="CC618" s="2460">
        <f t="shared" si="8"/>
        <v>0</v>
      </c>
      <c r="CD618" s="2460"/>
      <c r="CE618" s="2460"/>
      <c r="CF618" s="2460"/>
      <c r="CG618" s="2460"/>
      <c r="CH618" s="2460">
        <f t="shared" si="9"/>
        <v>0</v>
      </c>
      <c r="CI618" s="2460"/>
      <c r="CJ618" s="2460"/>
      <c r="CK618" s="2460"/>
      <c r="CL618" s="2460"/>
      <c r="CM618" s="2460">
        <f t="shared" si="10"/>
        <v>0</v>
      </c>
      <c r="CN618" s="2460"/>
      <c r="CO618" s="2460"/>
      <c r="CP618" s="2460"/>
      <c r="CQ618" s="2460"/>
      <c r="CR618" s="279"/>
      <c r="CS618" s="2461">
        <f t="shared" si="11"/>
        <v>0</v>
      </c>
      <c r="CT618" s="2461"/>
      <c r="CU618" s="2461"/>
      <c r="CV618" s="2461"/>
      <c r="CW618" s="2461"/>
      <c r="CX618" s="2461">
        <f t="shared" si="12"/>
        <v>0</v>
      </c>
      <c r="CY618" s="2461"/>
      <c r="CZ618" s="2461"/>
      <c r="DA618" s="2461"/>
      <c r="DB618" s="2461"/>
      <c r="DC618" s="2461">
        <f t="shared" si="13"/>
        <v>0</v>
      </c>
      <c r="DD618" s="2461"/>
      <c r="DE618" s="2461"/>
      <c r="DF618" s="2461"/>
      <c r="DG618" s="2461"/>
      <c r="DH618" s="2461">
        <f t="shared" si="14"/>
        <v>0</v>
      </c>
      <c r="DI618" s="2461"/>
      <c r="DJ618" s="2461"/>
      <c r="DK618" s="2461"/>
      <c r="DL618" s="2461"/>
      <c r="DM618" s="2461">
        <f t="shared" si="15"/>
        <v>0</v>
      </c>
      <c r="DN618" s="2461"/>
      <c r="DO618" s="2461"/>
      <c r="DP618" s="2461"/>
      <c r="DQ618" s="2461"/>
      <c r="DR618" s="2461">
        <f t="shared" si="16"/>
        <v>0</v>
      </c>
      <c r="DS618" s="2461"/>
      <c r="DT618" s="2461"/>
      <c r="DU618" s="2461"/>
      <c r="DV618" s="2461"/>
      <c r="DX618" s="1235" t="str">
        <f t="shared" si="17"/>
        <v/>
      </c>
      <c r="DY618" s="1236"/>
      <c r="DZ618" s="1236"/>
      <c r="EA618" s="1236"/>
      <c r="EB618" s="1237"/>
      <c r="EC618" s="1235" t="str">
        <f t="shared" si="18"/>
        <v/>
      </c>
      <c r="ED618" s="1236"/>
      <c r="EE618" s="1236"/>
      <c r="EF618" s="1236"/>
      <c r="EG618" s="1237"/>
      <c r="EH618" s="1235" t="str">
        <f t="shared" si="19"/>
        <v/>
      </c>
      <c r="EI618" s="1236"/>
      <c r="EJ618" s="1236"/>
      <c r="EK618" s="1236"/>
      <c r="EL618" s="1237"/>
      <c r="EM618" s="1235" t="str">
        <f t="shared" si="20"/>
        <v/>
      </c>
      <c r="EN618" s="1236"/>
      <c r="EO618" s="1236"/>
      <c r="EP618" s="1236"/>
      <c r="EQ618" s="1237"/>
      <c r="ER618" s="1235" t="str">
        <f t="shared" si="21"/>
        <v/>
      </c>
      <c r="ES618" s="1236"/>
      <c r="ET618" s="1236"/>
      <c r="EU618" s="1236"/>
      <c r="EV618" s="1237"/>
      <c r="EW618" s="1235" t="str">
        <f t="shared" si="22"/>
        <v/>
      </c>
      <c r="EX618" s="1236"/>
      <c r="EY618" s="1236"/>
      <c r="EZ618" s="1236"/>
      <c r="FA618" s="1237"/>
    </row>
    <row r="619" spans="1:157" ht="12.95" customHeight="1">
      <c r="AZ619" s="3"/>
      <c r="BA619" s="3"/>
      <c r="BB619" s="3"/>
      <c r="BC619" s="3"/>
      <c r="BD619" s="3"/>
      <c r="BE619" s="1235">
        <f t="shared" si="1"/>
        <v>0</v>
      </c>
      <c r="BF619" s="1237"/>
      <c r="BG619" s="1235">
        <f t="shared" si="2"/>
        <v>0</v>
      </c>
      <c r="BH619" s="1237"/>
      <c r="BI619" s="1235">
        <f t="shared" si="3"/>
        <v>0</v>
      </c>
      <c r="BJ619" s="1237"/>
      <c r="BK619" s="1235">
        <f t="shared" si="4"/>
        <v>0</v>
      </c>
      <c r="BL619" s="1237"/>
      <c r="BM619" s="3"/>
      <c r="BN619" s="2457">
        <f t="shared" si="5"/>
        <v>0</v>
      </c>
      <c r="BO619" s="2458"/>
      <c r="BP619" s="2458"/>
      <c r="BQ619" s="2458"/>
      <c r="BR619" s="2459"/>
      <c r="BS619" s="2460">
        <f t="shared" si="6"/>
        <v>0</v>
      </c>
      <c r="BT619" s="2460"/>
      <c r="BU619" s="2460"/>
      <c r="BV619" s="2460"/>
      <c r="BW619" s="2460"/>
      <c r="BX619" s="2460">
        <f t="shared" si="7"/>
        <v>0</v>
      </c>
      <c r="BY619" s="2460"/>
      <c r="BZ619" s="2460"/>
      <c r="CA619" s="2460"/>
      <c r="CB619" s="2460"/>
      <c r="CC619" s="2460">
        <f t="shared" si="8"/>
        <v>0</v>
      </c>
      <c r="CD619" s="2460"/>
      <c r="CE619" s="2460"/>
      <c r="CF619" s="2460"/>
      <c r="CG619" s="2460"/>
      <c r="CH619" s="2460">
        <f t="shared" si="9"/>
        <v>0</v>
      </c>
      <c r="CI619" s="2460"/>
      <c r="CJ619" s="2460"/>
      <c r="CK619" s="2460"/>
      <c r="CL619" s="2460"/>
      <c r="CM619" s="2460">
        <f t="shared" si="10"/>
        <v>0</v>
      </c>
      <c r="CN619" s="2460"/>
      <c r="CO619" s="2460"/>
      <c r="CP619" s="2460"/>
      <c r="CQ619" s="2460"/>
      <c r="CR619" s="279"/>
      <c r="CS619" s="2461">
        <f t="shared" si="11"/>
        <v>0</v>
      </c>
      <c r="CT619" s="2461"/>
      <c r="CU619" s="2461"/>
      <c r="CV619" s="2461"/>
      <c r="CW619" s="2461"/>
      <c r="CX619" s="2461">
        <f t="shared" si="12"/>
        <v>0</v>
      </c>
      <c r="CY619" s="2461"/>
      <c r="CZ619" s="2461"/>
      <c r="DA619" s="2461"/>
      <c r="DB619" s="2461"/>
      <c r="DC619" s="2461">
        <f t="shared" si="13"/>
        <v>0</v>
      </c>
      <c r="DD619" s="2461"/>
      <c r="DE619" s="2461"/>
      <c r="DF619" s="2461"/>
      <c r="DG619" s="2461"/>
      <c r="DH619" s="2461">
        <f t="shared" si="14"/>
        <v>0</v>
      </c>
      <c r="DI619" s="2461"/>
      <c r="DJ619" s="2461"/>
      <c r="DK619" s="2461"/>
      <c r="DL619" s="2461"/>
      <c r="DM619" s="2461">
        <f t="shared" si="15"/>
        <v>0</v>
      </c>
      <c r="DN619" s="2461"/>
      <c r="DO619" s="2461"/>
      <c r="DP619" s="2461"/>
      <c r="DQ619" s="2461"/>
      <c r="DR619" s="2461">
        <f t="shared" si="16"/>
        <v>0</v>
      </c>
      <c r="DS619" s="2461"/>
      <c r="DT619" s="2461"/>
      <c r="DU619" s="2461"/>
      <c r="DV619" s="2461"/>
      <c r="DX619" s="1235" t="str">
        <f t="shared" si="17"/>
        <v/>
      </c>
      <c r="DY619" s="1236"/>
      <c r="DZ619" s="1236"/>
      <c r="EA619" s="1236"/>
      <c r="EB619" s="1237"/>
      <c r="EC619" s="1235" t="str">
        <f t="shared" si="18"/>
        <v/>
      </c>
      <c r="ED619" s="1236"/>
      <c r="EE619" s="1236"/>
      <c r="EF619" s="1236"/>
      <c r="EG619" s="1237"/>
      <c r="EH619" s="1235" t="str">
        <f t="shared" si="19"/>
        <v/>
      </c>
      <c r="EI619" s="1236"/>
      <c r="EJ619" s="1236"/>
      <c r="EK619" s="1236"/>
      <c r="EL619" s="1237"/>
      <c r="EM619" s="1235" t="str">
        <f t="shared" si="20"/>
        <v/>
      </c>
      <c r="EN619" s="1236"/>
      <c r="EO619" s="1236"/>
      <c r="EP619" s="1236"/>
      <c r="EQ619" s="1237"/>
      <c r="ER619" s="1235" t="str">
        <f t="shared" si="21"/>
        <v/>
      </c>
      <c r="ES619" s="1236"/>
      <c r="ET619" s="1236"/>
      <c r="EU619" s="1236"/>
      <c r="EV619" s="1237"/>
      <c r="EW619" s="1235" t="str">
        <f t="shared" si="22"/>
        <v/>
      </c>
      <c r="EX619" s="1236"/>
      <c r="EY619" s="1236"/>
      <c r="EZ619" s="1236"/>
      <c r="FA619" s="1237"/>
    </row>
    <row r="620" spans="1:157" ht="12.95" customHeight="1">
      <c r="A620" s="2" t="s">
        <v>921</v>
      </c>
      <c r="B620" s="2"/>
      <c r="C620" s="2" t="s">
        <v>174</v>
      </c>
      <c r="AZ620" s="3"/>
      <c r="BA620" s="3"/>
      <c r="BB620" s="3"/>
      <c r="BC620" s="3"/>
      <c r="BD620" s="3"/>
      <c r="BE620" s="1235">
        <f t="shared" si="1"/>
        <v>0</v>
      </c>
      <c r="BF620" s="1237"/>
      <c r="BG620" s="1235">
        <f t="shared" si="2"/>
        <v>0</v>
      </c>
      <c r="BH620" s="1237"/>
      <c r="BI620" s="1235">
        <f t="shared" si="3"/>
        <v>0</v>
      </c>
      <c r="BJ620" s="1237"/>
      <c r="BK620" s="1235">
        <f t="shared" si="4"/>
        <v>0</v>
      </c>
      <c r="BL620" s="1237"/>
      <c r="BM620" s="3"/>
      <c r="BN620" s="2457">
        <f t="shared" si="5"/>
        <v>0</v>
      </c>
      <c r="BO620" s="2458"/>
      <c r="BP620" s="2458"/>
      <c r="BQ620" s="2458"/>
      <c r="BR620" s="2459"/>
      <c r="BS620" s="2460">
        <f t="shared" si="6"/>
        <v>0</v>
      </c>
      <c r="BT620" s="2460"/>
      <c r="BU620" s="2460"/>
      <c r="BV620" s="2460"/>
      <c r="BW620" s="2460"/>
      <c r="BX620" s="2460">
        <f t="shared" si="7"/>
        <v>0</v>
      </c>
      <c r="BY620" s="2460"/>
      <c r="BZ620" s="2460"/>
      <c r="CA620" s="2460"/>
      <c r="CB620" s="2460"/>
      <c r="CC620" s="2460">
        <f t="shared" si="8"/>
        <v>0</v>
      </c>
      <c r="CD620" s="2460"/>
      <c r="CE620" s="2460"/>
      <c r="CF620" s="2460"/>
      <c r="CG620" s="2460"/>
      <c r="CH620" s="2460">
        <f t="shared" si="9"/>
        <v>0</v>
      </c>
      <c r="CI620" s="2460"/>
      <c r="CJ620" s="2460"/>
      <c r="CK620" s="2460"/>
      <c r="CL620" s="2460"/>
      <c r="CM620" s="2460">
        <f t="shared" si="10"/>
        <v>0</v>
      </c>
      <c r="CN620" s="2460"/>
      <c r="CO620" s="2460"/>
      <c r="CP620" s="2460"/>
      <c r="CQ620" s="2460"/>
      <c r="CR620" s="279"/>
      <c r="CS620" s="2461">
        <f t="shared" si="11"/>
        <v>0</v>
      </c>
      <c r="CT620" s="2461"/>
      <c r="CU620" s="2461"/>
      <c r="CV620" s="2461"/>
      <c r="CW620" s="2461"/>
      <c r="CX620" s="2461">
        <f t="shared" si="12"/>
        <v>0</v>
      </c>
      <c r="CY620" s="2461"/>
      <c r="CZ620" s="2461"/>
      <c r="DA620" s="2461"/>
      <c r="DB620" s="2461"/>
      <c r="DC620" s="2461">
        <f t="shared" si="13"/>
        <v>0</v>
      </c>
      <c r="DD620" s="2461"/>
      <c r="DE620" s="2461"/>
      <c r="DF620" s="2461"/>
      <c r="DG620" s="2461"/>
      <c r="DH620" s="2461">
        <f t="shared" si="14"/>
        <v>0</v>
      </c>
      <c r="DI620" s="2461"/>
      <c r="DJ620" s="2461"/>
      <c r="DK620" s="2461"/>
      <c r="DL620" s="2461"/>
      <c r="DM620" s="2461">
        <f t="shared" si="15"/>
        <v>0</v>
      </c>
      <c r="DN620" s="2461"/>
      <c r="DO620" s="2461"/>
      <c r="DP620" s="2461"/>
      <c r="DQ620" s="2461"/>
      <c r="DR620" s="2461">
        <f t="shared" si="16"/>
        <v>0</v>
      </c>
      <c r="DS620" s="2461"/>
      <c r="DT620" s="2461"/>
      <c r="DU620" s="2461"/>
      <c r="DV620" s="2461"/>
      <c r="DX620" s="1235" t="str">
        <f t="shared" si="17"/>
        <v/>
      </c>
      <c r="DY620" s="1236"/>
      <c r="DZ620" s="1236"/>
      <c r="EA620" s="1236"/>
      <c r="EB620" s="1237"/>
      <c r="EC620" s="1235" t="str">
        <f t="shared" si="18"/>
        <v/>
      </c>
      <c r="ED620" s="1236"/>
      <c r="EE620" s="1236"/>
      <c r="EF620" s="1236"/>
      <c r="EG620" s="1237"/>
      <c r="EH620" s="1235" t="str">
        <f t="shared" si="19"/>
        <v/>
      </c>
      <c r="EI620" s="1236"/>
      <c r="EJ620" s="1236"/>
      <c r="EK620" s="1236"/>
      <c r="EL620" s="1237"/>
      <c r="EM620" s="1235" t="str">
        <f t="shared" si="20"/>
        <v/>
      </c>
      <c r="EN620" s="1236"/>
      <c r="EO620" s="1236"/>
      <c r="EP620" s="1236"/>
      <c r="EQ620" s="1237"/>
      <c r="ER620" s="1235" t="str">
        <f t="shared" si="21"/>
        <v/>
      </c>
      <c r="ES620" s="1236"/>
      <c r="ET620" s="1236"/>
      <c r="EU620" s="1236"/>
      <c r="EV620" s="1237"/>
      <c r="EW620" s="1235" t="str">
        <f t="shared" si="22"/>
        <v/>
      </c>
      <c r="EX620" s="1236"/>
      <c r="EY620" s="1236"/>
      <c r="EZ620" s="1236"/>
      <c r="FA620" s="1237"/>
    </row>
    <row r="621" spans="1:157" ht="12.95" customHeight="1">
      <c r="A621" s="2"/>
      <c r="B621" s="2"/>
      <c r="C621" s="2"/>
      <c r="AZ621" s="3"/>
      <c r="BA621" s="3"/>
      <c r="BB621" s="3"/>
      <c r="BC621" s="3"/>
      <c r="BD621" s="3"/>
      <c r="BE621" s="1235">
        <f t="shared" si="1"/>
        <v>0</v>
      </c>
      <c r="BF621" s="1237"/>
      <c r="BG621" s="1235">
        <f t="shared" si="2"/>
        <v>0</v>
      </c>
      <c r="BH621" s="1237"/>
      <c r="BI621" s="1235">
        <f t="shared" si="3"/>
        <v>0</v>
      </c>
      <c r="BJ621" s="1237"/>
      <c r="BK621" s="1235">
        <f t="shared" si="4"/>
        <v>0</v>
      </c>
      <c r="BL621" s="1237"/>
      <c r="BM621" s="3"/>
      <c r="BN621" s="2457">
        <f t="shared" si="5"/>
        <v>0</v>
      </c>
      <c r="BO621" s="2458"/>
      <c r="BP621" s="2458"/>
      <c r="BQ621" s="2458"/>
      <c r="BR621" s="2459"/>
      <c r="BS621" s="2460">
        <f t="shared" si="6"/>
        <v>0</v>
      </c>
      <c r="BT621" s="2460"/>
      <c r="BU621" s="2460"/>
      <c r="BV621" s="2460"/>
      <c r="BW621" s="2460"/>
      <c r="BX621" s="2460">
        <f t="shared" si="7"/>
        <v>0</v>
      </c>
      <c r="BY621" s="2460"/>
      <c r="BZ621" s="2460"/>
      <c r="CA621" s="2460"/>
      <c r="CB621" s="2460"/>
      <c r="CC621" s="2460">
        <f t="shared" si="8"/>
        <v>0</v>
      </c>
      <c r="CD621" s="2460"/>
      <c r="CE621" s="2460"/>
      <c r="CF621" s="2460"/>
      <c r="CG621" s="2460"/>
      <c r="CH621" s="2460">
        <f t="shared" si="9"/>
        <v>0</v>
      </c>
      <c r="CI621" s="2460"/>
      <c r="CJ621" s="2460"/>
      <c r="CK621" s="2460"/>
      <c r="CL621" s="2460"/>
      <c r="CM621" s="2460">
        <f t="shared" si="10"/>
        <v>0</v>
      </c>
      <c r="CN621" s="2460"/>
      <c r="CO621" s="2460"/>
      <c r="CP621" s="2460"/>
      <c r="CQ621" s="2460"/>
      <c r="CR621" s="279"/>
      <c r="CS621" s="2461">
        <f t="shared" si="11"/>
        <v>0</v>
      </c>
      <c r="CT621" s="2461"/>
      <c r="CU621" s="2461"/>
      <c r="CV621" s="2461"/>
      <c r="CW621" s="2461"/>
      <c r="CX621" s="2461">
        <f t="shared" si="12"/>
        <v>0</v>
      </c>
      <c r="CY621" s="2461"/>
      <c r="CZ621" s="2461"/>
      <c r="DA621" s="2461"/>
      <c r="DB621" s="2461"/>
      <c r="DC621" s="2461">
        <f t="shared" si="13"/>
        <v>0</v>
      </c>
      <c r="DD621" s="2461"/>
      <c r="DE621" s="2461"/>
      <c r="DF621" s="2461"/>
      <c r="DG621" s="2461"/>
      <c r="DH621" s="2461">
        <f t="shared" si="14"/>
        <v>0</v>
      </c>
      <c r="DI621" s="2461"/>
      <c r="DJ621" s="2461"/>
      <c r="DK621" s="2461"/>
      <c r="DL621" s="2461"/>
      <c r="DM621" s="2461">
        <f t="shared" si="15"/>
        <v>0</v>
      </c>
      <c r="DN621" s="2461"/>
      <c r="DO621" s="2461"/>
      <c r="DP621" s="2461"/>
      <c r="DQ621" s="2461"/>
      <c r="DR621" s="2461">
        <f t="shared" si="16"/>
        <v>0</v>
      </c>
      <c r="DS621" s="2461"/>
      <c r="DT621" s="2461"/>
      <c r="DU621" s="2461"/>
      <c r="DV621" s="2461"/>
      <c r="DX621" s="1235" t="str">
        <f t="shared" si="17"/>
        <v/>
      </c>
      <c r="DY621" s="1236"/>
      <c r="DZ621" s="1236"/>
      <c r="EA621" s="1236"/>
      <c r="EB621" s="1237"/>
      <c r="EC621" s="1235" t="str">
        <f t="shared" si="18"/>
        <v/>
      </c>
      <c r="ED621" s="1236"/>
      <c r="EE621" s="1236"/>
      <c r="EF621" s="1236"/>
      <c r="EG621" s="1237"/>
      <c r="EH621" s="1235" t="str">
        <f t="shared" si="19"/>
        <v/>
      </c>
      <c r="EI621" s="1236"/>
      <c r="EJ621" s="1236"/>
      <c r="EK621" s="1236"/>
      <c r="EL621" s="1237"/>
      <c r="EM621" s="1235" t="str">
        <f t="shared" si="20"/>
        <v/>
      </c>
      <c r="EN621" s="1236"/>
      <c r="EO621" s="1236"/>
      <c r="EP621" s="1236"/>
      <c r="EQ621" s="1237"/>
      <c r="ER621" s="1235" t="str">
        <f t="shared" si="21"/>
        <v/>
      </c>
      <c r="ES621" s="1236"/>
      <c r="ET621" s="1236"/>
      <c r="EU621" s="1236"/>
      <c r="EV621" s="1237"/>
      <c r="EW621" s="1235" t="str">
        <f t="shared" si="22"/>
        <v/>
      </c>
      <c r="EX621" s="1236"/>
      <c r="EY621" s="1236"/>
      <c r="EZ621" s="1236"/>
      <c r="FA621" s="1237"/>
    </row>
    <row r="622" spans="1:157" ht="12.95" customHeight="1">
      <c r="C622" s="2" t="s">
        <v>1450</v>
      </c>
      <c r="AZ622" s="3"/>
      <c r="BA622" s="3"/>
      <c r="BB622" s="3"/>
      <c r="BC622" s="3"/>
      <c r="BD622" s="3"/>
      <c r="BE622" s="1235">
        <f t="shared" si="1"/>
        <v>0</v>
      </c>
      <c r="BF622" s="1237"/>
      <c r="BG622" s="1235">
        <f t="shared" si="2"/>
        <v>0</v>
      </c>
      <c r="BH622" s="1237"/>
      <c r="BI622" s="1235">
        <f t="shared" si="3"/>
        <v>0</v>
      </c>
      <c r="BJ622" s="1237"/>
      <c r="BK622" s="1235">
        <f t="shared" si="4"/>
        <v>0</v>
      </c>
      <c r="BL622" s="1237"/>
      <c r="BM622" s="3"/>
      <c r="BN622" s="2457">
        <f t="shared" si="5"/>
        <v>0</v>
      </c>
      <c r="BO622" s="2458"/>
      <c r="BP622" s="2458"/>
      <c r="BQ622" s="2458"/>
      <c r="BR622" s="2459"/>
      <c r="BS622" s="2460">
        <f t="shared" si="6"/>
        <v>0</v>
      </c>
      <c r="BT622" s="2460"/>
      <c r="BU622" s="2460"/>
      <c r="BV622" s="2460"/>
      <c r="BW622" s="2460"/>
      <c r="BX622" s="2460">
        <f t="shared" si="7"/>
        <v>0</v>
      </c>
      <c r="BY622" s="2460"/>
      <c r="BZ622" s="2460"/>
      <c r="CA622" s="2460"/>
      <c r="CB622" s="2460"/>
      <c r="CC622" s="2460">
        <f t="shared" si="8"/>
        <v>0</v>
      </c>
      <c r="CD622" s="2460"/>
      <c r="CE622" s="2460"/>
      <c r="CF622" s="2460"/>
      <c r="CG622" s="2460"/>
      <c r="CH622" s="2460">
        <f t="shared" si="9"/>
        <v>0</v>
      </c>
      <c r="CI622" s="2460"/>
      <c r="CJ622" s="2460"/>
      <c r="CK622" s="2460"/>
      <c r="CL622" s="2460"/>
      <c r="CM622" s="2460">
        <f t="shared" si="10"/>
        <v>0</v>
      </c>
      <c r="CN622" s="2460"/>
      <c r="CO622" s="2460"/>
      <c r="CP622" s="2460"/>
      <c r="CQ622" s="2460"/>
      <c r="CR622" s="279"/>
      <c r="CS622" s="2461">
        <f t="shared" si="11"/>
        <v>0</v>
      </c>
      <c r="CT622" s="2461"/>
      <c r="CU622" s="2461"/>
      <c r="CV622" s="2461"/>
      <c r="CW622" s="2461"/>
      <c r="CX622" s="2461">
        <f t="shared" si="12"/>
        <v>0</v>
      </c>
      <c r="CY622" s="2461"/>
      <c r="CZ622" s="2461"/>
      <c r="DA622" s="2461"/>
      <c r="DB622" s="2461"/>
      <c r="DC622" s="2461">
        <f t="shared" si="13"/>
        <v>0</v>
      </c>
      <c r="DD622" s="2461"/>
      <c r="DE622" s="2461"/>
      <c r="DF622" s="2461"/>
      <c r="DG622" s="2461"/>
      <c r="DH622" s="2461">
        <f t="shared" si="14"/>
        <v>0</v>
      </c>
      <c r="DI622" s="2461"/>
      <c r="DJ622" s="2461"/>
      <c r="DK622" s="2461"/>
      <c r="DL622" s="2461"/>
      <c r="DM622" s="2461">
        <f t="shared" si="15"/>
        <v>0</v>
      </c>
      <c r="DN622" s="2461"/>
      <c r="DO622" s="2461"/>
      <c r="DP622" s="2461"/>
      <c r="DQ622" s="2461"/>
      <c r="DR622" s="2461">
        <f t="shared" si="16"/>
        <v>0</v>
      </c>
      <c r="DS622" s="2461"/>
      <c r="DT622" s="2461"/>
      <c r="DU622" s="2461"/>
      <c r="DV622" s="2461"/>
      <c r="DX622" s="1235" t="str">
        <f t="shared" si="17"/>
        <v/>
      </c>
      <c r="DY622" s="1236"/>
      <c r="DZ622" s="1236"/>
      <c r="EA622" s="1236"/>
      <c r="EB622" s="1237"/>
      <c r="EC622" s="1235" t="str">
        <f t="shared" si="18"/>
        <v/>
      </c>
      <c r="ED622" s="1236"/>
      <c r="EE622" s="1236"/>
      <c r="EF622" s="1236"/>
      <c r="EG622" s="1237"/>
      <c r="EH622" s="1235" t="str">
        <f t="shared" si="19"/>
        <v/>
      </c>
      <c r="EI622" s="1236"/>
      <c r="EJ622" s="1236"/>
      <c r="EK622" s="1236"/>
      <c r="EL622" s="1237"/>
      <c r="EM622" s="1235" t="str">
        <f t="shared" si="20"/>
        <v/>
      </c>
      <c r="EN622" s="1236"/>
      <c r="EO622" s="1236"/>
      <c r="EP622" s="1236"/>
      <c r="EQ622" s="1237"/>
      <c r="ER622" s="1235" t="str">
        <f t="shared" si="21"/>
        <v/>
      </c>
      <c r="ES622" s="1236"/>
      <c r="ET622" s="1236"/>
      <c r="EU622" s="1236"/>
      <c r="EV622" s="1237"/>
      <c r="EW622" s="1235" t="str">
        <f t="shared" si="22"/>
        <v/>
      </c>
      <c r="EX622" s="1236"/>
      <c r="EY622" s="1236"/>
      <c r="EZ622" s="1236"/>
      <c r="FA622" s="1237"/>
    </row>
    <row r="623" spans="1:157" ht="12.95" customHeight="1">
      <c r="B623" s="437"/>
      <c r="C623" s="2"/>
      <c r="AU623" s="3"/>
      <c r="AZ623" s="3"/>
      <c r="BA623" s="3"/>
      <c r="BB623" s="3"/>
      <c r="BC623" s="3"/>
      <c r="BD623" s="3"/>
      <c r="BE623" s="1235">
        <f t="shared" si="1"/>
        <v>0</v>
      </c>
      <c r="BF623" s="1237"/>
      <c r="BG623" s="1235">
        <f t="shared" si="2"/>
        <v>0</v>
      </c>
      <c r="BH623" s="1237"/>
      <c r="BI623" s="1235">
        <f t="shared" si="3"/>
        <v>0</v>
      </c>
      <c r="BJ623" s="1237"/>
      <c r="BK623" s="1235">
        <f t="shared" si="4"/>
        <v>0</v>
      </c>
      <c r="BL623" s="1237"/>
      <c r="BM623" s="3"/>
      <c r="BN623" s="2457">
        <f t="shared" si="5"/>
        <v>0</v>
      </c>
      <c r="BO623" s="2458"/>
      <c r="BP623" s="2458"/>
      <c r="BQ623" s="2458"/>
      <c r="BR623" s="2459"/>
      <c r="BS623" s="2460">
        <f t="shared" si="6"/>
        <v>0</v>
      </c>
      <c r="BT623" s="2460"/>
      <c r="BU623" s="2460"/>
      <c r="BV623" s="2460"/>
      <c r="BW623" s="2460"/>
      <c r="BX623" s="2460">
        <f t="shared" si="7"/>
        <v>0</v>
      </c>
      <c r="BY623" s="2460"/>
      <c r="BZ623" s="2460"/>
      <c r="CA623" s="2460"/>
      <c r="CB623" s="2460"/>
      <c r="CC623" s="2460">
        <f t="shared" si="8"/>
        <v>0</v>
      </c>
      <c r="CD623" s="2460"/>
      <c r="CE623" s="2460"/>
      <c r="CF623" s="2460"/>
      <c r="CG623" s="2460"/>
      <c r="CH623" s="2460">
        <f t="shared" si="9"/>
        <v>0</v>
      </c>
      <c r="CI623" s="2460"/>
      <c r="CJ623" s="2460"/>
      <c r="CK623" s="2460"/>
      <c r="CL623" s="2460"/>
      <c r="CM623" s="2460">
        <f t="shared" si="10"/>
        <v>0</v>
      </c>
      <c r="CN623" s="2460"/>
      <c r="CO623" s="2460"/>
      <c r="CP623" s="2460"/>
      <c r="CQ623" s="2460"/>
      <c r="CR623" s="279"/>
      <c r="CS623" s="2461">
        <f t="shared" si="11"/>
        <v>0</v>
      </c>
      <c r="CT623" s="2461"/>
      <c r="CU623" s="2461"/>
      <c r="CV623" s="2461"/>
      <c r="CW623" s="2461"/>
      <c r="CX623" s="2461">
        <f t="shared" si="12"/>
        <v>0</v>
      </c>
      <c r="CY623" s="2461"/>
      <c r="CZ623" s="2461"/>
      <c r="DA623" s="2461"/>
      <c r="DB623" s="2461"/>
      <c r="DC623" s="2461">
        <f t="shared" si="13"/>
        <v>0</v>
      </c>
      <c r="DD623" s="2461"/>
      <c r="DE623" s="2461"/>
      <c r="DF623" s="2461"/>
      <c r="DG623" s="2461"/>
      <c r="DH623" s="2461">
        <f t="shared" si="14"/>
        <v>0</v>
      </c>
      <c r="DI623" s="2461"/>
      <c r="DJ623" s="2461"/>
      <c r="DK623" s="2461"/>
      <c r="DL623" s="2461"/>
      <c r="DM623" s="2461">
        <f t="shared" si="15"/>
        <v>0</v>
      </c>
      <c r="DN623" s="2461"/>
      <c r="DO623" s="2461"/>
      <c r="DP623" s="2461"/>
      <c r="DQ623" s="2461"/>
      <c r="DR623" s="2461">
        <f t="shared" si="16"/>
        <v>0</v>
      </c>
      <c r="DS623" s="2461"/>
      <c r="DT623" s="2461"/>
      <c r="DU623" s="2461"/>
      <c r="DV623" s="2461"/>
      <c r="DX623" s="1235" t="str">
        <f t="shared" si="17"/>
        <v/>
      </c>
      <c r="DY623" s="1236"/>
      <c r="DZ623" s="1236"/>
      <c r="EA623" s="1236"/>
      <c r="EB623" s="1237"/>
      <c r="EC623" s="1235" t="str">
        <f t="shared" si="18"/>
        <v/>
      </c>
      <c r="ED623" s="1236"/>
      <c r="EE623" s="1236"/>
      <c r="EF623" s="1236"/>
      <c r="EG623" s="1237"/>
      <c r="EH623" s="1235" t="str">
        <f t="shared" si="19"/>
        <v/>
      </c>
      <c r="EI623" s="1236"/>
      <c r="EJ623" s="1236"/>
      <c r="EK623" s="1236"/>
      <c r="EL623" s="1237"/>
      <c r="EM623" s="1235" t="str">
        <f t="shared" si="20"/>
        <v/>
      </c>
      <c r="EN623" s="1236"/>
      <c r="EO623" s="1236"/>
      <c r="EP623" s="1236"/>
      <c r="EQ623" s="1237"/>
      <c r="ER623" s="1235" t="str">
        <f t="shared" si="21"/>
        <v/>
      </c>
      <c r="ES623" s="1236"/>
      <c r="ET623" s="1236"/>
      <c r="EU623" s="1236"/>
      <c r="EV623" s="1237"/>
      <c r="EW623" s="1235" t="str">
        <f t="shared" si="22"/>
        <v/>
      </c>
      <c r="EX623" s="1236"/>
      <c r="EY623" s="1236"/>
      <c r="EZ623" s="1236"/>
      <c r="FA623" s="1237"/>
    </row>
    <row r="624" spans="1:157" ht="12.95" customHeight="1">
      <c r="B624" s="1517" t="s">
        <v>1451</v>
      </c>
      <c r="C624" s="1517"/>
      <c r="D624" s="1517"/>
      <c r="E624" s="1517"/>
      <c r="F624" s="1517"/>
      <c r="G624" s="1517"/>
      <c r="H624" s="1517"/>
      <c r="I624" s="1517"/>
      <c r="J624" s="1517"/>
      <c r="K624" s="1517"/>
      <c r="L624" s="1517"/>
      <c r="M624" s="1467" t="s">
        <v>1452</v>
      </c>
      <c r="N624" s="1467"/>
      <c r="O624" s="1467"/>
      <c r="P624" s="1467"/>
      <c r="Q624" s="1467" t="s">
        <v>1507</v>
      </c>
      <c r="R624" s="1467"/>
      <c r="S624" s="1467"/>
      <c r="T624" s="1467" t="s">
        <v>1508</v>
      </c>
      <c r="U624" s="1467"/>
      <c r="V624" s="1467"/>
      <c r="W624" s="1585" t="s">
        <v>1455</v>
      </c>
      <c r="X624" s="1585"/>
      <c r="Y624" s="1585"/>
      <c r="Z624" s="1243" t="s">
        <v>1509</v>
      </c>
      <c r="AA624" s="1243"/>
      <c r="AB624" s="1244"/>
      <c r="AC624" s="1468" t="s">
        <v>1457</v>
      </c>
      <c r="AD624" s="1469"/>
      <c r="AE624" s="1470"/>
      <c r="AF624" s="1242" t="s">
        <v>1510</v>
      </c>
      <c r="AG624" s="1243"/>
      <c r="AH624" s="1243"/>
      <c r="AI624" s="1243"/>
      <c r="AJ624" s="1244"/>
      <c r="AK624" s="1587" t="s">
        <v>1511</v>
      </c>
      <c r="AL624" s="1588"/>
      <c r="AM624" s="1588"/>
      <c r="AN624" s="1589"/>
      <c r="AO624" s="1467" t="s">
        <v>1459</v>
      </c>
      <c r="AP624" s="1467"/>
      <c r="AQ624" s="1467"/>
      <c r="AR624" s="1467"/>
      <c r="AS624" s="1467"/>
      <c r="AU624" s="3"/>
      <c r="AZ624" s="3"/>
      <c r="BA624" s="3"/>
      <c r="BB624" s="3"/>
      <c r="BC624" s="3"/>
      <c r="BD624" s="3"/>
      <c r="BE624" s="1235">
        <f t="shared" si="1"/>
        <v>0</v>
      </c>
      <c r="BF624" s="1237"/>
      <c r="BG624" s="1235">
        <f t="shared" si="2"/>
        <v>0</v>
      </c>
      <c r="BH624" s="1237"/>
      <c r="BI624" s="1235">
        <f t="shared" si="3"/>
        <v>0</v>
      </c>
      <c r="BJ624" s="1237"/>
      <c r="BK624" s="1235">
        <f t="shared" si="4"/>
        <v>0</v>
      </c>
      <c r="BL624" s="1237"/>
      <c r="BM624" s="3"/>
      <c r="BN624" s="2457">
        <f t="shared" si="5"/>
        <v>0</v>
      </c>
      <c r="BO624" s="2458"/>
      <c r="BP624" s="2458"/>
      <c r="BQ624" s="2458"/>
      <c r="BR624" s="2459"/>
      <c r="BS624" s="2460">
        <f t="shared" si="6"/>
        <v>0</v>
      </c>
      <c r="BT624" s="2460"/>
      <c r="BU624" s="2460"/>
      <c r="BV624" s="2460"/>
      <c r="BW624" s="2460"/>
      <c r="BX624" s="2460">
        <f t="shared" si="7"/>
        <v>0</v>
      </c>
      <c r="BY624" s="2460"/>
      <c r="BZ624" s="2460"/>
      <c r="CA624" s="2460"/>
      <c r="CB624" s="2460"/>
      <c r="CC624" s="2460">
        <f t="shared" si="8"/>
        <v>0</v>
      </c>
      <c r="CD624" s="2460"/>
      <c r="CE624" s="2460"/>
      <c r="CF624" s="2460"/>
      <c r="CG624" s="2460"/>
      <c r="CH624" s="2460">
        <f t="shared" si="9"/>
        <v>0</v>
      </c>
      <c r="CI624" s="2460"/>
      <c r="CJ624" s="2460"/>
      <c r="CK624" s="2460"/>
      <c r="CL624" s="2460"/>
      <c r="CM624" s="2460">
        <f t="shared" si="10"/>
        <v>0</v>
      </c>
      <c r="CN624" s="2460"/>
      <c r="CO624" s="2460"/>
      <c r="CP624" s="2460"/>
      <c r="CQ624" s="2460"/>
      <c r="CR624" s="279"/>
      <c r="CS624" s="2461">
        <f t="shared" si="11"/>
        <v>0</v>
      </c>
      <c r="CT624" s="2461"/>
      <c r="CU624" s="2461"/>
      <c r="CV624" s="2461"/>
      <c r="CW624" s="2461"/>
      <c r="CX624" s="2461">
        <f t="shared" si="12"/>
        <v>0</v>
      </c>
      <c r="CY624" s="2461"/>
      <c r="CZ624" s="2461"/>
      <c r="DA624" s="2461"/>
      <c r="DB624" s="2461"/>
      <c r="DC624" s="2461">
        <f t="shared" si="13"/>
        <v>0</v>
      </c>
      <c r="DD624" s="2461"/>
      <c r="DE624" s="2461"/>
      <c r="DF624" s="2461"/>
      <c r="DG624" s="2461"/>
      <c r="DH624" s="2461">
        <f t="shared" si="14"/>
        <v>0</v>
      </c>
      <c r="DI624" s="2461"/>
      <c r="DJ624" s="2461"/>
      <c r="DK624" s="2461"/>
      <c r="DL624" s="2461"/>
      <c r="DM624" s="2461">
        <f t="shared" si="15"/>
        <v>0</v>
      </c>
      <c r="DN624" s="2461"/>
      <c r="DO624" s="2461"/>
      <c r="DP624" s="2461"/>
      <c r="DQ624" s="2461"/>
      <c r="DR624" s="2461">
        <f t="shared" si="16"/>
        <v>0</v>
      </c>
      <c r="DS624" s="2461"/>
      <c r="DT624" s="2461"/>
      <c r="DU624" s="2461"/>
      <c r="DV624" s="2461"/>
      <c r="DX624" s="1235" t="str">
        <f t="shared" si="17"/>
        <v/>
      </c>
      <c r="DY624" s="1236"/>
      <c r="DZ624" s="1236"/>
      <c r="EA624" s="1236"/>
      <c r="EB624" s="1237"/>
      <c r="EC624" s="1235" t="str">
        <f t="shared" si="18"/>
        <v/>
      </c>
      <c r="ED624" s="1236"/>
      <c r="EE624" s="1236"/>
      <c r="EF624" s="1236"/>
      <c r="EG624" s="1237"/>
      <c r="EH624" s="1235" t="str">
        <f t="shared" si="19"/>
        <v/>
      </c>
      <c r="EI624" s="1236"/>
      <c r="EJ624" s="1236"/>
      <c r="EK624" s="1236"/>
      <c r="EL624" s="1237"/>
      <c r="EM624" s="1235" t="str">
        <f t="shared" si="20"/>
        <v/>
      </c>
      <c r="EN624" s="1236"/>
      <c r="EO624" s="1236"/>
      <c r="EP624" s="1236"/>
      <c r="EQ624" s="1237"/>
      <c r="ER624" s="1235" t="str">
        <f t="shared" si="21"/>
        <v/>
      </c>
      <c r="ES624" s="1236"/>
      <c r="ET624" s="1236"/>
      <c r="EU624" s="1236"/>
      <c r="EV624" s="1237"/>
      <c r="EW624" s="1235" t="str">
        <f t="shared" si="22"/>
        <v/>
      </c>
      <c r="EX624" s="1236"/>
      <c r="EY624" s="1236"/>
      <c r="EZ624" s="1236"/>
      <c r="FA624" s="1237"/>
    </row>
    <row r="625" spans="2:157" ht="12.95" customHeight="1">
      <c r="B625" s="1517"/>
      <c r="C625" s="1517"/>
      <c r="D625" s="1517"/>
      <c r="E625" s="1517"/>
      <c r="F625" s="1517"/>
      <c r="G625" s="1517"/>
      <c r="H625" s="1517"/>
      <c r="I625" s="1517"/>
      <c r="J625" s="1517"/>
      <c r="K625" s="1517"/>
      <c r="L625" s="1517"/>
      <c r="M625" s="1467"/>
      <c r="N625" s="1467"/>
      <c r="O625" s="1467"/>
      <c r="P625" s="1467"/>
      <c r="Q625" s="1467"/>
      <c r="R625" s="1467"/>
      <c r="S625" s="1467"/>
      <c r="T625" s="1467"/>
      <c r="U625" s="1467"/>
      <c r="V625" s="1467"/>
      <c r="W625" s="1585"/>
      <c r="X625" s="1585"/>
      <c r="Y625" s="1585"/>
      <c r="Z625" s="1246"/>
      <c r="AA625" s="1246"/>
      <c r="AB625" s="1247"/>
      <c r="AC625" s="1471"/>
      <c r="AD625" s="1472"/>
      <c r="AE625" s="1473"/>
      <c r="AF625" s="1245"/>
      <c r="AG625" s="1246"/>
      <c r="AH625" s="1246"/>
      <c r="AI625" s="1246"/>
      <c r="AJ625" s="1247"/>
      <c r="AK625" s="1590"/>
      <c r="AL625" s="1591"/>
      <c r="AM625" s="1591"/>
      <c r="AN625" s="1592"/>
      <c r="AO625" s="1467"/>
      <c r="AP625" s="1467"/>
      <c r="AQ625" s="1467"/>
      <c r="AR625" s="1467"/>
      <c r="AS625" s="1467"/>
      <c r="AU625" s="3"/>
      <c r="AZ625" s="3"/>
      <c r="BA625" s="3"/>
      <c r="BB625" s="3"/>
      <c r="BC625" s="3"/>
      <c r="BD625" s="3"/>
      <c r="BE625" s="1235">
        <f t="shared" si="1"/>
        <v>0</v>
      </c>
      <c r="BF625" s="1237"/>
      <c r="BG625" s="1235">
        <f t="shared" si="2"/>
        <v>0</v>
      </c>
      <c r="BH625" s="1237"/>
      <c r="BI625" s="1235">
        <f t="shared" si="3"/>
        <v>0</v>
      </c>
      <c r="BJ625" s="1237"/>
      <c r="BK625" s="1235">
        <f t="shared" si="4"/>
        <v>0</v>
      </c>
      <c r="BL625" s="1237"/>
      <c r="BM625" s="3"/>
      <c r="BN625" s="2457">
        <f t="shared" si="5"/>
        <v>0</v>
      </c>
      <c r="BO625" s="2458"/>
      <c r="BP625" s="2458"/>
      <c r="BQ625" s="2458"/>
      <c r="BR625" s="2459"/>
      <c r="BS625" s="2460">
        <f t="shared" si="6"/>
        <v>0</v>
      </c>
      <c r="BT625" s="2460"/>
      <c r="BU625" s="2460"/>
      <c r="BV625" s="2460"/>
      <c r="BW625" s="2460"/>
      <c r="BX625" s="2460">
        <f t="shared" si="7"/>
        <v>0</v>
      </c>
      <c r="BY625" s="2460"/>
      <c r="BZ625" s="2460"/>
      <c r="CA625" s="2460"/>
      <c r="CB625" s="2460"/>
      <c r="CC625" s="2460">
        <f t="shared" si="8"/>
        <v>0</v>
      </c>
      <c r="CD625" s="2460"/>
      <c r="CE625" s="2460"/>
      <c r="CF625" s="2460"/>
      <c r="CG625" s="2460"/>
      <c r="CH625" s="2460">
        <f t="shared" si="9"/>
        <v>0</v>
      </c>
      <c r="CI625" s="2460"/>
      <c r="CJ625" s="2460"/>
      <c r="CK625" s="2460"/>
      <c r="CL625" s="2460"/>
      <c r="CM625" s="2460">
        <f t="shared" si="10"/>
        <v>0</v>
      </c>
      <c r="CN625" s="2460"/>
      <c r="CO625" s="2460"/>
      <c r="CP625" s="2460"/>
      <c r="CQ625" s="2460"/>
      <c r="CR625" s="279"/>
      <c r="CS625" s="2461">
        <f t="shared" si="11"/>
        <v>0</v>
      </c>
      <c r="CT625" s="2461"/>
      <c r="CU625" s="2461"/>
      <c r="CV625" s="2461"/>
      <c r="CW625" s="2461"/>
      <c r="CX625" s="2461">
        <f t="shared" si="12"/>
        <v>0</v>
      </c>
      <c r="CY625" s="2461"/>
      <c r="CZ625" s="2461"/>
      <c r="DA625" s="2461"/>
      <c r="DB625" s="2461"/>
      <c r="DC625" s="2461">
        <f t="shared" si="13"/>
        <v>0</v>
      </c>
      <c r="DD625" s="2461"/>
      <c r="DE625" s="2461"/>
      <c r="DF625" s="2461"/>
      <c r="DG625" s="2461"/>
      <c r="DH625" s="2461">
        <f t="shared" si="14"/>
        <v>0</v>
      </c>
      <c r="DI625" s="2461"/>
      <c r="DJ625" s="2461"/>
      <c r="DK625" s="2461"/>
      <c r="DL625" s="2461"/>
      <c r="DM625" s="2461">
        <f t="shared" si="15"/>
        <v>0</v>
      </c>
      <c r="DN625" s="2461"/>
      <c r="DO625" s="2461"/>
      <c r="DP625" s="2461"/>
      <c r="DQ625" s="2461"/>
      <c r="DR625" s="2461">
        <f t="shared" si="16"/>
        <v>0</v>
      </c>
      <c r="DS625" s="2461"/>
      <c r="DT625" s="2461"/>
      <c r="DU625" s="2461"/>
      <c r="DV625" s="2461"/>
      <c r="DX625" s="1235" t="str">
        <f t="shared" si="17"/>
        <v/>
      </c>
      <c r="DY625" s="1236"/>
      <c r="DZ625" s="1236"/>
      <c r="EA625" s="1236"/>
      <c r="EB625" s="1237"/>
      <c r="EC625" s="1235" t="str">
        <f t="shared" si="18"/>
        <v/>
      </c>
      <c r="ED625" s="1236"/>
      <c r="EE625" s="1236"/>
      <c r="EF625" s="1236"/>
      <c r="EG625" s="1237"/>
      <c r="EH625" s="1235" t="str">
        <f t="shared" si="19"/>
        <v/>
      </c>
      <c r="EI625" s="1236"/>
      <c r="EJ625" s="1236"/>
      <c r="EK625" s="1236"/>
      <c r="EL625" s="1237"/>
      <c r="EM625" s="1235" t="str">
        <f t="shared" si="20"/>
        <v/>
      </c>
      <c r="EN625" s="1236"/>
      <c r="EO625" s="1236"/>
      <c r="EP625" s="1236"/>
      <c r="EQ625" s="1237"/>
      <c r="ER625" s="1235" t="str">
        <f t="shared" si="21"/>
        <v/>
      </c>
      <c r="ES625" s="1236"/>
      <c r="ET625" s="1236"/>
      <c r="EU625" s="1236"/>
      <c r="EV625" s="1237"/>
      <c r="EW625" s="1235" t="str">
        <f t="shared" si="22"/>
        <v/>
      </c>
      <c r="EX625" s="1236"/>
      <c r="EY625" s="1236"/>
      <c r="EZ625" s="1236"/>
      <c r="FA625" s="1237"/>
    </row>
    <row r="626" spans="2:157" ht="12.95" customHeight="1">
      <c r="B626" s="1517"/>
      <c r="C626" s="1517"/>
      <c r="D626" s="1517"/>
      <c r="E626" s="1517"/>
      <c r="F626" s="1517"/>
      <c r="G626" s="1517"/>
      <c r="H626" s="1517"/>
      <c r="I626" s="1517"/>
      <c r="J626" s="1517"/>
      <c r="K626" s="1517"/>
      <c r="L626" s="1517"/>
      <c r="M626" s="1467"/>
      <c r="N626" s="1467"/>
      <c r="O626" s="1467"/>
      <c r="P626" s="1467"/>
      <c r="Q626" s="1467"/>
      <c r="R626" s="1467"/>
      <c r="S626" s="1467"/>
      <c r="T626" s="1467"/>
      <c r="U626" s="1467"/>
      <c r="V626" s="1467"/>
      <c r="W626" s="1585"/>
      <c r="X626" s="1585"/>
      <c r="Y626" s="1585"/>
      <c r="Z626" s="1249"/>
      <c r="AA626" s="1249"/>
      <c r="AB626" s="1250"/>
      <c r="AC626" s="1474"/>
      <c r="AD626" s="1475"/>
      <c r="AE626" s="1476"/>
      <c r="AF626" s="1248"/>
      <c r="AG626" s="1249"/>
      <c r="AH626" s="1249"/>
      <c r="AI626" s="1249"/>
      <c r="AJ626" s="1250"/>
      <c r="AK626" s="1593"/>
      <c r="AL626" s="1594"/>
      <c r="AM626" s="1594"/>
      <c r="AN626" s="1595"/>
      <c r="AO626" s="1467"/>
      <c r="AP626" s="1467"/>
      <c r="AQ626" s="1467"/>
      <c r="AR626" s="1467"/>
      <c r="AS626" s="1467"/>
      <c r="AT626" s="3"/>
      <c r="AU626" s="3"/>
      <c r="AZ626" s="3"/>
      <c r="BA626" s="3"/>
      <c r="BB626" s="3"/>
      <c r="BC626" s="3"/>
      <c r="BD626" s="3"/>
      <c r="BE626" s="1235">
        <f t="shared" si="1"/>
        <v>0</v>
      </c>
      <c r="BF626" s="1237"/>
      <c r="BG626" s="1235">
        <f t="shared" si="2"/>
        <v>0</v>
      </c>
      <c r="BH626" s="1237"/>
      <c r="BI626" s="1235">
        <f t="shared" si="3"/>
        <v>0</v>
      </c>
      <c r="BJ626" s="1237"/>
      <c r="BK626" s="1235">
        <f t="shared" si="4"/>
        <v>0</v>
      </c>
      <c r="BL626" s="1237"/>
      <c r="BM626" s="3"/>
      <c r="BN626" s="2457">
        <f t="shared" si="5"/>
        <v>0</v>
      </c>
      <c r="BO626" s="2458"/>
      <c r="BP626" s="2458"/>
      <c r="BQ626" s="2458"/>
      <c r="BR626" s="2459"/>
      <c r="BS626" s="2460">
        <f t="shared" si="6"/>
        <v>0</v>
      </c>
      <c r="BT626" s="2460"/>
      <c r="BU626" s="2460"/>
      <c r="BV626" s="2460"/>
      <c r="BW626" s="2460"/>
      <c r="BX626" s="2460">
        <f t="shared" si="7"/>
        <v>0</v>
      </c>
      <c r="BY626" s="2460"/>
      <c r="BZ626" s="2460"/>
      <c r="CA626" s="2460"/>
      <c r="CB626" s="2460"/>
      <c r="CC626" s="2460">
        <f t="shared" si="8"/>
        <v>0</v>
      </c>
      <c r="CD626" s="2460"/>
      <c r="CE626" s="2460"/>
      <c r="CF626" s="2460"/>
      <c r="CG626" s="2460"/>
      <c r="CH626" s="2460">
        <f t="shared" si="9"/>
        <v>0</v>
      </c>
      <c r="CI626" s="2460"/>
      <c r="CJ626" s="2460"/>
      <c r="CK626" s="2460"/>
      <c r="CL626" s="2460"/>
      <c r="CM626" s="2460">
        <f t="shared" si="10"/>
        <v>0</v>
      </c>
      <c r="CN626" s="2460"/>
      <c r="CO626" s="2460"/>
      <c r="CP626" s="2460"/>
      <c r="CQ626" s="2460"/>
      <c r="CR626" s="279"/>
      <c r="CS626" s="2461">
        <f t="shared" si="11"/>
        <v>0</v>
      </c>
      <c r="CT626" s="2461"/>
      <c r="CU626" s="2461"/>
      <c r="CV626" s="2461"/>
      <c r="CW626" s="2461"/>
      <c r="CX626" s="2461">
        <f t="shared" si="12"/>
        <v>0</v>
      </c>
      <c r="CY626" s="2461"/>
      <c r="CZ626" s="2461"/>
      <c r="DA626" s="2461"/>
      <c r="DB626" s="2461"/>
      <c r="DC626" s="2461">
        <f t="shared" si="13"/>
        <v>0</v>
      </c>
      <c r="DD626" s="2461"/>
      <c r="DE626" s="2461"/>
      <c r="DF626" s="2461"/>
      <c r="DG626" s="2461"/>
      <c r="DH626" s="2461">
        <f t="shared" si="14"/>
        <v>0</v>
      </c>
      <c r="DI626" s="2461"/>
      <c r="DJ626" s="2461"/>
      <c r="DK626" s="2461"/>
      <c r="DL626" s="2461"/>
      <c r="DM626" s="2461">
        <f t="shared" si="15"/>
        <v>0</v>
      </c>
      <c r="DN626" s="2461"/>
      <c r="DO626" s="2461"/>
      <c r="DP626" s="2461"/>
      <c r="DQ626" s="2461"/>
      <c r="DR626" s="2461">
        <f t="shared" si="16"/>
        <v>0</v>
      </c>
      <c r="DS626" s="2461"/>
      <c r="DT626" s="2461"/>
      <c r="DU626" s="2461"/>
      <c r="DV626" s="2461"/>
      <c r="DX626" s="1235" t="str">
        <f t="shared" si="17"/>
        <v/>
      </c>
      <c r="DY626" s="1236"/>
      <c r="DZ626" s="1236"/>
      <c r="EA626" s="1236"/>
      <c r="EB626" s="1237"/>
      <c r="EC626" s="1235" t="str">
        <f t="shared" si="18"/>
        <v/>
      </c>
      <c r="ED626" s="1236"/>
      <c r="EE626" s="1236"/>
      <c r="EF626" s="1236"/>
      <c r="EG626" s="1237"/>
      <c r="EH626" s="1235" t="str">
        <f t="shared" si="19"/>
        <v/>
      </c>
      <c r="EI626" s="1236"/>
      <c r="EJ626" s="1236"/>
      <c r="EK626" s="1236"/>
      <c r="EL626" s="1237"/>
      <c r="EM626" s="1235" t="str">
        <f t="shared" si="20"/>
        <v/>
      </c>
      <c r="EN626" s="1236"/>
      <c r="EO626" s="1236"/>
      <c r="EP626" s="1236"/>
      <c r="EQ626" s="1237"/>
      <c r="ER626" s="1235" t="str">
        <f t="shared" si="21"/>
        <v/>
      </c>
      <c r="ES626" s="1236"/>
      <c r="ET626" s="1236"/>
      <c r="EU626" s="1236"/>
      <c r="EV626" s="1237"/>
      <c r="EW626" s="1235" t="str">
        <f t="shared" si="22"/>
        <v/>
      </c>
      <c r="EX626" s="1236"/>
      <c r="EY626" s="1236"/>
      <c r="EZ626" s="1236"/>
      <c r="FA626" s="1237"/>
    </row>
    <row r="627" spans="2:157" ht="12.95" customHeight="1">
      <c r="B627" s="44" t="s">
        <v>17</v>
      </c>
      <c r="C627" s="1319" t="s">
        <v>1512</v>
      </c>
      <c r="D627" s="1319"/>
      <c r="E627" s="1319"/>
      <c r="F627" s="1319"/>
      <c r="G627" s="1319"/>
      <c r="H627" s="1319"/>
      <c r="I627" s="1319"/>
      <c r="J627" s="1319"/>
      <c r="K627" s="1319"/>
      <c r="L627" s="1319"/>
      <c r="M627" s="1318" t="s">
        <v>1424</v>
      </c>
      <c r="N627" s="1318"/>
      <c r="O627" s="1318"/>
      <c r="P627" s="1318"/>
      <c r="Q627" s="1354">
        <f>17*12</f>
        <v>204</v>
      </c>
      <c r="R627" s="1354"/>
      <c r="S627" s="1481"/>
      <c r="T627" s="1480">
        <f>40*12</f>
        <v>480</v>
      </c>
      <c r="U627" s="1354"/>
      <c r="V627" s="1481"/>
      <c r="W627" s="1458">
        <v>0.05</v>
      </c>
      <c r="X627" s="1459"/>
      <c r="Y627" s="1460"/>
      <c r="Z627" s="1464" t="s">
        <v>1513</v>
      </c>
      <c r="AA627" s="1465"/>
      <c r="AB627" s="1466"/>
      <c r="AC627" s="1281"/>
      <c r="AD627" s="1282"/>
      <c r="AE627" s="1283"/>
      <c r="AF627" s="1323">
        <v>371840</v>
      </c>
      <c r="AG627" s="1324"/>
      <c r="AH627" s="1324"/>
      <c r="AI627" s="1324"/>
      <c r="AJ627" s="1325"/>
      <c r="AK627" s="1477"/>
      <c r="AL627" s="1478"/>
      <c r="AM627" s="1478"/>
      <c r="AN627" s="1479"/>
      <c r="AO627" s="1409">
        <v>5292738</v>
      </c>
      <c r="AP627" s="1409"/>
      <c r="AQ627" s="1409"/>
      <c r="AR627" s="1409"/>
      <c r="AS627" s="1409"/>
      <c r="AT627" s="3"/>
      <c r="AU627" s="3"/>
      <c r="AZ627" s="3"/>
      <c r="BA627" s="3"/>
      <c r="BB627" s="3"/>
      <c r="BC627" s="3"/>
      <c r="BD627" s="3"/>
      <c r="BE627" s="1235">
        <f t="shared" si="1"/>
        <v>0</v>
      </c>
      <c r="BF627" s="1237"/>
      <c r="BG627" s="1235">
        <f t="shared" si="2"/>
        <v>0</v>
      </c>
      <c r="BH627" s="1237"/>
      <c r="BI627" s="1235">
        <f t="shared" si="3"/>
        <v>0</v>
      </c>
      <c r="BJ627" s="1237"/>
      <c r="BK627" s="1235">
        <f t="shared" si="4"/>
        <v>0</v>
      </c>
      <c r="BL627" s="1237"/>
      <c r="BM627" s="3"/>
      <c r="BN627" s="2457">
        <f t="shared" si="5"/>
        <v>0</v>
      </c>
      <c r="BO627" s="2458"/>
      <c r="BP627" s="2458"/>
      <c r="BQ627" s="2458"/>
      <c r="BR627" s="2459"/>
      <c r="BS627" s="2460">
        <f t="shared" si="6"/>
        <v>0</v>
      </c>
      <c r="BT627" s="2460"/>
      <c r="BU627" s="2460"/>
      <c r="BV627" s="2460"/>
      <c r="BW627" s="2460"/>
      <c r="BX627" s="2460">
        <f t="shared" si="7"/>
        <v>0</v>
      </c>
      <c r="BY627" s="2460"/>
      <c r="BZ627" s="2460"/>
      <c r="CA627" s="2460"/>
      <c r="CB627" s="2460"/>
      <c r="CC627" s="2460">
        <f t="shared" si="8"/>
        <v>0</v>
      </c>
      <c r="CD627" s="2460"/>
      <c r="CE627" s="2460"/>
      <c r="CF627" s="2460"/>
      <c r="CG627" s="2460"/>
      <c r="CH627" s="2460">
        <f t="shared" si="9"/>
        <v>0</v>
      </c>
      <c r="CI627" s="2460"/>
      <c r="CJ627" s="2460"/>
      <c r="CK627" s="2460"/>
      <c r="CL627" s="2460"/>
      <c r="CM627" s="2460">
        <f t="shared" si="10"/>
        <v>0</v>
      </c>
      <c r="CN627" s="2460"/>
      <c r="CO627" s="2460"/>
      <c r="CP627" s="2460"/>
      <c r="CQ627" s="2460"/>
      <c r="CR627" s="279"/>
      <c r="CS627" s="2461">
        <f t="shared" si="11"/>
        <v>0</v>
      </c>
      <c r="CT627" s="2461"/>
      <c r="CU627" s="2461"/>
      <c r="CV627" s="2461"/>
      <c r="CW627" s="2461"/>
      <c r="CX627" s="2461">
        <f t="shared" si="12"/>
        <v>0</v>
      </c>
      <c r="CY627" s="2461"/>
      <c r="CZ627" s="2461"/>
      <c r="DA627" s="2461"/>
      <c r="DB627" s="2461"/>
      <c r="DC627" s="2461">
        <f t="shared" si="13"/>
        <v>0</v>
      </c>
      <c r="DD627" s="2461"/>
      <c r="DE627" s="2461"/>
      <c r="DF627" s="2461"/>
      <c r="DG627" s="2461"/>
      <c r="DH627" s="2461">
        <f t="shared" si="14"/>
        <v>0</v>
      </c>
      <c r="DI627" s="2461"/>
      <c r="DJ627" s="2461"/>
      <c r="DK627" s="2461"/>
      <c r="DL627" s="2461"/>
      <c r="DM627" s="2461">
        <f t="shared" si="15"/>
        <v>0</v>
      </c>
      <c r="DN627" s="2461"/>
      <c r="DO627" s="2461"/>
      <c r="DP627" s="2461"/>
      <c r="DQ627" s="2461"/>
      <c r="DR627" s="2461">
        <f t="shared" si="16"/>
        <v>0</v>
      </c>
      <c r="DS627" s="2461"/>
      <c r="DT627" s="2461"/>
      <c r="DU627" s="2461"/>
      <c r="DV627" s="2461"/>
      <c r="DX627" s="1235" t="str">
        <f t="shared" si="17"/>
        <v/>
      </c>
      <c r="DY627" s="1236"/>
      <c r="DZ627" s="1236"/>
      <c r="EA627" s="1236"/>
      <c r="EB627" s="1237"/>
      <c r="EC627" s="1235" t="str">
        <f t="shared" si="18"/>
        <v/>
      </c>
      <c r="ED627" s="1236"/>
      <c r="EE627" s="1236"/>
      <c r="EF627" s="1236"/>
      <c r="EG627" s="1237"/>
      <c r="EH627" s="1235" t="str">
        <f t="shared" si="19"/>
        <v/>
      </c>
      <c r="EI627" s="1236"/>
      <c r="EJ627" s="1236"/>
      <c r="EK627" s="1236"/>
      <c r="EL627" s="1237"/>
      <c r="EM627" s="1235" t="str">
        <f t="shared" si="20"/>
        <v/>
      </c>
      <c r="EN627" s="1236"/>
      <c r="EO627" s="1236"/>
      <c r="EP627" s="1236"/>
      <c r="EQ627" s="1237"/>
      <c r="ER627" s="1235" t="str">
        <f t="shared" si="21"/>
        <v/>
      </c>
      <c r="ES627" s="1236"/>
      <c r="ET627" s="1236"/>
      <c r="EU627" s="1236"/>
      <c r="EV627" s="1237"/>
      <c r="EW627" s="1235" t="str">
        <f t="shared" si="22"/>
        <v/>
      </c>
      <c r="EX627" s="1236"/>
      <c r="EY627" s="1236"/>
      <c r="EZ627" s="1236"/>
      <c r="FA627" s="1237"/>
    </row>
    <row r="628" spans="2:157" ht="12.95" customHeight="1">
      <c r="B628" s="45" t="s">
        <v>30</v>
      </c>
      <c r="C628" s="1319" t="s">
        <v>1514</v>
      </c>
      <c r="D628" s="1319"/>
      <c r="E628" s="1319"/>
      <c r="F628" s="1319"/>
      <c r="G628" s="1319"/>
      <c r="H628" s="1319"/>
      <c r="I628" s="1319"/>
      <c r="J628" s="1319"/>
      <c r="K628" s="1319"/>
      <c r="L628" s="1319"/>
      <c r="M628" s="1318" t="s">
        <v>1411</v>
      </c>
      <c r="N628" s="1318"/>
      <c r="O628" s="1318"/>
      <c r="P628" s="1318"/>
      <c r="Q628" s="1480"/>
      <c r="R628" s="1354"/>
      <c r="S628" s="1481"/>
      <c r="T628" s="1480"/>
      <c r="U628" s="1354"/>
      <c r="V628" s="1481"/>
      <c r="W628" s="1458"/>
      <c r="X628" s="1459"/>
      <c r="Y628" s="1460"/>
      <c r="Z628" s="1464" t="s">
        <v>1076</v>
      </c>
      <c r="AA628" s="1465"/>
      <c r="AB628" s="1466"/>
      <c r="AC628" s="1281"/>
      <c r="AD628" s="1282"/>
      <c r="AE628" s="1283"/>
      <c r="AF628" s="1323"/>
      <c r="AG628" s="1324"/>
      <c r="AH628" s="1324"/>
      <c r="AI628" s="1324"/>
      <c r="AJ628" s="1325"/>
      <c r="AK628" s="1477"/>
      <c r="AL628" s="1478"/>
      <c r="AM628" s="1478"/>
      <c r="AN628" s="1479"/>
      <c r="AO628" s="1320">
        <v>1545736</v>
      </c>
      <c r="AP628" s="1321"/>
      <c r="AQ628" s="1321"/>
      <c r="AR628" s="1321"/>
      <c r="AS628" s="1322"/>
      <c r="AT628" s="1072" t="str">
        <f>IF(AND(NOT(C627=""),C628="",NOT(C629="")),"!","")</f>
        <v/>
      </c>
      <c r="AU628" s="3"/>
      <c r="AZ628" s="3"/>
      <c r="BA628" s="3"/>
      <c r="BB628" s="3"/>
      <c r="BC628" s="3"/>
      <c r="BD628" s="3"/>
      <c r="BE628" s="1235">
        <f t="shared" si="1"/>
        <v>0</v>
      </c>
      <c r="BF628" s="1237"/>
      <c r="BG628" s="1235">
        <f t="shared" si="2"/>
        <v>0</v>
      </c>
      <c r="BH628" s="1237"/>
      <c r="BI628" s="1235">
        <f t="shared" si="3"/>
        <v>0</v>
      </c>
      <c r="BJ628" s="1237"/>
      <c r="BK628" s="1235">
        <f t="shared" si="4"/>
        <v>0</v>
      </c>
      <c r="BL628" s="1237"/>
      <c r="BM628" s="3"/>
      <c r="BN628" s="2457">
        <f t="shared" si="5"/>
        <v>0</v>
      </c>
      <c r="BO628" s="2458"/>
      <c r="BP628" s="2458"/>
      <c r="BQ628" s="2458"/>
      <c r="BR628" s="2459"/>
      <c r="BS628" s="2460">
        <f t="shared" si="6"/>
        <v>0</v>
      </c>
      <c r="BT628" s="2460"/>
      <c r="BU628" s="2460"/>
      <c r="BV628" s="2460"/>
      <c r="BW628" s="2460"/>
      <c r="BX628" s="2460">
        <f t="shared" si="7"/>
        <v>0</v>
      </c>
      <c r="BY628" s="2460"/>
      <c r="BZ628" s="2460"/>
      <c r="CA628" s="2460"/>
      <c r="CB628" s="2460"/>
      <c r="CC628" s="2460">
        <f t="shared" si="8"/>
        <v>0</v>
      </c>
      <c r="CD628" s="2460"/>
      <c r="CE628" s="2460"/>
      <c r="CF628" s="2460"/>
      <c r="CG628" s="2460"/>
      <c r="CH628" s="2460">
        <f t="shared" si="9"/>
        <v>0</v>
      </c>
      <c r="CI628" s="2460"/>
      <c r="CJ628" s="2460"/>
      <c r="CK628" s="2460"/>
      <c r="CL628" s="2460"/>
      <c r="CM628" s="2460">
        <f t="shared" si="10"/>
        <v>0</v>
      </c>
      <c r="CN628" s="2460"/>
      <c r="CO628" s="2460"/>
      <c r="CP628" s="2460"/>
      <c r="CQ628" s="2460"/>
      <c r="CR628" s="279"/>
      <c r="CS628" s="2461">
        <f t="shared" si="11"/>
        <v>0</v>
      </c>
      <c r="CT628" s="2461"/>
      <c r="CU628" s="2461"/>
      <c r="CV628" s="2461"/>
      <c r="CW628" s="2461"/>
      <c r="CX628" s="2461">
        <f t="shared" si="12"/>
        <v>0</v>
      </c>
      <c r="CY628" s="2461"/>
      <c r="CZ628" s="2461"/>
      <c r="DA628" s="2461"/>
      <c r="DB628" s="2461"/>
      <c r="DC628" s="2461">
        <f t="shared" si="13"/>
        <v>0</v>
      </c>
      <c r="DD628" s="2461"/>
      <c r="DE628" s="2461"/>
      <c r="DF628" s="2461"/>
      <c r="DG628" s="2461"/>
      <c r="DH628" s="2461">
        <f t="shared" si="14"/>
        <v>0</v>
      </c>
      <c r="DI628" s="2461"/>
      <c r="DJ628" s="2461"/>
      <c r="DK628" s="2461"/>
      <c r="DL628" s="2461"/>
      <c r="DM628" s="2461">
        <f t="shared" si="15"/>
        <v>0</v>
      </c>
      <c r="DN628" s="2461"/>
      <c r="DO628" s="2461"/>
      <c r="DP628" s="2461"/>
      <c r="DQ628" s="2461"/>
      <c r="DR628" s="2461">
        <f t="shared" si="16"/>
        <v>0</v>
      </c>
      <c r="DS628" s="2461"/>
      <c r="DT628" s="2461"/>
      <c r="DU628" s="2461"/>
      <c r="DV628" s="2461"/>
      <c r="DX628" s="1235" t="str">
        <f t="shared" si="17"/>
        <v/>
      </c>
      <c r="DY628" s="1236"/>
      <c r="DZ628" s="1236"/>
      <c r="EA628" s="1236"/>
      <c r="EB628" s="1237"/>
      <c r="EC628" s="1235" t="str">
        <f t="shared" si="18"/>
        <v/>
      </c>
      <c r="ED628" s="1236"/>
      <c r="EE628" s="1236"/>
      <c r="EF628" s="1236"/>
      <c r="EG628" s="1237"/>
      <c r="EH628" s="1235" t="str">
        <f t="shared" si="19"/>
        <v/>
      </c>
      <c r="EI628" s="1236"/>
      <c r="EJ628" s="1236"/>
      <c r="EK628" s="1236"/>
      <c r="EL628" s="1237"/>
      <c r="EM628" s="1235" t="str">
        <f t="shared" si="20"/>
        <v/>
      </c>
      <c r="EN628" s="1236"/>
      <c r="EO628" s="1236"/>
      <c r="EP628" s="1236"/>
      <c r="EQ628" s="1237"/>
      <c r="ER628" s="1235" t="str">
        <f t="shared" si="21"/>
        <v/>
      </c>
      <c r="ES628" s="1236"/>
      <c r="ET628" s="1236"/>
      <c r="EU628" s="1236"/>
      <c r="EV628" s="1237"/>
      <c r="EW628" s="1235" t="str">
        <f t="shared" si="22"/>
        <v/>
      </c>
      <c r="EX628" s="1236"/>
      <c r="EY628" s="1236"/>
      <c r="EZ628" s="1236"/>
      <c r="FA628" s="1237"/>
    </row>
    <row r="629" spans="2:157" ht="12.95" customHeight="1">
      <c r="B629" s="45" t="s">
        <v>38</v>
      </c>
      <c r="C629" s="1319" t="s">
        <v>1465</v>
      </c>
      <c r="D629" s="1319"/>
      <c r="E629" s="1319"/>
      <c r="F629" s="1319"/>
      <c r="G629" s="1319"/>
      <c r="H629" s="1319"/>
      <c r="I629" s="1319"/>
      <c r="J629" s="1319"/>
      <c r="K629" s="1319"/>
      <c r="L629" s="1319"/>
      <c r="M629" s="1318" t="s">
        <v>1428</v>
      </c>
      <c r="N629" s="1318"/>
      <c r="O629" s="1318"/>
      <c r="P629" s="1318"/>
      <c r="Q629" s="1480"/>
      <c r="R629" s="1354"/>
      <c r="S629" s="1481"/>
      <c r="T629" s="1480"/>
      <c r="U629" s="1354"/>
      <c r="V629" s="1481"/>
      <c r="W629" s="1458"/>
      <c r="X629" s="1459"/>
      <c r="Y629" s="1460"/>
      <c r="Z629" s="1464" t="s">
        <v>1076</v>
      </c>
      <c r="AA629" s="1465"/>
      <c r="AB629" s="1466"/>
      <c r="AC629" s="1281"/>
      <c r="AD629" s="1282"/>
      <c r="AE629" s="1283"/>
      <c r="AF629" s="1323"/>
      <c r="AG629" s="1324"/>
      <c r="AH629" s="1324"/>
      <c r="AI629" s="1324"/>
      <c r="AJ629" s="1325"/>
      <c r="AK629" s="1477"/>
      <c r="AL629" s="1478"/>
      <c r="AM629" s="1478"/>
      <c r="AN629" s="1479"/>
      <c r="AO629" s="1320">
        <f>AM558</f>
        <v>2200000</v>
      </c>
      <c r="AP629" s="1321"/>
      <c r="AQ629" s="1321"/>
      <c r="AR629" s="1321"/>
      <c r="AS629" s="1322"/>
      <c r="AT629" s="1072" t="str">
        <f t="shared" ref="AT629:AT638" si="23">IF(AND(NOT(C628=""),C629="",NOT(C630="")),"!","")</f>
        <v/>
      </c>
      <c r="AU629" s="3"/>
      <c r="AZ629" s="3"/>
      <c r="BA629" s="3"/>
      <c r="BB629" s="3"/>
      <c r="BC629" s="3"/>
      <c r="BD629" s="3"/>
      <c r="BE629" s="1235">
        <f t="shared" si="1"/>
        <v>0</v>
      </c>
      <c r="BF629" s="1237"/>
      <c r="BG629" s="1235">
        <f t="shared" si="2"/>
        <v>0</v>
      </c>
      <c r="BH629" s="1237"/>
      <c r="BI629" s="1235">
        <f t="shared" si="3"/>
        <v>0</v>
      </c>
      <c r="BJ629" s="1237"/>
      <c r="BK629" s="1235">
        <f t="shared" si="4"/>
        <v>0</v>
      </c>
      <c r="BL629" s="1237"/>
      <c r="BM629" s="3"/>
      <c r="BN629" s="2457">
        <f t="shared" si="5"/>
        <v>0</v>
      </c>
      <c r="BO629" s="2458"/>
      <c r="BP629" s="2458"/>
      <c r="BQ629" s="2458"/>
      <c r="BR629" s="2459"/>
      <c r="BS629" s="2460">
        <f t="shared" si="6"/>
        <v>0</v>
      </c>
      <c r="BT629" s="2460"/>
      <c r="BU629" s="2460"/>
      <c r="BV629" s="2460"/>
      <c r="BW629" s="2460"/>
      <c r="BX629" s="2460">
        <f t="shared" si="7"/>
        <v>0</v>
      </c>
      <c r="BY629" s="2460"/>
      <c r="BZ629" s="2460"/>
      <c r="CA629" s="2460"/>
      <c r="CB629" s="2460"/>
      <c r="CC629" s="2460">
        <f t="shared" si="8"/>
        <v>0</v>
      </c>
      <c r="CD629" s="2460"/>
      <c r="CE629" s="2460"/>
      <c r="CF629" s="2460"/>
      <c r="CG629" s="2460"/>
      <c r="CH629" s="2460">
        <f t="shared" si="9"/>
        <v>0</v>
      </c>
      <c r="CI629" s="2460"/>
      <c r="CJ629" s="2460"/>
      <c r="CK629" s="2460"/>
      <c r="CL629" s="2460"/>
      <c r="CM629" s="2460">
        <f t="shared" si="10"/>
        <v>0</v>
      </c>
      <c r="CN629" s="2460"/>
      <c r="CO629" s="2460"/>
      <c r="CP629" s="2460"/>
      <c r="CQ629" s="2460"/>
      <c r="CR629" s="279"/>
      <c r="CS629" s="2461">
        <f t="shared" si="11"/>
        <v>0</v>
      </c>
      <c r="CT629" s="2461"/>
      <c r="CU629" s="2461"/>
      <c r="CV629" s="2461"/>
      <c r="CW629" s="2461"/>
      <c r="CX629" s="2461">
        <f t="shared" si="12"/>
        <v>0</v>
      </c>
      <c r="CY629" s="2461"/>
      <c r="CZ629" s="2461"/>
      <c r="DA629" s="2461"/>
      <c r="DB629" s="2461"/>
      <c r="DC629" s="2461">
        <f t="shared" si="13"/>
        <v>0</v>
      </c>
      <c r="DD629" s="2461"/>
      <c r="DE629" s="2461"/>
      <c r="DF629" s="2461"/>
      <c r="DG629" s="2461"/>
      <c r="DH629" s="2461">
        <f t="shared" si="14"/>
        <v>0</v>
      </c>
      <c r="DI629" s="2461"/>
      <c r="DJ629" s="2461"/>
      <c r="DK629" s="2461"/>
      <c r="DL629" s="2461"/>
      <c r="DM629" s="2461">
        <f t="shared" si="15"/>
        <v>0</v>
      </c>
      <c r="DN629" s="2461"/>
      <c r="DO629" s="2461"/>
      <c r="DP629" s="2461"/>
      <c r="DQ629" s="2461"/>
      <c r="DR629" s="2461">
        <f t="shared" si="16"/>
        <v>0</v>
      </c>
      <c r="DS629" s="2461"/>
      <c r="DT629" s="2461"/>
      <c r="DU629" s="2461"/>
      <c r="DV629" s="2461"/>
      <c r="DX629" s="1235" t="str">
        <f t="shared" si="17"/>
        <v/>
      </c>
      <c r="DY629" s="1236"/>
      <c r="DZ629" s="1236"/>
      <c r="EA629" s="1236"/>
      <c r="EB629" s="1237"/>
      <c r="EC629" s="1235" t="str">
        <f t="shared" si="18"/>
        <v/>
      </c>
      <c r="ED629" s="1236"/>
      <c r="EE629" s="1236"/>
      <c r="EF629" s="1236"/>
      <c r="EG629" s="1237"/>
      <c r="EH629" s="1235" t="str">
        <f t="shared" si="19"/>
        <v/>
      </c>
      <c r="EI629" s="1236"/>
      <c r="EJ629" s="1236"/>
      <c r="EK629" s="1236"/>
      <c r="EL629" s="1237"/>
      <c r="EM629" s="1235" t="str">
        <f t="shared" si="20"/>
        <v/>
      </c>
      <c r="EN629" s="1236"/>
      <c r="EO629" s="1236"/>
      <c r="EP629" s="1236"/>
      <c r="EQ629" s="1237"/>
      <c r="ER629" s="1235" t="str">
        <f t="shared" si="21"/>
        <v/>
      </c>
      <c r="ES629" s="1236"/>
      <c r="ET629" s="1236"/>
      <c r="EU629" s="1236"/>
      <c r="EV629" s="1237"/>
      <c r="EW629" s="1235" t="str">
        <f t="shared" si="22"/>
        <v/>
      </c>
      <c r="EX629" s="1236"/>
      <c r="EY629" s="1236"/>
      <c r="EZ629" s="1236"/>
      <c r="FA629" s="1237"/>
    </row>
    <row r="630" spans="2:157" ht="12.95" customHeight="1">
      <c r="B630" s="45" t="s">
        <v>81</v>
      </c>
      <c r="C630" s="1319" t="s">
        <v>1468</v>
      </c>
      <c r="D630" s="1319"/>
      <c r="E630" s="1319"/>
      <c r="F630" s="1319"/>
      <c r="G630" s="1319"/>
      <c r="H630" s="1319"/>
      <c r="I630" s="1319"/>
      <c r="J630" s="1319"/>
      <c r="K630" s="1319"/>
      <c r="L630" s="1319"/>
      <c r="M630" s="1318" t="s">
        <v>1428</v>
      </c>
      <c r="N630" s="1318"/>
      <c r="O630" s="1318"/>
      <c r="P630" s="1318"/>
      <c r="Q630" s="1480"/>
      <c r="R630" s="1354"/>
      <c r="S630" s="1481"/>
      <c r="T630" s="1480"/>
      <c r="U630" s="1354"/>
      <c r="V630" s="1481"/>
      <c r="W630" s="1458"/>
      <c r="X630" s="1459"/>
      <c r="Y630" s="1460"/>
      <c r="Z630" s="1464" t="s">
        <v>1076</v>
      </c>
      <c r="AA630" s="1465"/>
      <c r="AB630" s="1466"/>
      <c r="AC630" s="1281"/>
      <c r="AD630" s="1282"/>
      <c r="AE630" s="1283"/>
      <c r="AF630" s="1323"/>
      <c r="AG630" s="1324"/>
      <c r="AH630" s="1324"/>
      <c r="AI630" s="1324"/>
      <c r="AJ630" s="1325"/>
      <c r="AK630" s="1477"/>
      <c r="AL630" s="1478"/>
      <c r="AM630" s="1478"/>
      <c r="AN630" s="1479"/>
      <c r="AO630" s="1320">
        <f t="shared" ref="AO630:AO631" si="24">AM559</f>
        <v>2500000</v>
      </c>
      <c r="AP630" s="1321"/>
      <c r="AQ630" s="1321"/>
      <c r="AR630" s="1321"/>
      <c r="AS630" s="1322"/>
      <c r="AT630" s="1072" t="str">
        <f t="shared" si="23"/>
        <v/>
      </c>
      <c r="AU630" s="3"/>
      <c r="AZ630" s="3"/>
      <c r="BA630" s="3"/>
      <c r="BB630" s="3"/>
      <c r="BC630" s="3"/>
      <c r="BD630" s="3"/>
      <c r="BE630" s="1235">
        <f t="shared" si="1"/>
        <v>0</v>
      </c>
      <c r="BF630" s="1237"/>
      <c r="BG630" s="1235">
        <f t="shared" si="2"/>
        <v>0</v>
      </c>
      <c r="BH630" s="1237"/>
      <c r="BI630" s="1235">
        <f t="shared" si="3"/>
        <v>0</v>
      </c>
      <c r="BJ630" s="1237"/>
      <c r="BK630" s="1235">
        <f t="shared" si="4"/>
        <v>0</v>
      </c>
      <c r="BL630" s="1237"/>
      <c r="BM630" s="3"/>
      <c r="BN630" s="2457">
        <f t="shared" si="5"/>
        <v>0</v>
      </c>
      <c r="BO630" s="2458"/>
      <c r="BP630" s="2458"/>
      <c r="BQ630" s="2458"/>
      <c r="BR630" s="2459"/>
      <c r="BS630" s="2460">
        <f t="shared" si="6"/>
        <v>0</v>
      </c>
      <c r="BT630" s="2460"/>
      <c r="BU630" s="2460"/>
      <c r="BV630" s="2460"/>
      <c r="BW630" s="2460"/>
      <c r="BX630" s="2460">
        <f t="shared" si="7"/>
        <v>0</v>
      </c>
      <c r="BY630" s="2460"/>
      <c r="BZ630" s="2460"/>
      <c r="CA630" s="2460"/>
      <c r="CB630" s="2460"/>
      <c r="CC630" s="2460">
        <f t="shared" si="8"/>
        <v>0</v>
      </c>
      <c r="CD630" s="2460"/>
      <c r="CE630" s="2460"/>
      <c r="CF630" s="2460"/>
      <c r="CG630" s="2460"/>
      <c r="CH630" s="2460">
        <f t="shared" si="9"/>
        <v>0</v>
      </c>
      <c r="CI630" s="2460"/>
      <c r="CJ630" s="2460"/>
      <c r="CK630" s="2460"/>
      <c r="CL630" s="2460"/>
      <c r="CM630" s="2460">
        <f t="shared" si="10"/>
        <v>0</v>
      </c>
      <c r="CN630" s="2460"/>
      <c r="CO630" s="2460"/>
      <c r="CP630" s="2460"/>
      <c r="CQ630" s="2460"/>
      <c r="CR630" s="279"/>
      <c r="CS630" s="2461">
        <f t="shared" si="11"/>
        <v>0</v>
      </c>
      <c r="CT630" s="2461"/>
      <c r="CU630" s="2461"/>
      <c r="CV630" s="2461"/>
      <c r="CW630" s="2461"/>
      <c r="CX630" s="2461">
        <f t="shared" si="12"/>
        <v>0</v>
      </c>
      <c r="CY630" s="2461"/>
      <c r="CZ630" s="2461"/>
      <c r="DA630" s="2461"/>
      <c r="DB630" s="2461"/>
      <c r="DC630" s="2461">
        <f t="shared" si="13"/>
        <v>0</v>
      </c>
      <c r="DD630" s="2461"/>
      <c r="DE630" s="2461"/>
      <c r="DF630" s="2461"/>
      <c r="DG630" s="2461"/>
      <c r="DH630" s="2461">
        <f t="shared" si="14"/>
        <v>0</v>
      </c>
      <c r="DI630" s="2461"/>
      <c r="DJ630" s="2461"/>
      <c r="DK630" s="2461"/>
      <c r="DL630" s="2461"/>
      <c r="DM630" s="2461">
        <f t="shared" si="15"/>
        <v>0</v>
      </c>
      <c r="DN630" s="2461"/>
      <c r="DO630" s="2461"/>
      <c r="DP630" s="2461"/>
      <c r="DQ630" s="2461"/>
      <c r="DR630" s="2461">
        <f t="shared" si="16"/>
        <v>0</v>
      </c>
      <c r="DS630" s="2461"/>
      <c r="DT630" s="2461"/>
      <c r="DU630" s="2461"/>
      <c r="DV630" s="2461"/>
      <c r="DX630" s="1235" t="str">
        <f t="shared" si="17"/>
        <v/>
      </c>
      <c r="DY630" s="1236"/>
      <c r="DZ630" s="1236"/>
      <c r="EA630" s="1236"/>
      <c r="EB630" s="1237"/>
      <c r="EC630" s="1235" t="str">
        <f t="shared" si="18"/>
        <v/>
      </c>
      <c r="ED630" s="1236"/>
      <c r="EE630" s="1236"/>
      <c r="EF630" s="1236"/>
      <c r="EG630" s="1237"/>
      <c r="EH630" s="1235" t="str">
        <f t="shared" si="19"/>
        <v/>
      </c>
      <c r="EI630" s="1236"/>
      <c r="EJ630" s="1236"/>
      <c r="EK630" s="1236"/>
      <c r="EL630" s="1237"/>
      <c r="EM630" s="1235" t="str">
        <f t="shared" si="20"/>
        <v/>
      </c>
      <c r="EN630" s="1236"/>
      <c r="EO630" s="1236"/>
      <c r="EP630" s="1236"/>
      <c r="EQ630" s="1237"/>
      <c r="ER630" s="1235" t="str">
        <f t="shared" si="21"/>
        <v/>
      </c>
      <c r="ES630" s="1236"/>
      <c r="ET630" s="1236"/>
      <c r="EU630" s="1236"/>
      <c r="EV630" s="1237"/>
      <c r="EW630" s="1235" t="str">
        <f t="shared" si="22"/>
        <v/>
      </c>
      <c r="EX630" s="1236"/>
      <c r="EY630" s="1236"/>
      <c r="EZ630" s="1236"/>
      <c r="FA630" s="1237"/>
    </row>
    <row r="631" spans="2:157" ht="12.95" customHeight="1">
      <c r="B631" s="45" t="s">
        <v>85</v>
      </c>
      <c r="C631" s="1319" t="s">
        <v>1470</v>
      </c>
      <c r="D631" s="1319"/>
      <c r="E631" s="1319"/>
      <c r="F631" s="1319"/>
      <c r="G631" s="1319"/>
      <c r="H631" s="1319"/>
      <c r="I631" s="1319"/>
      <c r="J631" s="1319"/>
      <c r="K631" s="1319"/>
      <c r="L631" s="1319"/>
      <c r="M631" s="1318" t="s">
        <v>1428</v>
      </c>
      <c r="N631" s="1318"/>
      <c r="O631" s="1318"/>
      <c r="P631" s="1318"/>
      <c r="Q631" s="1480"/>
      <c r="R631" s="1354"/>
      <c r="S631" s="1481"/>
      <c r="T631" s="1480"/>
      <c r="U631" s="1354"/>
      <c r="V631" s="1481"/>
      <c r="W631" s="1458"/>
      <c r="X631" s="1459"/>
      <c r="Y631" s="1460"/>
      <c r="Z631" s="1464" t="s">
        <v>1076</v>
      </c>
      <c r="AA631" s="1465"/>
      <c r="AB631" s="1466"/>
      <c r="AC631" s="1281"/>
      <c r="AD631" s="1282"/>
      <c r="AE631" s="1283"/>
      <c r="AF631" s="1323"/>
      <c r="AG631" s="1324"/>
      <c r="AH631" s="1324"/>
      <c r="AI631" s="1324"/>
      <c r="AJ631" s="1325"/>
      <c r="AK631" s="1477"/>
      <c r="AL631" s="1478"/>
      <c r="AM631" s="1478"/>
      <c r="AN631" s="1479"/>
      <c r="AO631" s="1320">
        <f t="shared" si="24"/>
        <v>2750000</v>
      </c>
      <c r="AP631" s="1321"/>
      <c r="AQ631" s="1321"/>
      <c r="AR631" s="1321"/>
      <c r="AS631" s="1322"/>
      <c r="AT631" s="1072" t="str">
        <f t="shared" si="23"/>
        <v/>
      </c>
      <c r="AU631" s="3"/>
      <c r="AZ631" s="3"/>
      <c r="BA631" s="3"/>
      <c r="BB631" s="3"/>
      <c r="BC631" s="3"/>
      <c r="BD631" s="3"/>
      <c r="BE631" s="1235">
        <f t="shared" si="1"/>
        <v>0</v>
      </c>
      <c r="BF631" s="1237"/>
      <c r="BG631" s="1235">
        <f t="shared" si="2"/>
        <v>0</v>
      </c>
      <c r="BH631" s="1237"/>
      <c r="BI631" s="1235">
        <f t="shared" si="3"/>
        <v>0</v>
      </c>
      <c r="BJ631" s="1237"/>
      <c r="BK631" s="1235">
        <f t="shared" si="4"/>
        <v>0</v>
      </c>
      <c r="BL631" s="1237"/>
      <c r="BM631" s="3"/>
      <c r="BN631" s="2457">
        <f t="shared" si="5"/>
        <v>0</v>
      </c>
      <c r="BO631" s="2458"/>
      <c r="BP631" s="2458"/>
      <c r="BQ631" s="2458"/>
      <c r="BR631" s="2459"/>
      <c r="BS631" s="2460">
        <f t="shared" si="6"/>
        <v>0</v>
      </c>
      <c r="BT631" s="2460"/>
      <c r="BU631" s="2460"/>
      <c r="BV631" s="2460"/>
      <c r="BW631" s="2460"/>
      <c r="BX631" s="2460">
        <f t="shared" si="7"/>
        <v>0</v>
      </c>
      <c r="BY631" s="2460"/>
      <c r="BZ631" s="2460"/>
      <c r="CA631" s="2460"/>
      <c r="CB631" s="2460"/>
      <c r="CC631" s="2460">
        <f t="shared" si="8"/>
        <v>0</v>
      </c>
      <c r="CD631" s="2460"/>
      <c r="CE631" s="2460"/>
      <c r="CF631" s="2460"/>
      <c r="CG631" s="2460"/>
      <c r="CH631" s="2460">
        <f t="shared" si="9"/>
        <v>0</v>
      </c>
      <c r="CI631" s="2460"/>
      <c r="CJ631" s="2460"/>
      <c r="CK631" s="2460"/>
      <c r="CL631" s="2460"/>
      <c r="CM631" s="2460">
        <f t="shared" si="10"/>
        <v>0</v>
      </c>
      <c r="CN631" s="2460"/>
      <c r="CO631" s="2460"/>
      <c r="CP631" s="2460"/>
      <c r="CQ631" s="2460"/>
      <c r="CR631" s="279"/>
      <c r="CS631" s="2461">
        <f t="shared" si="11"/>
        <v>0</v>
      </c>
      <c r="CT631" s="2461"/>
      <c r="CU631" s="2461"/>
      <c r="CV631" s="2461"/>
      <c r="CW631" s="2461"/>
      <c r="CX631" s="2461">
        <f t="shared" si="12"/>
        <v>0</v>
      </c>
      <c r="CY631" s="2461"/>
      <c r="CZ631" s="2461"/>
      <c r="DA631" s="2461"/>
      <c r="DB631" s="2461"/>
      <c r="DC631" s="2461">
        <f t="shared" si="13"/>
        <v>0</v>
      </c>
      <c r="DD631" s="2461"/>
      <c r="DE631" s="2461"/>
      <c r="DF631" s="2461"/>
      <c r="DG631" s="2461"/>
      <c r="DH631" s="2461">
        <f t="shared" si="14"/>
        <v>0</v>
      </c>
      <c r="DI631" s="2461"/>
      <c r="DJ631" s="2461"/>
      <c r="DK631" s="2461"/>
      <c r="DL631" s="2461"/>
      <c r="DM631" s="2461">
        <f t="shared" si="15"/>
        <v>0</v>
      </c>
      <c r="DN631" s="2461"/>
      <c r="DO631" s="2461"/>
      <c r="DP631" s="2461"/>
      <c r="DQ631" s="2461"/>
      <c r="DR631" s="2461">
        <f t="shared" si="16"/>
        <v>0</v>
      </c>
      <c r="DS631" s="2461"/>
      <c r="DT631" s="2461"/>
      <c r="DU631" s="2461"/>
      <c r="DV631" s="2461"/>
      <c r="DX631" s="1235" t="str">
        <f t="shared" si="17"/>
        <v/>
      </c>
      <c r="DY631" s="1236"/>
      <c r="DZ631" s="1236"/>
      <c r="EA631" s="1236"/>
      <c r="EB631" s="1237"/>
      <c r="EC631" s="1235" t="str">
        <f t="shared" si="18"/>
        <v/>
      </c>
      <c r="ED631" s="1236"/>
      <c r="EE631" s="1236"/>
      <c r="EF631" s="1236"/>
      <c r="EG631" s="1237"/>
      <c r="EH631" s="1235" t="str">
        <f t="shared" si="19"/>
        <v/>
      </c>
      <c r="EI631" s="1236"/>
      <c r="EJ631" s="1236"/>
      <c r="EK631" s="1236"/>
      <c r="EL631" s="1237"/>
      <c r="EM631" s="1235" t="str">
        <f t="shared" si="20"/>
        <v/>
      </c>
      <c r="EN631" s="1236"/>
      <c r="EO631" s="1236"/>
      <c r="EP631" s="1236"/>
      <c r="EQ631" s="1237"/>
      <c r="ER631" s="1235" t="str">
        <f t="shared" si="21"/>
        <v/>
      </c>
      <c r="ES631" s="1236"/>
      <c r="ET631" s="1236"/>
      <c r="EU631" s="1236"/>
      <c r="EV631" s="1237"/>
      <c r="EW631" s="1235" t="str">
        <f t="shared" si="22"/>
        <v/>
      </c>
      <c r="EX631" s="1236"/>
      <c r="EY631" s="1236"/>
      <c r="EZ631" s="1236"/>
      <c r="FA631" s="1237"/>
    </row>
    <row r="632" spans="2:157" ht="12.95" customHeight="1">
      <c r="B632" s="45" t="s">
        <v>1467</v>
      </c>
      <c r="C632" s="1319"/>
      <c r="D632" s="1319"/>
      <c r="E632" s="1319"/>
      <c r="F632" s="1319"/>
      <c r="G632" s="1319"/>
      <c r="H632" s="1319"/>
      <c r="I632" s="1319"/>
      <c r="J632" s="1319"/>
      <c r="K632" s="1319"/>
      <c r="L632" s="1319"/>
      <c r="M632" s="1318" t="s">
        <v>1076</v>
      </c>
      <c r="N632" s="1318"/>
      <c r="O632" s="1318"/>
      <c r="P632" s="1318"/>
      <c r="Q632" s="1480"/>
      <c r="R632" s="1354"/>
      <c r="S632" s="1481"/>
      <c r="T632" s="1480"/>
      <c r="U632" s="1354"/>
      <c r="V632" s="1481"/>
      <c r="W632" s="1458"/>
      <c r="X632" s="1459"/>
      <c r="Y632" s="1460"/>
      <c r="Z632" s="1464" t="s">
        <v>1076</v>
      </c>
      <c r="AA632" s="1465"/>
      <c r="AB632" s="1466"/>
      <c r="AC632" s="1281"/>
      <c r="AD632" s="1282"/>
      <c r="AE632" s="1283"/>
      <c r="AF632" s="1323"/>
      <c r="AG632" s="1324"/>
      <c r="AH632" s="1324"/>
      <c r="AI632" s="1324"/>
      <c r="AJ632" s="1325"/>
      <c r="AK632" s="1477"/>
      <c r="AL632" s="1478"/>
      <c r="AM632" s="1478"/>
      <c r="AN632" s="1479"/>
      <c r="AO632" s="1320"/>
      <c r="AP632" s="1321"/>
      <c r="AQ632" s="1321"/>
      <c r="AR632" s="1321"/>
      <c r="AS632" s="1322"/>
      <c r="AT632" s="1072" t="str">
        <f t="shared" si="23"/>
        <v/>
      </c>
      <c r="AU632" s="3"/>
      <c r="AZ632" s="3"/>
      <c r="BA632" s="3"/>
      <c r="BB632" s="3"/>
      <c r="BC632" s="3"/>
      <c r="BD632" s="3"/>
      <c r="BE632" s="3"/>
      <c r="BF632" s="3"/>
      <c r="BG632" s="1235">
        <f>SUM(BG597:BH631)</f>
        <v>12</v>
      </c>
      <c r="BH632" s="1237"/>
      <c r="BI632" s="3"/>
      <c r="BJ632" s="3"/>
      <c r="BK632" s="1235">
        <f>SUM(BK597:BL631)</f>
        <v>17</v>
      </c>
      <c r="BL632" s="1237"/>
      <c r="BM632" s="3"/>
      <c r="BN632" s="1235">
        <f>SUM(BN597:BR631)</f>
        <v>0</v>
      </c>
      <c r="BO632" s="1236"/>
      <c r="BP632" s="1236"/>
      <c r="BQ632" s="1236"/>
      <c r="BR632" s="1237"/>
      <c r="BS632" s="1241">
        <f>SUM(BS597:BW631)</f>
        <v>12</v>
      </c>
      <c r="BT632" s="1241"/>
      <c r="BU632" s="1241"/>
      <c r="BV632" s="1241"/>
      <c r="BW632" s="1241"/>
      <c r="BX632" s="1241">
        <f>SUM(BX597:CB631)</f>
        <v>23</v>
      </c>
      <c r="BY632" s="1241"/>
      <c r="BZ632" s="1241"/>
      <c r="CA632" s="1241"/>
      <c r="CB632" s="1241"/>
      <c r="CC632" s="1241">
        <f>SUM(CC597:CG631)</f>
        <v>12</v>
      </c>
      <c r="CD632" s="1241"/>
      <c r="CE632" s="1241"/>
      <c r="CF632" s="1241"/>
      <c r="CG632" s="1241"/>
      <c r="CH632" s="1241">
        <f>SUM(CH597:CL631)</f>
        <v>0</v>
      </c>
      <c r="CI632" s="1241"/>
      <c r="CJ632" s="1241"/>
      <c r="CK632" s="1241"/>
      <c r="CL632" s="1241"/>
      <c r="CM632" s="1241">
        <f>SUM(CM597:CQ631)</f>
        <v>0</v>
      </c>
      <c r="CN632" s="1241"/>
      <c r="CO632" s="1241"/>
      <c r="CP632" s="1241"/>
      <c r="CQ632" s="1241"/>
      <c r="CR632" s="279"/>
      <c r="CS632" s="1241">
        <f>SUM(CS597:CW631)</f>
        <v>0</v>
      </c>
      <c r="CT632" s="1241"/>
      <c r="CU632" s="1241"/>
      <c r="CV632" s="1241"/>
      <c r="CW632" s="1241"/>
      <c r="CX632" s="1241">
        <f>SUM(CX597:DB631)</f>
        <v>12</v>
      </c>
      <c r="CY632" s="1241"/>
      <c r="CZ632" s="1241"/>
      <c r="DA632" s="1241"/>
      <c r="DB632" s="1241"/>
      <c r="DC632" s="1241">
        <f>SUM(DC597:DG631)</f>
        <v>3</v>
      </c>
      <c r="DD632" s="1241"/>
      <c r="DE632" s="1241"/>
      <c r="DF632" s="1241"/>
      <c r="DG632" s="1241"/>
      <c r="DH632" s="1241">
        <f>SUM(DH597:DL631)</f>
        <v>2</v>
      </c>
      <c r="DI632" s="1241"/>
      <c r="DJ632" s="1241"/>
      <c r="DK632" s="1241"/>
      <c r="DL632" s="1241"/>
      <c r="DM632" s="1241">
        <f>SUM(DM597:DQ631)</f>
        <v>0</v>
      </c>
      <c r="DN632" s="1241"/>
      <c r="DO632" s="1241"/>
      <c r="DP632" s="1241"/>
      <c r="DQ632" s="1241"/>
      <c r="DR632" s="1241">
        <f>SUM(DR597:DV631)</f>
        <v>0</v>
      </c>
      <c r="DS632" s="1241"/>
      <c r="DT632" s="1241"/>
      <c r="DU632" s="1241"/>
      <c r="DV632" s="1241"/>
      <c r="DX632" s="1241">
        <f>SUM(DX597:EB631)</f>
        <v>0</v>
      </c>
      <c r="DY632" s="1241"/>
      <c r="DZ632" s="1241"/>
      <c r="EA632" s="1241"/>
      <c r="EB632" s="1241"/>
      <c r="EC632" s="1241">
        <f>SUM(EC597:EG631)</f>
        <v>768</v>
      </c>
      <c r="ED632" s="1241"/>
      <c r="EE632" s="1241"/>
      <c r="EF632" s="1241"/>
      <c r="EG632" s="1241"/>
      <c r="EH632" s="1241">
        <f>SUM(EH597:EL631)</f>
        <v>5694</v>
      </c>
      <c r="EI632" s="1241"/>
      <c r="EJ632" s="1241"/>
      <c r="EK632" s="1241"/>
      <c r="EL632" s="1241"/>
      <c r="EM632" s="1241">
        <f>SUM(EM597:EQ631)</f>
        <v>5081</v>
      </c>
      <c r="EN632" s="1241"/>
      <c r="EO632" s="1241"/>
      <c r="EP632" s="1241"/>
      <c r="EQ632" s="1241"/>
      <c r="ER632" s="1241">
        <f>SUM(ER597:EV631)</f>
        <v>0</v>
      </c>
      <c r="ES632" s="1241"/>
      <c r="ET632" s="1241"/>
      <c r="EU632" s="1241"/>
      <c r="EV632" s="1241"/>
      <c r="EW632" s="1241">
        <f>SUM(EW597:FA631)</f>
        <v>0</v>
      </c>
      <c r="EX632" s="1241"/>
      <c r="EY632" s="1241"/>
      <c r="EZ632" s="1241"/>
      <c r="FA632" s="1241"/>
    </row>
    <row r="633" spans="2:157" ht="12.95" customHeight="1">
      <c r="B633" s="45" t="s">
        <v>1469</v>
      </c>
      <c r="C633" s="1319"/>
      <c r="D633" s="1319"/>
      <c r="E633" s="1319"/>
      <c r="F633" s="1319"/>
      <c r="G633" s="1319"/>
      <c r="H633" s="1319"/>
      <c r="I633" s="1319"/>
      <c r="J633" s="1319"/>
      <c r="K633" s="1319"/>
      <c r="L633" s="1319"/>
      <c r="M633" s="1318" t="s">
        <v>1076</v>
      </c>
      <c r="N633" s="1318"/>
      <c r="O633" s="1318"/>
      <c r="P633" s="1318"/>
      <c r="Q633" s="1480"/>
      <c r="R633" s="1354"/>
      <c r="S633" s="1481"/>
      <c r="T633" s="1480"/>
      <c r="U633" s="1354"/>
      <c r="V633" s="1481"/>
      <c r="W633" s="1458"/>
      <c r="X633" s="1459"/>
      <c r="Y633" s="1460"/>
      <c r="Z633" s="1464" t="s">
        <v>1076</v>
      </c>
      <c r="AA633" s="1465"/>
      <c r="AB633" s="1466"/>
      <c r="AC633" s="1281"/>
      <c r="AD633" s="1282"/>
      <c r="AE633" s="1283"/>
      <c r="AF633" s="1323"/>
      <c r="AG633" s="1324"/>
      <c r="AH633" s="1324"/>
      <c r="AI633" s="1324"/>
      <c r="AJ633" s="1325"/>
      <c r="AK633" s="1477"/>
      <c r="AL633" s="1478"/>
      <c r="AM633" s="1478"/>
      <c r="AN633" s="1479"/>
      <c r="AO633" s="1320"/>
      <c r="AP633" s="1321"/>
      <c r="AQ633" s="1321"/>
      <c r="AR633" s="1321"/>
      <c r="AS633" s="1322"/>
      <c r="AT633" s="107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49" t="s">
        <v>1515</v>
      </c>
      <c r="CM633" s="1235">
        <f>BN632+BS632+BX632+CC632+CH632+CM632</f>
        <v>47</v>
      </c>
      <c r="CN633" s="1236"/>
      <c r="CO633" s="1236"/>
      <c r="CP633" s="1236"/>
      <c r="CQ633" s="1237"/>
      <c r="CR633" s="279"/>
      <c r="CS633" s="3"/>
      <c r="CT633" s="3"/>
      <c r="CU633" s="3"/>
      <c r="CV633" s="3"/>
      <c r="CW633" s="3"/>
      <c r="CX633" s="3"/>
      <c r="CY633" s="3"/>
      <c r="CZ633" s="3"/>
      <c r="DA633" s="3"/>
      <c r="DB633" s="3"/>
      <c r="DC633" s="3"/>
      <c r="DD633" s="3"/>
      <c r="DE633" s="3"/>
      <c r="DF633" s="3"/>
    </row>
    <row r="634" spans="2:157" ht="12.95" customHeight="1">
      <c r="B634" s="45" t="s">
        <v>1471</v>
      </c>
      <c r="C634" s="1319"/>
      <c r="D634" s="1319"/>
      <c r="E634" s="1319"/>
      <c r="F634" s="1319"/>
      <c r="G634" s="1319"/>
      <c r="H634" s="1319"/>
      <c r="I634" s="1319"/>
      <c r="J634" s="1319"/>
      <c r="K634" s="1319"/>
      <c r="L634" s="1319"/>
      <c r="M634" s="1318" t="s">
        <v>1076</v>
      </c>
      <c r="N634" s="1318"/>
      <c r="O634" s="1318"/>
      <c r="P634" s="1318"/>
      <c r="Q634" s="1480"/>
      <c r="R634" s="1354"/>
      <c r="S634" s="1481"/>
      <c r="T634" s="1480"/>
      <c r="U634" s="1354"/>
      <c r="V634" s="1481"/>
      <c r="W634" s="1458"/>
      <c r="X634" s="1459"/>
      <c r="Y634" s="1460"/>
      <c r="Z634" s="1464" t="s">
        <v>1076</v>
      </c>
      <c r="AA634" s="1465"/>
      <c r="AB634" s="1466"/>
      <c r="AC634" s="1281"/>
      <c r="AD634" s="1282"/>
      <c r="AE634" s="1283"/>
      <c r="AF634" s="1323"/>
      <c r="AG634" s="1324"/>
      <c r="AH634" s="1324"/>
      <c r="AI634" s="1324"/>
      <c r="AJ634" s="1325"/>
      <c r="AK634" s="1477"/>
      <c r="AL634" s="1478"/>
      <c r="AM634" s="1478"/>
      <c r="AN634" s="1479"/>
      <c r="AO634" s="1320"/>
      <c r="AP634" s="1321"/>
      <c r="AQ634" s="1321"/>
      <c r="AR634" s="1321"/>
      <c r="AS634" s="1322"/>
      <c r="AT634" s="1072" t="str">
        <f t="shared" si="23"/>
        <v/>
      </c>
      <c r="AU634" s="3"/>
      <c r="AV634" s="3"/>
      <c r="AW634" s="3"/>
      <c r="AX634" s="3"/>
      <c r="AY634" s="3"/>
      <c r="AZ634" s="3"/>
      <c r="BA634" s="3" t="s">
        <v>1076</v>
      </c>
      <c r="BB634" s="3"/>
      <c r="BC634" s="3"/>
      <c r="BD634" s="3"/>
      <c r="BE634" s="3"/>
      <c r="BF634" s="3"/>
      <c r="BG634" s="3"/>
      <c r="BH634" s="3"/>
      <c r="BI634" s="3"/>
      <c r="BJ634" s="3"/>
      <c r="BK634" s="3"/>
      <c r="BL634" s="3"/>
      <c r="BM634" s="3"/>
      <c r="BR634" s="785">
        <f>BN632*1</f>
        <v>0</v>
      </c>
      <c r="BS634" s="3"/>
      <c r="BT634" s="3"/>
      <c r="BU634" s="3"/>
      <c r="BV634" s="3"/>
      <c r="BW634" s="785">
        <f>BS632*1</f>
        <v>12</v>
      </c>
      <c r="BX634" s="3"/>
      <c r="BY634" s="3"/>
      <c r="BZ634" s="3"/>
      <c r="CA634" s="3"/>
      <c r="CB634" s="785">
        <f>BX632*2</f>
        <v>46</v>
      </c>
      <c r="CC634" s="3"/>
      <c r="CD634" s="3"/>
      <c r="CE634" s="3"/>
      <c r="CF634" s="3"/>
      <c r="CG634" s="785">
        <f>CC632*3</f>
        <v>36</v>
      </c>
      <c r="CH634" s="3"/>
      <c r="CI634" s="3"/>
      <c r="CJ634" s="3"/>
      <c r="CK634" s="3"/>
      <c r="CL634" s="785">
        <f>CH632*4</f>
        <v>0</v>
      </c>
      <c r="CM634" s="3"/>
      <c r="CN634" s="3"/>
      <c r="CO634" s="3"/>
      <c r="CP634" s="3"/>
      <c r="CQ634" s="785">
        <f>CM632*5</f>
        <v>0</v>
      </c>
      <c r="CS634" s="785">
        <f>BR634+BW634+CB634+CG634+CL634+CQ634</f>
        <v>94</v>
      </c>
      <c r="CT634" s="50" t="s">
        <v>1516</v>
      </c>
      <c r="CU634" s="3"/>
      <c r="CV634" s="3"/>
      <c r="CW634" s="3"/>
      <c r="CX634" s="3"/>
      <c r="CY634" s="3"/>
      <c r="CZ634" s="3"/>
      <c r="DA634" s="3"/>
      <c r="DB634" s="3"/>
      <c r="DC634" s="3"/>
      <c r="DD634" s="3"/>
      <c r="DE634" s="3"/>
      <c r="DF634" s="3"/>
    </row>
    <row r="635" spans="2:157" ht="12.95" customHeight="1">
      <c r="B635" s="45" t="s">
        <v>1473</v>
      </c>
      <c r="C635" s="1319"/>
      <c r="D635" s="1319"/>
      <c r="E635" s="1319"/>
      <c r="F635" s="1319"/>
      <c r="G635" s="1319"/>
      <c r="H635" s="1319"/>
      <c r="I635" s="1319"/>
      <c r="J635" s="1319"/>
      <c r="K635" s="1319"/>
      <c r="L635" s="1319"/>
      <c r="M635" s="1318" t="s">
        <v>1076</v>
      </c>
      <c r="N635" s="1318"/>
      <c r="O635" s="1318"/>
      <c r="P635" s="1318"/>
      <c r="Q635" s="1480"/>
      <c r="R635" s="1354"/>
      <c r="S635" s="1481"/>
      <c r="T635" s="1480"/>
      <c r="U635" s="1354"/>
      <c r="V635" s="1481"/>
      <c r="W635" s="1458"/>
      <c r="X635" s="1459"/>
      <c r="Y635" s="1460"/>
      <c r="Z635" s="1464" t="s">
        <v>1076</v>
      </c>
      <c r="AA635" s="1465"/>
      <c r="AB635" s="1466"/>
      <c r="AC635" s="1281"/>
      <c r="AD635" s="1282"/>
      <c r="AE635" s="1283"/>
      <c r="AF635" s="1323"/>
      <c r="AG635" s="1324"/>
      <c r="AH635" s="1324"/>
      <c r="AI635" s="1324"/>
      <c r="AJ635" s="1325"/>
      <c r="AK635" s="1477"/>
      <c r="AL635" s="1478"/>
      <c r="AM635" s="1478"/>
      <c r="AN635" s="1479"/>
      <c r="AO635" s="1320"/>
      <c r="AP635" s="1321"/>
      <c r="AQ635" s="1321"/>
      <c r="AR635" s="1321"/>
      <c r="AS635" s="1322"/>
      <c r="AT635" s="1072" t="str">
        <f t="shared" si="23"/>
        <v/>
      </c>
      <c r="AU635" s="3"/>
      <c r="AV635" s="3"/>
      <c r="AW635" s="3"/>
      <c r="AX635" s="3"/>
      <c r="AY635" s="3"/>
      <c r="AZ635" s="3"/>
      <c r="BA635" s="3" t="s">
        <v>1517</v>
      </c>
      <c r="BB635" s="3"/>
      <c r="BC635" s="3"/>
      <c r="BD635" s="3"/>
      <c r="BE635" s="3"/>
      <c r="BF635" s="3"/>
      <c r="BG635" s="3"/>
      <c r="BH635" s="3"/>
      <c r="BI635" s="3"/>
      <c r="BJ635" s="3"/>
      <c r="BK635" s="3"/>
      <c r="BL635" s="3"/>
      <c r="BM635" s="3"/>
      <c r="CR635" s="279"/>
      <c r="CS635" s="3"/>
      <c r="CT635" s="3"/>
      <c r="CU635" s="3"/>
      <c r="CV635" s="3"/>
      <c r="CW635" s="3"/>
      <c r="CX635" s="3"/>
      <c r="CY635" s="3"/>
      <c r="CZ635" s="3"/>
      <c r="DA635" s="3"/>
      <c r="DB635" s="3"/>
      <c r="DC635" s="3"/>
      <c r="DD635" s="3"/>
      <c r="DE635" s="3"/>
      <c r="DF635" s="3"/>
      <c r="DX635" s="1233" t="e">
        <f>DX597*(BN597/$BN$632)</f>
        <v>#VALUE!</v>
      </c>
      <c r="DY635" s="1233"/>
      <c r="DZ635" s="1233"/>
      <c r="EA635" s="1233"/>
      <c r="EB635" s="1233"/>
      <c r="EC635" s="1233">
        <f t="shared" ref="EC635:EC657" si="25">EC597*(BS597/$BS$632)</f>
        <v>768</v>
      </c>
      <c r="ED635" s="1233"/>
      <c r="EE635" s="1233"/>
      <c r="EF635" s="1233"/>
      <c r="EG635" s="1233"/>
      <c r="EH635" s="1233" t="e">
        <f t="shared" ref="EH635:EH657" si="26">EH597*(BX597/$BX$632)</f>
        <v>#VALUE!</v>
      </c>
      <c r="EI635" s="1233"/>
      <c r="EJ635" s="1233"/>
      <c r="EK635" s="1233"/>
      <c r="EL635" s="1233"/>
      <c r="EM635" s="1233" t="e">
        <f t="shared" ref="EM635:EM657" si="27">EM597*(CC597/$CC$632)</f>
        <v>#VALUE!</v>
      </c>
      <c r="EN635" s="1233"/>
      <c r="EO635" s="1233"/>
      <c r="EP635" s="1233"/>
      <c r="EQ635" s="1233"/>
      <c r="ER635" s="1233" t="e">
        <f t="shared" ref="ER635:ER657" si="28">ER597*(CH597/$CH$632)</f>
        <v>#VALUE!</v>
      </c>
      <c r="ES635" s="1233"/>
      <c r="ET635" s="1233"/>
      <c r="EU635" s="1233"/>
      <c r="EV635" s="1233"/>
      <c r="EW635" s="1233" t="e">
        <f t="shared" ref="EW635:EW657" si="29">EW597*(CM597/$CM$632)</f>
        <v>#VALUE!</v>
      </c>
      <c r="EX635" s="1233"/>
      <c r="EY635" s="1233"/>
      <c r="EZ635" s="1233"/>
      <c r="FA635" s="1233"/>
    </row>
    <row r="636" spans="2:157" ht="12.95" customHeight="1">
      <c r="B636" s="45" t="s">
        <v>1474</v>
      </c>
      <c r="C636" s="1319"/>
      <c r="D636" s="1319"/>
      <c r="E636" s="1319"/>
      <c r="F636" s="1319"/>
      <c r="G636" s="1319"/>
      <c r="H636" s="1319"/>
      <c r="I636" s="1319"/>
      <c r="J636" s="1319"/>
      <c r="K636" s="1319"/>
      <c r="L636" s="1319"/>
      <c r="M636" s="1318" t="s">
        <v>1076</v>
      </c>
      <c r="N636" s="1318"/>
      <c r="O636" s="1318"/>
      <c r="P636" s="1318"/>
      <c r="Q636" s="1480"/>
      <c r="R636" s="1354"/>
      <c r="S636" s="1481"/>
      <c r="T636" s="1480"/>
      <c r="U636" s="1354"/>
      <c r="V636" s="1481"/>
      <c r="W636" s="1458"/>
      <c r="X636" s="1459"/>
      <c r="Y636" s="1460"/>
      <c r="Z636" s="1464" t="s">
        <v>1076</v>
      </c>
      <c r="AA636" s="1465"/>
      <c r="AB636" s="1466"/>
      <c r="AC636" s="1281"/>
      <c r="AD636" s="1282"/>
      <c r="AE636" s="1283"/>
      <c r="AF636" s="1323"/>
      <c r="AG636" s="1324"/>
      <c r="AH636" s="1324"/>
      <c r="AI636" s="1324"/>
      <c r="AJ636" s="1325"/>
      <c r="AK636" s="1477"/>
      <c r="AL636" s="1478"/>
      <c r="AM636" s="1478"/>
      <c r="AN636" s="1479"/>
      <c r="AO636" s="1320"/>
      <c r="AP636" s="1321"/>
      <c r="AQ636" s="1321"/>
      <c r="AR636" s="1321"/>
      <c r="AS636" s="1322"/>
      <c r="AT636" s="1072" t="str">
        <f t="shared" si="23"/>
        <v/>
      </c>
      <c r="AV636" s="3"/>
      <c r="AW636" s="3"/>
      <c r="AX636" s="3"/>
      <c r="AY636" s="3"/>
      <c r="AZ636" s="3"/>
      <c r="BA636" s="3" t="s">
        <v>1518</v>
      </c>
      <c r="BB636" s="3"/>
      <c r="BC636" s="3"/>
      <c r="BD636" s="3"/>
      <c r="BE636" s="3"/>
      <c r="BF636" s="3"/>
      <c r="BG636" s="3"/>
      <c r="BH636" s="3"/>
      <c r="BI636" s="3"/>
      <c r="BJ636" s="3"/>
      <c r="BK636" s="3"/>
      <c r="BL636" s="3"/>
      <c r="BM636" s="3"/>
      <c r="BN636" s="3" t="s">
        <v>1519</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279"/>
      <c r="CS636" s="3"/>
      <c r="CT636" s="3"/>
      <c r="CU636" s="3"/>
      <c r="CV636" s="3"/>
      <c r="CW636" s="3"/>
      <c r="CX636" s="3"/>
      <c r="CY636" s="3"/>
      <c r="CZ636" s="3"/>
      <c r="DA636" s="3"/>
      <c r="DB636" s="3"/>
      <c r="DC636" s="3"/>
      <c r="DD636" s="3"/>
      <c r="DE636" s="3"/>
      <c r="DF636" s="3"/>
      <c r="DX636" s="1233" t="e">
        <f t="shared" ref="DX636:DX657" si="30">DX598*(BN598/$BN$632)</f>
        <v>#VALUE!</v>
      </c>
      <c r="DY636" s="1233"/>
      <c r="DZ636" s="1233"/>
      <c r="EA636" s="1233"/>
      <c r="EB636" s="1233"/>
      <c r="EC636" s="1233" t="e">
        <f t="shared" si="25"/>
        <v>#VALUE!</v>
      </c>
      <c r="ED636" s="1233"/>
      <c r="EE636" s="1233"/>
      <c r="EF636" s="1233"/>
      <c r="EG636" s="1233"/>
      <c r="EH636" s="1233">
        <f t="shared" si="26"/>
        <v>1009.5652173913044</v>
      </c>
      <c r="EI636" s="1233"/>
      <c r="EJ636" s="1233"/>
      <c r="EK636" s="1233"/>
      <c r="EL636" s="1233"/>
      <c r="EM636" s="1233" t="e">
        <f t="shared" si="27"/>
        <v>#VALUE!</v>
      </c>
      <c r="EN636" s="1233"/>
      <c r="EO636" s="1233"/>
      <c r="EP636" s="1233"/>
      <c r="EQ636" s="1233"/>
      <c r="ER636" s="1233" t="e">
        <f t="shared" si="28"/>
        <v>#VALUE!</v>
      </c>
      <c r="ES636" s="1233"/>
      <c r="ET636" s="1233"/>
      <c r="EU636" s="1233"/>
      <c r="EV636" s="1233"/>
      <c r="EW636" s="1233" t="e">
        <f t="shared" si="29"/>
        <v>#VALUE!</v>
      </c>
      <c r="EX636" s="1233"/>
      <c r="EY636" s="1233"/>
      <c r="EZ636" s="1233"/>
      <c r="FA636" s="1233"/>
    </row>
    <row r="637" spans="2:157" ht="12.95" customHeight="1">
      <c r="B637" s="45" t="s">
        <v>1475</v>
      </c>
      <c r="C637" s="1319"/>
      <c r="D637" s="1319"/>
      <c r="E637" s="1319"/>
      <c r="F637" s="1319"/>
      <c r="G637" s="1319"/>
      <c r="H637" s="1319"/>
      <c r="I637" s="1319"/>
      <c r="J637" s="1319"/>
      <c r="K637" s="1319"/>
      <c r="L637" s="1319"/>
      <c r="M637" s="1318" t="s">
        <v>1076</v>
      </c>
      <c r="N637" s="1318"/>
      <c r="O637" s="1318"/>
      <c r="P637" s="1318"/>
      <c r="Q637" s="1480"/>
      <c r="R637" s="1354"/>
      <c r="S637" s="1481"/>
      <c r="T637" s="1480"/>
      <c r="U637" s="1354"/>
      <c r="V637" s="1481"/>
      <c r="W637" s="1458"/>
      <c r="X637" s="1459"/>
      <c r="Y637" s="1460"/>
      <c r="Z637" s="1464" t="s">
        <v>1076</v>
      </c>
      <c r="AA637" s="1465"/>
      <c r="AB637" s="1466"/>
      <c r="AC637" s="1281"/>
      <c r="AD637" s="1282"/>
      <c r="AE637" s="1283"/>
      <c r="AF637" s="1323"/>
      <c r="AG637" s="1324"/>
      <c r="AH637" s="1324"/>
      <c r="AI637" s="1324"/>
      <c r="AJ637" s="1325"/>
      <c r="AK637" s="1477"/>
      <c r="AL637" s="1478"/>
      <c r="AM637" s="1478"/>
      <c r="AN637" s="1479"/>
      <c r="AO637" s="1320"/>
      <c r="AP637" s="1321"/>
      <c r="AQ637" s="1321"/>
      <c r="AR637" s="1321"/>
      <c r="AS637" s="1322"/>
      <c r="AT637" s="1072" t="str">
        <f t="shared" si="23"/>
        <v/>
      </c>
      <c r="AV637" s="3"/>
      <c r="AW637" s="3"/>
      <c r="AX637" s="3"/>
      <c r="AY637" s="3"/>
      <c r="AZ637" s="3"/>
      <c r="BA637" s="3" t="s">
        <v>1513</v>
      </c>
      <c r="BB637" s="3"/>
      <c r="BC637" s="3"/>
      <c r="BD637" s="3"/>
      <c r="BE637" s="3"/>
      <c r="BF637" s="3"/>
      <c r="BG637" s="3"/>
      <c r="BH637" s="3"/>
      <c r="BI637" s="3"/>
      <c r="BJ637" s="3"/>
      <c r="BK637" s="3"/>
      <c r="BL637" s="3"/>
      <c r="BM637" s="3"/>
      <c r="BN637" s="2457">
        <f>IF(J773="SRO/Studio",O773,0)</f>
        <v>0</v>
      </c>
      <c r="BO637" s="2458"/>
      <c r="BP637" s="2458"/>
      <c r="BQ637" s="2458"/>
      <c r="BR637" s="2459"/>
      <c r="BS637" s="2460">
        <f>IF(J773="1 Bedroom",O773,0)</f>
        <v>0</v>
      </c>
      <c r="BT637" s="2460"/>
      <c r="BU637" s="2460"/>
      <c r="BV637" s="2460"/>
      <c r="BW637" s="2460"/>
      <c r="BX637" s="2460">
        <f>IF(J773="2 Bedrooms",O773,0)</f>
        <v>1</v>
      </c>
      <c r="BY637" s="2460"/>
      <c r="BZ637" s="2460"/>
      <c r="CA637" s="2460"/>
      <c r="CB637" s="2460"/>
      <c r="CC637" s="2460">
        <f>IF(J773="3 Bedrooms",O773,0)</f>
        <v>0</v>
      </c>
      <c r="CD637" s="2460"/>
      <c r="CE637" s="2460"/>
      <c r="CF637" s="2460"/>
      <c r="CG637" s="2460"/>
      <c r="CH637" s="2460">
        <f>IF(J773="4 Bedrooms",O773,0)</f>
        <v>0</v>
      </c>
      <c r="CI637" s="2460"/>
      <c r="CJ637" s="2460"/>
      <c r="CK637" s="2460"/>
      <c r="CL637" s="2460"/>
      <c r="CM637" s="2460">
        <f>IF(J773="5 Bedrooms",O773,0)</f>
        <v>0</v>
      </c>
      <c r="CN637" s="2460"/>
      <c r="CO637" s="2460"/>
      <c r="CP637" s="2460"/>
      <c r="CQ637" s="2460"/>
      <c r="CR637" s="279"/>
      <c r="CS637" s="3"/>
      <c r="CT637" s="3"/>
      <c r="CU637" s="3"/>
      <c r="CV637" s="3"/>
      <c r="CW637" s="3"/>
      <c r="CX637" s="3"/>
      <c r="CY637" s="3"/>
      <c r="CZ637" s="3"/>
      <c r="DA637" s="3"/>
      <c r="DB637" s="3"/>
      <c r="DC637" s="3"/>
      <c r="DD637" s="3"/>
      <c r="DE637" s="3"/>
      <c r="DF637" s="3"/>
      <c r="DX637" s="1233" t="e">
        <f t="shared" si="30"/>
        <v>#VALUE!</v>
      </c>
      <c r="DY637" s="1233"/>
      <c r="DZ637" s="1233"/>
      <c r="EA637" s="1233"/>
      <c r="EB637" s="1233"/>
      <c r="EC637" s="1233" t="e">
        <f t="shared" si="25"/>
        <v>#VALUE!</v>
      </c>
      <c r="ED637" s="1233"/>
      <c r="EE637" s="1233"/>
      <c r="EF637" s="1233"/>
      <c r="EG637" s="1233"/>
      <c r="EH637" s="1233">
        <f t="shared" si="26"/>
        <v>277.21739130434781</v>
      </c>
      <c r="EI637" s="1233"/>
      <c r="EJ637" s="1233"/>
      <c r="EK637" s="1233"/>
      <c r="EL637" s="1233"/>
      <c r="EM637" s="1233" t="e">
        <f t="shared" si="27"/>
        <v>#VALUE!</v>
      </c>
      <c r="EN637" s="1233"/>
      <c r="EO637" s="1233"/>
      <c r="EP637" s="1233"/>
      <c r="EQ637" s="1233"/>
      <c r="ER637" s="1233" t="e">
        <f t="shared" si="28"/>
        <v>#VALUE!</v>
      </c>
      <c r="ES637" s="1233"/>
      <c r="ET637" s="1233"/>
      <c r="EU637" s="1233"/>
      <c r="EV637" s="1233"/>
      <c r="EW637" s="1233" t="e">
        <f t="shared" si="29"/>
        <v>#VALUE!</v>
      </c>
      <c r="EX637" s="1233"/>
      <c r="EY637" s="1233"/>
      <c r="EZ637" s="1233"/>
      <c r="FA637" s="1233"/>
    </row>
    <row r="638" spans="2:157" ht="12.95" customHeight="1">
      <c r="B638" s="45" t="s">
        <v>1476</v>
      </c>
      <c r="C638" s="1319"/>
      <c r="D638" s="1319"/>
      <c r="E638" s="1319"/>
      <c r="F638" s="1319"/>
      <c r="G638" s="1319"/>
      <c r="H638" s="1319"/>
      <c r="I638" s="1319"/>
      <c r="J638" s="1319"/>
      <c r="K638" s="1319"/>
      <c r="L638" s="1319"/>
      <c r="M638" s="1318" t="s">
        <v>1076</v>
      </c>
      <c r="N638" s="1318"/>
      <c r="O638" s="1318"/>
      <c r="P638" s="1318"/>
      <c r="Q638" s="1480"/>
      <c r="R638" s="1354"/>
      <c r="S638" s="1481"/>
      <c r="T638" s="1480"/>
      <c r="U638" s="1354"/>
      <c r="V638" s="1481"/>
      <c r="W638" s="1458"/>
      <c r="X638" s="1459"/>
      <c r="Y638" s="1460"/>
      <c r="Z638" s="1464" t="s">
        <v>1076</v>
      </c>
      <c r="AA638" s="1465"/>
      <c r="AB638" s="1466"/>
      <c r="AC638" s="1281"/>
      <c r="AD638" s="1282"/>
      <c r="AE638" s="1283"/>
      <c r="AF638" s="1323"/>
      <c r="AG638" s="1324"/>
      <c r="AH638" s="1324"/>
      <c r="AI638" s="1324"/>
      <c r="AJ638" s="1325"/>
      <c r="AK638" s="1477"/>
      <c r="AL638" s="1478"/>
      <c r="AM638" s="1478"/>
      <c r="AN638" s="1479"/>
      <c r="AO638" s="1320"/>
      <c r="AP638" s="1321"/>
      <c r="AQ638" s="1321"/>
      <c r="AR638" s="1321"/>
      <c r="AS638" s="1322"/>
      <c r="AT638" s="1072" t="str">
        <f t="shared" si="23"/>
        <v/>
      </c>
      <c r="AV638" s="3"/>
      <c r="AW638" s="3"/>
      <c r="AX638" s="3"/>
      <c r="AY638" s="3"/>
      <c r="AZ638" s="3"/>
      <c r="BA638" s="3" t="s">
        <v>1100</v>
      </c>
      <c r="BB638" s="3"/>
      <c r="BC638" s="3"/>
      <c r="BD638" s="3"/>
      <c r="BE638" s="3"/>
      <c r="BF638" s="3"/>
      <c r="BG638" s="3"/>
      <c r="BH638" s="3"/>
      <c r="BI638" s="3"/>
      <c r="BJ638" s="3"/>
      <c r="BK638" s="3"/>
      <c r="BL638" s="3"/>
      <c r="BM638" s="3"/>
      <c r="BN638" s="2457">
        <f>IF(J774="SRO/Studio",O774,0)</f>
        <v>0</v>
      </c>
      <c r="BO638" s="2458"/>
      <c r="BP638" s="2458"/>
      <c r="BQ638" s="2458"/>
      <c r="BR638" s="2459"/>
      <c r="BS638" s="2460">
        <f>IF(J774="1 Bedroom",O774,0)</f>
        <v>0</v>
      </c>
      <c r="BT638" s="2460"/>
      <c r="BU638" s="2460"/>
      <c r="BV638" s="2460"/>
      <c r="BW638" s="2460"/>
      <c r="BX638" s="2460">
        <f>IF(J774="2 Bedrooms",O774,0)</f>
        <v>0</v>
      </c>
      <c r="BY638" s="2460"/>
      <c r="BZ638" s="2460"/>
      <c r="CA638" s="2460"/>
      <c r="CB638" s="2460"/>
      <c r="CC638" s="2460">
        <f>IF(J774="3 Bedrooms",O774,0)</f>
        <v>0</v>
      </c>
      <c r="CD638" s="2460"/>
      <c r="CE638" s="2460"/>
      <c r="CF638" s="2460"/>
      <c r="CG638" s="2460"/>
      <c r="CH638" s="2460">
        <f>IF(J774="4 Bedrooms",O774,0)</f>
        <v>0</v>
      </c>
      <c r="CI638" s="2460"/>
      <c r="CJ638" s="2460"/>
      <c r="CK638" s="2460"/>
      <c r="CL638" s="2460"/>
      <c r="CM638" s="2460">
        <f>IF(J774="5 Bedrooms",O774,0)</f>
        <v>0</v>
      </c>
      <c r="CN638" s="2460"/>
      <c r="CO638" s="2460"/>
      <c r="CP638" s="2460"/>
      <c r="CQ638" s="2460"/>
      <c r="CR638" s="279"/>
      <c r="CS638" s="3"/>
      <c r="CT638" s="3"/>
      <c r="CU638" s="3"/>
      <c r="CV638" s="3"/>
      <c r="CW638" s="3"/>
      <c r="CX638" s="3"/>
      <c r="CY638" s="3"/>
      <c r="CZ638" s="3"/>
      <c r="DA638" s="3"/>
      <c r="DB638" s="3"/>
      <c r="DC638" s="3"/>
      <c r="DD638" s="3"/>
      <c r="DE638" s="3"/>
      <c r="DF638" s="3"/>
      <c r="DX638" s="1233" t="e">
        <f t="shared" si="30"/>
        <v>#VALUE!</v>
      </c>
      <c r="DY638" s="1233"/>
      <c r="DZ638" s="1233"/>
      <c r="EA638" s="1233"/>
      <c r="EB638" s="1233"/>
      <c r="EC638" s="1233" t="e">
        <f t="shared" si="25"/>
        <v>#VALUE!</v>
      </c>
      <c r="ED638" s="1233"/>
      <c r="EE638" s="1233"/>
      <c r="EF638" s="1233"/>
      <c r="EG638" s="1233"/>
      <c r="EH638" s="1233">
        <f t="shared" si="26"/>
        <v>217.91304347826087</v>
      </c>
      <c r="EI638" s="1233"/>
      <c r="EJ638" s="1233"/>
      <c r="EK638" s="1233"/>
      <c r="EL638" s="1233"/>
      <c r="EM638" s="1233" t="e">
        <f t="shared" si="27"/>
        <v>#VALUE!</v>
      </c>
      <c r="EN638" s="1233"/>
      <c r="EO638" s="1233"/>
      <c r="EP638" s="1233"/>
      <c r="EQ638" s="1233"/>
      <c r="ER638" s="1233" t="e">
        <f t="shared" si="28"/>
        <v>#VALUE!</v>
      </c>
      <c r="ES638" s="1233"/>
      <c r="ET638" s="1233"/>
      <c r="EU638" s="1233"/>
      <c r="EV638" s="1233"/>
      <c r="EW638" s="1233" t="e">
        <f t="shared" si="29"/>
        <v>#VALUE!</v>
      </c>
      <c r="EX638" s="1233"/>
      <c r="EY638" s="1233"/>
      <c r="EZ638" s="1233"/>
      <c r="FA638" s="1233"/>
    </row>
    <row r="639" spans="2:157" ht="12.95" customHeight="1">
      <c r="B639" s="1390" t="s">
        <v>1520</v>
      </c>
      <c r="C639" s="1391"/>
      <c r="D639" s="1391"/>
      <c r="E639" s="1391"/>
      <c r="F639" s="1391"/>
      <c r="G639" s="1391"/>
      <c r="H639" s="1391"/>
      <c r="I639" s="1391"/>
      <c r="J639" s="1391"/>
      <c r="K639" s="1391"/>
      <c r="L639" s="1391"/>
      <c r="M639" s="1391"/>
      <c r="N639" s="1391"/>
      <c r="O639" s="1391"/>
      <c r="P639" s="1391"/>
      <c r="Q639" s="1391"/>
      <c r="R639" s="1391"/>
      <c r="S639" s="1391"/>
      <c r="T639" s="1391"/>
      <c r="U639" s="1391"/>
      <c r="V639" s="1391"/>
      <c r="W639" s="1391"/>
      <c r="X639" s="1391"/>
      <c r="Y639" s="1391"/>
      <c r="Z639" s="1391"/>
      <c r="AA639" s="1391"/>
      <c r="AB639" s="1391"/>
      <c r="AC639" s="1391"/>
      <c r="AD639" s="1391"/>
      <c r="AE639" s="1391"/>
      <c r="AF639" s="1391"/>
      <c r="AG639" s="1391"/>
      <c r="AH639" s="1391"/>
      <c r="AI639" s="1391"/>
      <c r="AJ639" s="1391"/>
      <c r="AK639" s="1391"/>
      <c r="AL639" s="1391"/>
      <c r="AM639" s="1391"/>
      <c r="AN639" s="1392"/>
      <c r="AO639" s="1406">
        <f>SUM(AO627:AR638)</f>
        <v>14288474</v>
      </c>
      <c r="AP639" s="1407"/>
      <c r="AQ639" s="1407"/>
      <c r="AR639" s="1407"/>
      <c r="AS639" s="1408"/>
      <c r="AV639" s="3"/>
      <c r="AW639" s="3"/>
      <c r="AX639" s="3"/>
      <c r="AY639" s="3"/>
      <c r="AZ639" s="3"/>
      <c r="BA639" s="3"/>
      <c r="BB639" s="3"/>
      <c r="BC639" s="3"/>
      <c r="BD639" s="3"/>
      <c r="BE639" s="3"/>
      <c r="BF639" s="3"/>
      <c r="BG639" s="3"/>
      <c r="BH639" s="3"/>
      <c r="BI639" s="3"/>
      <c r="BJ639" s="3"/>
      <c r="BK639" s="3"/>
      <c r="BL639" s="3"/>
      <c r="BM639" s="3"/>
      <c r="BN639" s="2457">
        <f>IF(J775="SRO/Studio",O775,0)</f>
        <v>0</v>
      </c>
      <c r="BO639" s="2458"/>
      <c r="BP639" s="2458"/>
      <c r="BQ639" s="2458"/>
      <c r="BR639" s="2459"/>
      <c r="BS639" s="2460">
        <f>IF(J775="1 Bedroom",O775,0)</f>
        <v>0</v>
      </c>
      <c r="BT639" s="2460"/>
      <c r="BU639" s="2460"/>
      <c r="BV639" s="2460"/>
      <c r="BW639" s="2460"/>
      <c r="BX639" s="2460">
        <f>IF(J775="2 Bedrooms",O775,0)</f>
        <v>0</v>
      </c>
      <c r="BY639" s="2460"/>
      <c r="BZ639" s="2460"/>
      <c r="CA639" s="2460"/>
      <c r="CB639" s="2460"/>
      <c r="CC639" s="2460">
        <f>IF(J775="3 Bedrooms",O775,0)</f>
        <v>0</v>
      </c>
      <c r="CD639" s="2460"/>
      <c r="CE639" s="2460"/>
      <c r="CF639" s="2460"/>
      <c r="CG639" s="2460"/>
      <c r="CH639" s="2460">
        <f>IF(J775="4 Bedrooms",O775,0)</f>
        <v>0</v>
      </c>
      <c r="CI639" s="2460"/>
      <c r="CJ639" s="2460"/>
      <c r="CK639" s="2460"/>
      <c r="CL639" s="2460"/>
      <c r="CM639" s="2460">
        <f>IF(J775="5 Bedrooms",O775,0)</f>
        <v>0</v>
      </c>
      <c r="CN639" s="2460"/>
      <c r="CO639" s="2460"/>
      <c r="CP639" s="2460"/>
      <c r="CQ639" s="2460"/>
      <c r="CR639" s="279"/>
      <c r="CV639" s="3"/>
      <c r="CW639" s="3"/>
      <c r="CX639" s="3"/>
      <c r="CY639" s="3"/>
      <c r="CZ639" s="3"/>
      <c r="DA639" s="3"/>
      <c r="DB639" s="3"/>
      <c r="DC639" s="3"/>
      <c r="DD639" s="3"/>
      <c r="DE639" s="3"/>
      <c r="DF639" s="3"/>
      <c r="DX639" s="1233" t="e">
        <f t="shared" si="30"/>
        <v>#VALUE!</v>
      </c>
      <c r="DY639" s="1233"/>
      <c r="DZ639" s="1233"/>
      <c r="EA639" s="1233"/>
      <c r="EB639" s="1233"/>
      <c r="EC639" s="1233" t="e">
        <f t="shared" si="25"/>
        <v>#VALUE!</v>
      </c>
      <c r="ED639" s="1233"/>
      <c r="EE639" s="1233"/>
      <c r="EF639" s="1233"/>
      <c r="EG639" s="1233"/>
      <c r="EH639" s="1233">
        <f t="shared" si="26"/>
        <v>118.95652173913044</v>
      </c>
      <c r="EI639" s="1233"/>
      <c r="EJ639" s="1233"/>
      <c r="EK639" s="1233"/>
      <c r="EL639" s="1233"/>
      <c r="EM639" s="1233" t="e">
        <f t="shared" si="27"/>
        <v>#VALUE!</v>
      </c>
      <c r="EN639" s="1233"/>
      <c r="EO639" s="1233"/>
      <c r="EP639" s="1233"/>
      <c r="EQ639" s="1233"/>
      <c r="ER639" s="1233" t="e">
        <f t="shared" si="28"/>
        <v>#VALUE!</v>
      </c>
      <c r="ES639" s="1233"/>
      <c r="ET639" s="1233"/>
      <c r="EU639" s="1233"/>
      <c r="EV639" s="1233"/>
      <c r="EW639" s="1233" t="e">
        <f t="shared" si="29"/>
        <v>#VALUE!</v>
      </c>
      <c r="EX639" s="1233"/>
      <c r="EY639" s="1233"/>
      <c r="EZ639" s="1233"/>
      <c r="FA639" s="1233"/>
    </row>
    <row r="640" spans="2:157" ht="12.95" customHeight="1">
      <c r="B640" s="1390" t="s">
        <v>1521</v>
      </c>
      <c r="C640" s="1391"/>
      <c r="D640" s="1391"/>
      <c r="E640" s="1391"/>
      <c r="F640" s="1391"/>
      <c r="G640" s="1391"/>
      <c r="H640" s="1391"/>
      <c r="I640" s="1391"/>
      <c r="J640" s="1391"/>
      <c r="K640" s="1391"/>
      <c r="L640" s="1391"/>
      <c r="M640" s="1391"/>
      <c r="N640" s="1391"/>
      <c r="O640" s="1391"/>
      <c r="P640" s="1391"/>
      <c r="Q640" s="1391"/>
      <c r="R640" s="1391"/>
      <c r="S640" s="1391"/>
      <c r="T640" s="1391"/>
      <c r="U640" s="1391"/>
      <c r="V640" s="1391"/>
      <c r="W640" s="1391"/>
      <c r="X640" s="1391"/>
      <c r="Y640" s="1391"/>
      <c r="Z640" s="1391"/>
      <c r="AA640" s="1391"/>
      <c r="AB640" s="1391"/>
      <c r="AC640" s="1391"/>
      <c r="AD640" s="1391"/>
      <c r="AE640" s="1391"/>
      <c r="AF640" s="1391"/>
      <c r="AG640" s="1391"/>
      <c r="AH640" s="1391"/>
      <c r="AI640" s="1391"/>
      <c r="AJ640" s="1391"/>
      <c r="AK640" s="1391"/>
      <c r="AL640" s="1391"/>
      <c r="AM640" s="1391"/>
      <c r="AN640" s="1392"/>
      <c r="AO640" s="1320">
        <v>21130075.276178699</v>
      </c>
      <c r="AP640" s="1321"/>
      <c r="AQ640" s="1321"/>
      <c r="AR640" s="1321"/>
      <c r="AS640" s="1322"/>
      <c r="AV640" s="3"/>
      <c r="AW640" s="3"/>
      <c r="AX640" s="3"/>
      <c r="AY640" s="3"/>
      <c r="AZ640" s="3"/>
      <c r="BA640" s="3"/>
      <c r="BB640" s="3"/>
      <c r="BC640" s="3"/>
      <c r="BD640" s="3"/>
      <c r="BE640" s="3"/>
      <c r="BF640" s="3"/>
      <c r="BG640" s="3"/>
      <c r="BH640" s="3"/>
      <c r="BI640" s="3"/>
      <c r="BJ640" s="3"/>
      <c r="BK640" s="3"/>
      <c r="BL640" s="3"/>
      <c r="BM640" s="3"/>
      <c r="BN640" s="2457">
        <f>IF(J776="SRO/Studio",O776,0)</f>
        <v>0</v>
      </c>
      <c r="BO640" s="2458"/>
      <c r="BP640" s="2458"/>
      <c r="BQ640" s="2458"/>
      <c r="BR640" s="2459"/>
      <c r="BS640" s="2460">
        <f>IF(J776="1 Bedroom",O776,0)</f>
        <v>0</v>
      </c>
      <c r="BT640" s="2460"/>
      <c r="BU640" s="2460"/>
      <c r="BV640" s="2460"/>
      <c r="BW640" s="2460"/>
      <c r="BX640" s="2460">
        <f>IF(J776="2 Bedrooms",O776,0)</f>
        <v>0</v>
      </c>
      <c r="BY640" s="2460"/>
      <c r="BZ640" s="2460"/>
      <c r="CA640" s="2460"/>
      <c r="CB640" s="2460"/>
      <c r="CC640" s="2460">
        <f>IF(J776="3 Bedrooms",O776,0)</f>
        <v>0</v>
      </c>
      <c r="CD640" s="2460"/>
      <c r="CE640" s="2460"/>
      <c r="CF640" s="2460"/>
      <c r="CG640" s="2460"/>
      <c r="CH640" s="2460">
        <f>IF(J776="4 Bedrooms",O776,0)</f>
        <v>0</v>
      </c>
      <c r="CI640" s="2460"/>
      <c r="CJ640" s="2460"/>
      <c r="CK640" s="2460"/>
      <c r="CL640" s="2460"/>
      <c r="CM640" s="2460">
        <f>IF(J776="5 Bedrooms",O776,0)</f>
        <v>0</v>
      </c>
      <c r="CN640" s="2460"/>
      <c r="CO640" s="2460"/>
      <c r="CP640" s="2460"/>
      <c r="CQ640" s="2460"/>
      <c r="CV640" s="3"/>
      <c r="CW640" s="3"/>
      <c r="CX640" s="3"/>
      <c r="CY640" s="3"/>
      <c r="CZ640" s="3"/>
      <c r="DA640" s="3"/>
      <c r="DB640" s="3"/>
      <c r="DC640" s="3"/>
      <c r="DD640" s="3"/>
      <c r="DE640" s="3"/>
      <c r="DF640" s="3"/>
      <c r="DX640" s="1233" t="e">
        <f t="shared" si="30"/>
        <v>#VALUE!</v>
      </c>
      <c r="DY640" s="1233"/>
      <c r="DZ640" s="1233"/>
      <c r="EA640" s="1233"/>
      <c r="EB640" s="1233"/>
      <c r="EC640" s="1233" t="e">
        <f t="shared" si="25"/>
        <v>#VALUE!</v>
      </c>
      <c r="ED640" s="1233"/>
      <c r="EE640" s="1233"/>
      <c r="EF640" s="1233"/>
      <c r="EG640" s="1233"/>
      <c r="EH640" s="1233" t="e">
        <f t="shared" si="26"/>
        <v>#VALUE!</v>
      </c>
      <c r="EI640" s="1233"/>
      <c r="EJ640" s="1233"/>
      <c r="EK640" s="1233"/>
      <c r="EL640" s="1233"/>
      <c r="EM640" s="1233">
        <f t="shared" si="27"/>
        <v>1109.5</v>
      </c>
      <c r="EN640" s="1233"/>
      <c r="EO640" s="1233"/>
      <c r="EP640" s="1233"/>
      <c r="EQ640" s="1233"/>
      <c r="ER640" s="1233" t="e">
        <f t="shared" si="28"/>
        <v>#VALUE!</v>
      </c>
      <c r="ES640" s="1233"/>
      <c r="ET640" s="1233"/>
      <c r="EU640" s="1233"/>
      <c r="EV640" s="1233"/>
      <c r="EW640" s="1233" t="e">
        <f t="shared" si="29"/>
        <v>#VALUE!</v>
      </c>
      <c r="EX640" s="1233"/>
      <c r="EY640" s="1233"/>
      <c r="EZ640" s="1233"/>
      <c r="FA640" s="1233"/>
    </row>
    <row r="641" spans="1:157" ht="12.95" customHeight="1">
      <c r="B641" s="1461" t="s">
        <v>1522</v>
      </c>
      <c r="C641" s="1462"/>
      <c r="D641" s="1462"/>
      <c r="E641" s="1462"/>
      <c r="F641" s="1462"/>
      <c r="G641" s="1462"/>
      <c r="H641" s="1462"/>
      <c r="I641" s="1462"/>
      <c r="J641" s="1462"/>
      <c r="K641" s="1462"/>
      <c r="L641" s="1462"/>
      <c r="M641" s="1462"/>
      <c r="N641" s="1462"/>
      <c r="O641" s="1462"/>
      <c r="P641" s="1462"/>
      <c r="Q641" s="1462"/>
      <c r="R641" s="1462"/>
      <c r="S641" s="1462"/>
      <c r="T641" s="1462"/>
      <c r="U641" s="1462"/>
      <c r="V641" s="1462"/>
      <c r="W641" s="1462"/>
      <c r="X641" s="1462"/>
      <c r="Y641" s="1462"/>
      <c r="Z641" s="1462"/>
      <c r="AA641" s="1462"/>
      <c r="AB641" s="1462"/>
      <c r="AC641" s="1462"/>
      <c r="AD641" s="1462"/>
      <c r="AE641" s="1462"/>
      <c r="AF641" s="1462"/>
      <c r="AG641" s="1462"/>
      <c r="AH641" s="1462"/>
      <c r="AI641" s="1462"/>
      <c r="AJ641" s="1462"/>
      <c r="AK641" s="1462"/>
      <c r="AL641" s="1462"/>
      <c r="AM641" s="1462"/>
      <c r="AN641" s="1463"/>
      <c r="AO641" s="1406">
        <f>AO639+AO640</f>
        <v>35418549.276178703</v>
      </c>
      <c r="AP641" s="1407"/>
      <c r="AQ641" s="1407"/>
      <c r="AR641" s="1407"/>
      <c r="AS641" s="1408"/>
      <c r="AV641" s="3"/>
      <c r="AW641" s="3"/>
      <c r="AX641" s="3"/>
      <c r="AY641" s="3"/>
      <c r="AZ641" s="3"/>
      <c r="BA641" s="3"/>
      <c r="BB641" s="3"/>
      <c r="BC641" s="3"/>
      <c r="BD641" s="3"/>
      <c r="BE641" s="3"/>
      <c r="BF641" s="3"/>
      <c r="BG641" s="3"/>
      <c r="BH641" s="3"/>
      <c r="BI641" s="3"/>
      <c r="BJ641" s="3"/>
      <c r="BK641" s="3"/>
      <c r="BL641" s="3"/>
      <c r="BM641" s="3"/>
      <c r="BN641" s="1235">
        <f>SUM(BN637:BR640)</f>
        <v>0</v>
      </c>
      <c r="BO641" s="1236"/>
      <c r="BP641" s="1236"/>
      <c r="BQ641" s="1236"/>
      <c r="BR641" s="1237"/>
      <c r="BS641" s="1235">
        <f>SUM(BS637:BW640)</f>
        <v>0</v>
      </c>
      <c r="BT641" s="1236"/>
      <c r="BU641" s="1236"/>
      <c r="BV641" s="1236"/>
      <c r="BW641" s="1237"/>
      <c r="BX641" s="1235">
        <f>SUM(BX637:CB640)</f>
        <v>1</v>
      </c>
      <c r="BY641" s="1236"/>
      <c r="BZ641" s="1236"/>
      <c r="CA641" s="1236"/>
      <c r="CB641" s="1237"/>
      <c r="CC641" s="1235">
        <f>SUM(CC637:CG640)</f>
        <v>0</v>
      </c>
      <c r="CD641" s="1236"/>
      <c r="CE641" s="1236"/>
      <c r="CF641" s="1236"/>
      <c r="CG641" s="1237"/>
      <c r="CH641" s="1235">
        <f>SUM(CH637:CL640)</f>
        <v>0</v>
      </c>
      <c r="CI641" s="1236"/>
      <c r="CJ641" s="1236"/>
      <c r="CK641" s="1236"/>
      <c r="CL641" s="1237"/>
      <c r="CM641" s="1235">
        <f>SUM(CM637:CQ640)</f>
        <v>0</v>
      </c>
      <c r="CN641" s="1236"/>
      <c r="CO641" s="1236"/>
      <c r="CP641" s="1236"/>
      <c r="CQ641" s="1237"/>
      <c r="CS641" s="785">
        <f>BN641+BS641+BX641+CC641+CH641+CM641</f>
        <v>1</v>
      </c>
      <c r="CT641" s="50" t="s">
        <v>1523</v>
      </c>
      <c r="CU641" s="3"/>
      <c r="CV641" s="3"/>
      <c r="CW641" s="3"/>
      <c r="CX641" s="3"/>
      <c r="CY641" s="3"/>
      <c r="CZ641" s="3"/>
      <c r="DA641" s="3"/>
      <c r="DB641" s="3"/>
      <c r="DC641" s="3"/>
      <c r="DD641" s="3"/>
      <c r="DE641" s="3"/>
      <c r="DF641" s="3"/>
      <c r="DX641" s="1233" t="e">
        <f t="shared" si="30"/>
        <v>#VALUE!</v>
      </c>
      <c r="DY641" s="1233"/>
      <c r="DZ641" s="1233"/>
      <c r="EA641" s="1233"/>
      <c r="EB641" s="1233"/>
      <c r="EC641" s="1233" t="e">
        <f t="shared" si="25"/>
        <v>#VALUE!</v>
      </c>
      <c r="ED641" s="1233"/>
      <c r="EE641" s="1233"/>
      <c r="EF641" s="1233"/>
      <c r="EG641" s="1233"/>
      <c r="EH641" s="1233" t="e">
        <f t="shared" si="26"/>
        <v>#VALUE!</v>
      </c>
      <c r="EI641" s="1233"/>
      <c r="EJ641" s="1233"/>
      <c r="EK641" s="1233"/>
      <c r="EL641" s="1233"/>
      <c r="EM641" s="1233">
        <f t="shared" si="27"/>
        <v>608.33333333333326</v>
      </c>
      <c r="EN641" s="1233"/>
      <c r="EO641" s="1233"/>
      <c r="EP641" s="1233"/>
      <c r="EQ641" s="1233"/>
      <c r="ER641" s="1233" t="e">
        <f t="shared" si="28"/>
        <v>#VALUE!</v>
      </c>
      <c r="ES641" s="1233"/>
      <c r="ET641" s="1233"/>
      <c r="EU641" s="1233"/>
      <c r="EV641" s="1233"/>
      <c r="EW641" s="1233" t="e">
        <f t="shared" si="29"/>
        <v>#VALUE!</v>
      </c>
      <c r="EX641" s="1233"/>
      <c r="EY641" s="1233"/>
      <c r="EZ641" s="1233"/>
      <c r="FA641" s="1233"/>
    </row>
    <row r="642" spans="1:157" ht="12.95" customHeight="1">
      <c r="B642" s="437"/>
      <c r="K642" s="49"/>
      <c r="L642" s="24"/>
      <c r="M642" s="24"/>
      <c r="N642" s="24"/>
      <c r="O642" s="24"/>
      <c r="P642" s="24"/>
      <c r="Q642" s="24"/>
      <c r="R642" s="24"/>
      <c r="AC642" s="49"/>
      <c r="AD642" s="24"/>
      <c r="AE642" s="24"/>
      <c r="AF642" s="24"/>
      <c r="AG642" s="24"/>
      <c r="AH642" s="24"/>
      <c r="AI642" s="24"/>
      <c r="AJ642" s="24"/>
      <c r="AV642" s="3"/>
      <c r="AW642" s="3"/>
      <c r="AX642" s="3"/>
      <c r="AY642" s="3"/>
      <c r="AZ642" s="3"/>
      <c r="BA642" s="3"/>
      <c r="BB642" s="3"/>
      <c r="BC642" s="3"/>
      <c r="BD642" s="3"/>
      <c r="BE642" s="3"/>
      <c r="BF642" s="3"/>
      <c r="BG642" s="3"/>
      <c r="BH642" s="3"/>
      <c r="BI642" s="3"/>
      <c r="BJ642" s="3"/>
      <c r="BK642" s="3"/>
      <c r="BL642" s="3"/>
      <c r="BM642" s="3"/>
      <c r="BR642" s="785">
        <f>BN641*1</f>
        <v>0</v>
      </c>
      <c r="BS642" s="3"/>
      <c r="BT642" s="3"/>
      <c r="BU642" s="3"/>
      <c r="BV642" s="3"/>
      <c r="BW642" s="785">
        <f>BS641*1</f>
        <v>0</v>
      </c>
      <c r="BX642" s="3"/>
      <c r="BY642" s="3"/>
      <c r="BZ642" s="3"/>
      <c r="CA642" s="3"/>
      <c r="CB642" s="785">
        <f>BX641*2</f>
        <v>2</v>
      </c>
      <c r="CC642" s="3"/>
      <c r="CD642" s="3"/>
      <c r="CE642" s="3"/>
      <c r="CF642" s="3"/>
      <c r="CG642" s="785">
        <f>CC641*3</f>
        <v>0</v>
      </c>
      <c r="CH642" s="3"/>
      <c r="CI642" s="3"/>
      <c r="CJ642" s="3"/>
      <c r="CK642" s="3"/>
      <c r="CL642" s="785">
        <f>CH641*4</f>
        <v>0</v>
      </c>
      <c r="CM642" s="3"/>
      <c r="CN642" s="3"/>
      <c r="CO642" s="3"/>
      <c r="CP642" s="3"/>
      <c r="CQ642" s="785">
        <f>CM641*5</f>
        <v>0</v>
      </c>
      <c r="CS642" s="785">
        <f>BR642+BW642+CB642+CG642+CL642+CQ642</f>
        <v>2</v>
      </c>
      <c r="CT642" s="50" t="s">
        <v>1524</v>
      </c>
      <c r="CU642" s="3"/>
      <c r="CV642" s="3"/>
      <c r="CW642" s="3"/>
      <c r="CX642" s="3"/>
      <c r="CY642" s="3"/>
      <c r="CZ642" s="3"/>
      <c r="DA642" s="3"/>
      <c r="DB642" s="3"/>
      <c r="DC642" s="3"/>
      <c r="DD642" s="3"/>
      <c r="DE642" s="3"/>
      <c r="DF642" s="3"/>
      <c r="DX642" s="1233" t="e">
        <f t="shared" si="30"/>
        <v>#VALUE!</v>
      </c>
      <c r="DY642" s="1233"/>
      <c r="DZ642" s="1233"/>
      <c r="EA642" s="1233"/>
      <c r="EB642" s="1233"/>
      <c r="EC642" s="1233" t="e">
        <f t="shared" si="25"/>
        <v>#VALUE!</v>
      </c>
      <c r="ED642" s="1233"/>
      <c r="EE642" s="1233"/>
      <c r="EF642" s="1233"/>
      <c r="EG642" s="1233"/>
      <c r="EH642" s="1233" t="e">
        <f t="shared" si="26"/>
        <v>#VALUE!</v>
      </c>
      <c r="EI642" s="1233"/>
      <c r="EJ642" s="1233"/>
      <c r="EK642" s="1233"/>
      <c r="EL642" s="1233"/>
      <c r="EM642" s="1233">
        <f t="shared" si="27"/>
        <v>172.83333333333331</v>
      </c>
      <c r="EN642" s="1233"/>
      <c r="EO642" s="1233"/>
      <c r="EP642" s="1233"/>
      <c r="EQ642" s="1233"/>
      <c r="ER642" s="1233" t="e">
        <f t="shared" si="28"/>
        <v>#VALUE!</v>
      </c>
      <c r="ES642" s="1233"/>
      <c r="ET642" s="1233"/>
      <c r="EU642" s="1233"/>
      <c r="EV642" s="1233"/>
      <c r="EW642" s="1233" t="e">
        <f t="shared" si="29"/>
        <v>#VALUE!</v>
      </c>
      <c r="EX642" s="1233"/>
      <c r="EY642" s="1233"/>
      <c r="EZ642" s="1233"/>
      <c r="FA642" s="1233"/>
    </row>
    <row r="643" spans="1:157" ht="12.95" customHeight="1">
      <c r="A643" s="48" t="s">
        <v>17</v>
      </c>
      <c r="B643" t="s">
        <v>1478</v>
      </c>
      <c r="G643" s="1290" t="str">
        <f>C627</f>
        <v xml:space="preserve">Citibank Permanent Loan </v>
      </c>
      <c r="H643" s="1290"/>
      <c r="I643" s="1290"/>
      <c r="J643" s="1290"/>
      <c r="K643" s="1290"/>
      <c r="L643" s="1290"/>
      <c r="M643" s="1290"/>
      <c r="N643" s="1290"/>
      <c r="O643" s="1290"/>
      <c r="P643" s="1290"/>
      <c r="Q643" s="1290"/>
      <c r="R643" s="1290"/>
      <c r="S643" s="8"/>
      <c r="T643" s="48" t="s">
        <v>30</v>
      </c>
      <c r="U643" t="s">
        <v>1478</v>
      </c>
      <c r="Z643" s="1290" t="str">
        <f>C628</f>
        <v>Deferred Developer Fee</v>
      </c>
      <c r="AA643" s="1290"/>
      <c r="AB643" s="1290"/>
      <c r="AC643" s="1290"/>
      <c r="AD643" s="1290"/>
      <c r="AE643" s="1290"/>
      <c r="AF643" s="1290"/>
      <c r="AG643" s="1290"/>
      <c r="AH643" s="1290"/>
      <c r="AI643" s="1290"/>
      <c r="AJ643" s="1290"/>
      <c r="AK643" s="1290"/>
      <c r="AV643" s="3"/>
      <c r="AW643" s="3"/>
      <c r="AX643" s="3"/>
      <c r="AY643" s="3"/>
      <c r="AZ643" s="3"/>
      <c r="BA643" s="3"/>
      <c r="BB643" s="3"/>
      <c r="BC643" s="3"/>
      <c r="BD643" s="3"/>
      <c r="BE643" s="3"/>
      <c r="BF643" s="3"/>
      <c r="BG643" s="3"/>
      <c r="BH643" s="3"/>
      <c r="BI643" s="3"/>
      <c r="BJ643" s="3"/>
      <c r="BK643" s="3"/>
      <c r="BL643" s="3"/>
      <c r="BM643" s="3"/>
      <c r="CV643" s="3"/>
      <c r="CW643" s="3"/>
      <c r="CX643" s="3"/>
      <c r="CY643" s="3"/>
      <c r="CZ643" s="3"/>
      <c r="DA643" s="3"/>
      <c r="DB643" s="3"/>
      <c r="DC643" s="3"/>
      <c r="DD643" s="3"/>
      <c r="DE643" s="3"/>
      <c r="DF643" s="3"/>
      <c r="DX643" s="1233" t="e">
        <f t="shared" si="30"/>
        <v>#VALUE!</v>
      </c>
      <c r="DY643" s="1233"/>
      <c r="DZ643" s="1233"/>
      <c r="EA643" s="1233"/>
      <c r="EB643" s="1233"/>
      <c r="EC643" s="1233" t="e">
        <f t="shared" si="25"/>
        <v>#VALUE!</v>
      </c>
      <c r="ED643" s="1233"/>
      <c r="EE643" s="1233"/>
      <c r="EF643" s="1233"/>
      <c r="EG643" s="1233"/>
      <c r="EH643" s="1233" t="e">
        <f t="shared" si="26"/>
        <v>#VALUE!</v>
      </c>
      <c r="EI643" s="1233"/>
      <c r="EJ643" s="1233"/>
      <c r="EK643" s="1233"/>
      <c r="EL643" s="1233"/>
      <c r="EM643" s="1233" t="e">
        <f t="shared" si="27"/>
        <v>#VALUE!</v>
      </c>
      <c r="EN643" s="1233"/>
      <c r="EO643" s="1233"/>
      <c r="EP643" s="1233"/>
      <c r="EQ643" s="1233"/>
      <c r="ER643" s="1233" t="e">
        <f t="shared" si="28"/>
        <v>#VALUE!</v>
      </c>
      <c r="ES643" s="1233"/>
      <c r="ET643" s="1233"/>
      <c r="EU643" s="1233"/>
      <c r="EV643" s="1233"/>
      <c r="EW643" s="1233" t="e">
        <f t="shared" si="29"/>
        <v>#VALUE!</v>
      </c>
      <c r="EX643" s="1233"/>
      <c r="EY643" s="1233"/>
      <c r="EZ643" s="1233"/>
      <c r="FA643" s="1233"/>
    </row>
    <row r="644" spans="1:157" ht="12.95" customHeight="1">
      <c r="A644" s="20"/>
      <c r="B644" t="s">
        <v>1110</v>
      </c>
      <c r="G644" s="1232" t="s">
        <v>1479</v>
      </c>
      <c r="H644" s="1232"/>
      <c r="I644" s="1232"/>
      <c r="J644" s="1232"/>
      <c r="K644" s="1232"/>
      <c r="L644" s="1232"/>
      <c r="M644" s="1232"/>
      <c r="N644" s="1232"/>
      <c r="O644" s="1232"/>
      <c r="P644" s="1232"/>
      <c r="Q644" s="1232"/>
      <c r="R644" s="1232"/>
      <c r="S644" s="8"/>
      <c r="T644" s="20"/>
      <c r="U644" t="s">
        <v>1110</v>
      </c>
      <c r="Z644" s="1232" t="s">
        <v>1525</v>
      </c>
      <c r="AA644" s="1232"/>
      <c r="AB644" s="1232"/>
      <c r="AC644" s="1232"/>
      <c r="AD644" s="1232"/>
      <c r="AE644" s="1232"/>
      <c r="AF644" s="1232"/>
      <c r="AG644" s="1232"/>
      <c r="AH644" s="1232"/>
      <c r="AI644" s="1232"/>
      <c r="AJ644" s="1232"/>
      <c r="AK644" s="1232"/>
      <c r="AV644" s="3"/>
      <c r="AW644" s="3"/>
      <c r="AX644" s="3"/>
      <c r="AY644" s="3"/>
      <c r="AZ644" s="3"/>
      <c r="BA644" s="3"/>
      <c r="BB644" s="3"/>
      <c r="BC644" s="3"/>
      <c r="BD644" s="3"/>
      <c r="BE644" s="3"/>
      <c r="BF644" s="3"/>
      <c r="BG644" s="3"/>
      <c r="BH644" s="3"/>
      <c r="BI644" s="3"/>
      <c r="BJ644" s="3"/>
      <c r="BK644" s="3"/>
      <c r="BL644" s="3"/>
      <c r="BM644" s="3"/>
      <c r="BN644" s="3" t="s">
        <v>1526</v>
      </c>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1527</v>
      </c>
      <c r="CT644" s="3"/>
      <c r="CU644" s="3"/>
      <c r="CV644" s="3"/>
      <c r="CW644" s="3"/>
      <c r="CX644" s="3"/>
      <c r="CY644" s="3"/>
      <c r="CZ644" s="3"/>
      <c r="DA644" s="3"/>
      <c r="DB644" s="3"/>
      <c r="DC644" s="3"/>
      <c r="DD644" s="3"/>
      <c r="DE644" s="3"/>
      <c r="DF644" s="3"/>
      <c r="DX644" s="1233" t="e">
        <f t="shared" si="30"/>
        <v>#VALUE!</v>
      </c>
      <c r="DY644" s="1233"/>
      <c r="DZ644" s="1233"/>
      <c r="EA644" s="1233"/>
      <c r="EB644" s="1233"/>
      <c r="EC644" s="1233" t="e">
        <f t="shared" si="25"/>
        <v>#VALUE!</v>
      </c>
      <c r="ED644" s="1233"/>
      <c r="EE644" s="1233"/>
      <c r="EF644" s="1233"/>
      <c r="EG644" s="1233"/>
      <c r="EH644" s="1233" t="e">
        <f t="shared" si="26"/>
        <v>#VALUE!</v>
      </c>
      <c r="EI644" s="1233"/>
      <c r="EJ644" s="1233"/>
      <c r="EK644" s="1233"/>
      <c r="EL644" s="1233"/>
      <c r="EM644" s="1233" t="e">
        <f t="shared" si="27"/>
        <v>#VALUE!</v>
      </c>
      <c r="EN644" s="1233"/>
      <c r="EO644" s="1233"/>
      <c r="EP644" s="1233"/>
      <c r="EQ644" s="1233"/>
      <c r="ER644" s="1233" t="e">
        <f t="shared" si="28"/>
        <v>#VALUE!</v>
      </c>
      <c r="ES644" s="1233"/>
      <c r="ET644" s="1233"/>
      <c r="EU644" s="1233"/>
      <c r="EV644" s="1233"/>
      <c r="EW644" s="1233" t="e">
        <f t="shared" si="29"/>
        <v>#VALUE!</v>
      </c>
      <c r="EX644" s="1233"/>
      <c r="EY644" s="1233"/>
      <c r="EZ644" s="1233"/>
      <c r="FA644" s="1233"/>
    </row>
    <row r="645" spans="1:157" ht="12.95" customHeight="1">
      <c r="A645" s="20"/>
      <c r="B645" t="s">
        <v>981</v>
      </c>
      <c r="G645" s="1232" t="s">
        <v>1480</v>
      </c>
      <c r="H645" s="1232"/>
      <c r="I645" s="1232"/>
      <c r="J645" s="1232"/>
      <c r="K645" s="1232"/>
      <c r="L645" s="1232"/>
      <c r="M645" s="1232"/>
      <c r="N645" s="1232"/>
      <c r="O645" s="1232"/>
      <c r="P645" s="1232"/>
      <c r="Q645" s="1232"/>
      <c r="R645" s="1232"/>
      <c r="T645" s="20"/>
      <c r="U645" t="s">
        <v>981</v>
      </c>
      <c r="Z645" s="1232" t="s">
        <v>1497</v>
      </c>
      <c r="AA645" s="1232"/>
      <c r="AB645" s="1232"/>
      <c r="AC645" s="1232"/>
      <c r="AD645" s="1232"/>
      <c r="AE645" s="1232"/>
      <c r="AF645" s="1232"/>
      <c r="AG645" s="1232"/>
      <c r="AH645" s="1232"/>
      <c r="AI645" s="1232"/>
      <c r="AJ645" s="1232"/>
      <c r="AK645" s="1232"/>
      <c r="AV645" s="3"/>
      <c r="AW645" s="3"/>
      <c r="AX645" s="3"/>
      <c r="AY645" s="3"/>
      <c r="AZ645" s="3"/>
      <c r="BA645" s="3"/>
      <c r="BB645" s="3"/>
      <c r="BC645" s="3"/>
      <c r="BD645" s="3"/>
      <c r="BE645" s="3"/>
      <c r="BF645" s="3"/>
      <c r="BG645" s="3"/>
      <c r="BH645" s="3"/>
      <c r="BI645" s="3"/>
      <c r="BJ645" s="3"/>
      <c r="BK645" s="3"/>
      <c r="BL645" s="3"/>
      <c r="BM645" s="3"/>
      <c r="BN645" s="2457">
        <f t="shared" ref="BN645:BN654" si="31">IF(J787="SRO/Studio",O787,0)</f>
        <v>0</v>
      </c>
      <c r="BO645" s="2458"/>
      <c r="BP645" s="2458"/>
      <c r="BQ645" s="2458"/>
      <c r="BR645" s="2459"/>
      <c r="BS645" s="2460">
        <f t="shared" ref="BS645:BS654" si="32">IF(J787="1 Bedroom",O787,0)</f>
        <v>0</v>
      </c>
      <c r="BT645" s="2460"/>
      <c r="BU645" s="2460"/>
      <c r="BV645" s="2460"/>
      <c r="BW645" s="2460"/>
      <c r="BX645" s="2460">
        <f t="shared" ref="BX645:BX654" si="33">IF(J787="2 Bedrooms",O787,0)</f>
        <v>0</v>
      </c>
      <c r="BY645" s="2460"/>
      <c r="BZ645" s="2460"/>
      <c r="CA645" s="2460"/>
      <c r="CB645" s="2460"/>
      <c r="CC645" s="2460">
        <f t="shared" ref="CC645:CC654" si="34">IF(J787="3 Bedrooms",O787,0)</f>
        <v>0</v>
      </c>
      <c r="CD645" s="2460"/>
      <c r="CE645" s="2460"/>
      <c r="CF645" s="2460"/>
      <c r="CG645" s="2460"/>
      <c r="CH645" s="2460">
        <f t="shared" ref="CH645:CH654" si="35">IF(J787="4 Bedrooms",O787,0)</f>
        <v>0</v>
      </c>
      <c r="CI645" s="2460"/>
      <c r="CJ645" s="2460"/>
      <c r="CK645" s="2460"/>
      <c r="CL645" s="2460"/>
      <c r="CM645" s="2460">
        <f t="shared" ref="CM645:CM654" si="36">IF(J787="5 Bedrooms",O787,0)</f>
        <v>0</v>
      </c>
      <c r="CN645" s="2460"/>
      <c r="CO645" s="2460"/>
      <c r="CP645" s="2460"/>
      <c r="CQ645" s="2460"/>
      <c r="CR645" s="279"/>
      <c r="CS645" s="2457">
        <f t="shared" ref="CS645:CS654" si="37">IF(AND(BN645&gt;=1,AH787&gt;=0.1,AH787&lt;=1),O787,0)</f>
        <v>0</v>
      </c>
      <c r="CT645" s="2458"/>
      <c r="CU645" s="2458"/>
      <c r="CV645" s="2458"/>
      <c r="CW645" s="2459"/>
      <c r="CX645" s="2457">
        <f t="shared" ref="CX645:CX654" si="38">IF(AND(BS645&gt;=1,AH787&gt;=0.1,AH787&lt;=1),O787,0)</f>
        <v>0</v>
      </c>
      <c r="CY645" s="2458"/>
      <c r="CZ645" s="2458"/>
      <c r="DA645" s="2458"/>
      <c r="DB645" s="2459"/>
      <c r="DC645" s="2457">
        <f t="shared" ref="DC645:DC654" si="39">IF(AND(BX645&gt;=1,AH787&gt;=0.1,AH787&lt;=1),O787,0)</f>
        <v>0</v>
      </c>
      <c r="DD645" s="2458"/>
      <c r="DE645" s="2458"/>
      <c r="DF645" s="2458"/>
      <c r="DG645" s="2459"/>
      <c r="DH645" s="2457">
        <f t="shared" ref="DH645:DH654" si="40">IF(AND(CC645&gt;=1,AH787&gt;=0.1,AH787&lt;=1),O787,0)</f>
        <v>0</v>
      </c>
      <c r="DI645" s="2458"/>
      <c r="DJ645" s="2458"/>
      <c r="DK645" s="2458"/>
      <c r="DL645" s="2459"/>
      <c r="DM645" s="2457">
        <f t="shared" ref="DM645:DM654" si="41">IF(AND(CH645&gt;=1,AH787&gt;=0.1,AH787&lt;=1),O787,0)</f>
        <v>0</v>
      </c>
      <c r="DN645" s="2458"/>
      <c r="DO645" s="2458"/>
      <c r="DP645" s="2458"/>
      <c r="DQ645" s="2459"/>
      <c r="DR645" s="2457">
        <f t="shared" ref="DR645:DR654" si="42">IF(AND(CM645&gt;=1,AH787&gt;=0.1,AH787&lt;=1),O787,0)</f>
        <v>0</v>
      </c>
      <c r="DS645" s="2458"/>
      <c r="DT645" s="2458"/>
      <c r="DU645" s="2458"/>
      <c r="DV645" s="2459"/>
      <c r="DX645" s="1233" t="e">
        <f t="shared" si="30"/>
        <v>#VALUE!</v>
      </c>
      <c r="DY645" s="1233"/>
      <c r="DZ645" s="1233"/>
      <c r="EA645" s="1233"/>
      <c r="EB645" s="1233"/>
      <c r="EC645" s="1233" t="e">
        <f t="shared" si="25"/>
        <v>#VALUE!</v>
      </c>
      <c r="ED645" s="1233"/>
      <c r="EE645" s="1233"/>
      <c r="EF645" s="1233"/>
      <c r="EG645" s="1233"/>
      <c r="EH645" s="1233" t="e">
        <f t="shared" si="26"/>
        <v>#VALUE!</v>
      </c>
      <c r="EI645" s="1233"/>
      <c r="EJ645" s="1233"/>
      <c r="EK645" s="1233"/>
      <c r="EL645" s="1233"/>
      <c r="EM645" s="1233" t="e">
        <f t="shared" si="27"/>
        <v>#VALUE!</v>
      </c>
      <c r="EN645" s="1233"/>
      <c r="EO645" s="1233"/>
      <c r="EP645" s="1233"/>
      <c r="EQ645" s="1233"/>
      <c r="ER645" s="1233" t="e">
        <f t="shared" si="28"/>
        <v>#VALUE!</v>
      </c>
      <c r="ES645" s="1233"/>
      <c r="ET645" s="1233"/>
      <c r="EU645" s="1233"/>
      <c r="EV645" s="1233"/>
      <c r="EW645" s="1233" t="e">
        <f t="shared" si="29"/>
        <v>#VALUE!</v>
      </c>
      <c r="EX645" s="1233"/>
      <c r="EY645" s="1233"/>
      <c r="EZ645" s="1233"/>
      <c r="FA645" s="1233"/>
    </row>
    <row r="646" spans="1:157" ht="12.95" customHeight="1">
      <c r="A646" s="20"/>
      <c r="B646" t="s">
        <v>1481</v>
      </c>
      <c r="G646" s="1232" t="s">
        <v>1482</v>
      </c>
      <c r="H646" s="1232"/>
      <c r="I646" s="1232"/>
      <c r="J646" s="1232"/>
      <c r="K646" s="1232"/>
      <c r="L646" s="1232"/>
      <c r="M646" s="1232"/>
      <c r="N646" s="1232"/>
      <c r="O646" s="1232"/>
      <c r="P646" s="1232"/>
      <c r="Q646" s="1232"/>
      <c r="R646" s="1232"/>
      <c r="S646" s="8"/>
      <c r="T646" s="20"/>
      <c r="U646" t="s">
        <v>1481</v>
      </c>
      <c r="Z646" s="1232" t="s">
        <v>1116</v>
      </c>
      <c r="AA646" s="1232"/>
      <c r="AB646" s="1232"/>
      <c r="AC646" s="1232"/>
      <c r="AD646" s="1232"/>
      <c r="AE646" s="1232"/>
      <c r="AF646" s="1232"/>
      <c r="AG646" s="1232"/>
      <c r="AH646" s="1232"/>
      <c r="AI646" s="1232"/>
      <c r="AJ646" s="1232"/>
      <c r="AK646" s="1232"/>
      <c r="AZ646" s="3"/>
      <c r="BA646" s="3"/>
      <c r="BB646" s="3"/>
      <c r="BC646" s="3"/>
      <c r="BD646" s="3"/>
      <c r="BE646" s="3"/>
      <c r="BF646" s="3"/>
      <c r="BG646" s="3"/>
      <c r="BH646" s="3"/>
      <c r="BI646" s="3"/>
      <c r="BJ646" s="3"/>
      <c r="BK646" s="3"/>
      <c r="BL646" s="3"/>
      <c r="BM646" s="3"/>
      <c r="BN646" s="2457">
        <f t="shared" si="31"/>
        <v>0</v>
      </c>
      <c r="BO646" s="2458"/>
      <c r="BP646" s="2458"/>
      <c r="BQ646" s="2458"/>
      <c r="BR646" s="2459"/>
      <c r="BS646" s="2460">
        <f t="shared" si="32"/>
        <v>0</v>
      </c>
      <c r="BT646" s="2460"/>
      <c r="BU646" s="2460"/>
      <c r="BV646" s="2460"/>
      <c r="BW646" s="2460"/>
      <c r="BX646" s="2460">
        <f t="shared" si="33"/>
        <v>0</v>
      </c>
      <c r="BY646" s="2460"/>
      <c r="BZ646" s="2460"/>
      <c r="CA646" s="2460"/>
      <c r="CB646" s="2460"/>
      <c r="CC646" s="2460">
        <f t="shared" si="34"/>
        <v>0</v>
      </c>
      <c r="CD646" s="2460"/>
      <c r="CE646" s="2460"/>
      <c r="CF646" s="2460"/>
      <c r="CG646" s="2460"/>
      <c r="CH646" s="2460">
        <f t="shared" si="35"/>
        <v>0</v>
      </c>
      <c r="CI646" s="2460"/>
      <c r="CJ646" s="2460"/>
      <c r="CK646" s="2460"/>
      <c r="CL646" s="2460"/>
      <c r="CM646" s="2460">
        <f t="shared" si="36"/>
        <v>0</v>
      </c>
      <c r="CN646" s="2460"/>
      <c r="CO646" s="2460"/>
      <c r="CP646" s="2460"/>
      <c r="CQ646" s="2460"/>
      <c r="CR646" s="279"/>
      <c r="CS646" s="2457">
        <f t="shared" si="37"/>
        <v>0</v>
      </c>
      <c r="CT646" s="2458"/>
      <c r="CU646" s="2458"/>
      <c r="CV646" s="2458"/>
      <c r="CW646" s="2459"/>
      <c r="CX646" s="2457">
        <f t="shared" si="38"/>
        <v>0</v>
      </c>
      <c r="CY646" s="2458"/>
      <c r="CZ646" s="2458"/>
      <c r="DA646" s="2458"/>
      <c r="DB646" s="2459"/>
      <c r="DC646" s="2457">
        <f t="shared" si="39"/>
        <v>0</v>
      </c>
      <c r="DD646" s="2458"/>
      <c r="DE646" s="2458"/>
      <c r="DF646" s="2458"/>
      <c r="DG646" s="2459"/>
      <c r="DH646" s="2457">
        <f t="shared" si="40"/>
        <v>0</v>
      </c>
      <c r="DI646" s="2458"/>
      <c r="DJ646" s="2458"/>
      <c r="DK646" s="2458"/>
      <c r="DL646" s="2459"/>
      <c r="DM646" s="2457">
        <f t="shared" si="41"/>
        <v>0</v>
      </c>
      <c r="DN646" s="2458"/>
      <c r="DO646" s="2458"/>
      <c r="DP646" s="2458"/>
      <c r="DQ646" s="2459"/>
      <c r="DR646" s="2457">
        <f t="shared" si="42"/>
        <v>0</v>
      </c>
      <c r="DS646" s="2458"/>
      <c r="DT646" s="2458"/>
      <c r="DU646" s="2458"/>
      <c r="DV646" s="2459"/>
      <c r="DX646" s="1233" t="e">
        <f t="shared" si="30"/>
        <v>#VALUE!</v>
      </c>
      <c r="DY646" s="1233"/>
      <c r="DZ646" s="1233"/>
      <c r="EA646" s="1233"/>
      <c r="EB646" s="1233"/>
      <c r="EC646" s="1233" t="e">
        <f t="shared" si="25"/>
        <v>#VALUE!</v>
      </c>
      <c r="ED646" s="1233"/>
      <c r="EE646" s="1233"/>
      <c r="EF646" s="1233"/>
      <c r="EG646" s="1233"/>
      <c r="EH646" s="1233" t="e">
        <f t="shared" si="26"/>
        <v>#VALUE!</v>
      </c>
      <c r="EI646" s="1233"/>
      <c r="EJ646" s="1233"/>
      <c r="EK646" s="1233"/>
      <c r="EL646" s="1233"/>
      <c r="EM646" s="1233" t="e">
        <f t="shared" si="27"/>
        <v>#VALUE!</v>
      </c>
      <c r="EN646" s="1233"/>
      <c r="EO646" s="1233"/>
      <c r="EP646" s="1233"/>
      <c r="EQ646" s="1233"/>
      <c r="ER646" s="1233" t="e">
        <f t="shared" si="28"/>
        <v>#VALUE!</v>
      </c>
      <c r="ES646" s="1233"/>
      <c r="ET646" s="1233"/>
      <c r="EU646" s="1233"/>
      <c r="EV646" s="1233"/>
      <c r="EW646" s="1233" t="e">
        <f t="shared" si="29"/>
        <v>#VALUE!</v>
      </c>
      <c r="EX646" s="1233"/>
      <c r="EY646" s="1233"/>
      <c r="EZ646" s="1233"/>
      <c r="FA646" s="1233"/>
    </row>
    <row r="647" spans="1:157" ht="12.95" customHeight="1">
      <c r="A647" s="20"/>
      <c r="B647" t="s">
        <v>883</v>
      </c>
      <c r="G647" s="1348">
        <v>2122391914</v>
      </c>
      <c r="H647" s="1348"/>
      <c r="I647" s="1348"/>
      <c r="J647" s="1348"/>
      <c r="K647" s="1348"/>
      <c r="L647" s="1348"/>
      <c r="O647" s="949" t="s">
        <v>1119</v>
      </c>
      <c r="P647" s="1309"/>
      <c r="Q647" s="1309"/>
      <c r="R647" s="1309"/>
      <c r="S647" s="10"/>
      <c r="T647" s="20"/>
      <c r="U647" t="s">
        <v>883</v>
      </c>
      <c r="Z647" s="1348" t="s">
        <v>1148</v>
      </c>
      <c r="AA647" s="1348"/>
      <c r="AB647" s="1348"/>
      <c r="AC647" s="1348"/>
      <c r="AD647" s="1348"/>
      <c r="AE647" s="1348"/>
      <c r="AH647" s="949" t="s">
        <v>1119</v>
      </c>
      <c r="AI647" s="1309"/>
      <c r="AJ647" s="1309"/>
      <c r="AK647" s="1309"/>
      <c r="AZ647" s="3"/>
      <c r="BA647" s="3"/>
      <c r="BB647" s="3"/>
      <c r="BC647" s="3"/>
      <c r="BD647" s="3"/>
      <c r="BE647" s="3"/>
      <c r="BF647" s="3"/>
      <c r="BG647" s="3"/>
      <c r="BH647" s="3"/>
      <c r="BI647" s="3"/>
      <c r="BJ647" s="3"/>
      <c r="BK647" s="3"/>
      <c r="BL647" s="3"/>
      <c r="BM647" s="3"/>
      <c r="BN647" s="2457">
        <f t="shared" si="31"/>
        <v>0</v>
      </c>
      <c r="BO647" s="2458"/>
      <c r="BP647" s="2458"/>
      <c r="BQ647" s="2458"/>
      <c r="BR647" s="2459"/>
      <c r="BS647" s="2460">
        <f t="shared" si="32"/>
        <v>0</v>
      </c>
      <c r="BT647" s="2460"/>
      <c r="BU647" s="2460"/>
      <c r="BV647" s="2460"/>
      <c r="BW647" s="2460"/>
      <c r="BX647" s="2460">
        <f t="shared" si="33"/>
        <v>0</v>
      </c>
      <c r="BY647" s="2460"/>
      <c r="BZ647" s="2460"/>
      <c r="CA647" s="2460"/>
      <c r="CB647" s="2460"/>
      <c r="CC647" s="2460">
        <f t="shared" si="34"/>
        <v>0</v>
      </c>
      <c r="CD647" s="2460"/>
      <c r="CE647" s="2460"/>
      <c r="CF647" s="2460"/>
      <c r="CG647" s="2460"/>
      <c r="CH647" s="2460">
        <f t="shared" si="35"/>
        <v>0</v>
      </c>
      <c r="CI647" s="2460"/>
      <c r="CJ647" s="2460"/>
      <c r="CK647" s="2460"/>
      <c r="CL647" s="2460"/>
      <c r="CM647" s="2460">
        <f t="shared" si="36"/>
        <v>0</v>
      </c>
      <c r="CN647" s="2460"/>
      <c r="CO647" s="2460"/>
      <c r="CP647" s="2460"/>
      <c r="CQ647" s="2460"/>
      <c r="CR647" s="279"/>
      <c r="CS647" s="2457">
        <f t="shared" si="37"/>
        <v>0</v>
      </c>
      <c r="CT647" s="2458"/>
      <c r="CU647" s="2458"/>
      <c r="CV647" s="2458"/>
      <c r="CW647" s="2459"/>
      <c r="CX647" s="2457">
        <f t="shared" si="38"/>
        <v>0</v>
      </c>
      <c r="CY647" s="2458"/>
      <c r="CZ647" s="2458"/>
      <c r="DA647" s="2458"/>
      <c r="DB647" s="2459"/>
      <c r="DC647" s="2457">
        <f t="shared" si="39"/>
        <v>0</v>
      </c>
      <c r="DD647" s="2458"/>
      <c r="DE647" s="2458"/>
      <c r="DF647" s="2458"/>
      <c r="DG647" s="2459"/>
      <c r="DH647" s="2457">
        <f t="shared" si="40"/>
        <v>0</v>
      </c>
      <c r="DI647" s="2458"/>
      <c r="DJ647" s="2458"/>
      <c r="DK647" s="2458"/>
      <c r="DL647" s="2459"/>
      <c r="DM647" s="2457">
        <f t="shared" si="41"/>
        <v>0</v>
      </c>
      <c r="DN647" s="2458"/>
      <c r="DO647" s="2458"/>
      <c r="DP647" s="2458"/>
      <c r="DQ647" s="2459"/>
      <c r="DR647" s="2457">
        <f t="shared" si="42"/>
        <v>0</v>
      </c>
      <c r="DS647" s="2458"/>
      <c r="DT647" s="2458"/>
      <c r="DU647" s="2458"/>
      <c r="DV647" s="2459"/>
      <c r="DX647" s="1233" t="e">
        <f t="shared" si="30"/>
        <v>#VALUE!</v>
      </c>
      <c r="DY647" s="1233"/>
      <c r="DZ647" s="1233"/>
      <c r="EA647" s="1233"/>
      <c r="EB647" s="1233"/>
      <c r="EC647" s="1233" t="e">
        <f t="shared" si="25"/>
        <v>#VALUE!</v>
      </c>
      <c r="ED647" s="1233"/>
      <c r="EE647" s="1233"/>
      <c r="EF647" s="1233"/>
      <c r="EG647" s="1233"/>
      <c r="EH647" s="1233" t="e">
        <f t="shared" si="26"/>
        <v>#VALUE!</v>
      </c>
      <c r="EI647" s="1233"/>
      <c r="EJ647" s="1233"/>
      <c r="EK647" s="1233"/>
      <c r="EL647" s="1233"/>
      <c r="EM647" s="1233" t="e">
        <f t="shared" si="27"/>
        <v>#VALUE!</v>
      </c>
      <c r="EN647" s="1233"/>
      <c r="EO647" s="1233"/>
      <c r="EP647" s="1233"/>
      <c r="EQ647" s="1233"/>
      <c r="ER647" s="1233" t="e">
        <f t="shared" si="28"/>
        <v>#VALUE!</v>
      </c>
      <c r="ES647" s="1233"/>
      <c r="ET647" s="1233"/>
      <c r="EU647" s="1233"/>
      <c r="EV647" s="1233"/>
      <c r="EW647" s="1233" t="e">
        <f t="shared" si="29"/>
        <v>#VALUE!</v>
      </c>
      <c r="EX647" s="1233"/>
      <c r="EY647" s="1233"/>
      <c r="EZ647" s="1233"/>
      <c r="FA647" s="1233"/>
    </row>
    <row r="648" spans="1:157" ht="12.95" customHeight="1">
      <c r="A648" s="20"/>
      <c r="B648" t="s">
        <v>1483</v>
      </c>
      <c r="H648" s="1232" t="s">
        <v>1484</v>
      </c>
      <c r="I648" s="1232"/>
      <c r="J648" s="1232"/>
      <c r="K648" s="1232"/>
      <c r="L648" s="1232"/>
      <c r="M648" s="1232"/>
      <c r="N648" s="1232"/>
      <c r="O648" s="1232"/>
      <c r="P648" s="1232"/>
      <c r="Q648" s="1232"/>
      <c r="R648" s="1232"/>
      <c r="S648" s="8"/>
      <c r="T648" s="20"/>
      <c r="U648" t="s">
        <v>1483</v>
      </c>
      <c r="AA648" s="1232" t="s">
        <v>1505</v>
      </c>
      <c r="AB648" s="1232"/>
      <c r="AC648" s="1232"/>
      <c r="AD648" s="1232"/>
      <c r="AE648" s="1232"/>
      <c r="AF648" s="1232"/>
      <c r="AG648" s="1232"/>
      <c r="AH648" s="1232"/>
      <c r="AI648" s="1232"/>
      <c r="AJ648" s="1232"/>
      <c r="AK648" s="1232"/>
      <c r="AZ648" s="3"/>
      <c r="BA648" s="3"/>
      <c r="BB648" s="3"/>
      <c r="BC648" s="3"/>
      <c r="BD648" s="3"/>
      <c r="BE648" s="3"/>
      <c r="BF648" s="3"/>
      <c r="BG648" s="3"/>
      <c r="BH648" s="3"/>
      <c r="BI648" s="3"/>
      <c r="BJ648" s="3"/>
      <c r="BK648" s="3"/>
      <c r="BL648" s="3"/>
      <c r="BM648" s="3"/>
      <c r="BN648" s="2457">
        <f t="shared" si="31"/>
        <v>0</v>
      </c>
      <c r="BO648" s="2458"/>
      <c r="BP648" s="2458"/>
      <c r="BQ648" s="2458"/>
      <c r="BR648" s="2459"/>
      <c r="BS648" s="2460">
        <f t="shared" si="32"/>
        <v>0</v>
      </c>
      <c r="BT648" s="2460"/>
      <c r="BU648" s="2460"/>
      <c r="BV648" s="2460"/>
      <c r="BW648" s="2460"/>
      <c r="BX648" s="2460">
        <f t="shared" si="33"/>
        <v>0</v>
      </c>
      <c r="BY648" s="2460"/>
      <c r="BZ648" s="2460"/>
      <c r="CA648" s="2460"/>
      <c r="CB648" s="2460"/>
      <c r="CC648" s="2460">
        <f t="shared" si="34"/>
        <v>0</v>
      </c>
      <c r="CD648" s="2460"/>
      <c r="CE648" s="2460"/>
      <c r="CF648" s="2460"/>
      <c r="CG648" s="2460"/>
      <c r="CH648" s="2460">
        <f t="shared" si="35"/>
        <v>0</v>
      </c>
      <c r="CI648" s="2460"/>
      <c r="CJ648" s="2460"/>
      <c r="CK648" s="2460"/>
      <c r="CL648" s="2460"/>
      <c r="CM648" s="2460">
        <f t="shared" si="36"/>
        <v>0</v>
      </c>
      <c r="CN648" s="2460"/>
      <c r="CO648" s="2460"/>
      <c r="CP648" s="2460"/>
      <c r="CQ648" s="2460"/>
      <c r="CR648" s="279"/>
      <c r="CS648" s="2457">
        <f t="shared" si="37"/>
        <v>0</v>
      </c>
      <c r="CT648" s="2458"/>
      <c r="CU648" s="2458"/>
      <c r="CV648" s="2458"/>
      <c r="CW648" s="2459"/>
      <c r="CX648" s="2457">
        <f t="shared" si="38"/>
        <v>0</v>
      </c>
      <c r="CY648" s="2458"/>
      <c r="CZ648" s="2458"/>
      <c r="DA648" s="2458"/>
      <c r="DB648" s="2459"/>
      <c r="DC648" s="2457">
        <f t="shared" si="39"/>
        <v>0</v>
      </c>
      <c r="DD648" s="2458"/>
      <c r="DE648" s="2458"/>
      <c r="DF648" s="2458"/>
      <c r="DG648" s="2459"/>
      <c r="DH648" s="2457">
        <f t="shared" si="40"/>
        <v>0</v>
      </c>
      <c r="DI648" s="2458"/>
      <c r="DJ648" s="2458"/>
      <c r="DK648" s="2458"/>
      <c r="DL648" s="2459"/>
      <c r="DM648" s="2457">
        <f t="shared" si="41"/>
        <v>0</v>
      </c>
      <c r="DN648" s="2458"/>
      <c r="DO648" s="2458"/>
      <c r="DP648" s="2458"/>
      <c r="DQ648" s="2459"/>
      <c r="DR648" s="2457">
        <f t="shared" si="42"/>
        <v>0</v>
      </c>
      <c r="DS648" s="2458"/>
      <c r="DT648" s="2458"/>
      <c r="DU648" s="2458"/>
      <c r="DV648" s="2459"/>
      <c r="DX648" s="1233" t="e">
        <f t="shared" si="30"/>
        <v>#VALUE!</v>
      </c>
      <c r="DY648" s="1233"/>
      <c r="DZ648" s="1233"/>
      <c r="EA648" s="1233"/>
      <c r="EB648" s="1233"/>
      <c r="EC648" s="1233" t="e">
        <f t="shared" si="25"/>
        <v>#VALUE!</v>
      </c>
      <c r="ED648" s="1233"/>
      <c r="EE648" s="1233"/>
      <c r="EF648" s="1233"/>
      <c r="EG648" s="1233"/>
      <c r="EH648" s="1233" t="e">
        <f t="shared" si="26"/>
        <v>#VALUE!</v>
      </c>
      <c r="EI648" s="1233"/>
      <c r="EJ648" s="1233"/>
      <c r="EK648" s="1233"/>
      <c r="EL648" s="1233"/>
      <c r="EM648" s="1233" t="e">
        <f t="shared" si="27"/>
        <v>#VALUE!</v>
      </c>
      <c r="EN648" s="1233"/>
      <c r="EO648" s="1233"/>
      <c r="EP648" s="1233"/>
      <c r="EQ648" s="1233"/>
      <c r="ER648" s="1233" t="e">
        <f t="shared" si="28"/>
        <v>#VALUE!</v>
      </c>
      <c r="ES648" s="1233"/>
      <c r="ET648" s="1233"/>
      <c r="EU648" s="1233"/>
      <c r="EV648" s="1233"/>
      <c r="EW648" s="1233" t="e">
        <f t="shared" si="29"/>
        <v>#VALUE!</v>
      </c>
      <c r="EX648" s="1233"/>
      <c r="EY648" s="1233"/>
      <c r="EZ648" s="1233"/>
      <c r="FA648" s="1233"/>
    </row>
    <row r="649" spans="1:157" ht="12.95" customHeight="1">
      <c r="A649" s="20"/>
      <c r="B649" t="s">
        <v>1487</v>
      </c>
      <c r="N649" s="1234" t="s">
        <v>837</v>
      </c>
      <c r="O649" s="1234"/>
      <c r="T649" s="20"/>
      <c r="U649" t="s">
        <v>1487</v>
      </c>
      <c r="AG649" s="1234" t="s">
        <v>837</v>
      </c>
      <c r="AH649" s="1234"/>
      <c r="AZ649" s="3"/>
      <c r="BA649" s="3"/>
      <c r="BB649" s="3"/>
      <c r="BC649" s="3"/>
      <c r="BD649" s="3"/>
      <c r="BE649" s="3"/>
      <c r="BF649" s="3"/>
      <c r="BG649" s="3"/>
      <c r="BH649" s="3"/>
      <c r="BI649" s="3"/>
      <c r="BJ649" s="3"/>
      <c r="BK649" s="3"/>
      <c r="BL649" s="3"/>
      <c r="BM649" s="3"/>
      <c r="BN649" s="2457">
        <f t="shared" si="31"/>
        <v>0</v>
      </c>
      <c r="BO649" s="2458"/>
      <c r="BP649" s="2458"/>
      <c r="BQ649" s="2458"/>
      <c r="BR649" s="2459"/>
      <c r="BS649" s="2460">
        <f t="shared" si="32"/>
        <v>0</v>
      </c>
      <c r="BT649" s="2460"/>
      <c r="BU649" s="2460"/>
      <c r="BV649" s="2460"/>
      <c r="BW649" s="2460"/>
      <c r="BX649" s="2460">
        <f t="shared" si="33"/>
        <v>0</v>
      </c>
      <c r="BY649" s="2460"/>
      <c r="BZ649" s="2460"/>
      <c r="CA649" s="2460"/>
      <c r="CB649" s="2460"/>
      <c r="CC649" s="2460">
        <f t="shared" si="34"/>
        <v>0</v>
      </c>
      <c r="CD649" s="2460"/>
      <c r="CE649" s="2460"/>
      <c r="CF649" s="2460"/>
      <c r="CG649" s="2460"/>
      <c r="CH649" s="2460">
        <f t="shared" si="35"/>
        <v>0</v>
      </c>
      <c r="CI649" s="2460"/>
      <c r="CJ649" s="2460"/>
      <c r="CK649" s="2460"/>
      <c r="CL649" s="2460"/>
      <c r="CM649" s="2460">
        <f t="shared" si="36"/>
        <v>0</v>
      </c>
      <c r="CN649" s="2460"/>
      <c r="CO649" s="2460"/>
      <c r="CP649" s="2460"/>
      <c r="CQ649" s="2460"/>
      <c r="CR649" s="279"/>
      <c r="CS649" s="2457">
        <f t="shared" si="37"/>
        <v>0</v>
      </c>
      <c r="CT649" s="2458"/>
      <c r="CU649" s="2458"/>
      <c r="CV649" s="2458"/>
      <c r="CW649" s="2459"/>
      <c r="CX649" s="2457">
        <f t="shared" si="38"/>
        <v>0</v>
      </c>
      <c r="CY649" s="2458"/>
      <c r="CZ649" s="2458"/>
      <c r="DA649" s="2458"/>
      <c r="DB649" s="2459"/>
      <c r="DC649" s="2457">
        <f t="shared" si="39"/>
        <v>0</v>
      </c>
      <c r="DD649" s="2458"/>
      <c r="DE649" s="2458"/>
      <c r="DF649" s="2458"/>
      <c r="DG649" s="2459"/>
      <c r="DH649" s="2457">
        <f t="shared" si="40"/>
        <v>0</v>
      </c>
      <c r="DI649" s="2458"/>
      <c r="DJ649" s="2458"/>
      <c r="DK649" s="2458"/>
      <c r="DL649" s="2459"/>
      <c r="DM649" s="2457">
        <f t="shared" si="41"/>
        <v>0</v>
      </c>
      <c r="DN649" s="2458"/>
      <c r="DO649" s="2458"/>
      <c r="DP649" s="2458"/>
      <c r="DQ649" s="2459"/>
      <c r="DR649" s="2457">
        <f t="shared" si="42"/>
        <v>0</v>
      </c>
      <c r="DS649" s="2458"/>
      <c r="DT649" s="2458"/>
      <c r="DU649" s="2458"/>
      <c r="DV649" s="2459"/>
      <c r="DX649" s="1233" t="e">
        <f t="shared" si="30"/>
        <v>#VALUE!</v>
      </c>
      <c r="DY649" s="1233"/>
      <c r="DZ649" s="1233"/>
      <c r="EA649" s="1233"/>
      <c r="EB649" s="1233"/>
      <c r="EC649" s="1233" t="e">
        <f t="shared" si="25"/>
        <v>#VALUE!</v>
      </c>
      <c r="ED649" s="1233"/>
      <c r="EE649" s="1233"/>
      <c r="EF649" s="1233"/>
      <c r="EG649" s="1233"/>
      <c r="EH649" s="1233" t="e">
        <f t="shared" si="26"/>
        <v>#VALUE!</v>
      </c>
      <c r="EI649" s="1233"/>
      <c r="EJ649" s="1233"/>
      <c r="EK649" s="1233"/>
      <c r="EL649" s="1233"/>
      <c r="EM649" s="1233" t="e">
        <f t="shared" si="27"/>
        <v>#VALUE!</v>
      </c>
      <c r="EN649" s="1233"/>
      <c r="EO649" s="1233"/>
      <c r="EP649" s="1233"/>
      <c r="EQ649" s="1233"/>
      <c r="ER649" s="1233" t="e">
        <f t="shared" si="28"/>
        <v>#VALUE!</v>
      </c>
      <c r="ES649" s="1233"/>
      <c r="ET649" s="1233"/>
      <c r="EU649" s="1233"/>
      <c r="EV649" s="1233"/>
      <c r="EW649" s="1233" t="e">
        <f t="shared" si="29"/>
        <v>#VALUE!</v>
      </c>
      <c r="EX649" s="1233"/>
      <c r="EY649" s="1233"/>
      <c r="EZ649" s="1233"/>
      <c r="FA649" s="1233"/>
    </row>
    <row r="650" spans="1:157" ht="12.95" customHeight="1">
      <c r="A650" s="20"/>
      <c r="T650" s="20"/>
      <c r="AZ650" s="3"/>
      <c r="BA650" s="3"/>
      <c r="BB650" s="3"/>
      <c r="BC650" s="3"/>
      <c r="BD650" s="3"/>
      <c r="BE650" s="3"/>
      <c r="BF650" s="3"/>
      <c r="BG650" s="3"/>
      <c r="BH650" s="3"/>
      <c r="BI650" s="3"/>
      <c r="BJ650" s="3"/>
      <c r="BK650" s="3"/>
      <c r="BL650" s="3"/>
      <c r="BM650" s="3"/>
      <c r="BN650" s="2457">
        <f t="shared" si="31"/>
        <v>0</v>
      </c>
      <c r="BO650" s="2458"/>
      <c r="BP650" s="2458"/>
      <c r="BQ650" s="2458"/>
      <c r="BR650" s="2459"/>
      <c r="BS650" s="2460">
        <f t="shared" si="32"/>
        <v>0</v>
      </c>
      <c r="BT650" s="2460"/>
      <c r="BU650" s="2460"/>
      <c r="BV650" s="2460"/>
      <c r="BW650" s="2460"/>
      <c r="BX650" s="2460">
        <f t="shared" si="33"/>
        <v>0</v>
      </c>
      <c r="BY650" s="2460"/>
      <c r="BZ650" s="2460"/>
      <c r="CA650" s="2460"/>
      <c r="CB650" s="2460"/>
      <c r="CC650" s="2460">
        <f t="shared" si="34"/>
        <v>0</v>
      </c>
      <c r="CD650" s="2460"/>
      <c r="CE650" s="2460"/>
      <c r="CF650" s="2460"/>
      <c r="CG650" s="2460"/>
      <c r="CH650" s="2460">
        <f t="shared" si="35"/>
        <v>0</v>
      </c>
      <c r="CI650" s="2460"/>
      <c r="CJ650" s="2460"/>
      <c r="CK650" s="2460"/>
      <c r="CL650" s="2460"/>
      <c r="CM650" s="2460">
        <f t="shared" si="36"/>
        <v>0</v>
      </c>
      <c r="CN650" s="2460"/>
      <c r="CO650" s="2460"/>
      <c r="CP650" s="2460"/>
      <c r="CQ650" s="2460"/>
      <c r="CR650" s="279"/>
      <c r="CS650" s="2457">
        <f t="shared" si="37"/>
        <v>0</v>
      </c>
      <c r="CT650" s="2458"/>
      <c r="CU650" s="2458"/>
      <c r="CV650" s="2458"/>
      <c r="CW650" s="2459"/>
      <c r="CX650" s="2457">
        <f t="shared" si="38"/>
        <v>0</v>
      </c>
      <c r="CY650" s="2458"/>
      <c r="CZ650" s="2458"/>
      <c r="DA650" s="2458"/>
      <c r="DB650" s="2459"/>
      <c r="DC650" s="2457">
        <f t="shared" si="39"/>
        <v>0</v>
      </c>
      <c r="DD650" s="2458"/>
      <c r="DE650" s="2458"/>
      <c r="DF650" s="2458"/>
      <c r="DG650" s="2459"/>
      <c r="DH650" s="2457">
        <f t="shared" si="40"/>
        <v>0</v>
      </c>
      <c r="DI650" s="2458"/>
      <c r="DJ650" s="2458"/>
      <c r="DK650" s="2458"/>
      <c r="DL650" s="2459"/>
      <c r="DM650" s="2457">
        <f t="shared" si="41"/>
        <v>0</v>
      </c>
      <c r="DN650" s="2458"/>
      <c r="DO650" s="2458"/>
      <c r="DP650" s="2458"/>
      <c r="DQ650" s="2459"/>
      <c r="DR650" s="2457">
        <f t="shared" si="42"/>
        <v>0</v>
      </c>
      <c r="DS650" s="2458"/>
      <c r="DT650" s="2458"/>
      <c r="DU650" s="2458"/>
      <c r="DV650" s="2459"/>
      <c r="DX650" s="1233" t="e">
        <f t="shared" si="30"/>
        <v>#VALUE!</v>
      </c>
      <c r="DY650" s="1233"/>
      <c r="DZ650" s="1233"/>
      <c r="EA650" s="1233"/>
      <c r="EB650" s="1233"/>
      <c r="EC650" s="1233" t="e">
        <f t="shared" si="25"/>
        <v>#VALUE!</v>
      </c>
      <c r="ED650" s="1233"/>
      <c r="EE650" s="1233"/>
      <c r="EF650" s="1233"/>
      <c r="EG650" s="1233"/>
      <c r="EH650" s="1233" t="e">
        <f t="shared" si="26"/>
        <v>#VALUE!</v>
      </c>
      <c r="EI650" s="1233"/>
      <c r="EJ650" s="1233"/>
      <c r="EK650" s="1233"/>
      <c r="EL650" s="1233"/>
      <c r="EM650" s="1233" t="e">
        <f t="shared" si="27"/>
        <v>#VALUE!</v>
      </c>
      <c r="EN650" s="1233"/>
      <c r="EO650" s="1233"/>
      <c r="EP650" s="1233"/>
      <c r="EQ650" s="1233"/>
      <c r="ER650" s="1233" t="e">
        <f t="shared" si="28"/>
        <v>#VALUE!</v>
      </c>
      <c r="ES650" s="1233"/>
      <c r="ET650" s="1233"/>
      <c r="EU650" s="1233"/>
      <c r="EV650" s="1233"/>
      <c r="EW650" s="1233" t="e">
        <f t="shared" si="29"/>
        <v>#VALUE!</v>
      </c>
      <c r="EX650" s="1233"/>
      <c r="EY650" s="1233"/>
      <c r="EZ650" s="1233"/>
      <c r="FA650" s="1233"/>
    </row>
    <row r="651" spans="1:157" ht="12.95" customHeight="1">
      <c r="A651" s="48" t="s">
        <v>38</v>
      </c>
      <c r="B651" t="s">
        <v>1478</v>
      </c>
      <c r="G651" s="1290" t="str">
        <f>C629</f>
        <v xml:space="preserve">San Diego Housing Commission </v>
      </c>
      <c r="H651" s="1290"/>
      <c r="I651" s="1290"/>
      <c r="J651" s="1290"/>
      <c r="K651" s="1290"/>
      <c r="L651" s="1290"/>
      <c r="M651" s="1290"/>
      <c r="N651" s="1290"/>
      <c r="O651" s="1290"/>
      <c r="P651" s="1290"/>
      <c r="Q651" s="1290"/>
      <c r="R651" s="1290"/>
      <c r="T651" s="48" t="s">
        <v>81</v>
      </c>
      <c r="U651" t="s">
        <v>1478</v>
      </c>
      <c r="Z651" s="1290" t="str">
        <f>C630</f>
        <v>City of San Diego CDBG</v>
      </c>
      <c r="AA651" s="1290"/>
      <c r="AB651" s="1290"/>
      <c r="AC651" s="1290"/>
      <c r="AD651" s="1290"/>
      <c r="AE651" s="1290"/>
      <c r="AF651" s="1290"/>
      <c r="AG651" s="1290"/>
      <c r="AH651" s="1290"/>
      <c r="AI651" s="1290"/>
      <c r="AJ651" s="1290"/>
      <c r="AK651" s="1290"/>
      <c r="AZ651" s="3"/>
      <c r="BA651" s="3"/>
      <c r="BB651" s="3"/>
      <c r="BC651" s="3"/>
      <c r="BD651" s="3"/>
      <c r="BE651" s="3"/>
      <c r="BF651" s="3"/>
      <c r="BG651" s="3"/>
      <c r="BH651" s="3"/>
      <c r="BI651" s="3"/>
      <c r="BJ651" s="3"/>
      <c r="BK651" s="3"/>
      <c r="BL651" s="3"/>
      <c r="BM651" s="3"/>
      <c r="BN651" s="2457">
        <f t="shared" si="31"/>
        <v>0</v>
      </c>
      <c r="BO651" s="2458"/>
      <c r="BP651" s="2458"/>
      <c r="BQ651" s="2458"/>
      <c r="BR651" s="2459"/>
      <c r="BS651" s="2460">
        <f t="shared" si="32"/>
        <v>0</v>
      </c>
      <c r="BT651" s="2460"/>
      <c r="BU651" s="2460"/>
      <c r="BV651" s="2460"/>
      <c r="BW651" s="2460"/>
      <c r="BX651" s="2460">
        <f t="shared" si="33"/>
        <v>0</v>
      </c>
      <c r="BY651" s="2460"/>
      <c r="BZ651" s="2460"/>
      <c r="CA651" s="2460"/>
      <c r="CB651" s="2460"/>
      <c r="CC651" s="2460">
        <f t="shared" si="34"/>
        <v>0</v>
      </c>
      <c r="CD651" s="2460"/>
      <c r="CE651" s="2460"/>
      <c r="CF651" s="2460"/>
      <c r="CG651" s="2460"/>
      <c r="CH651" s="2460">
        <f t="shared" si="35"/>
        <v>0</v>
      </c>
      <c r="CI651" s="2460"/>
      <c r="CJ651" s="2460"/>
      <c r="CK651" s="2460"/>
      <c r="CL651" s="2460"/>
      <c r="CM651" s="2460">
        <f t="shared" si="36"/>
        <v>0</v>
      </c>
      <c r="CN651" s="2460"/>
      <c r="CO651" s="2460"/>
      <c r="CP651" s="2460"/>
      <c r="CQ651" s="2460"/>
      <c r="CR651" s="279"/>
      <c r="CS651" s="2457">
        <f t="shared" si="37"/>
        <v>0</v>
      </c>
      <c r="CT651" s="2458"/>
      <c r="CU651" s="2458"/>
      <c r="CV651" s="2458"/>
      <c r="CW651" s="2459"/>
      <c r="CX651" s="2457">
        <f t="shared" si="38"/>
        <v>0</v>
      </c>
      <c r="CY651" s="2458"/>
      <c r="CZ651" s="2458"/>
      <c r="DA651" s="2458"/>
      <c r="DB651" s="2459"/>
      <c r="DC651" s="2457">
        <f t="shared" si="39"/>
        <v>0</v>
      </c>
      <c r="DD651" s="2458"/>
      <c r="DE651" s="2458"/>
      <c r="DF651" s="2458"/>
      <c r="DG651" s="2459"/>
      <c r="DH651" s="2457">
        <f t="shared" si="40"/>
        <v>0</v>
      </c>
      <c r="DI651" s="2458"/>
      <c r="DJ651" s="2458"/>
      <c r="DK651" s="2458"/>
      <c r="DL651" s="2459"/>
      <c r="DM651" s="2457">
        <f t="shared" si="41"/>
        <v>0</v>
      </c>
      <c r="DN651" s="2458"/>
      <c r="DO651" s="2458"/>
      <c r="DP651" s="2458"/>
      <c r="DQ651" s="2459"/>
      <c r="DR651" s="2457">
        <f t="shared" si="42"/>
        <v>0</v>
      </c>
      <c r="DS651" s="2458"/>
      <c r="DT651" s="2458"/>
      <c r="DU651" s="2458"/>
      <c r="DV651" s="2459"/>
      <c r="DX651" s="1233" t="e">
        <f t="shared" si="30"/>
        <v>#VALUE!</v>
      </c>
      <c r="DY651" s="1233"/>
      <c r="DZ651" s="1233"/>
      <c r="EA651" s="1233"/>
      <c r="EB651" s="1233"/>
      <c r="EC651" s="1233" t="e">
        <f t="shared" si="25"/>
        <v>#VALUE!</v>
      </c>
      <c r="ED651" s="1233"/>
      <c r="EE651" s="1233"/>
      <c r="EF651" s="1233"/>
      <c r="EG651" s="1233"/>
      <c r="EH651" s="1233" t="e">
        <f t="shared" si="26"/>
        <v>#VALUE!</v>
      </c>
      <c r="EI651" s="1233"/>
      <c r="EJ651" s="1233"/>
      <c r="EK651" s="1233"/>
      <c r="EL651" s="1233"/>
      <c r="EM651" s="1233" t="e">
        <f t="shared" si="27"/>
        <v>#VALUE!</v>
      </c>
      <c r="EN651" s="1233"/>
      <c r="EO651" s="1233"/>
      <c r="EP651" s="1233"/>
      <c r="EQ651" s="1233"/>
      <c r="ER651" s="1233" t="e">
        <f t="shared" si="28"/>
        <v>#VALUE!</v>
      </c>
      <c r="ES651" s="1233"/>
      <c r="ET651" s="1233"/>
      <c r="EU651" s="1233"/>
      <c r="EV651" s="1233"/>
      <c r="EW651" s="1233" t="e">
        <f t="shared" si="29"/>
        <v>#VALUE!</v>
      </c>
      <c r="EX651" s="1233"/>
      <c r="EY651" s="1233"/>
      <c r="EZ651" s="1233"/>
      <c r="FA651" s="1233"/>
    </row>
    <row r="652" spans="1:157" ht="12.95" customHeight="1">
      <c r="A652" s="20"/>
      <c r="B652" t="s">
        <v>1110</v>
      </c>
      <c r="G652" s="1232" t="s">
        <v>1488</v>
      </c>
      <c r="H652" s="1232"/>
      <c r="I652" s="1232"/>
      <c r="J652" s="1232"/>
      <c r="K652" s="1232"/>
      <c r="L652" s="1232"/>
      <c r="M652" s="1232"/>
      <c r="N652" s="1232"/>
      <c r="O652" s="1232"/>
      <c r="P652" s="1232"/>
      <c r="Q652" s="1232"/>
      <c r="R652" s="1232"/>
      <c r="T652" s="20"/>
      <c r="U652" t="s">
        <v>1110</v>
      </c>
      <c r="Z652" s="1232" t="s">
        <v>875</v>
      </c>
      <c r="AA652" s="1232"/>
      <c r="AB652" s="1232"/>
      <c r="AC652" s="1232"/>
      <c r="AD652" s="1232"/>
      <c r="AE652" s="1232"/>
      <c r="AF652" s="1232"/>
      <c r="AG652" s="1232"/>
      <c r="AH652" s="1232"/>
      <c r="AI652" s="1232"/>
      <c r="AJ652" s="1232"/>
      <c r="AK652" s="1232"/>
      <c r="AZ652" s="3"/>
      <c r="BA652" s="3"/>
      <c r="BB652" s="3"/>
      <c r="BC652" s="3"/>
      <c r="BD652" s="3"/>
      <c r="BE652" s="3"/>
      <c r="BF652" s="3"/>
      <c r="BG652" s="3"/>
      <c r="BH652" s="3"/>
      <c r="BI652" s="3"/>
      <c r="BJ652" s="3"/>
      <c r="BK652" s="3"/>
      <c r="BL652" s="3"/>
      <c r="BM652" s="3"/>
      <c r="BN652" s="2457">
        <f t="shared" si="31"/>
        <v>0</v>
      </c>
      <c r="BO652" s="2458"/>
      <c r="BP652" s="2458"/>
      <c r="BQ652" s="2458"/>
      <c r="BR652" s="2459"/>
      <c r="BS652" s="2460">
        <f t="shared" si="32"/>
        <v>0</v>
      </c>
      <c r="BT652" s="2460"/>
      <c r="BU652" s="2460"/>
      <c r="BV652" s="2460"/>
      <c r="BW652" s="2460"/>
      <c r="BX652" s="2460">
        <f t="shared" si="33"/>
        <v>0</v>
      </c>
      <c r="BY652" s="2460"/>
      <c r="BZ652" s="2460"/>
      <c r="CA652" s="2460"/>
      <c r="CB652" s="2460"/>
      <c r="CC652" s="2460">
        <f t="shared" si="34"/>
        <v>0</v>
      </c>
      <c r="CD652" s="2460"/>
      <c r="CE652" s="2460"/>
      <c r="CF652" s="2460"/>
      <c r="CG652" s="2460"/>
      <c r="CH652" s="2460">
        <f t="shared" si="35"/>
        <v>0</v>
      </c>
      <c r="CI652" s="2460"/>
      <c r="CJ652" s="2460"/>
      <c r="CK652" s="2460"/>
      <c r="CL652" s="2460"/>
      <c r="CM652" s="2460">
        <f t="shared" si="36"/>
        <v>0</v>
      </c>
      <c r="CN652" s="2460"/>
      <c r="CO652" s="2460"/>
      <c r="CP652" s="2460"/>
      <c r="CQ652" s="2460"/>
      <c r="CR652" s="279"/>
      <c r="CS652" s="2457">
        <f t="shared" si="37"/>
        <v>0</v>
      </c>
      <c r="CT652" s="2458"/>
      <c r="CU652" s="2458"/>
      <c r="CV652" s="2458"/>
      <c r="CW652" s="2459"/>
      <c r="CX652" s="2457">
        <f t="shared" si="38"/>
        <v>0</v>
      </c>
      <c r="CY652" s="2458"/>
      <c r="CZ652" s="2458"/>
      <c r="DA652" s="2458"/>
      <c r="DB652" s="2459"/>
      <c r="DC652" s="2457">
        <f t="shared" si="39"/>
        <v>0</v>
      </c>
      <c r="DD652" s="2458"/>
      <c r="DE652" s="2458"/>
      <c r="DF652" s="2458"/>
      <c r="DG652" s="2459"/>
      <c r="DH652" s="2457">
        <f t="shared" si="40"/>
        <v>0</v>
      </c>
      <c r="DI652" s="2458"/>
      <c r="DJ652" s="2458"/>
      <c r="DK652" s="2458"/>
      <c r="DL652" s="2459"/>
      <c r="DM652" s="2457">
        <f t="shared" si="41"/>
        <v>0</v>
      </c>
      <c r="DN652" s="2458"/>
      <c r="DO652" s="2458"/>
      <c r="DP652" s="2458"/>
      <c r="DQ652" s="2459"/>
      <c r="DR652" s="2457">
        <f t="shared" si="42"/>
        <v>0</v>
      </c>
      <c r="DS652" s="2458"/>
      <c r="DT652" s="2458"/>
      <c r="DU652" s="2458"/>
      <c r="DV652" s="2459"/>
      <c r="DX652" s="1233" t="e">
        <f t="shared" si="30"/>
        <v>#VALUE!</v>
      </c>
      <c r="DY652" s="1233"/>
      <c r="DZ652" s="1233"/>
      <c r="EA652" s="1233"/>
      <c r="EB652" s="1233"/>
      <c r="EC652" s="1233" t="e">
        <f t="shared" si="25"/>
        <v>#VALUE!</v>
      </c>
      <c r="ED652" s="1233"/>
      <c r="EE652" s="1233"/>
      <c r="EF652" s="1233"/>
      <c r="EG652" s="1233"/>
      <c r="EH652" s="1233" t="e">
        <f t="shared" si="26"/>
        <v>#VALUE!</v>
      </c>
      <c r="EI652" s="1233"/>
      <c r="EJ652" s="1233"/>
      <c r="EK652" s="1233"/>
      <c r="EL652" s="1233"/>
      <c r="EM652" s="1233" t="e">
        <f t="shared" si="27"/>
        <v>#VALUE!</v>
      </c>
      <c r="EN652" s="1233"/>
      <c r="EO652" s="1233"/>
      <c r="EP652" s="1233"/>
      <c r="EQ652" s="1233"/>
      <c r="ER652" s="1233" t="e">
        <f t="shared" si="28"/>
        <v>#VALUE!</v>
      </c>
      <c r="ES652" s="1233"/>
      <c r="ET652" s="1233"/>
      <c r="EU652" s="1233"/>
      <c r="EV652" s="1233"/>
      <c r="EW652" s="1233" t="e">
        <f t="shared" si="29"/>
        <v>#VALUE!</v>
      </c>
      <c r="EX652" s="1233"/>
      <c r="EY652" s="1233"/>
      <c r="EZ652" s="1233"/>
      <c r="FA652" s="1233"/>
    </row>
    <row r="653" spans="1:157" ht="12.95" customHeight="1">
      <c r="A653" s="20"/>
      <c r="B653" t="s">
        <v>981</v>
      </c>
      <c r="G653" s="1292" t="s">
        <v>1490</v>
      </c>
      <c r="H653" s="1292"/>
      <c r="I653" s="1292"/>
      <c r="J653" s="1292"/>
      <c r="K653" s="1292"/>
      <c r="L653" s="1292"/>
      <c r="M653" s="1292"/>
      <c r="N653" s="1292"/>
      <c r="O653" s="1292"/>
      <c r="P653" s="1292"/>
      <c r="Q653" s="1292"/>
      <c r="R653" s="1292"/>
      <c r="T653" s="20"/>
      <c r="U653" t="s">
        <v>981</v>
      </c>
      <c r="Z653" s="1292" t="s">
        <v>1489</v>
      </c>
      <c r="AA653" s="1292"/>
      <c r="AB653" s="1292"/>
      <c r="AC653" s="1292"/>
      <c r="AD653" s="1292"/>
      <c r="AE653" s="1292"/>
      <c r="AF653" s="1292"/>
      <c r="AG653" s="1292"/>
      <c r="AH653" s="1292"/>
      <c r="AI653" s="1292"/>
      <c r="AJ653" s="1292"/>
      <c r="AK653" s="1292"/>
      <c r="AZ653" s="3"/>
      <c r="BA653" s="3"/>
      <c r="BB653" s="3"/>
      <c r="BC653" s="3"/>
      <c r="BD653" s="3"/>
      <c r="BE653" s="3"/>
      <c r="BF653" s="3"/>
      <c r="BG653" s="3"/>
      <c r="BH653" s="3"/>
      <c r="BI653" s="3"/>
      <c r="BJ653" s="3"/>
      <c r="BK653" s="3"/>
      <c r="BL653" s="3"/>
      <c r="BM653" s="3"/>
      <c r="BN653" s="2457">
        <f t="shared" si="31"/>
        <v>0</v>
      </c>
      <c r="BO653" s="2458"/>
      <c r="BP653" s="2458"/>
      <c r="BQ653" s="2458"/>
      <c r="BR653" s="2459"/>
      <c r="BS653" s="2460">
        <f t="shared" si="32"/>
        <v>0</v>
      </c>
      <c r="BT653" s="2460"/>
      <c r="BU653" s="2460"/>
      <c r="BV653" s="2460"/>
      <c r="BW653" s="2460"/>
      <c r="BX653" s="2460">
        <f t="shared" si="33"/>
        <v>0</v>
      </c>
      <c r="BY653" s="2460"/>
      <c r="BZ653" s="2460"/>
      <c r="CA653" s="2460"/>
      <c r="CB653" s="2460"/>
      <c r="CC653" s="2460">
        <f t="shared" si="34"/>
        <v>0</v>
      </c>
      <c r="CD653" s="2460"/>
      <c r="CE653" s="2460"/>
      <c r="CF653" s="2460"/>
      <c r="CG653" s="2460"/>
      <c r="CH653" s="2460">
        <f t="shared" si="35"/>
        <v>0</v>
      </c>
      <c r="CI653" s="2460"/>
      <c r="CJ653" s="2460"/>
      <c r="CK653" s="2460"/>
      <c r="CL653" s="2460"/>
      <c r="CM653" s="2460">
        <f t="shared" si="36"/>
        <v>0</v>
      </c>
      <c r="CN653" s="2460"/>
      <c r="CO653" s="2460"/>
      <c r="CP653" s="2460"/>
      <c r="CQ653" s="2460"/>
      <c r="CR653" s="279"/>
      <c r="CS653" s="2457">
        <f t="shared" si="37"/>
        <v>0</v>
      </c>
      <c r="CT653" s="2458"/>
      <c r="CU653" s="2458"/>
      <c r="CV653" s="2458"/>
      <c r="CW653" s="2459"/>
      <c r="CX653" s="2457">
        <f t="shared" si="38"/>
        <v>0</v>
      </c>
      <c r="CY653" s="2458"/>
      <c r="CZ653" s="2458"/>
      <c r="DA653" s="2458"/>
      <c r="DB653" s="2459"/>
      <c r="DC653" s="2457">
        <f t="shared" si="39"/>
        <v>0</v>
      </c>
      <c r="DD653" s="2458"/>
      <c r="DE653" s="2458"/>
      <c r="DF653" s="2458"/>
      <c r="DG653" s="2459"/>
      <c r="DH653" s="2457">
        <f t="shared" si="40"/>
        <v>0</v>
      </c>
      <c r="DI653" s="2458"/>
      <c r="DJ653" s="2458"/>
      <c r="DK653" s="2458"/>
      <c r="DL653" s="2459"/>
      <c r="DM653" s="2457">
        <f t="shared" si="41"/>
        <v>0</v>
      </c>
      <c r="DN653" s="2458"/>
      <c r="DO653" s="2458"/>
      <c r="DP653" s="2458"/>
      <c r="DQ653" s="2459"/>
      <c r="DR653" s="2457">
        <f t="shared" si="42"/>
        <v>0</v>
      </c>
      <c r="DS653" s="2458"/>
      <c r="DT653" s="2458"/>
      <c r="DU653" s="2458"/>
      <c r="DV653" s="2459"/>
      <c r="DX653" s="1233" t="e">
        <f t="shared" si="30"/>
        <v>#VALUE!</v>
      </c>
      <c r="DY653" s="1233"/>
      <c r="DZ653" s="1233"/>
      <c r="EA653" s="1233"/>
      <c r="EB653" s="1233"/>
      <c r="EC653" s="1233" t="e">
        <f t="shared" si="25"/>
        <v>#VALUE!</v>
      </c>
      <c r="ED653" s="1233"/>
      <c r="EE653" s="1233"/>
      <c r="EF653" s="1233"/>
      <c r="EG653" s="1233"/>
      <c r="EH653" s="1233" t="e">
        <f t="shared" si="26"/>
        <v>#VALUE!</v>
      </c>
      <c r="EI653" s="1233"/>
      <c r="EJ653" s="1233"/>
      <c r="EK653" s="1233"/>
      <c r="EL653" s="1233"/>
      <c r="EM653" s="1233" t="e">
        <f t="shared" si="27"/>
        <v>#VALUE!</v>
      </c>
      <c r="EN653" s="1233"/>
      <c r="EO653" s="1233"/>
      <c r="EP653" s="1233"/>
      <c r="EQ653" s="1233"/>
      <c r="ER653" s="1233" t="e">
        <f t="shared" si="28"/>
        <v>#VALUE!</v>
      </c>
      <c r="ES653" s="1233"/>
      <c r="ET653" s="1233"/>
      <c r="EU653" s="1233"/>
      <c r="EV653" s="1233"/>
      <c r="EW653" s="1233" t="e">
        <f t="shared" si="29"/>
        <v>#VALUE!</v>
      </c>
      <c r="EX653" s="1233"/>
      <c r="EY653" s="1233"/>
      <c r="EZ653" s="1233"/>
      <c r="FA653" s="1233"/>
    </row>
    <row r="654" spans="1:157" ht="12.95" customHeight="1">
      <c r="A654" s="20"/>
      <c r="B654" t="s">
        <v>1481</v>
      </c>
      <c r="G654" s="1292" t="s">
        <v>1492</v>
      </c>
      <c r="H654" s="1292"/>
      <c r="I654" s="1292"/>
      <c r="J654" s="1292"/>
      <c r="K654" s="1292"/>
      <c r="L654" s="1292"/>
      <c r="M654" s="1292"/>
      <c r="N654" s="1292"/>
      <c r="O654" s="1292"/>
      <c r="P654" s="1292"/>
      <c r="Q654" s="1292"/>
      <c r="R654" s="1292"/>
      <c r="T654" s="20"/>
      <c r="U654" t="s">
        <v>1481</v>
      </c>
      <c r="Z654" s="1292" t="s">
        <v>1491</v>
      </c>
      <c r="AA654" s="1292"/>
      <c r="AB654" s="1292"/>
      <c r="AC654" s="1292"/>
      <c r="AD654" s="1292"/>
      <c r="AE654" s="1292"/>
      <c r="AF654" s="1292"/>
      <c r="AG654" s="1292"/>
      <c r="AH654" s="1292"/>
      <c r="AI654" s="1292"/>
      <c r="AJ654" s="1292"/>
      <c r="AK654" s="1292"/>
      <c r="AZ654" s="3"/>
      <c r="BA654" s="3"/>
      <c r="BB654" s="3"/>
      <c r="BC654" s="3"/>
      <c r="BD654" s="3"/>
      <c r="BE654" s="3"/>
      <c r="BF654" s="3"/>
      <c r="BG654" s="3"/>
      <c r="BH654" s="3"/>
      <c r="BI654" s="3"/>
      <c r="BJ654" s="3"/>
      <c r="BK654" s="3"/>
      <c r="BL654" s="3"/>
      <c r="BM654" s="3"/>
      <c r="BN654" s="2457">
        <f t="shared" si="31"/>
        <v>0</v>
      </c>
      <c r="BO654" s="2458"/>
      <c r="BP654" s="2458"/>
      <c r="BQ654" s="2458"/>
      <c r="BR654" s="2459"/>
      <c r="BS654" s="2460">
        <f t="shared" si="32"/>
        <v>0</v>
      </c>
      <c r="BT654" s="2460"/>
      <c r="BU654" s="2460"/>
      <c r="BV654" s="2460"/>
      <c r="BW654" s="2460"/>
      <c r="BX654" s="2460">
        <f t="shared" si="33"/>
        <v>0</v>
      </c>
      <c r="BY654" s="2460"/>
      <c r="BZ654" s="2460"/>
      <c r="CA654" s="2460"/>
      <c r="CB654" s="2460"/>
      <c r="CC654" s="2460">
        <f t="shared" si="34"/>
        <v>0</v>
      </c>
      <c r="CD654" s="2460"/>
      <c r="CE654" s="2460"/>
      <c r="CF654" s="2460"/>
      <c r="CG654" s="2460"/>
      <c r="CH654" s="2460">
        <f t="shared" si="35"/>
        <v>0</v>
      </c>
      <c r="CI654" s="2460"/>
      <c r="CJ654" s="2460"/>
      <c r="CK654" s="2460"/>
      <c r="CL654" s="2460"/>
      <c r="CM654" s="2460">
        <f t="shared" si="36"/>
        <v>0</v>
      </c>
      <c r="CN654" s="2460"/>
      <c r="CO654" s="2460"/>
      <c r="CP654" s="2460"/>
      <c r="CQ654" s="2460"/>
      <c r="CR654" s="279"/>
      <c r="CS654" s="2457">
        <f t="shared" si="37"/>
        <v>0</v>
      </c>
      <c r="CT654" s="2458"/>
      <c r="CU654" s="2458"/>
      <c r="CV654" s="2458"/>
      <c r="CW654" s="2459"/>
      <c r="CX654" s="2457">
        <f t="shared" si="38"/>
        <v>0</v>
      </c>
      <c r="CY654" s="2458"/>
      <c r="CZ654" s="2458"/>
      <c r="DA654" s="2458"/>
      <c r="DB654" s="2459"/>
      <c r="DC654" s="2457">
        <f t="shared" si="39"/>
        <v>0</v>
      </c>
      <c r="DD654" s="2458"/>
      <c r="DE654" s="2458"/>
      <c r="DF654" s="2458"/>
      <c r="DG654" s="2459"/>
      <c r="DH654" s="2457">
        <f t="shared" si="40"/>
        <v>0</v>
      </c>
      <c r="DI654" s="2458"/>
      <c r="DJ654" s="2458"/>
      <c r="DK654" s="2458"/>
      <c r="DL654" s="2459"/>
      <c r="DM654" s="2457">
        <f t="shared" si="41"/>
        <v>0</v>
      </c>
      <c r="DN654" s="2458"/>
      <c r="DO654" s="2458"/>
      <c r="DP654" s="2458"/>
      <c r="DQ654" s="2459"/>
      <c r="DR654" s="2457">
        <f t="shared" si="42"/>
        <v>0</v>
      </c>
      <c r="DS654" s="2458"/>
      <c r="DT654" s="2458"/>
      <c r="DU654" s="2458"/>
      <c r="DV654" s="2459"/>
      <c r="DX654" s="1233" t="e">
        <f t="shared" si="30"/>
        <v>#VALUE!</v>
      </c>
      <c r="DY654" s="1233"/>
      <c r="DZ654" s="1233"/>
      <c r="EA654" s="1233"/>
      <c r="EB654" s="1233"/>
      <c r="EC654" s="1233" t="e">
        <f t="shared" si="25"/>
        <v>#VALUE!</v>
      </c>
      <c r="ED654" s="1233"/>
      <c r="EE654" s="1233"/>
      <c r="EF654" s="1233"/>
      <c r="EG654" s="1233"/>
      <c r="EH654" s="1233" t="e">
        <f t="shared" si="26"/>
        <v>#VALUE!</v>
      </c>
      <c r="EI654" s="1233"/>
      <c r="EJ654" s="1233"/>
      <c r="EK654" s="1233"/>
      <c r="EL654" s="1233"/>
      <c r="EM654" s="1233" t="e">
        <f t="shared" si="27"/>
        <v>#VALUE!</v>
      </c>
      <c r="EN654" s="1233"/>
      <c r="EO654" s="1233"/>
      <c r="EP654" s="1233"/>
      <c r="EQ654" s="1233"/>
      <c r="ER654" s="1233" t="e">
        <f t="shared" si="28"/>
        <v>#VALUE!</v>
      </c>
      <c r="ES654" s="1233"/>
      <c r="ET654" s="1233"/>
      <c r="EU654" s="1233"/>
      <c r="EV654" s="1233"/>
      <c r="EW654" s="1233" t="e">
        <f t="shared" si="29"/>
        <v>#VALUE!</v>
      </c>
      <c r="EX654" s="1233"/>
      <c r="EY654" s="1233"/>
      <c r="EZ654" s="1233"/>
      <c r="FA654" s="1233"/>
    </row>
    <row r="655" spans="1:157" ht="12.95" customHeight="1">
      <c r="A655" s="20"/>
      <c r="B655" t="s">
        <v>883</v>
      </c>
      <c r="G655" s="1348" t="s">
        <v>1494</v>
      </c>
      <c r="H655" s="1348"/>
      <c r="I655" s="1348"/>
      <c r="J655" s="1348"/>
      <c r="K655" s="1348"/>
      <c r="L655" s="1348"/>
      <c r="O655" s="949" t="s">
        <v>1119</v>
      </c>
      <c r="P655" s="1309"/>
      <c r="Q655" s="1309"/>
      <c r="R655" s="1309"/>
      <c r="T655" s="20"/>
      <c r="U655" t="s">
        <v>883</v>
      </c>
      <c r="Z655" s="1348"/>
      <c r="AA655" s="1348"/>
      <c r="AB655" s="1348"/>
      <c r="AC655" s="1348"/>
      <c r="AD655" s="1348"/>
      <c r="AE655" s="1348"/>
      <c r="AH655" s="949" t="s">
        <v>1119</v>
      </c>
      <c r="AI655" s="1309"/>
      <c r="AJ655" s="1309"/>
      <c r="AK655" s="1309"/>
      <c r="AZ655" s="3"/>
      <c r="BA655" s="3"/>
      <c r="BB655" s="3"/>
      <c r="BC655" s="3"/>
      <c r="BD655" s="3"/>
      <c r="BE655" s="3"/>
      <c r="BF655" s="3"/>
      <c r="BG655" s="3"/>
      <c r="BH655" s="3"/>
      <c r="BI655" s="3"/>
      <c r="BJ655" s="3"/>
      <c r="BK655" s="3"/>
      <c r="BL655" s="3"/>
      <c r="BM655" s="3"/>
      <c r="BN655" s="1235">
        <f>SUM(BN645:BR654)</f>
        <v>0</v>
      </c>
      <c r="BO655" s="1236"/>
      <c r="BP655" s="1236"/>
      <c r="BQ655" s="1236"/>
      <c r="BR655" s="1237"/>
      <c r="BS655" s="1235">
        <f>SUM(BS645:BW654)</f>
        <v>0</v>
      </c>
      <c r="BT655" s="1236"/>
      <c r="BU655" s="1236"/>
      <c r="BV655" s="1236"/>
      <c r="BW655" s="1237"/>
      <c r="BX655" s="1235">
        <f>SUM(BX645:CB654)</f>
        <v>0</v>
      </c>
      <c r="BY655" s="1236"/>
      <c r="BZ655" s="1236"/>
      <c r="CA655" s="1236"/>
      <c r="CB655" s="1237"/>
      <c r="CC655" s="1235">
        <f>SUM(CC645:CG654)</f>
        <v>0</v>
      </c>
      <c r="CD655" s="1236"/>
      <c r="CE655" s="1236"/>
      <c r="CF655" s="1236"/>
      <c r="CG655" s="1237"/>
      <c r="CH655" s="1235">
        <f>SUM(CH645:CL654)</f>
        <v>0</v>
      </c>
      <c r="CI655" s="1236"/>
      <c r="CJ655" s="1236"/>
      <c r="CK655" s="1236"/>
      <c r="CL655" s="1237"/>
      <c r="CM655" s="1235">
        <f>SUM(CM645:CQ654)</f>
        <v>0</v>
      </c>
      <c r="CN655" s="1236"/>
      <c r="CO655" s="1236"/>
      <c r="CP655" s="1236"/>
      <c r="CQ655" s="1237"/>
      <c r="CR655" s="279"/>
      <c r="CS655" s="1241">
        <f>SUM(CS645:CW654)</f>
        <v>0</v>
      </c>
      <c r="CT655" s="1241"/>
      <c r="CU655" s="1241"/>
      <c r="CV655" s="1241"/>
      <c r="CW655" s="1241"/>
      <c r="CX655" s="1241">
        <f>SUM(CX645:DB654)</f>
        <v>0</v>
      </c>
      <c r="CY655" s="1241"/>
      <c r="CZ655" s="1241"/>
      <c r="DA655" s="1241"/>
      <c r="DB655" s="1241"/>
      <c r="DC655" s="1241">
        <f>SUM(DC645:DG654)</f>
        <v>0</v>
      </c>
      <c r="DD655" s="1241"/>
      <c r="DE655" s="1241"/>
      <c r="DF655" s="1241"/>
      <c r="DG655" s="1241"/>
      <c r="DH655" s="1241">
        <f>SUM(DH645:DL654)</f>
        <v>0</v>
      </c>
      <c r="DI655" s="1241"/>
      <c r="DJ655" s="1241"/>
      <c r="DK655" s="1241"/>
      <c r="DL655" s="1241"/>
      <c r="DM655" s="1241">
        <f>SUM(DM645:DQ654)</f>
        <v>0</v>
      </c>
      <c r="DN655" s="1241"/>
      <c r="DO655" s="1241"/>
      <c r="DP655" s="1241"/>
      <c r="DQ655" s="1241"/>
      <c r="DR655" s="1241">
        <f>SUM(DR645:DV654)</f>
        <v>0</v>
      </c>
      <c r="DS655" s="1241"/>
      <c r="DT655" s="1241"/>
      <c r="DU655" s="1241"/>
      <c r="DV655" s="1241"/>
      <c r="DX655" s="1233" t="e">
        <f t="shared" si="30"/>
        <v>#VALUE!</v>
      </c>
      <c r="DY655" s="1233"/>
      <c r="DZ655" s="1233"/>
      <c r="EA655" s="1233"/>
      <c r="EB655" s="1233"/>
      <c r="EC655" s="1233" t="e">
        <f t="shared" si="25"/>
        <v>#VALUE!</v>
      </c>
      <c r="ED655" s="1233"/>
      <c r="EE655" s="1233"/>
      <c r="EF655" s="1233"/>
      <c r="EG655" s="1233"/>
      <c r="EH655" s="1233" t="e">
        <f t="shared" si="26"/>
        <v>#VALUE!</v>
      </c>
      <c r="EI655" s="1233"/>
      <c r="EJ655" s="1233"/>
      <c r="EK655" s="1233"/>
      <c r="EL655" s="1233"/>
      <c r="EM655" s="1233" t="e">
        <f t="shared" si="27"/>
        <v>#VALUE!</v>
      </c>
      <c r="EN655" s="1233"/>
      <c r="EO655" s="1233"/>
      <c r="EP655" s="1233"/>
      <c r="EQ655" s="1233"/>
      <c r="ER655" s="1233" t="e">
        <f t="shared" si="28"/>
        <v>#VALUE!</v>
      </c>
      <c r="ES655" s="1233"/>
      <c r="ET655" s="1233"/>
      <c r="EU655" s="1233"/>
      <c r="EV655" s="1233"/>
      <c r="EW655" s="1233" t="e">
        <f t="shared" si="29"/>
        <v>#VALUE!</v>
      </c>
      <c r="EX655" s="1233"/>
      <c r="EY655" s="1233"/>
      <c r="EZ655" s="1233"/>
      <c r="FA655" s="1233"/>
    </row>
    <row r="656" spans="1:157" ht="12.95" customHeight="1">
      <c r="A656" s="20"/>
      <c r="B656" t="s">
        <v>1483</v>
      </c>
      <c r="H656" s="1232" t="s">
        <v>1495</v>
      </c>
      <c r="I656" s="1232"/>
      <c r="J656" s="1232"/>
      <c r="K656" s="1232"/>
      <c r="L656" s="1232"/>
      <c r="M656" s="1232"/>
      <c r="N656" s="1232"/>
      <c r="O656" s="1232"/>
      <c r="P656" s="1232"/>
      <c r="Q656" s="1232"/>
      <c r="R656" s="1232"/>
      <c r="T656" s="20"/>
      <c r="U656" t="s">
        <v>1483</v>
      </c>
      <c r="AA656" s="1232" t="s">
        <v>1495</v>
      </c>
      <c r="AB656" s="1232"/>
      <c r="AC656" s="1232"/>
      <c r="AD656" s="1232"/>
      <c r="AE656" s="1232"/>
      <c r="AF656" s="1232"/>
      <c r="AG656" s="1232"/>
      <c r="AH656" s="1232"/>
      <c r="AI656" s="1232"/>
      <c r="AJ656" s="1232"/>
      <c r="AK656" s="1232"/>
      <c r="AZ656" s="3"/>
      <c r="BA656" s="3"/>
      <c r="BB656" s="3"/>
      <c r="BC656" s="3"/>
      <c r="BD656" s="3"/>
      <c r="BE656" s="3"/>
      <c r="BF656" s="3"/>
      <c r="BG656" s="3"/>
      <c r="BH656" s="3"/>
      <c r="BI656" s="3"/>
      <c r="BJ656" s="3"/>
      <c r="BK656" s="3"/>
      <c r="BL656" s="3"/>
      <c r="BM656" s="3"/>
      <c r="BR656" s="785">
        <f>BN655*1</f>
        <v>0</v>
      </c>
      <c r="BS656" s="3"/>
      <c r="BT656" s="3"/>
      <c r="BU656" s="3"/>
      <c r="BV656" s="3"/>
      <c r="BW656" s="785">
        <f>BS655*1</f>
        <v>0</v>
      </c>
      <c r="BX656" s="3"/>
      <c r="BY656" s="3"/>
      <c r="BZ656" s="3"/>
      <c r="CA656" s="3"/>
      <c r="CB656" s="785">
        <f>BX655*2</f>
        <v>0</v>
      </c>
      <c r="CC656" s="3"/>
      <c r="CD656" s="3"/>
      <c r="CE656" s="3"/>
      <c r="CF656" s="3"/>
      <c r="CG656" s="785">
        <f>CC655*3</f>
        <v>0</v>
      </c>
      <c r="CH656" s="3"/>
      <c r="CI656" s="3"/>
      <c r="CJ656" s="3"/>
      <c r="CK656" s="3"/>
      <c r="CL656" s="785">
        <f>CH655*4</f>
        <v>0</v>
      </c>
      <c r="CM656" s="3"/>
      <c r="CN656" s="3"/>
      <c r="CO656" s="3"/>
      <c r="CP656" s="3"/>
      <c r="CQ656" s="78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233" t="e">
        <f t="shared" si="30"/>
        <v>#VALUE!</v>
      </c>
      <c r="DY656" s="1233"/>
      <c r="DZ656" s="1233"/>
      <c r="EA656" s="1233"/>
      <c r="EB656" s="1233"/>
      <c r="EC656" s="1233" t="e">
        <f t="shared" si="25"/>
        <v>#VALUE!</v>
      </c>
      <c r="ED656" s="1233"/>
      <c r="EE656" s="1233"/>
      <c r="EF656" s="1233"/>
      <c r="EG656" s="1233"/>
      <c r="EH656" s="1233" t="e">
        <f t="shared" si="26"/>
        <v>#VALUE!</v>
      </c>
      <c r="EI656" s="1233"/>
      <c r="EJ656" s="1233"/>
      <c r="EK656" s="1233"/>
      <c r="EL656" s="1233"/>
      <c r="EM656" s="1233" t="e">
        <f t="shared" si="27"/>
        <v>#VALUE!</v>
      </c>
      <c r="EN656" s="1233"/>
      <c r="EO656" s="1233"/>
      <c r="EP656" s="1233"/>
      <c r="EQ656" s="1233"/>
      <c r="ER656" s="1233" t="e">
        <f t="shared" si="28"/>
        <v>#VALUE!</v>
      </c>
      <c r="ES656" s="1233"/>
      <c r="ET656" s="1233"/>
      <c r="EU656" s="1233"/>
      <c r="EV656" s="1233"/>
      <c r="EW656" s="1233" t="e">
        <f t="shared" si="29"/>
        <v>#VALUE!</v>
      </c>
      <c r="EX656" s="1233"/>
      <c r="EY656" s="1233"/>
      <c r="EZ656" s="1233"/>
      <c r="FA656" s="1233"/>
    </row>
    <row r="657" spans="1:157" ht="12.95" customHeight="1">
      <c r="A657" s="20"/>
      <c r="B657" t="s">
        <v>1487</v>
      </c>
      <c r="N657" s="1234" t="s">
        <v>837</v>
      </c>
      <c r="O657" s="1234"/>
      <c r="T657" s="20"/>
      <c r="U657" t="s">
        <v>1487</v>
      </c>
      <c r="AG657" s="1234" t="s">
        <v>894</v>
      </c>
      <c r="AH657" s="1234"/>
      <c r="AZ657" s="3"/>
      <c r="BA657" s="3"/>
      <c r="BB657" s="3"/>
      <c r="BC657" s="3"/>
      <c r="BD657" s="3"/>
      <c r="BE657" s="3"/>
      <c r="BF657" s="3"/>
      <c r="BG657" s="3"/>
      <c r="BH657" s="3"/>
      <c r="BI657" s="3"/>
      <c r="BJ657" s="3"/>
      <c r="BK657" s="3"/>
      <c r="BL657" s="3"/>
      <c r="BM657" s="3"/>
      <c r="CR657" s="3"/>
      <c r="CS657" s="785">
        <f>BN655+BS655+BX655+CC655+CH655+CM655</f>
        <v>0</v>
      </c>
      <c r="CT657" s="50" t="s">
        <v>1528</v>
      </c>
      <c r="CU657" s="3"/>
      <c r="CV657" s="3"/>
      <c r="CW657" s="3"/>
      <c r="CX657" s="3"/>
      <c r="CY657" s="3"/>
      <c r="CZ657" s="3"/>
      <c r="DA657" s="3"/>
      <c r="DB657" s="3"/>
      <c r="DC657" s="3"/>
      <c r="DD657" s="3"/>
      <c r="DE657" s="3"/>
      <c r="DF657" s="3"/>
      <c r="DQ657" s="49" t="s">
        <v>1529</v>
      </c>
      <c r="DR657" s="1233">
        <f>SUM(CS655:DV655)</f>
        <v>0</v>
      </c>
      <c r="DS657" s="1233"/>
      <c r="DT657" s="1233"/>
      <c r="DU657" s="1233"/>
      <c r="DV657" s="1233"/>
      <c r="DX657" s="1233" t="e">
        <f t="shared" si="30"/>
        <v>#VALUE!</v>
      </c>
      <c r="DY657" s="1233"/>
      <c r="DZ657" s="1233"/>
      <c r="EA657" s="1233"/>
      <c r="EB657" s="1233"/>
      <c r="EC657" s="1233" t="e">
        <f t="shared" si="25"/>
        <v>#VALUE!</v>
      </c>
      <c r="ED657" s="1233"/>
      <c r="EE657" s="1233"/>
      <c r="EF657" s="1233"/>
      <c r="EG657" s="1233"/>
      <c r="EH657" s="1233" t="e">
        <f t="shared" si="26"/>
        <v>#VALUE!</v>
      </c>
      <c r="EI657" s="1233"/>
      <c r="EJ657" s="1233"/>
      <c r="EK657" s="1233"/>
      <c r="EL657" s="1233"/>
      <c r="EM657" s="1233" t="e">
        <f t="shared" si="27"/>
        <v>#VALUE!</v>
      </c>
      <c r="EN657" s="1233"/>
      <c r="EO657" s="1233"/>
      <c r="EP657" s="1233"/>
      <c r="EQ657" s="1233"/>
      <c r="ER657" s="1233" t="e">
        <f t="shared" si="28"/>
        <v>#VALUE!</v>
      </c>
      <c r="ES657" s="1233"/>
      <c r="ET657" s="1233"/>
      <c r="EU657" s="1233"/>
      <c r="EV657" s="1233"/>
      <c r="EW657" s="1233" t="e">
        <f t="shared" si="29"/>
        <v>#VALUE!</v>
      </c>
      <c r="EX657" s="1233"/>
      <c r="EY657" s="1233"/>
      <c r="EZ657" s="1233"/>
      <c r="FA657" s="1233"/>
    </row>
    <row r="658" spans="1:157" ht="12.95" customHeight="1">
      <c r="A658" s="20"/>
      <c r="T658" s="20"/>
      <c r="AZ658" s="3"/>
      <c r="BA658" s="3"/>
      <c r="BB658" s="3"/>
      <c r="BC658" s="3"/>
      <c r="BD658" s="3"/>
      <c r="BE658" s="3"/>
      <c r="BF658" s="3"/>
      <c r="BG658" s="3"/>
      <c r="BH658" s="3"/>
      <c r="BI658" s="3"/>
      <c r="BJ658" s="3"/>
      <c r="BK658" s="3"/>
      <c r="BL658" s="3"/>
      <c r="BM658" s="3"/>
      <c r="CR658" s="3"/>
      <c r="CS658" s="785">
        <f>BR656+BW656+CB656+CG656+CL656+CQ656</f>
        <v>0</v>
      </c>
      <c r="CT658" s="50" t="s">
        <v>1530</v>
      </c>
      <c r="CU658" s="3"/>
      <c r="CV658" s="3"/>
      <c r="CW658" s="3"/>
      <c r="CX658" s="3"/>
      <c r="CY658" s="3"/>
      <c r="CZ658" s="3"/>
      <c r="DA658" s="3"/>
      <c r="DB658" s="3"/>
      <c r="DC658" s="3"/>
      <c r="DD658" s="3"/>
      <c r="DE658" s="3"/>
      <c r="DF658" s="3"/>
      <c r="DX658" s="1233" t="e">
        <f t="shared" ref="DX658:DX667" si="43">DX620*(BN620/$BN$632)</f>
        <v>#VALUE!</v>
      </c>
      <c r="DY658" s="1233"/>
      <c r="DZ658" s="1233"/>
      <c r="EA658" s="1233"/>
      <c r="EB658" s="1233"/>
      <c r="EC658" s="1233" t="e">
        <f t="shared" ref="EC658:EC667" si="44">EC620*(BS620/$BS$632)</f>
        <v>#VALUE!</v>
      </c>
      <c r="ED658" s="1233"/>
      <c r="EE658" s="1233"/>
      <c r="EF658" s="1233"/>
      <c r="EG658" s="1233"/>
      <c r="EH658" s="1233" t="e">
        <f t="shared" ref="EH658:EH667" si="45">EH620*(BX620/$BX$632)</f>
        <v>#VALUE!</v>
      </c>
      <c r="EI658" s="1233"/>
      <c r="EJ658" s="1233"/>
      <c r="EK658" s="1233"/>
      <c r="EL658" s="1233"/>
      <c r="EM658" s="1233" t="e">
        <f t="shared" ref="EM658:EM667" si="46">EM620*(CC620/$CC$632)</f>
        <v>#VALUE!</v>
      </c>
      <c r="EN658" s="1233"/>
      <c r="EO658" s="1233"/>
      <c r="EP658" s="1233"/>
      <c r="EQ658" s="1233"/>
      <c r="ER658" s="1233" t="e">
        <f t="shared" ref="ER658:ER667" si="47">ER620*(CH620/$CH$632)</f>
        <v>#VALUE!</v>
      </c>
      <c r="ES658" s="1233"/>
      <c r="ET658" s="1233"/>
      <c r="EU658" s="1233"/>
      <c r="EV658" s="1233"/>
      <c r="EW658" s="1233" t="e">
        <f t="shared" ref="EW658:EW667" si="48">EW620*(CM620/$CM$632)</f>
        <v>#VALUE!</v>
      </c>
      <c r="EX658" s="1233"/>
      <c r="EY658" s="1233"/>
      <c r="EZ658" s="1233"/>
      <c r="FA658" s="1233"/>
    </row>
    <row r="659" spans="1:157" ht="12.95" customHeight="1">
      <c r="A659" s="48" t="s">
        <v>85</v>
      </c>
      <c r="B659" t="s">
        <v>1478</v>
      </c>
      <c r="G659" s="1290" t="str">
        <f>C631</f>
        <v>County of San Diego ARPA</v>
      </c>
      <c r="H659" s="1290"/>
      <c r="I659" s="1290"/>
      <c r="J659" s="1290"/>
      <c r="K659" s="1290"/>
      <c r="L659" s="1290"/>
      <c r="M659" s="1290"/>
      <c r="N659" s="1290"/>
      <c r="O659" s="1290"/>
      <c r="P659" s="1290"/>
      <c r="Q659" s="1290"/>
      <c r="R659" s="1290"/>
      <c r="T659" s="48" t="s">
        <v>1467</v>
      </c>
      <c r="U659" t="s">
        <v>1478</v>
      </c>
      <c r="Z659" s="1290">
        <f>C632</f>
        <v>0</v>
      </c>
      <c r="AA659" s="1290"/>
      <c r="AB659" s="1290"/>
      <c r="AC659" s="1290"/>
      <c r="AD659" s="1290"/>
      <c r="AE659" s="1290"/>
      <c r="AF659" s="1290"/>
      <c r="AG659" s="1290"/>
      <c r="AH659" s="1290"/>
      <c r="AI659" s="1290"/>
      <c r="AJ659" s="1290"/>
      <c r="AK659" s="1290"/>
      <c r="AZ659" s="3"/>
      <c r="BA659" s="3"/>
      <c r="BB659" s="3"/>
      <c r="BC659" s="3"/>
      <c r="BD659" s="3"/>
      <c r="BE659" s="3"/>
      <c r="BF659" s="3"/>
      <c r="BG659" s="3"/>
      <c r="BH659" s="3"/>
      <c r="BI659" s="3"/>
      <c r="BJ659" s="3"/>
      <c r="BK659" s="3"/>
      <c r="BL659" s="3"/>
      <c r="BM659" s="3"/>
      <c r="BN659" s="3" t="s">
        <v>1531</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233" t="e">
        <f t="shared" si="43"/>
        <v>#VALUE!</v>
      </c>
      <c r="DY659" s="1233"/>
      <c r="DZ659" s="1233"/>
      <c r="EA659" s="1233"/>
      <c r="EB659" s="1233"/>
      <c r="EC659" s="1233" t="e">
        <f t="shared" si="44"/>
        <v>#VALUE!</v>
      </c>
      <c r="ED659" s="1233"/>
      <c r="EE659" s="1233"/>
      <c r="EF659" s="1233"/>
      <c r="EG659" s="1233"/>
      <c r="EH659" s="1233" t="e">
        <f t="shared" si="45"/>
        <v>#VALUE!</v>
      </c>
      <c r="EI659" s="1233"/>
      <c r="EJ659" s="1233"/>
      <c r="EK659" s="1233"/>
      <c r="EL659" s="1233"/>
      <c r="EM659" s="1233" t="e">
        <f t="shared" si="46"/>
        <v>#VALUE!</v>
      </c>
      <c r="EN659" s="1233"/>
      <c r="EO659" s="1233"/>
      <c r="EP659" s="1233"/>
      <c r="EQ659" s="1233"/>
      <c r="ER659" s="1233" t="e">
        <f t="shared" si="47"/>
        <v>#VALUE!</v>
      </c>
      <c r="ES659" s="1233"/>
      <c r="ET659" s="1233"/>
      <c r="EU659" s="1233"/>
      <c r="EV659" s="1233"/>
      <c r="EW659" s="1233" t="e">
        <f t="shared" si="48"/>
        <v>#VALUE!</v>
      </c>
      <c r="EX659" s="1233"/>
      <c r="EY659" s="1233"/>
      <c r="EZ659" s="1233"/>
      <c r="FA659" s="1233"/>
    </row>
    <row r="660" spans="1:157" ht="12.95" customHeight="1">
      <c r="A660" s="20"/>
      <c r="B660" t="s">
        <v>1110</v>
      </c>
      <c r="G660" s="1232" t="s">
        <v>1488</v>
      </c>
      <c r="H660" s="1232"/>
      <c r="I660" s="1232"/>
      <c r="J660" s="1232"/>
      <c r="K660" s="1232"/>
      <c r="L660" s="1232"/>
      <c r="M660" s="1232"/>
      <c r="N660" s="1232"/>
      <c r="O660" s="1232"/>
      <c r="P660" s="1232"/>
      <c r="Q660" s="1232"/>
      <c r="R660" s="1232"/>
      <c r="T660" s="20"/>
      <c r="U660" t="s">
        <v>1110</v>
      </c>
      <c r="Z660" s="1232"/>
      <c r="AA660" s="1232"/>
      <c r="AB660" s="1232"/>
      <c r="AC660" s="1232"/>
      <c r="AD660" s="1232"/>
      <c r="AE660" s="1232"/>
      <c r="AF660" s="1232"/>
      <c r="AG660" s="1232"/>
      <c r="AH660" s="1232"/>
      <c r="AI660" s="1232"/>
      <c r="AJ660" s="1232"/>
      <c r="AK660" s="1232"/>
      <c r="AZ660" s="3"/>
      <c r="BA660" s="3"/>
      <c r="BB660" s="3"/>
      <c r="BC660" s="3"/>
      <c r="BD660" s="3"/>
      <c r="BE660" s="3"/>
      <c r="BF660" s="3"/>
      <c r="BG660" s="3"/>
      <c r="BH660" s="3"/>
      <c r="BI660" s="3"/>
      <c r="BJ660" s="3"/>
      <c r="BK660" s="3"/>
      <c r="BL660" s="3"/>
      <c r="BM660" s="3"/>
      <c r="BN660" s="1235">
        <f>BN632+BN641+BN655</f>
        <v>0</v>
      </c>
      <c r="BO660" s="1236"/>
      <c r="BP660" s="1236"/>
      <c r="BQ660" s="1236"/>
      <c r="BR660" s="1237"/>
      <c r="BS660" s="1235">
        <f>BS632+BS641+BS655</f>
        <v>12</v>
      </c>
      <c r="BT660" s="1236"/>
      <c r="BU660" s="1236"/>
      <c r="BV660" s="1236"/>
      <c r="BW660" s="1237"/>
      <c r="BX660" s="1235">
        <f>BX632+BX641+BX655</f>
        <v>24</v>
      </c>
      <c r="BY660" s="1236"/>
      <c r="BZ660" s="1236"/>
      <c r="CA660" s="1236"/>
      <c r="CB660" s="1237"/>
      <c r="CC660" s="1235">
        <f>CC632+CC641+CC655</f>
        <v>12</v>
      </c>
      <c r="CD660" s="1236"/>
      <c r="CE660" s="1236"/>
      <c r="CF660" s="1236"/>
      <c r="CG660" s="1237"/>
      <c r="CH660" s="1235">
        <f>CH632+CH641+CH655</f>
        <v>0</v>
      </c>
      <c r="CI660" s="1236"/>
      <c r="CJ660" s="1236"/>
      <c r="CK660" s="1236"/>
      <c r="CL660" s="1237"/>
      <c r="CM660" s="1235">
        <f>CM655+CM641+CM632</f>
        <v>0</v>
      </c>
      <c r="CN660" s="1236"/>
      <c r="CO660" s="1236"/>
      <c r="CP660" s="1236"/>
      <c r="CQ660" s="1237"/>
      <c r="CR660" s="3"/>
      <c r="CS660" s="785">
        <f>CS634+CS658</f>
        <v>94</v>
      </c>
      <c r="CT660" s="50" t="s">
        <v>1532</v>
      </c>
      <c r="CU660" s="3"/>
      <c r="CV660" s="3"/>
      <c r="CW660" s="3"/>
      <c r="CX660" s="3"/>
      <c r="CY660" s="3"/>
      <c r="CZ660" s="3"/>
      <c r="DA660" s="3"/>
      <c r="DB660" s="3"/>
      <c r="DC660" s="3"/>
      <c r="DD660" s="3"/>
      <c r="DE660" s="3"/>
      <c r="DF660" s="3"/>
      <c r="DX660" s="1233" t="e">
        <f t="shared" si="43"/>
        <v>#VALUE!</v>
      </c>
      <c r="DY660" s="1233"/>
      <c r="DZ660" s="1233"/>
      <c r="EA660" s="1233"/>
      <c r="EB660" s="1233"/>
      <c r="EC660" s="1233" t="e">
        <f t="shared" si="44"/>
        <v>#VALUE!</v>
      </c>
      <c r="ED660" s="1233"/>
      <c r="EE660" s="1233"/>
      <c r="EF660" s="1233"/>
      <c r="EG660" s="1233"/>
      <c r="EH660" s="1233" t="e">
        <f t="shared" si="45"/>
        <v>#VALUE!</v>
      </c>
      <c r="EI660" s="1233"/>
      <c r="EJ660" s="1233"/>
      <c r="EK660" s="1233"/>
      <c r="EL660" s="1233"/>
      <c r="EM660" s="1233" t="e">
        <f t="shared" si="46"/>
        <v>#VALUE!</v>
      </c>
      <c r="EN660" s="1233"/>
      <c r="EO660" s="1233"/>
      <c r="EP660" s="1233"/>
      <c r="EQ660" s="1233"/>
      <c r="ER660" s="1233" t="e">
        <f t="shared" si="47"/>
        <v>#VALUE!</v>
      </c>
      <c r="ES660" s="1233"/>
      <c r="ET660" s="1233"/>
      <c r="EU660" s="1233"/>
      <c r="EV660" s="1233"/>
      <c r="EW660" s="1233" t="e">
        <f t="shared" si="48"/>
        <v>#VALUE!</v>
      </c>
      <c r="EX660" s="1233"/>
      <c r="EY660" s="1233"/>
      <c r="EZ660" s="1233"/>
      <c r="FA660" s="1233"/>
    </row>
    <row r="661" spans="1:157" ht="12.95" customHeight="1">
      <c r="A661" s="20"/>
      <c r="B661" t="s">
        <v>981</v>
      </c>
      <c r="G661" s="1292" t="s">
        <v>1490</v>
      </c>
      <c r="H661" s="1292"/>
      <c r="I661" s="1292"/>
      <c r="J661" s="1292"/>
      <c r="K661" s="1292"/>
      <c r="L661" s="1292"/>
      <c r="M661" s="1292"/>
      <c r="N661" s="1292"/>
      <c r="O661" s="1292"/>
      <c r="P661" s="1292"/>
      <c r="Q661" s="1292"/>
      <c r="R661" s="1292"/>
      <c r="T661" s="20"/>
      <c r="U661" t="s">
        <v>981</v>
      </c>
      <c r="Z661" s="1292"/>
      <c r="AA661" s="1292"/>
      <c r="AB661" s="1292"/>
      <c r="AC661" s="1292"/>
      <c r="AD661" s="1292"/>
      <c r="AE661" s="1292"/>
      <c r="AF661" s="1292"/>
      <c r="AG661" s="1292"/>
      <c r="AH661" s="1292"/>
      <c r="AI661" s="1292"/>
      <c r="AJ661" s="1292"/>
      <c r="AK661" s="1292"/>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233" t="e">
        <f t="shared" si="43"/>
        <v>#VALUE!</v>
      </c>
      <c r="DY661" s="1233"/>
      <c r="DZ661" s="1233"/>
      <c r="EA661" s="1233"/>
      <c r="EB661" s="1233"/>
      <c r="EC661" s="1233" t="e">
        <f t="shared" si="44"/>
        <v>#VALUE!</v>
      </c>
      <c r="ED661" s="1233"/>
      <c r="EE661" s="1233"/>
      <c r="EF661" s="1233"/>
      <c r="EG661" s="1233"/>
      <c r="EH661" s="1233" t="e">
        <f t="shared" si="45"/>
        <v>#VALUE!</v>
      </c>
      <c r="EI661" s="1233"/>
      <c r="EJ661" s="1233"/>
      <c r="EK661" s="1233"/>
      <c r="EL661" s="1233"/>
      <c r="EM661" s="1233" t="e">
        <f t="shared" si="46"/>
        <v>#VALUE!</v>
      </c>
      <c r="EN661" s="1233"/>
      <c r="EO661" s="1233"/>
      <c r="EP661" s="1233"/>
      <c r="EQ661" s="1233"/>
      <c r="ER661" s="1233" t="e">
        <f t="shared" si="47"/>
        <v>#VALUE!</v>
      </c>
      <c r="ES661" s="1233"/>
      <c r="ET661" s="1233"/>
      <c r="EU661" s="1233"/>
      <c r="EV661" s="1233"/>
      <c r="EW661" s="1233" t="e">
        <f t="shared" si="48"/>
        <v>#VALUE!</v>
      </c>
      <c r="EX661" s="1233"/>
      <c r="EY661" s="1233"/>
      <c r="EZ661" s="1233"/>
      <c r="FA661" s="1233"/>
    </row>
    <row r="662" spans="1:157" ht="12.95" customHeight="1">
      <c r="A662" s="20"/>
      <c r="B662" t="s">
        <v>1481</v>
      </c>
      <c r="G662" s="1292" t="s">
        <v>1492</v>
      </c>
      <c r="H662" s="1292"/>
      <c r="I662" s="1292"/>
      <c r="J662" s="1292"/>
      <c r="K662" s="1292"/>
      <c r="L662" s="1292"/>
      <c r="M662" s="1292"/>
      <c r="N662" s="1292"/>
      <c r="O662" s="1292"/>
      <c r="P662" s="1292"/>
      <c r="Q662" s="1292"/>
      <c r="R662" s="1292"/>
      <c r="T662" s="20"/>
      <c r="U662" t="s">
        <v>1481</v>
      </c>
      <c r="Z662" s="1292"/>
      <c r="AA662" s="1292"/>
      <c r="AB662" s="1292"/>
      <c r="AC662" s="1292"/>
      <c r="AD662" s="1292"/>
      <c r="AE662" s="1292"/>
      <c r="AF662" s="1292"/>
      <c r="AG662" s="1292"/>
      <c r="AH662" s="1292"/>
      <c r="AI662" s="1292"/>
      <c r="AJ662" s="1292"/>
      <c r="AK662" s="1292"/>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233" t="e">
        <f t="shared" si="43"/>
        <v>#VALUE!</v>
      </c>
      <c r="DY662" s="1233"/>
      <c r="DZ662" s="1233"/>
      <c r="EA662" s="1233"/>
      <c r="EB662" s="1233"/>
      <c r="EC662" s="1233" t="e">
        <f t="shared" si="44"/>
        <v>#VALUE!</v>
      </c>
      <c r="ED662" s="1233"/>
      <c r="EE662" s="1233"/>
      <c r="EF662" s="1233"/>
      <c r="EG662" s="1233"/>
      <c r="EH662" s="1233" t="e">
        <f t="shared" si="45"/>
        <v>#VALUE!</v>
      </c>
      <c r="EI662" s="1233"/>
      <c r="EJ662" s="1233"/>
      <c r="EK662" s="1233"/>
      <c r="EL662" s="1233"/>
      <c r="EM662" s="1233" t="e">
        <f t="shared" si="46"/>
        <v>#VALUE!</v>
      </c>
      <c r="EN662" s="1233"/>
      <c r="EO662" s="1233"/>
      <c r="EP662" s="1233"/>
      <c r="EQ662" s="1233"/>
      <c r="ER662" s="1233" t="e">
        <f t="shared" si="47"/>
        <v>#VALUE!</v>
      </c>
      <c r="ES662" s="1233"/>
      <c r="ET662" s="1233"/>
      <c r="EU662" s="1233"/>
      <c r="EV662" s="1233"/>
      <c r="EW662" s="1233" t="e">
        <f t="shared" si="48"/>
        <v>#VALUE!</v>
      </c>
      <c r="EX662" s="1233"/>
      <c r="EY662" s="1233"/>
      <c r="EZ662" s="1233"/>
      <c r="FA662" s="1233"/>
    </row>
    <row r="663" spans="1:157" ht="12.95" customHeight="1">
      <c r="A663" s="20"/>
      <c r="B663" t="s">
        <v>883</v>
      </c>
      <c r="G663" s="1348" t="s">
        <v>1494</v>
      </c>
      <c r="H663" s="1348"/>
      <c r="I663" s="1348"/>
      <c r="J663" s="1348"/>
      <c r="K663" s="1348"/>
      <c r="L663" s="1348"/>
      <c r="O663" s="949" t="s">
        <v>1119</v>
      </c>
      <c r="P663" s="1309"/>
      <c r="Q663" s="1309"/>
      <c r="R663" s="1309"/>
      <c r="T663" s="20"/>
      <c r="U663" t="s">
        <v>883</v>
      </c>
      <c r="Z663" s="1348"/>
      <c r="AA663" s="1348"/>
      <c r="AB663" s="1348"/>
      <c r="AC663" s="1348"/>
      <c r="AD663" s="1348"/>
      <c r="AE663" s="1348"/>
      <c r="AH663" s="949" t="s">
        <v>1119</v>
      </c>
      <c r="AI663" s="1309"/>
      <c r="AJ663" s="1309"/>
      <c r="AK663" s="1309"/>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233" t="e">
        <f t="shared" si="43"/>
        <v>#VALUE!</v>
      </c>
      <c r="DY663" s="1233"/>
      <c r="DZ663" s="1233"/>
      <c r="EA663" s="1233"/>
      <c r="EB663" s="1233"/>
      <c r="EC663" s="1233" t="e">
        <f t="shared" si="44"/>
        <v>#VALUE!</v>
      </c>
      <c r="ED663" s="1233"/>
      <c r="EE663" s="1233"/>
      <c r="EF663" s="1233"/>
      <c r="EG663" s="1233"/>
      <c r="EH663" s="1233" t="e">
        <f t="shared" si="45"/>
        <v>#VALUE!</v>
      </c>
      <c r="EI663" s="1233"/>
      <c r="EJ663" s="1233"/>
      <c r="EK663" s="1233"/>
      <c r="EL663" s="1233"/>
      <c r="EM663" s="1233" t="e">
        <f t="shared" si="46"/>
        <v>#VALUE!</v>
      </c>
      <c r="EN663" s="1233"/>
      <c r="EO663" s="1233"/>
      <c r="EP663" s="1233"/>
      <c r="EQ663" s="1233"/>
      <c r="ER663" s="1233" t="e">
        <f t="shared" si="47"/>
        <v>#VALUE!</v>
      </c>
      <c r="ES663" s="1233"/>
      <c r="ET663" s="1233"/>
      <c r="EU663" s="1233"/>
      <c r="EV663" s="1233"/>
      <c r="EW663" s="1233" t="e">
        <f t="shared" si="48"/>
        <v>#VALUE!</v>
      </c>
      <c r="EX663" s="1233"/>
      <c r="EY663" s="1233"/>
      <c r="EZ663" s="1233"/>
      <c r="FA663" s="1233"/>
    </row>
    <row r="664" spans="1:157" ht="12.95" customHeight="1">
      <c r="A664" s="20"/>
      <c r="B664" t="s">
        <v>1483</v>
      </c>
      <c r="H664" s="1232" t="s">
        <v>1495</v>
      </c>
      <c r="I664" s="1232"/>
      <c r="J664" s="1232"/>
      <c r="K664" s="1232"/>
      <c r="L664" s="1232"/>
      <c r="M664" s="1232"/>
      <c r="N664" s="1232"/>
      <c r="O664" s="1232"/>
      <c r="P664" s="1232"/>
      <c r="Q664" s="1232"/>
      <c r="R664" s="1232"/>
      <c r="T664" s="20"/>
      <c r="U664" t="s">
        <v>1483</v>
      </c>
      <c r="AA664" s="1232"/>
      <c r="AB664" s="1232"/>
      <c r="AC664" s="1232"/>
      <c r="AD664" s="1232"/>
      <c r="AE664" s="1232"/>
      <c r="AF664" s="1232"/>
      <c r="AG664" s="1232"/>
      <c r="AH664" s="1232"/>
      <c r="AI664" s="1232"/>
      <c r="AJ664" s="1232"/>
      <c r="AK664" s="1232"/>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233" t="e">
        <f t="shared" si="43"/>
        <v>#VALUE!</v>
      </c>
      <c r="DY664" s="1233"/>
      <c r="DZ664" s="1233"/>
      <c r="EA664" s="1233"/>
      <c r="EB664" s="1233"/>
      <c r="EC664" s="1233" t="e">
        <f t="shared" si="44"/>
        <v>#VALUE!</v>
      </c>
      <c r="ED664" s="1233"/>
      <c r="EE664" s="1233"/>
      <c r="EF664" s="1233"/>
      <c r="EG664" s="1233"/>
      <c r="EH664" s="1233" t="e">
        <f t="shared" si="45"/>
        <v>#VALUE!</v>
      </c>
      <c r="EI664" s="1233"/>
      <c r="EJ664" s="1233"/>
      <c r="EK664" s="1233"/>
      <c r="EL664" s="1233"/>
      <c r="EM664" s="1233" t="e">
        <f t="shared" si="46"/>
        <v>#VALUE!</v>
      </c>
      <c r="EN664" s="1233"/>
      <c r="EO664" s="1233"/>
      <c r="EP664" s="1233"/>
      <c r="EQ664" s="1233"/>
      <c r="ER664" s="1233" t="e">
        <f t="shared" si="47"/>
        <v>#VALUE!</v>
      </c>
      <c r="ES664" s="1233"/>
      <c r="ET664" s="1233"/>
      <c r="EU664" s="1233"/>
      <c r="EV664" s="1233"/>
      <c r="EW664" s="1233" t="e">
        <f t="shared" si="48"/>
        <v>#VALUE!</v>
      </c>
      <c r="EX664" s="1233"/>
      <c r="EY664" s="1233"/>
      <c r="EZ664" s="1233"/>
      <c r="FA664" s="1233"/>
    </row>
    <row r="665" spans="1:157" ht="12.95" customHeight="1">
      <c r="A665" s="20"/>
      <c r="B665" t="s">
        <v>1487</v>
      </c>
      <c r="N665" s="1234" t="s">
        <v>894</v>
      </c>
      <c r="O665" s="1234"/>
      <c r="T665" s="20"/>
      <c r="U665" t="s">
        <v>1487</v>
      </c>
      <c r="AG665" s="1234" t="s">
        <v>894</v>
      </c>
      <c r="AH665" s="1234"/>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233" t="e">
        <f t="shared" si="43"/>
        <v>#VALUE!</v>
      </c>
      <c r="DY665" s="1233"/>
      <c r="DZ665" s="1233"/>
      <c r="EA665" s="1233"/>
      <c r="EB665" s="1233"/>
      <c r="EC665" s="1233" t="e">
        <f t="shared" si="44"/>
        <v>#VALUE!</v>
      </c>
      <c r="ED665" s="1233"/>
      <c r="EE665" s="1233"/>
      <c r="EF665" s="1233"/>
      <c r="EG665" s="1233"/>
      <c r="EH665" s="1233" t="e">
        <f t="shared" si="45"/>
        <v>#VALUE!</v>
      </c>
      <c r="EI665" s="1233"/>
      <c r="EJ665" s="1233"/>
      <c r="EK665" s="1233"/>
      <c r="EL665" s="1233"/>
      <c r="EM665" s="1233" t="e">
        <f t="shared" si="46"/>
        <v>#VALUE!</v>
      </c>
      <c r="EN665" s="1233"/>
      <c r="EO665" s="1233"/>
      <c r="EP665" s="1233"/>
      <c r="EQ665" s="1233"/>
      <c r="ER665" s="1233" t="e">
        <f t="shared" si="47"/>
        <v>#VALUE!</v>
      </c>
      <c r="ES665" s="1233"/>
      <c r="ET665" s="1233"/>
      <c r="EU665" s="1233"/>
      <c r="EV665" s="1233"/>
      <c r="EW665" s="1233" t="e">
        <f t="shared" si="48"/>
        <v>#VALUE!</v>
      </c>
      <c r="EX665" s="1233"/>
      <c r="EY665" s="1233"/>
      <c r="EZ665" s="1233"/>
      <c r="FA665" s="1233"/>
    </row>
    <row r="666" spans="1:157" ht="12.95" customHeight="1">
      <c r="A666" s="20"/>
      <c r="T666" s="20"/>
      <c r="AZ666" s="3"/>
      <c r="BA666" s="74" t="s">
        <v>1533</v>
      </c>
      <c r="BB666" s="3"/>
      <c r="BC666" s="3"/>
      <c r="BD666" s="3"/>
      <c r="BE666" s="3"/>
      <c r="BF666" s="143"/>
      <c r="BG666" s="144" t="s">
        <v>1534</v>
      </c>
      <c r="BH666" s="143"/>
      <c r="BI666" s="143"/>
      <c r="BJ666" s="3"/>
      <c r="BK666" s="3"/>
      <c r="BL666" s="3"/>
      <c r="BM666" s="3"/>
      <c r="BN666" s="3"/>
      <c r="BO666" s="3"/>
      <c r="BT666" s="144" t="s">
        <v>1535</v>
      </c>
      <c r="BU666" s="143"/>
      <c r="BV666" s="14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233" t="e">
        <f t="shared" si="43"/>
        <v>#VALUE!</v>
      </c>
      <c r="DY666" s="1233"/>
      <c r="DZ666" s="1233"/>
      <c r="EA666" s="1233"/>
      <c r="EB666" s="1233"/>
      <c r="EC666" s="1233" t="e">
        <f t="shared" si="44"/>
        <v>#VALUE!</v>
      </c>
      <c r="ED666" s="1233"/>
      <c r="EE666" s="1233"/>
      <c r="EF666" s="1233"/>
      <c r="EG666" s="1233"/>
      <c r="EH666" s="1233" t="e">
        <f t="shared" si="45"/>
        <v>#VALUE!</v>
      </c>
      <c r="EI666" s="1233"/>
      <c r="EJ666" s="1233"/>
      <c r="EK666" s="1233"/>
      <c r="EL666" s="1233"/>
      <c r="EM666" s="1233" t="e">
        <f t="shared" si="46"/>
        <v>#VALUE!</v>
      </c>
      <c r="EN666" s="1233"/>
      <c r="EO666" s="1233"/>
      <c r="EP666" s="1233"/>
      <c r="EQ666" s="1233"/>
      <c r="ER666" s="1233" t="e">
        <f t="shared" si="47"/>
        <v>#VALUE!</v>
      </c>
      <c r="ES666" s="1233"/>
      <c r="ET666" s="1233"/>
      <c r="EU666" s="1233"/>
      <c r="EV666" s="1233"/>
      <c r="EW666" s="1233" t="e">
        <f t="shared" si="48"/>
        <v>#VALUE!</v>
      </c>
      <c r="EX666" s="1233"/>
      <c r="EY666" s="1233"/>
      <c r="EZ666" s="1233"/>
      <c r="FA666" s="1233"/>
    </row>
    <row r="667" spans="1:157" ht="12.95" customHeight="1">
      <c r="A667" s="48" t="s">
        <v>1469</v>
      </c>
      <c r="B667" t="s">
        <v>1478</v>
      </c>
      <c r="G667" s="1290">
        <f>C633</f>
        <v>0</v>
      </c>
      <c r="H667" s="1290"/>
      <c r="I667" s="1290"/>
      <c r="J667" s="1290"/>
      <c r="K667" s="1290"/>
      <c r="L667" s="1290"/>
      <c r="M667" s="1290"/>
      <c r="N667" s="1290"/>
      <c r="O667" s="1290"/>
      <c r="P667" s="1290"/>
      <c r="Q667" s="1290"/>
      <c r="R667" s="1290"/>
      <c r="T667" s="48" t="s">
        <v>1471</v>
      </c>
      <c r="U667" t="s">
        <v>1478</v>
      </c>
      <c r="Z667" s="1290">
        <f>C634</f>
        <v>0</v>
      </c>
      <c r="AA667" s="1290"/>
      <c r="AB667" s="1290"/>
      <c r="AC667" s="1290"/>
      <c r="AD667" s="1290"/>
      <c r="AE667" s="1290"/>
      <c r="AF667" s="1290"/>
      <c r="AG667" s="1290"/>
      <c r="AH667" s="1290"/>
      <c r="AI667" s="1290"/>
      <c r="AJ667" s="1290"/>
      <c r="AK667" s="1290"/>
      <c r="AZ667" s="3"/>
      <c r="BA667" s="85">
        <f t="shared" ref="BA667:BA699" si="49">IF($G718=0,"N/A",VLOOKUP($T$189,TC_Rent,(MATCH($B718,bedrooms,FALSE))))</f>
        <v>2840</v>
      </c>
      <c r="BB667" s="3"/>
      <c r="BC667" s="3"/>
      <c r="BD667" s="3"/>
      <c r="BE667" s="3"/>
      <c r="BF667" s="143"/>
      <c r="BG667" s="215" t="s">
        <v>1536</v>
      </c>
      <c r="BH667" s="219" t="s">
        <v>1537</v>
      </c>
      <c r="BI667" s="218" t="s">
        <v>1538</v>
      </c>
      <c r="BJ667" s="3"/>
      <c r="BK667" s="3"/>
      <c r="BL667" s="3"/>
      <c r="BM667" s="3"/>
      <c r="BN667" s="3"/>
      <c r="BO667" s="3"/>
      <c r="BT667" s="215" t="s">
        <v>1536</v>
      </c>
      <c r="BU667" s="219" t="s">
        <v>1537</v>
      </c>
      <c r="BV667" s="218" t="s">
        <v>1538</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233" t="e">
        <f t="shared" si="43"/>
        <v>#VALUE!</v>
      </c>
      <c r="DY667" s="1233"/>
      <c r="DZ667" s="1233"/>
      <c r="EA667" s="1233"/>
      <c r="EB667" s="1233"/>
      <c r="EC667" s="1233" t="e">
        <f t="shared" si="44"/>
        <v>#VALUE!</v>
      </c>
      <c r="ED667" s="1233"/>
      <c r="EE667" s="1233"/>
      <c r="EF667" s="1233"/>
      <c r="EG667" s="1233"/>
      <c r="EH667" s="1233" t="e">
        <f t="shared" si="45"/>
        <v>#VALUE!</v>
      </c>
      <c r="EI667" s="1233"/>
      <c r="EJ667" s="1233"/>
      <c r="EK667" s="1233"/>
      <c r="EL667" s="1233"/>
      <c r="EM667" s="1233" t="e">
        <f t="shared" si="46"/>
        <v>#VALUE!</v>
      </c>
      <c r="EN667" s="1233"/>
      <c r="EO667" s="1233"/>
      <c r="EP667" s="1233"/>
      <c r="EQ667" s="1233"/>
      <c r="ER667" s="1233" t="e">
        <f t="shared" si="47"/>
        <v>#VALUE!</v>
      </c>
      <c r="ES667" s="1233"/>
      <c r="ET667" s="1233"/>
      <c r="EU667" s="1233"/>
      <c r="EV667" s="1233"/>
      <c r="EW667" s="1233" t="e">
        <f t="shared" si="48"/>
        <v>#VALUE!</v>
      </c>
      <c r="EX667" s="1233"/>
      <c r="EY667" s="1233"/>
      <c r="EZ667" s="1233"/>
      <c r="FA667" s="1233"/>
    </row>
    <row r="668" spans="1:157" ht="12.95" customHeight="1">
      <c r="A668" s="20"/>
      <c r="B668" t="s">
        <v>1110</v>
      </c>
      <c r="G668" s="1232"/>
      <c r="H668" s="1232"/>
      <c r="I668" s="1232"/>
      <c r="J668" s="1232"/>
      <c r="K668" s="1232"/>
      <c r="L668" s="1232"/>
      <c r="M668" s="1232"/>
      <c r="N668" s="1232"/>
      <c r="O668" s="1232"/>
      <c r="P668" s="1232"/>
      <c r="Q668" s="1232"/>
      <c r="R668" s="1232"/>
      <c r="T668" s="20"/>
      <c r="U668" t="s">
        <v>1110</v>
      </c>
      <c r="Z668" s="1232"/>
      <c r="AA668" s="1232"/>
      <c r="AB668" s="1232"/>
      <c r="AC668" s="1232"/>
      <c r="AD668" s="1232"/>
      <c r="AE668" s="1232"/>
      <c r="AF668" s="1232"/>
      <c r="AG668" s="1232"/>
      <c r="AH668" s="1232"/>
      <c r="AI668" s="1232"/>
      <c r="AJ668" s="1232"/>
      <c r="AK668" s="1232"/>
      <c r="AZ668" s="3"/>
      <c r="BA668" s="85">
        <f t="shared" si="49"/>
        <v>3410</v>
      </c>
      <c r="BB668" s="3"/>
      <c r="BC668" s="3"/>
      <c r="BD668" s="3"/>
      <c r="BE668" s="3"/>
      <c r="BF668" s="143"/>
      <c r="BG668" s="216">
        <f t="shared" ref="BG668:BG700" si="50">G718</f>
        <v>12</v>
      </c>
      <c r="BH668" s="220">
        <f t="shared" ref="BH668:BH702" si="51">IF($BG$703=0,0,BG668/$BG$703)</f>
        <v>0.25531914893617019</v>
      </c>
      <c r="BI668" s="221">
        <f t="shared" ref="BI668:BI691" si="52">IF(BH668=0,"",BH668*AC718)</f>
        <v>7.6595744680851049E-2</v>
      </c>
      <c r="BJ668" s="3"/>
      <c r="BK668" s="3"/>
      <c r="BL668" s="3"/>
      <c r="BM668" s="3"/>
      <c r="BN668" s="3"/>
      <c r="BO668" s="3"/>
      <c r="BT668" s="216">
        <f t="shared" ref="BT668:BT700" si="53">G718</f>
        <v>12</v>
      </c>
      <c r="BU668" s="220">
        <f t="shared" ref="BU668:BU702" si="54">IF($BT$703=0,0,BT668/$BT$703)</f>
        <v>0.25531914893617019</v>
      </c>
      <c r="BV668" s="221">
        <f t="shared" ref="BV668:BV700" si="55">IF(BU668=0,"",BU668*AH718)</f>
        <v>7.6595744680851049E-2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233" t="e">
        <f>DX630*(BN630/$BN$632)</f>
        <v>#VALUE!</v>
      </c>
      <c r="DY668" s="1233"/>
      <c r="DZ668" s="1233"/>
      <c r="EA668" s="1233"/>
      <c r="EB668" s="1233"/>
      <c r="EC668" s="1233" t="e">
        <f>EC630*(BS630/$BS$632)</f>
        <v>#VALUE!</v>
      </c>
      <c r="ED668" s="1233"/>
      <c r="EE668" s="1233"/>
      <c r="EF668" s="1233"/>
      <c r="EG668" s="1233"/>
      <c r="EH668" s="1233" t="e">
        <f>EH630*(BX630/$BX$632)</f>
        <v>#VALUE!</v>
      </c>
      <c r="EI668" s="1233"/>
      <c r="EJ668" s="1233"/>
      <c r="EK668" s="1233"/>
      <c r="EL668" s="1233"/>
      <c r="EM668" s="1233" t="e">
        <f>EM630*(CC630/$CC$632)</f>
        <v>#VALUE!</v>
      </c>
      <c r="EN668" s="1233"/>
      <c r="EO668" s="1233"/>
      <c r="EP668" s="1233"/>
      <c r="EQ668" s="1233"/>
      <c r="ER668" s="1233" t="e">
        <f>ER630*(CH630/$CH$632)</f>
        <v>#VALUE!</v>
      </c>
      <c r="ES668" s="1233"/>
      <c r="ET668" s="1233"/>
      <c r="EU668" s="1233"/>
      <c r="EV668" s="1233"/>
      <c r="EW668" s="1233" t="e">
        <f>EW630*(CM630/$CM$632)</f>
        <v>#VALUE!</v>
      </c>
      <c r="EX668" s="1233"/>
      <c r="EY668" s="1233"/>
      <c r="EZ668" s="1233"/>
      <c r="FA668" s="1233"/>
    </row>
    <row r="669" spans="1:157" ht="12.95" customHeight="1">
      <c r="A669" s="20"/>
      <c r="B669" t="s">
        <v>981</v>
      </c>
      <c r="G669" s="1232"/>
      <c r="H669" s="1232"/>
      <c r="I669" s="1232"/>
      <c r="J669" s="1232"/>
      <c r="K669" s="1232"/>
      <c r="L669" s="1232"/>
      <c r="M669" s="1232"/>
      <c r="N669" s="1232"/>
      <c r="O669" s="1232"/>
      <c r="P669" s="1232"/>
      <c r="Q669" s="1232"/>
      <c r="R669" s="1232"/>
      <c r="T669" s="20"/>
      <c r="U669" t="s">
        <v>981</v>
      </c>
      <c r="Z669" s="1292"/>
      <c r="AA669" s="1292"/>
      <c r="AB669" s="1292"/>
      <c r="AC669" s="1292"/>
      <c r="AD669" s="1292"/>
      <c r="AE669" s="1292"/>
      <c r="AF669" s="1292"/>
      <c r="AG669" s="1292"/>
      <c r="AH669" s="1292"/>
      <c r="AI669" s="1292"/>
      <c r="AJ669" s="1292"/>
      <c r="AK669" s="1292"/>
      <c r="AZ669" s="3"/>
      <c r="BA669" s="85">
        <f t="shared" si="49"/>
        <v>3410</v>
      </c>
      <c r="BB669" s="3"/>
      <c r="BC669" s="3"/>
      <c r="BD669" s="3"/>
      <c r="BE669" s="3"/>
      <c r="BF669" s="143"/>
      <c r="BG669" s="217">
        <f t="shared" si="50"/>
        <v>12</v>
      </c>
      <c r="BH669" s="220">
        <f t="shared" si="51"/>
        <v>0.25531914893617019</v>
      </c>
      <c r="BI669" s="221">
        <f t="shared" si="52"/>
        <v>0.1531914893617021</v>
      </c>
      <c r="BJ669" s="3"/>
      <c r="BK669" s="3"/>
      <c r="BL669" s="3"/>
      <c r="BM669" s="3"/>
      <c r="BN669" s="3"/>
      <c r="BO669" s="3"/>
      <c r="BT669" s="217">
        <f t="shared" si="53"/>
        <v>12</v>
      </c>
      <c r="BU669" s="220">
        <f t="shared" si="54"/>
        <v>0.25531914893617019</v>
      </c>
      <c r="BV669" s="221">
        <f t="shared" si="55"/>
        <v>0.1531914893617021</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233" t="e">
        <f>DX631*(BN631/$BN$632)</f>
        <v>#VALUE!</v>
      </c>
      <c r="DY669" s="1233"/>
      <c r="DZ669" s="1233"/>
      <c r="EA669" s="1233"/>
      <c r="EB669" s="1233"/>
      <c r="EC669" s="1233" t="e">
        <f>EC631*(BS631/$BS$632)</f>
        <v>#VALUE!</v>
      </c>
      <c r="ED669" s="1233"/>
      <c r="EE669" s="1233"/>
      <c r="EF669" s="1233"/>
      <c r="EG669" s="1233"/>
      <c r="EH669" s="1233" t="e">
        <f>EH631*(BX631/$BX$632)</f>
        <v>#VALUE!</v>
      </c>
      <c r="EI669" s="1233"/>
      <c r="EJ669" s="1233"/>
      <c r="EK669" s="1233"/>
      <c r="EL669" s="1233"/>
      <c r="EM669" s="1233" t="e">
        <f>EM631*(CC631/$CC$632)</f>
        <v>#VALUE!</v>
      </c>
      <c r="EN669" s="1233"/>
      <c r="EO669" s="1233"/>
      <c r="EP669" s="1233"/>
      <c r="EQ669" s="1233"/>
      <c r="ER669" s="1233" t="e">
        <f>ER631*(CH631/$CH$632)</f>
        <v>#VALUE!</v>
      </c>
      <c r="ES669" s="1233"/>
      <c r="ET669" s="1233"/>
      <c r="EU669" s="1233"/>
      <c r="EV669" s="1233"/>
      <c r="EW669" s="1233" t="e">
        <f>EW631*(CM631/$CM$632)</f>
        <v>#VALUE!</v>
      </c>
      <c r="EX669" s="1233"/>
      <c r="EY669" s="1233"/>
      <c r="EZ669" s="1233"/>
      <c r="FA669" s="1233"/>
    </row>
    <row r="670" spans="1:157" ht="12.95" customHeight="1">
      <c r="A670" s="20"/>
      <c r="B670" t="s">
        <v>1481</v>
      </c>
      <c r="G670" s="1232"/>
      <c r="H670" s="1232"/>
      <c r="I670" s="1232"/>
      <c r="J670" s="1232"/>
      <c r="K670" s="1232"/>
      <c r="L670" s="1232"/>
      <c r="M670" s="1232"/>
      <c r="N670" s="1232"/>
      <c r="O670" s="1232"/>
      <c r="P670" s="1232"/>
      <c r="Q670" s="1232"/>
      <c r="R670" s="1232"/>
      <c r="T670" s="20"/>
      <c r="U670" t="s">
        <v>1481</v>
      </c>
      <c r="Z670" s="1292"/>
      <c r="AA670" s="1292"/>
      <c r="AB670" s="1292"/>
      <c r="AC670" s="1292"/>
      <c r="AD670" s="1292"/>
      <c r="AE670" s="1292"/>
      <c r="AF670" s="1292"/>
      <c r="AG670" s="1292"/>
      <c r="AH670" s="1292"/>
      <c r="AI670" s="1292"/>
      <c r="AJ670" s="1292"/>
      <c r="AK670" s="1292"/>
      <c r="AZ670" s="3"/>
      <c r="BA670" s="85">
        <f t="shared" si="49"/>
        <v>3410</v>
      </c>
      <c r="BB670" s="3"/>
      <c r="BC670" s="3"/>
      <c r="BD670" s="3"/>
      <c r="BE670" s="3"/>
      <c r="BF670" s="143"/>
      <c r="BG670" s="217">
        <f t="shared" si="50"/>
        <v>4</v>
      </c>
      <c r="BH670" s="220">
        <f t="shared" si="51"/>
        <v>8.5106382978723402E-2</v>
      </c>
      <c r="BI670" s="221">
        <f t="shared" si="52"/>
        <v>4.2553191489361701E-2</v>
      </c>
      <c r="BJ670" s="3"/>
      <c r="BK670" s="3"/>
      <c r="BL670" s="3"/>
      <c r="BM670" s="3"/>
      <c r="BN670" s="3"/>
      <c r="BO670" s="3"/>
      <c r="BT670" s="217">
        <f t="shared" si="53"/>
        <v>4</v>
      </c>
      <c r="BU670" s="220">
        <f t="shared" si="54"/>
        <v>8.5106382978723402E-2</v>
      </c>
      <c r="BV670" s="221">
        <f t="shared" si="55"/>
        <v>4.2553191489361701E-2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233">
        <f>SUMIF(DX635:EB669,"&gt;0")</f>
        <v>0</v>
      </c>
      <c r="DY670" s="1233"/>
      <c r="DZ670" s="1233"/>
      <c r="EA670" s="1233"/>
      <c r="EB670" s="1233"/>
      <c r="EC670" s="1233">
        <f>SUMIF(EC635:EG669,"&gt;0")</f>
        <v>768</v>
      </c>
      <c r="ED670" s="1233"/>
      <c r="EE670" s="1233"/>
      <c r="EF670" s="1233"/>
      <c r="EG670" s="1233"/>
      <c r="EH670" s="1233">
        <f>SUMIF(EH635:EL669,"&gt;0")</f>
        <v>1623.6521739130435</v>
      </c>
      <c r="EI670" s="1233"/>
      <c r="EJ670" s="1233"/>
      <c r="EK670" s="1233"/>
      <c r="EL670" s="1233"/>
      <c r="EM670" s="1233">
        <f>SUMIF(EM635:EQ669,"&gt;0")</f>
        <v>1890.6666666666665</v>
      </c>
      <c r="EN670" s="1233"/>
      <c r="EO670" s="1233"/>
      <c r="EP670" s="1233"/>
      <c r="EQ670" s="1233"/>
      <c r="ER670" s="1233">
        <f>SUMIF(ER635:EV669,"&gt;0")</f>
        <v>0</v>
      </c>
      <c r="ES670" s="1233"/>
      <c r="ET670" s="1233"/>
      <c r="EU670" s="1233"/>
      <c r="EV670" s="1233"/>
      <c r="EW670" s="1233">
        <f>SUMIF(EW635:FA669,"&gt;0")</f>
        <v>0</v>
      </c>
      <c r="EX670" s="1233"/>
      <c r="EY670" s="1233"/>
      <c r="EZ670" s="1233"/>
      <c r="FA670" s="1233"/>
    </row>
    <row r="671" spans="1:157" ht="12.95" customHeight="1">
      <c r="A671" s="20"/>
      <c r="B671" t="s">
        <v>883</v>
      </c>
      <c r="G671" s="1348"/>
      <c r="H671" s="1348"/>
      <c r="I671" s="1348"/>
      <c r="J671" s="1348"/>
      <c r="K671" s="1348"/>
      <c r="L671" s="1348"/>
      <c r="O671" s="949" t="s">
        <v>1119</v>
      </c>
      <c r="P671" s="1309"/>
      <c r="Q671" s="1309"/>
      <c r="R671" s="1309"/>
      <c r="T671" s="20"/>
      <c r="U671" t="s">
        <v>883</v>
      </c>
      <c r="Z671" s="1348"/>
      <c r="AA671" s="1348"/>
      <c r="AB671" s="1348"/>
      <c r="AC671" s="1348"/>
      <c r="AD671" s="1348"/>
      <c r="AE671" s="1348"/>
      <c r="AH671" s="949" t="s">
        <v>1119</v>
      </c>
      <c r="AI671" s="1309"/>
      <c r="AJ671" s="1309"/>
      <c r="AK671" s="1309"/>
      <c r="AZ671" s="3"/>
      <c r="BA671" s="85">
        <f t="shared" si="49"/>
        <v>3410</v>
      </c>
      <c r="BB671" s="3"/>
      <c r="BC671" s="3"/>
      <c r="BD671" s="3"/>
      <c r="BE671" s="3"/>
      <c r="BF671" s="143"/>
      <c r="BG671" s="217">
        <f t="shared" si="50"/>
        <v>4</v>
      </c>
      <c r="BH671" s="220">
        <f t="shared" si="51"/>
        <v>8.5106382978723402E-2</v>
      </c>
      <c r="BI671" s="221">
        <f t="shared" si="52"/>
        <v>3.4042553191489362E-2</v>
      </c>
      <c r="BJ671" s="3"/>
      <c r="BK671" s="3"/>
      <c r="BL671" s="3"/>
      <c r="BM671" s="3"/>
      <c r="BN671" s="3"/>
      <c r="BO671" s="3"/>
      <c r="BT671" s="217">
        <f t="shared" si="53"/>
        <v>4</v>
      </c>
      <c r="BU671" s="220">
        <f t="shared" si="54"/>
        <v>8.5106382978723402E-2</v>
      </c>
      <c r="BV671" s="221">
        <f t="shared" si="55"/>
        <v>3.4042553191489362E-2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0"/>
      <c r="B672" t="s">
        <v>1483</v>
      </c>
      <c r="H672" s="1232"/>
      <c r="I672" s="1232"/>
      <c r="J672" s="1232"/>
      <c r="K672" s="1232"/>
      <c r="L672" s="1232"/>
      <c r="M672" s="1232"/>
      <c r="N672" s="1232"/>
      <c r="O672" s="1232"/>
      <c r="P672" s="1232"/>
      <c r="Q672" s="1232"/>
      <c r="R672" s="1232"/>
      <c r="T672" s="20"/>
      <c r="U672" t="s">
        <v>1483</v>
      </c>
      <c r="AA672" s="1232"/>
      <c r="AB672" s="1232"/>
      <c r="AC672" s="1232"/>
      <c r="AD672" s="1232"/>
      <c r="AE672" s="1232"/>
      <c r="AF672" s="1232"/>
      <c r="AG672" s="1232"/>
      <c r="AH672" s="1232"/>
      <c r="AI672" s="1232"/>
      <c r="AJ672" s="1232"/>
      <c r="AK672" s="1232"/>
      <c r="AZ672" s="3"/>
      <c r="BA672" s="85">
        <f t="shared" si="49"/>
        <v>3940</v>
      </c>
      <c r="BB672" s="3"/>
      <c r="BC672" s="3"/>
      <c r="BD672" s="3"/>
      <c r="BE672" s="3"/>
      <c r="BF672" s="143"/>
      <c r="BG672" s="217">
        <f t="shared" si="50"/>
        <v>3</v>
      </c>
      <c r="BH672" s="220">
        <f t="shared" si="51"/>
        <v>6.3829787234042548E-2</v>
      </c>
      <c r="BI672" s="221">
        <f t="shared" si="52"/>
        <v>1.9148936170212762E-2</v>
      </c>
      <c r="BJ672" s="3"/>
      <c r="BK672" s="3"/>
      <c r="BL672" s="3"/>
      <c r="BM672" s="3"/>
      <c r="BN672" s="3"/>
      <c r="BO672" s="3"/>
      <c r="BT672" s="217">
        <f t="shared" si="53"/>
        <v>3</v>
      </c>
      <c r="BU672" s="220">
        <f t="shared" si="54"/>
        <v>6.3829787234042548E-2</v>
      </c>
      <c r="BV672" s="221">
        <f t="shared" si="55"/>
        <v>1.9148936170212762E-2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0"/>
      <c r="B673" t="s">
        <v>1487</v>
      </c>
      <c r="N673" s="1234" t="s">
        <v>894</v>
      </c>
      <c r="O673" s="1234"/>
      <c r="T673" s="20"/>
      <c r="U673" t="s">
        <v>1487</v>
      </c>
      <c r="AG673" s="1234" t="s">
        <v>894</v>
      </c>
      <c r="AH673" s="1234"/>
      <c r="AZ673" s="3"/>
      <c r="BA673" s="85">
        <f t="shared" si="49"/>
        <v>3940</v>
      </c>
      <c r="BB673" s="3"/>
      <c r="BC673" s="3"/>
      <c r="BD673" s="3"/>
      <c r="BE673" s="3"/>
      <c r="BF673" s="143"/>
      <c r="BG673" s="217">
        <f t="shared" si="50"/>
        <v>6</v>
      </c>
      <c r="BH673" s="220">
        <f t="shared" si="51"/>
        <v>0.1276595744680851</v>
      </c>
      <c r="BI673" s="221">
        <f t="shared" si="52"/>
        <v>7.6595744680851049E-2</v>
      </c>
      <c r="BJ673" s="3"/>
      <c r="BK673" s="3"/>
      <c r="BL673" s="3"/>
      <c r="BM673" s="3"/>
      <c r="BN673" s="3"/>
      <c r="BO673" s="3"/>
      <c r="BT673" s="217">
        <f t="shared" si="53"/>
        <v>6</v>
      </c>
      <c r="BU673" s="220">
        <f t="shared" si="54"/>
        <v>0.1276595744680851</v>
      </c>
      <c r="BV673" s="221">
        <f t="shared" si="55"/>
        <v>7.6595744680851049E-2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0"/>
      <c r="T674" s="20"/>
      <c r="AZ674" s="3"/>
      <c r="BA674" s="85">
        <f t="shared" si="49"/>
        <v>3940</v>
      </c>
      <c r="BB674" s="3"/>
      <c r="BC674" s="3"/>
      <c r="BD674" s="3"/>
      <c r="BE674" s="3"/>
      <c r="BF674" s="143"/>
      <c r="BG674" s="217">
        <f t="shared" si="50"/>
        <v>4</v>
      </c>
      <c r="BH674" s="220">
        <f t="shared" si="51"/>
        <v>8.5106382978723402E-2</v>
      </c>
      <c r="BI674" s="221">
        <f t="shared" si="52"/>
        <v>4.2553191489361701E-2</v>
      </c>
      <c r="BJ674" s="3"/>
      <c r="BK674" s="3"/>
      <c r="BL674" s="3"/>
      <c r="BM674" s="3"/>
      <c r="BN674" s="3"/>
      <c r="BO674" s="3"/>
      <c r="BT674" s="217">
        <f t="shared" si="53"/>
        <v>4</v>
      </c>
      <c r="BU674" s="220">
        <f t="shared" si="54"/>
        <v>8.5106382978723402E-2</v>
      </c>
      <c r="BV674" s="221">
        <f t="shared" si="55"/>
        <v>4.2553191489361701E-2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48" t="s">
        <v>1473</v>
      </c>
      <c r="B675" t="s">
        <v>1478</v>
      </c>
      <c r="G675" s="1290">
        <f>C635</f>
        <v>0</v>
      </c>
      <c r="H675" s="1290"/>
      <c r="I675" s="1290"/>
      <c r="J675" s="1290"/>
      <c r="K675" s="1290"/>
      <c r="L675" s="1290"/>
      <c r="M675" s="1290"/>
      <c r="N675" s="1290"/>
      <c r="O675" s="1290"/>
      <c r="P675" s="1290"/>
      <c r="Q675" s="1290"/>
      <c r="R675" s="1290"/>
      <c r="T675" s="48" t="s">
        <v>1474</v>
      </c>
      <c r="U675" t="s">
        <v>1478</v>
      </c>
      <c r="Z675" s="1290">
        <f>C636</f>
        <v>0</v>
      </c>
      <c r="AA675" s="1290"/>
      <c r="AB675" s="1290"/>
      <c r="AC675" s="1290"/>
      <c r="AD675" s="1290"/>
      <c r="AE675" s="1290"/>
      <c r="AF675" s="1290"/>
      <c r="AG675" s="1290"/>
      <c r="AH675" s="1290"/>
      <c r="AI675" s="1290"/>
      <c r="AJ675" s="1290"/>
      <c r="AK675" s="1290"/>
      <c r="AZ675" s="3"/>
      <c r="BA675" s="85" t="str">
        <f t="shared" si="49"/>
        <v>N/A</v>
      </c>
      <c r="BB675" s="3"/>
      <c r="BC675" s="3"/>
      <c r="BD675" s="3"/>
      <c r="BE675" s="3"/>
      <c r="BF675" s="143"/>
      <c r="BG675" s="217">
        <f t="shared" si="50"/>
        <v>2</v>
      </c>
      <c r="BH675" s="220">
        <f t="shared" si="51"/>
        <v>4.2553191489361701E-2</v>
      </c>
      <c r="BI675" s="221">
        <f t="shared" si="52"/>
        <v>1.276595744680851E-2</v>
      </c>
      <c r="BJ675" s="3"/>
      <c r="BK675" s="3"/>
      <c r="BL675" s="3"/>
      <c r="BM675" s="3"/>
      <c r="BN675" s="3"/>
      <c r="BO675" s="3"/>
      <c r="BT675" s="217">
        <f t="shared" si="53"/>
        <v>2</v>
      </c>
      <c r="BU675" s="220">
        <f t="shared" si="54"/>
        <v>4.2553191489361701E-2</v>
      </c>
      <c r="BV675" s="221">
        <f t="shared" si="55"/>
        <v>1.276595744680851E-2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0"/>
      <c r="B676" t="s">
        <v>1110</v>
      </c>
      <c r="G676" s="1232"/>
      <c r="H676" s="1232"/>
      <c r="I676" s="1232"/>
      <c r="J676" s="1232"/>
      <c r="K676" s="1232"/>
      <c r="L676" s="1232"/>
      <c r="M676" s="1232"/>
      <c r="N676" s="1232"/>
      <c r="O676" s="1232"/>
      <c r="P676" s="1232"/>
      <c r="Q676" s="1232"/>
      <c r="R676" s="1232"/>
      <c r="T676" s="20"/>
      <c r="U676" t="s">
        <v>1110</v>
      </c>
      <c r="Z676" s="1232"/>
      <c r="AA676" s="1232"/>
      <c r="AB676" s="1232"/>
      <c r="AC676" s="1232"/>
      <c r="AD676" s="1232"/>
      <c r="AE676" s="1232"/>
      <c r="AF676" s="1232"/>
      <c r="AG676" s="1232"/>
      <c r="AH676" s="1232"/>
      <c r="AI676" s="1232"/>
      <c r="AJ676" s="1232"/>
      <c r="AK676" s="1232"/>
      <c r="AZ676" s="3"/>
      <c r="BA676" s="85" t="str">
        <f t="shared" si="49"/>
        <v>N/A</v>
      </c>
      <c r="BB676" s="3"/>
      <c r="BC676" s="3"/>
      <c r="BD676" s="3"/>
      <c r="BE676" s="3"/>
      <c r="BF676" s="143"/>
      <c r="BG676" s="217">
        <f t="shared" si="50"/>
        <v>0</v>
      </c>
      <c r="BH676" s="220">
        <f t="shared" si="51"/>
        <v>0</v>
      </c>
      <c r="BI676" s="221" t="str">
        <f t="shared" si="52"/>
        <v/>
      </c>
      <c r="BJ676" s="3"/>
      <c r="BK676" s="3"/>
      <c r="BL676" s="3"/>
      <c r="BM676" s="3"/>
      <c r="BN676" s="3"/>
      <c r="BO676" s="3"/>
      <c r="BT676" s="217">
        <f t="shared" si="53"/>
        <v>0</v>
      </c>
      <c r="BU676" s="220">
        <f t="shared" si="54"/>
        <v>0</v>
      </c>
      <c r="BV676" s="221" t="str">
        <f t="shared" si="55"/>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0"/>
      <c r="B677" t="s">
        <v>981</v>
      </c>
      <c r="G677" s="1232"/>
      <c r="H677" s="1232"/>
      <c r="I677" s="1232"/>
      <c r="J677" s="1232"/>
      <c r="K677" s="1232"/>
      <c r="L677" s="1232"/>
      <c r="M677" s="1232"/>
      <c r="N677" s="1232"/>
      <c r="O677" s="1232"/>
      <c r="P677" s="1232"/>
      <c r="Q677" s="1232"/>
      <c r="R677" s="1232"/>
      <c r="T677" s="20"/>
      <c r="U677" t="s">
        <v>981</v>
      </c>
      <c r="Z677" s="1292"/>
      <c r="AA677" s="1292"/>
      <c r="AB677" s="1292"/>
      <c r="AC677" s="1292"/>
      <c r="AD677" s="1292"/>
      <c r="AE677" s="1292"/>
      <c r="AF677" s="1292"/>
      <c r="AG677" s="1292"/>
      <c r="AH677" s="1292"/>
      <c r="AI677" s="1292"/>
      <c r="AJ677" s="1292"/>
      <c r="AK677" s="1292"/>
      <c r="AZ677" s="3"/>
      <c r="BA677" s="85" t="str">
        <f t="shared" si="49"/>
        <v>N/A</v>
      </c>
      <c r="BB677" s="3"/>
      <c r="BC677" s="3"/>
      <c r="BD677" s="3"/>
      <c r="BE677" s="3"/>
      <c r="BF677" s="143"/>
      <c r="BG677" s="217">
        <f t="shared" si="50"/>
        <v>0</v>
      </c>
      <c r="BH677" s="220">
        <f t="shared" si="51"/>
        <v>0</v>
      </c>
      <c r="BI677" s="221" t="str">
        <f t="shared" si="52"/>
        <v/>
      </c>
      <c r="BJ677" s="3"/>
      <c r="BK677" s="3"/>
      <c r="BL677" s="3"/>
      <c r="BM677" s="3"/>
      <c r="BN677" s="3"/>
      <c r="BO677" s="3"/>
      <c r="BT677" s="217">
        <f t="shared" si="53"/>
        <v>0</v>
      </c>
      <c r="BU677" s="220">
        <f t="shared" si="54"/>
        <v>0</v>
      </c>
      <c r="BV677" s="221" t="str">
        <f t="shared" si="55"/>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0"/>
      <c r="B678" t="s">
        <v>1481</v>
      </c>
      <c r="G678" s="1232"/>
      <c r="H678" s="1232"/>
      <c r="I678" s="1232"/>
      <c r="J678" s="1232"/>
      <c r="K678" s="1232"/>
      <c r="L678" s="1232"/>
      <c r="M678" s="1232"/>
      <c r="N678" s="1232"/>
      <c r="O678" s="1232"/>
      <c r="P678" s="1232"/>
      <c r="Q678" s="1232"/>
      <c r="R678" s="1232"/>
      <c r="T678" s="20"/>
      <c r="U678" t="s">
        <v>1481</v>
      </c>
      <c r="Z678" s="1292"/>
      <c r="AA678" s="1292"/>
      <c r="AB678" s="1292"/>
      <c r="AC678" s="1292"/>
      <c r="AD678" s="1292"/>
      <c r="AE678" s="1292"/>
      <c r="AF678" s="1292"/>
      <c r="AG678" s="1292"/>
      <c r="AH678" s="1292"/>
      <c r="AI678" s="1292"/>
      <c r="AJ678" s="1292"/>
      <c r="AK678" s="1292"/>
      <c r="AZ678" s="3"/>
      <c r="BA678" s="85" t="str">
        <f t="shared" si="49"/>
        <v>N/A</v>
      </c>
      <c r="BB678" s="3"/>
      <c r="BC678" s="3"/>
      <c r="BD678" s="3"/>
      <c r="BE678" s="3"/>
      <c r="BF678" s="143"/>
      <c r="BG678" s="217">
        <f t="shared" si="50"/>
        <v>0</v>
      </c>
      <c r="BH678" s="220">
        <f t="shared" si="51"/>
        <v>0</v>
      </c>
      <c r="BI678" s="221" t="str">
        <f t="shared" si="52"/>
        <v/>
      </c>
      <c r="BJ678" s="3"/>
      <c r="BK678" s="3"/>
      <c r="BL678" s="3"/>
      <c r="BM678" s="3"/>
      <c r="BN678" s="3"/>
      <c r="BO678" s="3"/>
      <c r="BT678" s="217">
        <f t="shared" si="53"/>
        <v>0</v>
      </c>
      <c r="BU678" s="220">
        <f t="shared" si="54"/>
        <v>0</v>
      </c>
      <c r="BV678" s="221" t="str">
        <f t="shared" si="55"/>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0"/>
      <c r="B679" t="s">
        <v>883</v>
      </c>
      <c r="G679" s="1348"/>
      <c r="H679" s="1348"/>
      <c r="I679" s="1348"/>
      <c r="J679" s="1348"/>
      <c r="K679" s="1348"/>
      <c r="L679" s="1348"/>
      <c r="O679" s="949" t="s">
        <v>1119</v>
      </c>
      <c r="P679" s="1309"/>
      <c r="Q679" s="1309"/>
      <c r="R679" s="1309"/>
      <c r="T679" s="20"/>
      <c r="U679" t="s">
        <v>883</v>
      </c>
      <c r="Z679" s="1348"/>
      <c r="AA679" s="1348"/>
      <c r="AB679" s="1348"/>
      <c r="AC679" s="1348"/>
      <c r="AD679" s="1348"/>
      <c r="AE679" s="1348"/>
      <c r="AH679" s="949" t="s">
        <v>1119</v>
      </c>
      <c r="AI679" s="1309"/>
      <c r="AJ679" s="1309"/>
      <c r="AK679" s="1309"/>
      <c r="AZ679" s="3"/>
      <c r="BA679" s="85" t="str">
        <f t="shared" si="49"/>
        <v>N/A</v>
      </c>
      <c r="BB679" s="3"/>
      <c r="BC679" s="3"/>
      <c r="BD679" s="3"/>
      <c r="BE679" s="3"/>
      <c r="BF679" s="143"/>
      <c r="BG679" s="217">
        <f t="shared" si="50"/>
        <v>0</v>
      </c>
      <c r="BH679" s="220">
        <f t="shared" si="51"/>
        <v>0</v>
      </c>
      <c r="BI679" s="221" t="str">
        <f t="shared" si="52"/>
        <v/>
      </c>
      <c r="BJ679" s="3"/>
      <c r="BK679" s="3"/>
      <c r="BL679" s="3"/>
      <c r="BM679" s="3"/>
      <c r="BN679" s="3"/>
      <c r="BO679" s="3"/>
      <c r="BT679" s="217">
        <f t="shared" si="53"/>
        <v>0</v>
      </c>
      <c r="BU679" s="220">
        <f t="shared" si="54"/>
        <v>0</v>
      </c>
      <c r="BV679" s="221" t="str">
        <f t="shared" si="55"/>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0"/>
      <c r="B680" t="s">
        <v>1483</v>
      </c>
      <c r="H680" s="1232"/>
      <c r="I680" s="1232"/>
      <c r="J680" s="1232"/>
      <c r="K680" s="1232"/>
      <c r="L680" s="1232"/>
      <c r="M680" s="1232"/>
      <c r="N680" s="1232"/>
      <c r="O680" s="1232"/>
      <c r="P680" s="1232"/>
      <c r="Q680" s="1232"/>
      <c r="R680" s="1232"/>
      <c r="T680" s="20"/>
      <c r="U680" t="s">
        <v>1483</v>
      </c>
      <c r="AA680" s="1232"/>
      <c r="AB680" s="1232"/>
      <c r="AC680" s="1232"/>
      <c r="AD680" s="1232"/>
      <c r="AE680" s="1232"/>
      <c r="AF680" s="1232"/>
      <c r="AG680" s="1232"/>
      <c r="AH680" s="1232"/>
      <c r="AI680" s="1232"/>
      <c r="AJ680" s="1232"/>
      <c r="AK680" s="1232"/>
      <c r="AZ680" s="3"/>
      <c r="BA680" s="85" t="str">
        <f t="shared" si="49"/>
        <v>N/A</v>
      </c>
      <c r="BB680" s="3"/>
      <c r="BC680" s="3"/>
      <c r="BD680" s="3"/>
      <c r="BE680" s="3"/>
      <c r="BF680" s="143"/>
      <c r="BG680" s="217">
        <f t="shared" si="50"/>
        <v>0</v>
      </c>
      <c r="BH680" s="220">
        <f t="shared" si="51"/>
        <v>0</v>
      </c>
      <c r="BI680" s="221" t="str">
        <f t="shared" si="52"/>
        <v/>
      </c>
      <c r="BJ680" s="3"/>
      <c r="BK680" s="3"/>
      <c r="BL680" s="3"/>
      <c r="BM680" s="3"/>
      <c r="BN680" s="3"/>
      <c r="BO680" s="3"/>
      <c r="BT680" s="217">
        <f t="shared" si="53"/>
        <v>0</v>
      </c>
      <c r="BU680" s="220">
        <f t="shared" si="54"/>
        <v>0</v>
      </c>
      <c r="BV680" s="221" t="str">
        <f t="shared" si="55"/>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0"/>
      <c r="B681" t="s">
        <v>1487</v>
      </c>
      <c r="N681" s="1234" t="s">
        <v>894</v>
      </c>
      <c r="O681" s="1234"/>
      <c r="T681" s="20"/>
      <c r="U681" t="s">
        <v>1487</v>
      </c>
      <c r="AG681" s="1234" t="s">
        <v>894</v>
      </c>
      <c r="AH681" s="1234"/>
      <c r="AZ681" s="3"/>
      <c r="BA681" s="85" t="str">
        <f t="shared" si="49"/>
        <v>N/A</v>
      </c>
      <c r="BB681" s="3"/>
      <c r="BC681" s="3"/>
      <c r="BD681" s="3"/>
      <c r="BE681" s="3"/>
      <c r="BF681" s="143"/>
      <c r="BG681" s="217">
        <f t="shared" si="50"/>
        <v>0</v>
      </c>
      <c r="BH681" s="220">
        <f t="shared" si="51"/>
        <v>0</v>
      </c>
      <c r="BI681" s="221" t="str">
        <f t="shared" si="52"/>
        <v/>
      </c>
      <c r="BJ681" s="3"/>
      <c r="BK681" s="3"/>
      <c r="BL681" s="3"/>
      <c r="BM681" s="3"/>
      <c r="BN681" s="3"/>
      <c r="BO681" s="3"/>
      <c r="BT681" s="217">
        <f t="shared" si="53"/>
        <v>0</v>
      </c>
      <c r="BU681" s="220">
        <f t="shared" si="54"/>
        <v>0</v>
      </c>
      <c r="BV681" s="221" t="str">
        <f t="shared" si="55"/>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0"/>
      <c r="T682" s="20"/>
      <c r="AZ682" s="3"/>
      <c r="BA682" s="85" t="str">
        <f t="shared" si="49"/>
        <v>N/A</v>
      </c>
      <c r="BB682" s="3"/>
      <c r="BC682" s="3"/>
      <c r="BD682" s="3"/>
      <c r="BE682" s="3"/>
      <c r="BF682" s="143"/>
      <c r="BG682" s="217">
        <f t="shared" si="50"/>
        <v>0</v>
      </c>
      <c r="BH682" s="220">
        <f t="shared" si="51"/>
        <v>0</v>
      </c>
      <c r="BI682" s="221" t="str">
        <f t="shared" si="52"/>
        <v/>
      </c>
      <c r="BJ682" s="3"/>
      <c r="BK682" s="3"/>
      <c r="BL682" s="3"/>
      <c r="BM682" s="3"/>
      <c r="BN682" s="3"/>
      <c r="BO682" s="3"/>
      <c r="BT682" s="217">
        <f t="shared" si="53"/>
        <v>0</v>
      </c>
      <c r="BU682" s="220">
        <f t="shared" si="54"/>
        <v>0</v>
      </c>
      <c r="BV682" s="221" t="str">
        <f t="shared" si="55"/>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48" t="s">
        <v>1475</v>
      </c>
      <c r="B683" t="s">
        <v>1478</v>
      </c>
      <c r="G683" s="1290">
        <f>C637</f>
        <v>0</v>
      </c>
      <c r="H683" s="1290"/>
      <c r="I683" s="1290"/>
      <c r="J683" s="1290"/>
      <c r="K683" s="1290"/>
      <c r="L683" s="1290"/>
      <c r="M683" s="1290"/>
      <c r="N683" s="1290"/>
      <c r="O683" s="1290"/>
      <c r="P683" s="1290"/>
      <c r="Q683" s="1290"/>
      <c r="R683" s="1290"/>
      <c r="T683" s="48" t="s">
        <v>1476</v>
      </c>
      <c r="U683" t="s">
        <v>1478</v>
      </c>
      <c r="Z683" s="1290">
        <f>C638</f>
        <v>0</v>
      </c>
      <c r="AA683" s="1290"/>
      <c r="AB683" s="1290"/>
      <c r="AC683" s="1290"/>
      <c r="AD683" s="1290"/>
      <c r="AE683" s="1290"/>
      <c r="AF683" s="1290"/>
      <c r="AG683" s="1290"/>
      <c r="AH683" s="1290"/>
      <c r="AI683" s="1290"/>
      <c r="AJ683" s="1290"/>
      <c r="AK683" s="1290"/>
      <c r="AZ683" s="3"/>
      <c r="BA683" s="85" t="str">
        <f t="shared" si="49"/>
        <v>N/A</v>
      </c>
      <c r="BB683" s="3"/>
      <c r="BC683" s="3"/>
      <c r="BD683" s="3"/>
      <c r="BE683" s="3"/>
      <c r="BF683" s="143"/>
      <c r="BG683" s="217">
        <f t="shared" si="50"/>
        <v>0</v>
      </c>
      <c r="BH683" s="220">
        <f t="shared" si="51"/>
        <v>0</v>
      </c>
      <c r="BI683" s="221" t="str">
        <f t="shared" si="52"/>
        <v/>
      </c>
      <c r="BJ683" s="3"/>
      <c r="BK683" s="3"/>
      <c r="BL683" s="3"/>
      <c r="BM683" s="3"/>
      <c r="BN683" s="3"/>
      <c r="BO683" s="3"/>
      <c r="BT683" s="217">
        <f t="shared" si="53"/>
        <v>0</v>
      </c>
      <c r="BU683" s="220">
        <f t="shared" si="54"/>
        <v>0</v>
      </c>
      <c r="BV683" s="221" t="str">
        <f t="shared" si="55"/>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1110</v>
      </c>
      <c r="G684" s="1232"/>
      <c r="H684" s="1232"/>
      <c r="I684" s="1232"/>
      <c r="J684" s="1232"/>
      <c r="K684" s="1232"/>
      <c r="L684" s="1232"/>
      <c r="M684" s="1232"/>
      <c r="N684" s="1232"/>
      <c r="O684" s="1232"/>
      <c r="P684" s="1232"/>
      <c r="Q684" s="1232"/>
      <c r="R684" s="1232"/>
      <c r="T684" s="20"/>
      <c r="U684" t="s">
        <v>1110</v>
      </c>
      <c r="Z684" s="1232"/>
      <c r="AA684" s="1232"/>
      <c r="AB684" s="1232"/>
      <c r="AC684" s="1232"/>
      <c r="AD684" s="1232"/>
      <c r="AE684" s="1232"/>
      <c r="AF684" s="1232"/>
      <c r="AG684" s="1232"/>
      <c r="AH684" s="1232"/>
      <c r="AI684" s="1232"/>
      <c r="AJ684" s="1232"/>
      <c r="AK684" s="1232"/>
      <c r="AZ684" s="3"/>
      <c r="BA684" s="85" t="str">
        <f t="shared" si="49"/>
        <v>N/A</v>
      </c>
      <c r="BB684" s="3"/>
      <c r="BC684" s="3"/>
      <c r="BD684" s="3"/>
      <c r="BE684" s="3"/>
      <c r="BF684" s="143"/>
      <c r="BG684" s="217">
        <f t="shared" si="50"/>
        <v>0</v>
      </c>
      <c r="BH684" s="220">
        <f t="shared" si="51"/>
        <v>0</v>
      </c>
      <c r="BI684" s="221" t="str">
        <f t="shared" si="52"/>
        <v/>
      </c>
      <c r="BJ684" s="3"/>
      <c r="BK684" s="3"/>
      <c r="BL684" s="3"/>
      <c r="BM684" s="3"/>
      <c r="BN684" s="3"/>
      <c r="BO684" s="3"/>
      <c r="BT684" s="217">
        <f t="shared" si="53"/>
        <v>0</v>
      </c>
      <c r="BU684" s="220">
        <f t="shared" si="54"/>
        <v>0</v>
      </c>
      <c r="BV684" s="221" t="str">
        <f t="shared" si="55"/>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981</v>
      </c>
      <c r="G685" s="1232"/>
      <c r="H685" s="1232"/>
      <c r="I685" s="1232"/>
      <c r="J685" s="1232"/>
      <c r="K685" s="1232"/>
      <c r="L685" s="1232"/>
      <c r="M685" s="1232"/>
      <c r="N685" s="1232"/>
      <c r="O685" s="1232"/>
      <c r="P685" s="1232"/>
      <c r="Q685" s="1232"/>
      <c r="R685" s="1232"/>
      <c r="U685" t="s">
        <v>981</v>
      </c>
      <c r="Z685" s="1292"/>
      <c r="AA685" s="1292"/>
      <c r="AB685" s="1292"/>
      <c r="AC685" s="1292"/>
      <c r="AD685" s="1292"/>
      <c r="AE685" s="1292"/>
      <c r="AF685" s="1292"/>
      <c r="AG685" s="1292"/>
      <c r="AH685" s="1292"/>
      <c r="AI685" s="1292"/>
      <c r="AJ685" s="1292"/>
      <c r="AK685" s="1292"/>
      <c r="AZ685" s="3"/>
      <c r="BA685" s="85" t="str">
        <f t="shared" si="49"/>
        <v>N/A</v>
      </c>
      <c r="BB685" s="3"/>
      <c r="BC685" s="3"/>
      <c r="BD685" s="3"/>
      <c r="BE685" s="3"/>
      <c r="BF685" s="143"/>
      <c r="BG685" s="217">
        <f t="shared" si="50"/>
        <v>0</v>
      </c>
      <c r="BH685" s="220">
        <f t="shared" si="51"/>
        <v>0</v>
      </c>
      <c r="BI685" s="221" t="str">
        <f t="shared" si="52"/>
        <v/>
      </c>
      <c r="BJ685" s="3"/>
      <c r="BK685" s="3"/>
      <c r="BL685" s="3"/>
      <c r="BM685" s="3"/>
      <c r="BN685" s="3"/>
      <c r="BO685" s="3"/>
      <c r="BT685" s="217">
        <f t="shared" si="53"/>
        <v>0</v>
      </c>
      <c r="BU685" s="220">
        <f t="shared" si="54"/>
        <v>0</v>
      </c>
      <c r="BV685" s="221" t="str">
        <f t="shared" si="55"/>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1481</v>
      </c>
      <c r="G686" s="1232"/>
      <c r="H686" s="1232"/>
      <c r="I686" s="1232"/>
      <c r="J686" s="1232"/>
      <c r="K686" s="1232"/>
      <c r="L686" s="1232"/>
      <c r="M686" s="1232"/>
      <c r="N686" s="1232"/>
      <c r="O686" s="1232"/>
      <c r="P686" s="1232"/>
      <c r="Q686" s="1232"/>
      <c r="R686" s="1232"/>
      <c r="U686" t="s">
        <v>1481</v>
      </c>
      <c r="Z686" s="1292"/>
      <c r="AA686" s="1292"/>
      <c r="AB686" s="1292"/>
      <c r="AC686" s="1292"/>
      <c r="AD686" s="1292"/>
      <c r="AE686" s="1292"/>
      <c r="AF686" s="1292"/>
      <c r="AG686" s="1292"/>
      <c r="AH686" s="1292"/>
      <c r="AI686" s="1292"/>
      <c r="AJ686" s="1292"/>
      <c r="AK686" s="1292"/>
      <c r="AZ686" s="3"/>
      <c r="BA686" s="85" t="str">
        <f t="shared" si="49"/>
        <v>N/A</v>
      </c>
      <c r="BB686" s="3"/>
      <c r="BC686" s="3"/>
      <c r="BD686" s="3"/>
      <c r="BE686" s="3"/>
      <c r="BF686" s="143"/>
      <c r="BG686" s="217">
        <f t="shared" si="50"/>
        <v>0</v>
      </c>
      <c r="BH686" s="220">
        <f t="shared" si="51"/>
        <v>0</v>
      </c>
      <c r="BI686" s="221" t="str">
        <f t="shared" si="52"/>
        <v/>
      </c>
      <c r="BJ686" s="3"/>
      <c r="BK686" s="3"/>
      <c r="BL686" s="3"/>
      <c r="BM686" s="3"/>
      <c r="BN686" s="3"/>
      <c r="BO686" s="3"/>
      <c r="BT686" s="217">
        <f t="shared" si="53"/>
        <v>0</v>
      </c>
      <c r="BU686" s="220">
        <f t="shared" si="54"/>
        <v>0</v>
      </c>
      <c r="BV686" s="221" t="str">
        <f t="shared" si="55"/>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883</v>
      </c>
      <c r="G687" s="1348"/>
      <c r="H687" s="1348"/>
      <c r="I687" s="1348"/>
      <c r="J687" s="1348"/>
      <c r="K687" s="1348"/>
      <c r="L687" s="1348"/>
      <c r="O687" s="949" t="s">
        <v>1119</v>
      </c>
      <c r="P687" s="1309"/>
      <c r="Q687" s="1309"/>
      <c r="R687" s="1309"/>
      <c r="U687" t="s">
        <v>883</v>
      </c>
      <c r="Z687" s="1348"/>
      <c r="AA687" s="1348"/>
      <c r="AB687" s="1348"/>
      <c r="AC687" s="1348"/>
      <c r="AD687" s="1348"/>
      <c r="AE687" s="1348"/>
      <c r="AH687" s="949" t="s">
        <v>1119</v>
      </c>
      <c r="AI687" s="1309"/>
      <c r="AJ687" s="1309"/>
      <c r="AK687" s="1309"/>
      <c r="AZ687" s="3"/>
      <c r="BA687" s="85" t="str">
        <f t="shared" si="49"/>
        <v>N/A</v>
      </c>
      <c r="BB687" s="3"/>
      <c r="BC687" s="3"/>
      <c r="BD687" s="3"/>
      <c r="BE687" s="3"/>
      <c r="BF687" s="143"/>
      <c r="BG687" s="217">
        <f t="shared" si="50"/>
        <v>0</v>
      </c>
      <c r="BH687" s="220">
        <f t="shared" si="51"/>
        <v>0</v>
      </c>
      <c r="BI687" s="221" t="str">
        <f t="shared" si="52"/>
        <v/>
      </c>
      <c r="BJ687" s="3"/>
      <c r="BK687" s="3"/>
      <c r="BL687" s="3"/>
      <c r="BM687" s="3"/>
      <c r="BN687" s="3"/>
      <c r="BO687" s="3"/>
      <c r="BT687" s="217">
        <f t="shared" si="53"/>
        <v>0</v>
      </c>
      <c r="BU687" s="220">
        <f t="shared" si="54"/>
        <v>0</v>
      </c>
      <c r="BV687" s="221" t="str">
        <f t="shared" si="55"/>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1483</v>
      </c>
      <c r="H688" s="1232"/>
      <c r="I688" s="1232"/>
      <c r="J688" s="1232"/>
      <c r="K688" s="1232"/>
      <c r="L688" s="1232"/>
      <c r="M688" s="1232"/>
      <c r="N688" s="1232"/>
      <c r="O688" s="1232"/>
      <c r="P688" s="1232"/>
      <c r="Q688" s="1232"/>
      <c r="R688" s="1232"/>
      <c r="U688" t="s">
        <v>1483</v>
      </c>
      <c r="AA688" s="1232"/>
      <c r="AB688" s="1232"/>
      <c r="AC688" s="1232"/>
      <c r="AD688" s="1232"/>
      <c r="AE688" s="1232"/>
      <c r="AF688" s="1232"/>
      <c r="AG688" s="1232"/>
      <c r="AH688" s="1232"/>
      <c r="AI688" s="1232"/>
      <c r="AJ688" s="1232"/>
      <c r="AK688" s="1232"/>
      <c r="AZ688" s="3"/>
      <c r="BA688" s="85" t="str">
        <f t="shared" si="49"/>
        <v>N/A</v>
      </c>
      <c r="BB688" s="3"/>
      <c r="BF688" s="143"/>
      <c r="BG688" s="217">
        <f t="shared" si="50"/>
        <v>0</v>
      </c>
      <c r="BH688" s="220">
        <f t="shared" si="51"/>
        <v>0</v>
      </c>
      <c r="BI688" s="221" t="str">
        <f t="shared" si="52"/>
        <v/>
      </c>
      <c r="BL688" s="3"/>
      <c r="BM688" s="3"/>
      <c r="BN688" s="3"/>
      <c r="BO688" s="3"/>
      <c r="BT688" s="217">
        <f t="shared" si="53"/>
        <v>0</v>
      </c>
      <c r="BU688" s="220">
        <f t="shared" si="54"/>
        <v>0</v>
      </c>
      <c r="BV688" s="221" t="str">
        <f t="shared" si="55"/>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1487</v>
      </c>
      <c r="N689" s="1234" t="s">
        <v>894</v>
      </c>
      <c r="O689" s="1234"/>
      <c r="U689" t="s">
        <v>1487</v>
      </c>
      <c r="AG689" s="1234" t="s">
        <v>894</v>
      </c>
      <c r="AH689" s="1234"/>
      <c r="AZ689" s="3"/>
      <c r="BA689" s="85" t="str">
        <f t="shared" si="49"/>
        <v>N/A</v>
      </c>
      <c r="BB689" s="3"/>
      <c r="BF689" s="143"/>
      <c r="BG689" s="217">
        <f t="shared" si="50"/>
        <v>0</v>
      </c>
      <c r="BH689" s="220">
        <f t="shared" si="51"/>
        <v>0</v>
      </c>
      <c r="BI689" s="221" t="str">
        <f t="shared" si="52"/>
        <v/>
      </c>
      <c r="BL689" s="3"/>
      <c r="BM689" s="3"/>
      <c r="BN689" s="3"/>
      <c r="BO689" s="3"/>
      <c r="BT689" s="217">
        <f t="shared" si="53"/>
        <v>0</v>
      </c>
      <c r="BU689" s="220">
        <f t="shared" si="54"/>
        <v>0</v>
      </c>
      <c r="BV689" s="221" t="str">
        <f t="shared" si="55"/>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85" t="str">
        <f t="shared" si="49"/>
        <v>N/A</v>
      </c>
      <c r="BB690" s="3"/>
      <c r="BF690" s="143"/>
      <c r="BG690" s="217">
        <f t="shared" si="50"/>
        <v>0</v>
      </c>
      <c r="BH690" s="220">
        <f t="shared" si="51"/>
        <v>0</v>
      </c>
      <c r="BI690" s="221" t="str">
        <f t="shared" si="52"/>
        <v/>
      </c>
      <c r="BL690" s="3"/>
      <c r="BM690" s="3"/>
      <c r="BN690" s="3"/>
      <c r="BO690" s="3"/>
      <c r="BT690" s="217">
        <f t="shared" si="53"/>
        <v>0</v>
      </c>
      <c r="BU690" s="220">
        <f t="shared" si="54"/>
        <v>0</v>
      </c>
      <c r="BV690" s="221" t="str">
        <f t="shared" si="55"/>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962</v>
      </c>
      <c r="C691" s="2" t="s">
        <v>178</v>
      </c>
      <c r="E691" s="96"/>
      <c r="F691" s="96"/>
      <c r="G691" s="96"/>
      <c r="H691" s="96"/>
      <c r="AZ691" s="3"/>
      <c r="BA691" s="85" t="str">
        <f t="shared" si="49"/>
        <v>N/A</v>
      </c>
      <c r="BB691" s="3"/>
      <c r="BF691" s="143"/>
      <c r="BG691" s="217">
        <f t="shared" si="50"/>
        <v>0</v>
      </c>
      <c r="BH691" s="220">
        <f t="shared" si="51"/>
        <v>0</v>
      </c>
      <c r="BI691" s="221" t="str">
        <f t="shared" si="52"/>
        <v/>
      </c>
      <c r="BL691" s="3"/>
      <c r="BM691" s="3"/>
      <c r="BN691" s="3"/>
      <c r="BO691" s="3"/>
      <c r="BT691" s="217">
        <f t="shared" si="53"/>
        <v>0</v>
      </c>
      <c r="BU691" s="220">
        <f t="shared" si="54"/>
        <v>0</v>
      </c>
      <c r="BV691" s="221" t="str">
        <f t="shared" si="55"/>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00"/>
      <c r="C692" s="100"/>
      <c r="D692" s="952" t="s">
        <v>1539</v>
      </c>
      <c r="E692" s="100"/>
      <c r="F692" s="100"/>
      <c r="G692" s="100"/>
      <c r="H692" s="100"/>
      <c r="AZ692" s="3"/>
      <c r="BA692" s="85" t="str">
        <f t="shared" si="49"/>
        <v>N/A</v>
      </c>
      <c r="BB692" s="3"/>
      <c r="BC692" s="3"/>
      <c r="BF692" s="143"/>
      <c r="BG692" s="217">
        <f t="shared" si="50"/>
        <v>0</v>
      </c>
      <c r="BH692" s="220">
        <f t="shared" si="51"/>
        <v>0</v>
      </c>
      <c r="BI692" s="221" t="str">
        <f t="shared" ref="BI692:BI697" si="56">IF(BH692=0,"",BH692*AC752)</f>
        <v/>
      </c>
      <c r="BM692" s="3"/>
      <c r="BN692" s="3"/>
      <c r="BO692" s="3"/>
      <c r="BT692" s="217">
        <f t="shared" si="53"/>
        <v>0</v>
      </c>
      <c r="BU692" s="220">
        <f t="shared" si="54"/>
        <v>0</v>
      </c>
      <c r="BV692" s="221" t="str">
        <f t="shared" si="55"/>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00"/>
      <c r="C693" s="100"/>
      <c r="E693" s="952" t="s">
        <v>1540</v>
      </c>
      <c r="F693" s="100"/>
      <c r="G693" s="100"/>
      <c r="H693" s="100"/>
      <c r="AE693" s="1234" t="s">
        <v>837</v>
      </c>
      <c r="AF693" s="1234"/>
      <c r="AZ693" s="3"/>
      <c r="BA693" s="85" t="str">
        <f t="shared" si="49"/>
        <v>N/A</v>
      </c>
      <c r="BB693" s="3"/>
      <c r="BC693" s="3"/>
      <c r="BD693" s="3"/>
      <c r="BG693" s="217">
        <f t="shared" si="50"/>
        <v>0</v>
      </c>
      <c r="BH693" s="220">
        <f t="shared" si="51"/>
        <v>0</v>
      </c>
      <c r="BI693" s="221" t="str">
        <f t="shared" si="56"/>
        <v/>
      </c>
      <c r="BT693" s="217">
        <f t="shared" si="53"/>
        <v>0</v>
      </c>
      <c r="BU693" s="220">
        <f t="shared" si="54"/>
        <v>0</v>
      </c>
      <c r="BV693" s="221" t="str">
        <f t="shared" si="55"/>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00"/>
      <c r="C694" s="100"/>
      <c r="D694" s="952" t="s">
        <v>1541</v>
      </c>
      <c r="E694" s="100"/>
      <c r="F694" s="100"/>
      <c r="G694" s="100"/>
      <c r="H694" s="100"/>
      <c r="AE694" s="1234" t="s">
        <v>894</v>
      </c>
      <c r="AF694" s="1234"/>
      <c r="AZ694" s="3"/>
      <c r="BA694" s="85" t="str">
        <f t="shared" si="49"/>
        <v>N/A</v>
      </c>
      <c r="BB694" s="3"/>
      <c r="BC694" s="3"/>
      <c r="BD694" s="3"/>
      <c r="BE694" s="3"/>
      <c r="BF694" s="3"/>
      <c r="BG694" s="217">
        <f t="shared" si="50"/>
        <v>0</v>
      </c>
      <c r="BH694" s="220">
        <f t="shared" si="51"/>
        <v>0</v>
      </c>
      <c r="BI694" s="221" t="str">
        <f t="shared" si="56"/>
        <v/>
      </c>
      <c r="BJ694" s="3"/>
      <c r="BK694" s="3"/>
      <c r="BL694" s="3"/>
      <c r="BM694" s="3"/>
      <c r="BN694" s="3"/>
      <c r="BO694" s="3"/>
      <c r="BT694" s="217">
        <f t="shared" si="53"/>
        <v>0</v>
      </c>
      <c r="BU694" s="220">
        <f t="shared" si="54"/>
        <v>0</v>
      </c>
      <c r="BV694" s="221" t="str">
        <f t="shared" si="55"/>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00"/>
      <c r="C695" s="100"/>
      <c r="D695" s="952" t="s">
        <v>1542</v>
      </c>
      <c r="E695" s="100"/>
      <c r="F695" s="100"/>
      <c r="G695" s="100"/>
      <c r="H695" s="100"/>
      <c r="AE695" s="1338">
        <v>45531</v>
      </c>
      <c r="AF695" s="1338"/>
      <c r="AG695" s="1338"/>
      <c r="AH695" s="1338"/>
      <c r="AI695" s="1338"/>
      <c r="AZ695" s="3"/>
      <c r="BA695" s="85" t="str">
        <f t="shared" si="49"/>
        <v>N/A</v>
      </c>
      <c r="BB695" s="3"/>
      <c r="BC695" s="3"/>
      <c r="BD695" s="3"/>
      <c r="BE695" s="3"/>
      <c r="BF695" s="3"/>
      <c r="BG695" s="217">
        <f t="shared" si="50"/>
        <v>0</v>
      </c>
      <c r="BH695" s="220">
        <f t="shared" si="51"/>
        <v>0</v>
      </c>
      <c r="BI695" s="221" t="str">
        <f t="shared" si="56"/>
        <v/>
      </c>
      <c r="BJ695" s="3"/>
      <c r="BK695" s="3"/>
      <c r="BL695" s="3"/>
      <c r="BM695" s="3"/>
      <c r="BN695" s="3"/>
      <c r="BO695" s="3"/>
      <c r="BT695" s="217">
        <f t="shared" si="53"/>
        <v>0</v>
      </c>
      <c r="BU695" s="220">
        <f t="shared" si="54"/>
        <v>0</v>
      </c>
      <c r="BV695" s="221" t="str">
        <f t="shared" si="55"/>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00"/>
      <c r="C696" s="100"/>
      <c r="D696" s="240" t="s">
        <v>1543</v>
      </c>
      <c r="E696" s="100"/>
      <c r="F696" s="100"/>
      <c r="G696" s="100"/>
      <c r="H696" s="100"/>
      <c r="AE696" s="1584">
        <v>45637</v>
      </c>
      <c r="AF696" s="1584"/>
      <c r="AG696" s="1584"/>
      <c r="AH696" s="1584"/>
      <c r="AI696" s="1584"/>
      <c r="AZ696" s="3"/>
      <c r="BA696" s="85" t="str">
        <f t="shared" si="49"/>
        <v>N/A</v>
      </c>
      <c r="BB696" s="3"/>
      <c r="BC696" s="3"/>
      <c r="BD696" s="3"/>
      <c r="BE696" s="3"/>
      <c r="BF696" s="3"/>
      <c r="BG696" s="217">
        <f t="shared" si="50"/>
        <v>0</v>
      </c>
      <c r="BH696" s="220">
        <f t="shared" si="51"/>
        <v>0</v>
      </c>
      <c r="BI696" s="221" t="str">
        <f t="shared" si="56"/>
        <v/>
      </c>
      <c r="BJ696" s="3"/>
      <c r="BK696" s="3"/>
      <c r="BL696" s="3"/>
      <c r="BM696" s="3"/>
      <c r="BN696" s="3"/>
      <c r="BO696" s="3"/>
      <c r="BT696" s="217">
        <f t="shared" si="53"/>
        <v>0</v>
      </c>
      <c r="BU696" s="220">
        <f t="shared" si="54"/>
        <v>0</v>
      </c>
      <c r="BV696" s="221" t="str">
        <f t="shared" si="55"/>
        <v/>
      </c>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00"/>
      <c r="C697" s="100"/>
      <c r="AZ697" s="3"/>
      <c r="BA697" s="85" t="str">
        <f t="shared" si="49"/>
        <v>N/A</v>
      </c>
      <c r="BB697" s="3"/>
      <c r="BC697" s="3"/>
      <c r="BD697" s="3"/>
      <c r="BE697" s="3"/>
      <c r="BF697" s="3"/>
      <c r="BG697" s="217">
        <f t="shared" si="50"/>
        <v>0</v>
      </c>
      <c r="BH697" s="220">
        <f t="shared" si="51"/>
        <v>0</v>
      </c>
      <c r="BI697" s="221" t="str">
        <f t="shared" si="56"/>
        <v/>
      </c>
      <c r="BJ697" s="3"/>
      <c r="BK697" s="3"/>
      <c r="BL697" s="3"/>
      <c r="BM697" s="3"/>
      <c r="BN697" s="3"/>
      <c r="BO697" s="3"/>
      <c r="BT697" s="217">
        <f t="shared" si="53"/>
        <v>0</v>
      </c>
      <c r="BU697" s="220">
        <f t="shared" si="54"/>
        <v>0</v>
      </c>
      <c r="BV697" s="221" t="str">
        <f t="shared" si="55"/>
        <v/>
      </c>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00"/>
      <c r="C698" s="100"/>
      <c r="D698" s="952" t="s">
        <v>1544</v>
      </c>
      <c r="E698" s="100"/>
      <c r="F698" s="100"/>
      <c r="G698" s="100"/>
      <c r="H698" s="100"/>
      <c r="AE698" s="1338">
        <v>45637</v>
      </c>
      <c r="AF698" s="1338"/>
      <c r="AG698" s="1338"/>
      <c r="AH698" s="1338"/>
      <c r="AI698" s="1338"/>
      <c r="AZ698" s="3"/>
      <c r="BA698" s="85" t="str">
        <f t="shared" si="49"/>
        <v>N/A</v>
      </c>
      <c r="BB698" s="3"/>
      <c r="BC698" s="3"/>
      <c r="BD698" s="3"/>
      <c r="BE698" s="3"/>
      <c r="BF698" s="3"/>
      <c r="BG698" s="217">
        <f t="shared" si="50"/>
        <v>0</v>
      </c>
      <c r="BH698" s="220">
        <f t="shared" si="51"/>
        <v>0</v>
      </c>
      <c r="BI698" s="221" t="str">
        <f>IF(BH698=0,"",BH698*AC759)</f>
        <v/>
      </c>
      <c r="BJ698" s="3"/>
      <c r="BK698" s="3"/>
      <c r="BL698" s="3"/>
      <c r="BM698" s="3"/>
      <c r="BN698" s="3"/>
      <c r="BO698" s="3"/>
      <c r="BT698" s="217">
        <f t="shared" si="53"/>
        <v>0</v>
      </c>
      <c r="BU698" s="220">
        <f t="shared" si="54"/>
        <v>0</v>
      </c>
      <c r="BV698" s="221" t="str">
        <f t="shared" si="55"/>
        <v/>
      </c>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00"/>
      <c r="C699" s="100"/>
      <c r="D699" s="952" t="s">
        <v>1545</v>
      </c>
      <c r="E699" s="100"/>
      <c r="F699" s="100"/>
      <c r="G699" s="100"/>
      <c r="H699" s="100"/>
      <c r="AE699" s="1385">
        <v>0.50249999999999995</v>
      </c>
      <c r="AF699" s="1385"/>
      <c r="AG699" s="1385"/>
      <c r="AH699" s="1385"/>
      <c r="AI699" s="1385"/>
      <c r="AZ699" s="3"/>
      <c r="BA699" s="85" t="str">
        <f t="shared" si="49"/>
        <v>N/A</v>
      </c>
      <c r="BB699" s="3"/>
      <c r="BC699" s="3"/>
      <c r="BD699" s="3"/>
      <c r="BE699" s="3"/>
      <c r="BF699" s="3"/>
      <c r="BG699" s="217">
        <f t="shared" si="50"/>
        <v>0</v>
      </c>
      <c r="BH699" s="220">
        <f t="shared" si="51"/>
        <v>0</v>
      </c>
      <c r="BI699" s="221" t="str">
        <f>IF(BH699=0,"",BH699*AC760)</f>
        <v/>
      </c>
      <c r="BJ699" s="3"/>
      <c r="BK699" s="3"/>
      <c r="BL699" s="3"/>
      <c r="BM699" s="3"/>
      <c r="BN699" s="3"/>
      <c r="BO699" s="3"/>
      <c r="BT699" s="217">
        <f t="shared" si="53"/>
        <v>0</v>
      </c>
      <c r="BU699" s="220">
        <f t="shared" si="54"/>
        <v>0</v>
      </c>
      <c r="BV699" s="221" t="str">
        <f t="shared" si="55"/>
        <v/>
      </c>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00"/>
      <c r="C700" s="100"/>
      <c r="D700" s="952" t="s">
        <v>1546</v>
      </c>
      <c r="E700" s="100"/>
      <c r="F700" s="100"/>
      <c r="G700" s="100"/>
      <c r="H700" s="100"/>
      <c r="W700" s="1290" t="str">
        <f>H335</f>
        <v>California Housing Finance Agency</v>
      </c>
      <c r="X700" s="1290"/>
      <c r="Y700" s="1290"/>
      <c r="Z700" s="1290"/>
      <c r="AA700" s="1290"/>
      <c r="AB700" s="1290"/>
      <c r="AC700" s="1290"/>
      <c r="AD700" s="1290"/>
      <c r="AE700" s="1290"/>
      <c r="AF700" s="1290"/>
      <c r="AG700" s="1290"/>
      <c r="AH700" s="1290"/>
      <c r="AI700" s="1290"/>
      <c r="AJ700" s="1290"/>
      <c r="AK700" s="1290"/>
      <c r="AZ700" s="3"/>
      <c r="BA700" s="85" t="str">
        <f>IF($G751=0,"N/A",VLOOKUP($T$189,TC_Rent,(MATCH($B751,bedrooms,FALSE))))</f>
        <v>N/A</v>
      </c>
      <c r="BB700" s="3"/>
      <c r="BC700" s="3"/>
      <c r="BD700" s="3"/>
      <c r="BE700" s="3"/>
      <c r="BF700" s="3"/>
      <c r="BG700" s="217">
        <f t="shared" si="50"/>
        <v>0</v>
      </c>
      <c r="BH700" s="220">
        <f t="shared" si="51"/>
        <v>0</v>
      </c>
      <c r="BI700" s="221" t="str">
        <f>IF(BH700=0,"",BH700*AC761)</f>
        <v/>
      </c>
      <c r="BJ700" s="3"/>
      <c r="BK700" s="3"/>
      <c r="BL700" s="3"/>
      <c r="BM700" s="3"/>
      <c r="BN700" s="3"/>
      <c r="BO700" s="3"/>
      <c r="BT700" s="217">
        <f t="shared" si="53"/>
        <v>0</v>
      </c>
      <c r="BU700" s="220">
        <f t="shared" si="54"/>
        <v>0</v>
      </c>
      <c r="BV700" s="221" t="str">
        <f t="shared" si="55"/>
        <v/>
      </c>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00"/>
      <c r="C701" s="100"/>
      <c r="D701" s="952"/>
      <c r="E701" s="100"/>
      <c r="F701" s="100"/>
      <c r="G701" s="100"/>
      <c r="H701" s="100"/>
      <c r="AZ701" s="3"/>
      <c r="BA701" s="85" t="str">
        <f>IF($G752=0,"N/A",VLOOKUP($T$189,TC_Rent,(MATCH($B752,bedrooms,FALSE))))</f>
        <v>N/A</v>
      </c>
      <c r="BB701" s="3"/>
      <c r="BC701" s="3"/>
      <c r="BD701" s="3"/>
      <c r="BE701" s="3"/>
      <c r="BF701" s="3"/>
      <c r="BG701" s="217">
        <f t="shared" ref="BG701" si="57">G751</f>
        <v>0</v>
      </c>
      <c r="BH701" s="220">
        <f t="shared" si="51"/>
        <v>0</v>
      </c>
      <c r="BI701" s="221" t="str">
        <f>IF(BH701=0,"",BH701*AC762)</f>
        <v/>
      </c>
      <c r="BJ701" s="3"/>
      <c r="BK701" s="3"/>
      <c r="BL701" s="3"/>
      <c r="BM701" s="3"/>
      <c r="BN701" s="3"/>
      <c r="BO701" s="3"/>
      <c r="BT701" s="217">
        <f t="shared" ref="BT701" si="58">G751</f>
        <v>0</v>
      </c>
      <c r="BU701" s="220">
        <f t="shared" si="54"/>
        <v>0</v>
      </c>
      <c r="BV701" s="221" t="str">
        <f t="shared" ref="BV701" si="59">IF(BU701=0,"",BU701*AH751)</f>
        <v/>
      </c>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00"/>
      <c r="C702" s="100"/>
      <c r="D702" s="952" t="s">
        <v>1547</v>
      </c>
      <c r="E702" s="100"/>
      <c r="F702" s="100"/>
      <c r="G702" s="100"/>
      <c r="H702" s="100"/>
      <c r="AE702" s="1234" t="s">
        <v>894</v>
      </c>
      <c r="AF702" s="1234"/>
      <c r="AZ702" s="3"/>
      <c r="BA702" s="3"/>
      <c r="BB702" s="3"/>
      <c r="BC702" s="3"/>
      <c r="BD702" s="3"/>
      <c r="BE702" s="3"/>
      <c r="BG702" s="217">
        <f>G752</f>
        <v>0</v>
      </c>
      <c r="BH702" s="220">
        <f t="shared" si="51"/>
        <v>0</v>
      </c>
      <c r="BI702" s="221" t="str">
        <f>IF(BH702=0,"",BH702*AC762)</f>
        <v/>
      </c>
      <c r="BJ702" s="3"/>
      <c r="BK702" s="3"/>
      <c r="BL702" s="3"/>
      <c r="BM702" s="3"/>
      <c r="BN702" s="3"/>
      <c r="BO702" s="3"/>
      <c r="BT702" s="784">
        <f>G752</f>
        <v>0</v>
      </c>
      <c r="BU702" s="220">
        <f t="shared" si="54"/>
        <v>0</v>
      </c>
      <c r="BV702" s="221" t="str">
        <f>IF(BU702=0,"",BU702*AH752)</f>
        <v/>
      </c>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00"/>
      <c r="C703" s="100"/>
      <c r="D703" s="952" t="s">
        <v>1548</v>
      </c>
      <c r="E703" s="100"/>
      <c r="F703" s="100"/>
      <c r="G703" s="100"/>
      <c r="H703" s="100"/>
      <c r="W703" s="1232"/>
      <c r="X703" s="1232"/>
      <c r="Y703" s="1232"/>
      <c r="Z703" s="1232"/>
      <c r="AA703" s="1232"/>
      <c r="AB703" s="1232"/>
      <c r="AC703" s="1232"/>
      <c r="AD703" s="1232"/>
      <c r="AE703" s="1232"/>
      <c r="AF703" s="1232"/>
      <c r="AG703" s="1232"/>
      <c r="AH703" s="1232"/>
      <c r="AI703" s="1232"/>
      <c r="AJ703" s="1232"/>
      <c r="AK703" s="1232"/>
      <c r="AZ703" s="3"/>
      <c r="BA703" s="3"/>
      <c r="BB703" s="3"/>
      <c r="BC703" s="3"/>
      <c r="BD703" s="3"/>
      <c r="BE703" s="3"/>
      <c r="BF703" s="214" t="s">
        <v>1549</v>
      </c>
      <c r="BG703" s="222">
        <f>SUM(BG668:BG702)</f>
        <v>47</v>
      </c>
      <c r="BH703" s="223">
        <f>SUM(BH668:BH702)</f>
        <v>0.99999999999999989</v>
      </c>
      <c r="BI703" s="223">
        <f>SUM(BI668:BI702)</f>
        <v>0.45744680851063824</v>
      </c>
      <c r="BN703" s="3"/>
      <c r="BO703" s="3"/>
      <c r="BT703" s="783">
        <f>SUM(BT668:BT702)</f>
        <v>47</v>
      </c>
      <c r="BU703" s="223">
        <f>SUM(BU668:BU702)</f>
        <v>0.99999999999999989</v>
      </c>
      <c r="BV703" s="223">
        <f>SUM(BV668:BV702)</f>
        <v>0.45744680851063824</v>
      </c>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00"/>
      <c r="C704" s="100"/>
      <c r="D704" s="952" t="s">
        <v>1115</v>
      </c>
      <c r="E704" s="100"/>
      <c r="F704" s="100"/>
      <c r="G704" s="100"/>
      <c r="H704" s="100"/>
      <c r="J704" s="1232"/>
      <c r="K704" s="1232"/>
      <c r="L704" s="1232"/>
      <c r="M704" s="1232"/>
      <c r="N704" s="1232"/>
      <c r="O704" s="1232"/>
      <c r="P704" s="1232"/>
      <c r="Q704" s="1232"/>
      <c r="R704" s="1232"/>
      <c r="S704" s="1232"/>
      <c r="T704" s="1232"/>
      <c r="U704" s="1232"/>
      <c r="V704" s="1232"/>
      <c r="W704" s="1232"/>
      <c r="X704" s="1232"/>
      <c r="AZ704" s="3"/>
      <c r="BA704" s="3"/>
      <c r="BB704" s="3"/>
      <c r="BC704" s="3"/>
      <c r="BD704" s="3"/>
      <c r="BE704" s="3"/>
      <c r="BF704" s="3"/>
      <c r="BJ704" s="3"/>
      <c r="BK704" s="3"/>
      <c r="BL704" s="3"/>
      <c r="BM704" s="3"/>
      <c r="BN704" s="3"/>
      <c r="BO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00"/>
      <c r="C705" s="100"/>
      <c r="D705" s="952" t="s">
        <v>1117</v>
      </c>
      <c r="J705" s="1348"/>
      <c r="K705" s="1348"/>
      <c r="L705" s="1348"/>
      <c r="M705" s="1348"/>
      <c r="N705" s="1348"/>
      <c r="O705" s="1348"/>
      <c r="P705" s="3" t="s">
        <v>1119</v>
      </c>
      <c r="Q705" s="3"/>
      <c r="R705" s="1309"/>
      <c r="S705" s="1309"/>
      <c r="T705" s="1309"/>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00"/>
      <c r="C706" s="100"/>
      <c r="D706" s="952" t="s">
        <v>1550</v>
      </c>
      <c r="W706" s="1232" t="s">
        <v>294</v>
      </c>
      <c r="X706" s="1232"/>
      <c r="Y706" s="1232"/>
      <c r="Z706" s="1232"/>
      <c r="AA706" s="1232"/>
      <c r="AB706" s="1232"/>
      <c r="AC706" s="1232"/>
      <c r="AD706" s="1232"/>
      <c r="AE706" s="1232"/>
      <c r="AF706" s="1232"/>
      <c r="AG706" s="1232"/>
      <c r="AH706" s="1232"/>
      <c r="AI706" s="1232"/>
      <c r="AJ706" s="1232"/>
      <c r="AK706" s="1232"/>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00"/>
      <c r="C707" s="100"/>
      <c r="D707" s="952"/>
      <c r="E707" s="1232" t="s">
        <v>1401</v>
      </c>
      <c r="F707" s="1232"/>
      <c r="G707" s="1232"/>
      <c r="H707" s="1232"/>
      <c r="I707" s="1232"/>
      <c r="J707" s="1232"/>
      <c r="K707" s="1232"/>
      <c r="L707" s="1232"/>
      <c r="M707" s="1232"/>
      <c r="N707" s="1232"/>
      <c r="O707" s="1232"/>
      <c r="P707" s="1232"/>
      <c r="Q707" s="1232"/>
      <c r="R707" s="1232"/>
      <c r="S707" s="1232"/>
      <c r="T707" s="1232"/>
      <c r="U707" s="1232"/>
      <c r="V707" s="1232"/>
      <c r="W707" s="1232"/>
      <c r="X707" s="1232"/>
      <c r="Y707" s="1232"/>
      <c r="Z707" s="1232"/>
      <c r="AA707" s="1232"/>
      <c r="AB707" s="1232"/>
      <c r="AC707" s="1232"/>
      <c r="AD707" s="1232"/>
      <c r="AE707" s="1232"/>
      <c r="AF707" s="1232"/>
      <c r="AG707" s="1232"/>
      <c r="AH707" s="1232"/>
      <c r="AI707" s="1232"/>
      <c r="AJ707" s="1232"/>
      <c r="AK707" s="1232"/>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157" t="s">
        <v>1551</v>
      </c>
      <c r="B709" s="1157"/>
      <c r="C709" s="1157"/>
      <c r="D709" s="1157"/>
      <c r="E709" s="1157"/>
      <c r="F709" s="1157"/>
      <c r="G709" s="1157"/>
      <c r="H709" s="1157"/>
      <c r="I709" s="1157"/>
      <c r="J709" s="1157"/>
      <c r="K709" s="1157"/>
      <c r="L709" s="1157"/>
      <c r="M709" s="1157"/>
      <c r="N709" s="1157"/>
      <c r="O709" s="1157"/>
      <c r="P709" s="1157"/>
      <c r="Q709" s="1157"/>
      <c r="R709" s="1157"/>
      <c r="S709" s="1157"/>
      <c r="T709" s="1157"/>
      <c r="U709" s="1157"/>
      <c r="V709" s="1157"/>
      <c r="W709" s="1157"/>
      <c r="X709" s="1157"/>
      <c r="Y709" s="1157"/>
      <c r="Z709" s="1157"/>
      <c r="AA709" s="1157"/>
      <c r="AB709" s="1157"/>
      <c r="AC709" s="1157"/>
      <c r="AD709" s="1157"/>
      <c r="AE709" s="1157"/>
      <c r="AF709" s="1157"/>
      <c r="AG709" s="1157"/>
      <c r="AH709" s="1157"/>
      <c r="AI709" s="1157"/>
      <c r="AJ709" s="1157"/>
      <c r="AK709" s="1157"/>
      <c r="AL709" s="1157"/>
      <c r="AM709" s="1157"/>
      <c r="AN709" s="1157"/>
      <c r="AO709" s="1157"/>
      <c r="AP709" s="1157"/>
      <c r="AQ709" s="1157"/>
      <c r="AR709" s="1157"/>
      <c r="AS709" s="1157"/>
      <c r="AT709" s="1157"/>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157"/>
      <c r="B710" s="1157"/>
      <c r="C710" s="1157"/>
      <c r="D710" s="1157"/>
      <c r="E710" s="1157"/>
      <c r="F710" s="1157"/>
      <c r="G710" s="1157"/>
      <c r="H710" s="1157"/>
      <c r="I710" s="1157"/>
      <c r="J710" s="1157"/>
      <c r="K710" s="1157"/>
      <c r="L710" s="1157"/>
      <c r="M710" s="1157"/>
      <c r="N710" s="1157"/>
      <c r="O710" s="1157"/>
      <c r="P710" s="1157"/>
      <c r="Q710" s="1157"/>
      <c r="R710" s="1157"/>
      <c r="S710" s="1157"/>
      <c r="T710" s="1157"/>
      <c r="U710" s="1157"/>
      <c r="V710" s="1157"/>
      <c r="W710" s="1157"/>
      <c r="X710" s="1157"/>
      <c r="Y710" s="1157"/>
      <c r="Z710" s="1157"/>
      <c r="AA710" s="1157"/>
      <c r="AB710" s="1157"/>
      <c r="AC710" s="1157"/>
      <c r="AD710" s="1157"/>
      <c r="AE710" s="1157"/>
      <c r="AF710" s="1157"/>
      <c r="AG710" s="1157"/>
      <c r="AH710" s="1157"/>
      <c r="AI710" s="1157"/>
      <c r="AJ710" s="1157"/>
      <c r="AK710" s="1157"/>
      <c r="AL710" s="1157"/>
      <c r="AM710" s="1157"/>
      <c r="AN710" s="1157"/>
      <c r="AO710" s="1157"/>
      <c r="AP710" s="1157"/>
      <c r="AQ710" s="1157"/>
      <c r="AR710" s="1157"/>
      <c r="AS710" s="1157"/>
      <c r="AT710" s="1157"/>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157"/>
      <c r="B711" s="1157"/>
      <c r="C711" s="1157"/>
      <c r="D711" s="1157"/>
      <c r="E711" s="1157"/>
      <c r="F711" s="1157"/>
      <c r="G711" s="1157"/>
      <c r="H711" s="1157"/>
      <c r="I711" s="1157"/>
      <c r="J711" s="1157"/>
      <c r="K711" s="1157"/>
      <c r="L711" s="1157"/>
      <c r="M711" s="1157"/>
      <c r="N711" s="1157"/>
      <c r="O711" s="1157"/>
      <c r="P711" s="1157"/>
      <c r="Q711" s="1157"/>
      <c r="R711" s="1157"/>
      <c r="S711" s="1157"/>
      <c r="T711" s="1157"/>
      <c r="U711" s="1157"/>
      <c r="V711" s="1157"/>
      <c r="W711" s="1157"/>
      <c r="X711" s="1157"/>
      <c r="Y711" s="1157"/>
      <c r="Z711" s="1157"/>
      <c r="AA711" s="1157"/>
      <c r="AB711" s="1157"/>
      <c r="AC711" s="1157"/>
      <c r="AD711" s="1157"/>
      <c r="AE711" s="1157"/>
      <c r="AF711" s="1157"/>
      <c r="AG711" s="1157"/>
      <c r="AH711" s="1157"/>
      <c r="AI711" s="1157"/>
      <c r="AJ711" s="1157"/>
      <c r="AK711" s="1157"/>
      <c r="AL711" s="1157"/>
      <c r="AM711" s="1157"/>
      <c r="AN711" s="1157"/>
      <c r="AO711" s="1157"/>
      <c r="AP711" s="1157"/>
      <c r="AQ711" s="1157"/>
      <c r="AR711" s="1157"/>
      <c r="AS711" s="1157"/>
      <c r="AT711" s="1157"/>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921</v>
      </c>
      <c r="B712" s="2"/>
      <c r="C712" s="2" t="s">
        <v>1552</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437"/>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276" t="s">
        <v>1553</v>
      </c>
      <c r="C714" s="2462"/>
      <c r="D714" s="2462"/>
      <c r="E714" s="2462"/>
      <c r="F714" s="2463"/>
      <c r="G714" s="1276" t="s">
        <v>1554</v>
      </c>
      <c r="H714" s="2462"/>
      <c r="I714" s="2462"/>
      <c r="J714" s="2463"/>
      <c r="K714" s="1379" t="s">
        <v>1555</v>
      </c>
      <c r="L714" s="1380"/>
      <c r="M714" s="1380"/>
      <c r="N714" s="1381"/>
      <c r="O714" s="1276" t="s">
        <v>1556</v>
      </c>
      <c r="P714" s="2462"/>
      <c r="Q714" s="2462"/>
      <c r="R714" s="2462"/>
      <c r="S714" s="2463"/>
      <c r="T714" s="1276" t="s">
        <v>1557</v>
      </c>
      <c r="U714" s="2462"/>
      <c r="V714" s="2462"/>
      <c r="W714" s="2463"/>
      <c r="X714" s="1276" t="s">
        <v>1558</v>
      </c>
      <c r="Y714" s="2462"/>
      <c r="Z714" s="2462"/>
      <c r="AA714" s="2462"/>
      <c r="AB714" s="2463"/>
      <c r="AC714" s="1276" t="s">
        <v>1559</v>
      </c>
      <c r="AD714" s="2462"/>
      <c r="AE714" s="2462"/>
      <c r="AF714" s="2462"/>
      <c r="AG714" s="2463"/>
      <c r="AH714" s="1276" t="s">
        <v>1560</v>
      </c>
      <c r="AI714" s="2462"/>
      <c r="AJ714" s="2463"/>
      <c r="AK714" s="1276" t="s">
        <v>1561</v>
      </c>
      <c r="AL714" s="2462"/>
      <c r="AM714" s="2462"/>
      <c r="AN714" s="2462"/>
      <c r="AO714" s="2463"/>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2464"/>
      <c r="C715" s="2465"/>
      <c r="D715" s="2465"/>
      <c r="E715" s="2465"/>
      <c r="F715" s="2466"/>
      <c r="G715" s="2464"/>
      <c r="H715" s="2465"/>
      <c r="I715" s="2465"/>
      <c r="J715" s="2466"/>
      <c r="K715" s="1382"/>
      <c r="L715" s="1383"/>
      <c r="M715" s="1383"/>
      <c r="N715" s="1384"/>
      <c r="O715" s="2464"/>
      <c r="P715" s="2465"/>
      <c r="Q715" s="2465"/>
      <c r="R715" s="2465"/>
      <c r="S715" s="2466"/>
      <c r="T715" s="2464"/>
      <c r="U715" s="2465"/>
      <c r="V715" s="2465"/>
      <c r="W715" s="2466"/>
      <c r="X715" s="2464"/>
      <c r="Y715" s="2465"/>
      <c r="Z715" s="2465"/>
      <c r="AA715" s="2465"/>
      <c r="AB715" s="2466"/>
      <c r="AC715" s="2464"/>
      <c r="AD715" s="2465"/>
      <c r="AE715" s="2465"/>
      <c r="AF715" s="2465"/>
      <c r="AG715" s="2466"/>
      <c r="AH715" s="2464"/>
      <c r="AI715" s="2465"/>
      <c r="AJ715" s="2466"/>
      <c r="AK715" s="2464"/>
      <c r="AL715" s="2465"/>
      <c r="AM715" s="2465"/>
      <c r="AN715" s="2465"/>
      <c r="AO715" s="2466"/>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3"/>
      <c r="B716" s="2464"/>
      <c r="C716" s="2465"/>
      <c r="D716" s="2465"/>
      <c r="E716" s="2465"/>
      <c r="F716" s="2466"/>
      <c r="G716" s="2464"/>
      <c r="H716" s="2465"/>
      <c r="I716" s="2465"/>
      <c r="J716" s="2466"/>
      <c r="K716" s="1382"/>
      <c r="L716" s="1383"/>
      <c r="M716" s="1383"/>
      <c r="N716" s="1384"/>
      <c r="O716" s="2464"/>
      <c r="P716" s="2465"/>
      <c r="Q716" s="2465"/>
      <c r="R716" s="2465"/>
      <c r="S716" s="2466"/>
      <c r="T716" s="2464"/>
      <c r="U716" s="2465"/>
      <c r="V716" s="2465"/>
      <c r="W716" s="2466"/>
      <c r="X716" s="2464"/>
      <c r="Y716" s="2465"/>
      <c r="Z716" s="2465"/>
      <c r="AA716" s="2465"/>
      <c r="AB716" s="2466"/>
      <c r="AC716" s="2464"/>
      <c r="AD716" s="2465"/>
      <c r="AE716" s="2465"/>
      <c r="AF716" s="2465"/>
      <c r="AG716" s="2466"/>
      <c r="AH716" s="2464"/>
      <c r="AI716" s="2465"/>
      <c r="AJ716" s="2466"/>
      <c r="AK716" s="2464"/>
      <c r="AL716" s="2465"/>
      <c r="AM716" s="2465"/>
      <c r="AN716" s="2465"/>
      <c r="AO716" s="2466"/>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3"/>
      <c r="B717" s="2467"/>
      <c r="C717" s="2468"/>
      <c r="D717" s="2468"/>
      <c r="E717" s="2468"/>
      <c r="F717" s="2469"/>
      <c r="G717" s="2467"/>
      <c r="H717" s="2468"/>
      <c r="I717" s="2468"/>
      <c r="J717" s="2469"/>
      <c r="K717" s="1382"/>
      <c r="L717" s="1383"/>
      <c r="M717" s="1383"/>
      <c r="N717" s="1384"/>
      <c r="O717" s="2467"/>
      <c r="P717" s="2468"/>
      <c r="Q717" s="2468"/>
      <c r="R717" s="2468"/>
      <c r="S717" s="2469"/>
      <c r="T717" s="2467"/>
      <c r="U717" s="2468"/>
      <c r="V717" s="2468"/>
      <c r="W717" s="2469"/>
      <c r="X717" s="2467"/>
      <c r="Y717" s="2468"/>
      <c r="Z717" s="2468"/>
      <c r="AA717" s="2468"/>
      <c r="AB717" s="2469"/>
      <c r="AC717" s="2467"/>
      <c r="AD717" s="2468"/>
      <c r="AE717" s="2468"/>
      <c r="AF717" s="2468"/>
      <c r="AG717" s="2469"/>
      <c r="AH717" s="2467"/>
      <c r="AI717" s="2468"/>
      <c r="AJ717" s="2469"/>
      <c r="AK717" s="2467"/>
      <c r="AL717" s="2468"/>
      <c r="AM717" s="2468"/>
      <c r="AN717" s="2468"/>
      <c r="AO717" s="2469"/>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3"/>
      <c r="B718" s="2451" t="s">
        <v>1376</v>
      </c>
      <c r="C718" s="2452"/>
      <c r="D718" s="2452"/>
      <c r="E718" s="2452"/>
      <c r="F718" s="2453"/>
      <c r="G718" s="2470">
        <v>12</v>
      </c>
      <c r="H718" s="2471"/>
      <c r="I718" s="2471"/>
      <c r="J718" s="2472"/>
      <c r="K718" s="1238">
        <v>652</v>
      </c>
      <c r="L718" s="1239"/>
      <c r="M718" s="1239"/>
      <c r="N718" s="1240"/>
      <c r="O718" s="2473">
        <v>768</v>
      </c>
      <c r="P718" s="2474"/>
      <c r="Q718" s="2474"/>
      <c r="R718" s="2474"/>
      <c r="S718" s="2475"/>
      <c r="T718" s="2473">
        <v>84</v>
      </c>
      <c r="U718" s="2474"/>
      <c r="V718" s="2474"/>
      <c r="W718" s="2475"/>
      <c r="X718" s="2476">
        <f t="shared" ref="X718:X741" si="60">O718+T718</f>
        <v>852</v>
      </c>
      <c r="Y718" s="2408"/>
      <c r="Z718" s="2408"/>
      <c r="AA718" s="2408"/>
      <c r="AB718" s="2477"/>
      <c r="AC718" s="2478">
        <v>0.3</v>
      </c>
      <c r="AD718" s="2479"/>
      <c r="AE718" s="2479"/>
      <c r="AF718" s="2479"/>
      <c r="AG718" s="2480"/>
      <c r="AH718" s="2481">
        <f t="shared" ref="AH718:AH751" si="61">IF($AC718&gt;0,($X718/$BA667), "")</f>
        <v>0.3</v>
      </c>
      <c r="AI718" s="2482"/>
      <c r="AJ718" s="2483"/>
      <c r="AK718" s="2451" t="s">
        <v>1350</v>
      </c>
      <c r="AL718" s="2452"/>
      <c r="AM718" s="2452"/>
      <c r="AN718" s="2452"/>
      <c r="AO718" s="2453"/>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3"/>
      <c r="B719" s="2451" t="s">
        <v>1377</v>
      </c>
      <c r="C719" s="2452"/>
      <c r="D719" s="2452"/>
      <c r="E719" s="2452"/>
      <c r="F719" s="2453"/>
      <c r="G719" s="2470">
        <v>12</v>
      </c>
      <c r="H719" s="2471"/>
      <c r="I719" s="2471"/>
      <c r="J719" s="2472"/>
      <c r="K719" s="1238">
        <v>828</v>
      </c>
      <c r="L719" s="1239"/>
      <c r="M719" s="1239"/>
      <c r="N719" s="1240"/>
      <c r="O719" s="2473">
        <v>1935</v>
      </c>
      <c r="P719" s="2474"/>
      <c r="Q719" s="2474"/>
      <c r="R719" s="2474"/>
      <c r="S719" s="2475"/>
      <c r="T719" s="2473">
        <v>111</v>
      </c>
      <c r="U719" s="2474"/>
      <c r="V719" s="2474"/>
      <c r="W719" s="2475"/>
      <c r="X719" s="2476">
        <f t="shared" si="60"/>
        <v>2046</v>
      </c>
      <c r="Y719" s="2408"/>
      <c r="Z719" s="2408"/>
      <c r="AA719" s="2408"/>
      <c r="AB719" s="2477"/>
      <c r="AC719" s="2478">
        <v>0.6</v>
      </c>
      <c r="AD719" s="2479"/>
      <c r="AE719" s="2479"/>
      <c r="AF719" s="2479"/>
      <c r="AG719" s="2480"/>
      <c r="AH719" s="2481">
        <f t="shared" si="61"/>
        <v>0.6</v>
      </c>
      <c r="AI719" s="2482"/>
      <c r="AJ719" s="2483"/>
      <c r="AK719" s="2451" t="s">
        <v>299</v>
      </c>
      <c r="AL719" s="2452"/>
      <c r="AM719" s="2452"/>
      <c r="AN719" s="2452"/>
      <c r="AO719" s="2453"/>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3"/>
      <c r="B720" s="2451" t="s">
        <v>1377</v>
      </c>
      <c r="C720" s="2452"/>
      <c r="D720" s="2452"/>
      <c r="E720" s="2452"/>
      <c r="F720" s="2453"/>
      <c r="G720" s="2470">
        <v>4</v>
      </c>
      <c r="H720" s="2471"/>
      <c r="I720" s="2471"/>
      <c r="J720" s="2472"/>
      <c r="K720" s="1238">
        <v>828</v>
      </c>
      <c r="L720" s="1239"/>
      <c r="M720" s="1239"/>
      <c r="N720" s="1240"/>
      <c r="O720" s="2473">
        <v>1594</v>
      </c>
      <c r="P720" s="2474"/>
      <c r="Q720" s="2474"/>
      <c r="R720" s="2474"/>
      <c r="S720" s="2475"/>
      <c r="T720" s="2473">
        <v>111</v>
      </c>
      <c r="U720" s="2474"/>
      <c r="V720" s="2474"/>
      <c r="W720" s="2475"/>
      <c r="X720" s="2476">
        <f t="shared" si="60"/>
        <v>1705</v>
      </c>
      <c r="Y720" s="2408"/>
      <c r="Z720" s="2408"/>
      <c r="AA720" s="2408"/>
      <c r="AB720" s="2477"/>
      <c r="AC720" s="2478">
        <v>0.5</v>
      </c>
      <c r="AD720" s="2479"/>
      <c r="AE720" s="2479"/>
      <c r="AF720" s="2479"/>
      <c r="AG720" s="2480"/>
      <c r="AH720" s="2481">
        <f t="shared" si="61"/>
        <v>0.5</v>
      </c>
      <c r="AI720" s="2482"/>
      <c r="AJ720" s="2483"/>
      <c r="AK720" s="2451" t="s">
        <v>299</v>
      </c>
      <c r="AL720" s="2452"/>
      <c r="AM720" s="2452"/>
      <c r="AN720" s="2452"/>
      <c r="AO720" s="2453"/>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2451" t="s">
        <v>1377</v>
      </c>
      <c r="C721" s="2452"/>
      <c r="D721" s="2452"/>
      <c r="E721" s="2452"/>
      <c r="F721" s="2453"/>
      <c r="G721" s="2470">
        <v>4</v>
      </c>
      <c r="H721" s="2471"/>
      <c r="I721" s="2471"/>
      <c r="J721" s="2472"/>
      <c r="K721" s="1238">
        <v>828</v>
      </c>
      <c r="L721" s="1239"/>
      <c r="M721" s="1239"/>
      <c r="N721" s="1240"/>
      <c r="O721" s="2473">
        <v>1253</v>
      </c>
      <c r="P721" s="2474"/>
      <c r="Q721" s="2474"/>
      <c r="R721" s="2474"/>
      <c r="S721" s="2475"/>
      <c r="T721" s="2473">
        <v>111</v>
      </c>
      <c r="U721" s="2474"/>
      <c r="V721" s="2474"/>
      <c r="W721" s="2475"/>
      <c r="X721" s="2476">
        <f t="shared" si="60"/>
        <v>1364</v>
      </c>
      <c r="Y721" s="2408"/>
      <c r="Z721" s="2408"/>
      <c r="AA721" s="2408"/>
      <c r="AB721" s="2477"/>
      <c r="AC721" s="2478">
        <v>0.4</v>
      </c>
      <c r="AD721" s="2479"/>
      <c r="AE721" s="2479"/>
      <c r="AF721" s="2479"/>
      <c r="AG721" s="2480"/>
      <c r="AH721" s="2481">
        <f t="shared" si="61"/>
        <v>0.4</v>
      </c>
      <c r="AI721" s="2482"/>
      <c r="AJ721" s="2483"/>
      <c r="AK721" s="2451" t="s">
        <v>299</v>
      </c>
      <c r="AL721" s="2452"/>
      <c r="AM721" s="2452"/>
      <c r="AN721" s="2452"/>
      <c r="AO721" s="2453"/>
      <c r="AP721" s="3"/>
      <c r="AQ721" s="3"/>
      <c r="AR721" s="3"/>
      <c r="AS721" s="3"/>
      <c r="AY721" s="86"/>
      <c r="AZ721" s="86"/>
      <c r="BA721" s="86"/>
      <c r="BB721" s="86"/>
      <c r="BC721" s="8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2451" t="s">
        <v>1377</v>
      </c>
      <c r="C722" s="2452"/>
      <c r="D722" s="2452"/>
      <c r="E722" s="2452"/>
      <c r="F722" s="2453"/>
      <c r="G722" s="2470">
        <v>3</v>
      </c>
      <c r="H722" s="2471"/>
      <c r="I722" s="2471"/>
      <c r="J722" s="2472"/>
      <c r="K722" s="1238">
        <v>828</v>
      </c>
      <c r="L722" s="1239"/>
      <c r="M722" s="1239"/>
      <c r="N722" s="1240"/>
      <c r="O722" s="2473">
        <v>912</v>
      </c>
      <c r="P722" s="2474"/>
      <c r="Q722" s="2474"/>
      <c r="R722" s="2474"/>
      <c r="S722" s="2475"/>
      <c r="T722" s="2473">
        <v>111</v>
      </c>
      <c r="U722" s="2474"/>
      <c r="V722" s="2474"/>
      <c r="W722" s="2475"/>
      <c r="X722" s="2476">
        <f t="shared" si="60"/>
        <v>1023</v>
      </c>
      <c r="Y722" s="2408"/>
      <c r="Z722" s="2408"/>
      <c r="AA722" s="2408"/>
      <c r="AB722" s="2477"/>
      <c r="AC722" s="2478">
        <v>0.3</v>
      </c>
      <c r="AD722" s="2479"/>
      <c r="AE722" s="2479"/>
      <c r="AF722" s="2479"/>
      <c r="AG722" s="2480"/>
      <c r="AH722" s="2481">
        <f t="shared" si="61"/>
        <v>0.3</v>
      </c>
      <c r="AI722" s="2482"/>
      <c r="AJ722" s="2483"/>
      <c r="AK722" s="2451" t="s">
        <v>299</v>
      </c>
      <c r="AL722" s="2452"/>
      <c r="AM722" s="2452"/>
      <c r="AN722" s="2452"/>
      <c r="AO722" s="2453"/>
      <c r="AP722" s="3"/>
      <c r="AQ722" s="3"/>
      <c r="AR722" s="3"/>
      <c r="AS722" s="3"/>
      <c r="AY722" s="86"/>
      <c r="AZ722" s="86"/>
      <c r="BA722" s="86"/>
      <c r="BB722" s="86"/>
      <c r="BC722" s="8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2451" t="s">
        <v>1378</v>
      </c>
      <c r="C723" s="2452"/>
      <c r="D723" s="2452"/>
      <c r="E723" s="2452"/>
      <c r="F723" s="2453"/>
      <c r="G723" s="2470">
        <v>6</v>
      </c>
      <c r="H723" s="2471"/>
      <c r="I723" s="2471"/>
      <c r="J723" s="2472"/>
      <c r="K723" s="1238">
        <v>1127</v>
      </c>
      <c r="L723" s="1239"/>
      <c r="M723" s="1239"/>
      <c r="N723" s="1240"/>
      <c r="O723" s="2473">
        <v>2219</v>
      </c>
      <c r="P723" s="2474"/>
      <c r="Q723" s="2474"/>
      <c r="R723" s="2474"/>
      <c r="S723" s="2475"/>
      <c r="T723" s="2473">
        <v>145</v>
      </c>
      <c r="U723" s="2474"/>
      <c r="V723" s="2474"/>
      <c r="W723" s="2475"/>
      <c r="X723" s="2476">
        <f t="shared" si="60"/>
        <v>2364</v>
      </c>
      <c r="Y723" s="2408"/>
      <c r="Z723" s="2408"/>
      <c r="AA723" s="2408"/>
      <c r="AB723" s="2477"/>
      <c r="AC723" s="2478">
        <v>0.6</v>
      </c>
      <c r="AD723" s="2479"/>
      <c r="AE723" s="2479"/>
      <c r="AF723" s="2479"/>
      <c r="AG723" s="2480"/>
      <c r="AH723" s="2481">
        <f t="shared" si="61"/>
        <v>0.6</v>
      </c>
      <c r="AI723" s="2482"/>
      <c r="AJ723" s="2483"/>
      <c r="AK723" s="2451" t="s">
        <v>299</v>
      </c>
      <c r="AL723" s="2452"/>
      <c r="AM723" s="2452"/>
      <c r="AN723" s="2452"/>
      <c r="AO723" s="2453"/>
      <c r="AP723" s="3"/>
      <c r="AQ723" s="3"/>
      <c r="AR723" s="3"/>
      <c r="AS723" s="3"/>
      <c r="AY723" s="86"/>
      <c r="AZ723" s="86"/>
      <c r="BA723" s="86"/>
      <c r="BB723" s="86"/>
      <c r="BC723" s="8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2451" t="s">
        <v>1378</v>
      </c>
      <c r="C724" s="2452"/>
      <c r="D724" s="2452"/>
      <c r="E724" s="2452"/>
      <c r="F724" s="2453"/>
      <c r="G724" s="2470">
        <v>4</v>
      </c>
      <c r="H724" s="2471"/>
      <c r="I724" s="2471"/>
      <c r="J724" s="2472"/>
      <c r="K724" s="1238">
        <v>1127</v>
      </c>
      <c r="L724" s="1239"/>
      <c r="M724" s="1239"/>
      <c r="N724" s="1240"/>
      <c r="O724" s="2473">
        <v>1825</v>
      </c>
      <c r="P724" s="2474"/>
      <c r="Q724" s="2474"/>
      <c r="R724" s="2474"/>
      <c r="S724" s="2475"/>
      <c r="T724" s="2473">
        <v>145</v>
      </c>
      <c r="U724" s="2474"/>
      <c r="V724" s="2474"/>
      <c r="W724" s="2475"/>
      <c r="X724" s="2476">
        <f t="shared" si="60"/>
        <v>1970</v>
      </c>
      <c r="Y724" s="2408"/>
      <c r="Z724" s="2408"/>
      <c r="AA724" s="2408"/>
      <c r="AB724" s="2477"/>
      <c r="AC724" s="2478">
        <v>0.5</v>
      </c>
      <c r="AD724" s="2479"/>
      <c r="AE724" s="2479"/>
      <c r="AF724" s="2479"/>
      <c r="AG724" s="2480"/>
      <c r="AH724" s="2481">
        <f t="shared" si="61"/>
        <v>0.5</v>
      </c>
      <c r="AI724" s="2482"/>
      <c r="AJ724" s="2483"/>
      <c r="AK724" s="2451" t="s">
        <v>299</v>
      </c>
      <c r="AL724" s="2452"/>
      <c r="AM724" s="2452"/>
      <c r="AN724" s="2452"/>
      <c r="AO724" s="2453"/>
      <c r="AP724" s="3"/>
      <c r="AQ724" s="3"/>
      <c r="AR724" s="3"/>
      <c r="AS724" s="3"/>
      <c r="AY724" s="86"/>
      <c r="AZ724" s="86"/>
      <c r="BA724" s="86"/>
      <c r="BB724" s="86"/>
      <c r="BC724" s="8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2451" t="s">
        <v>1378</v>
      </c>
      <c r="C725" s="2452"/>
      <c r="D725" s="2452"/>
      <c r="E725" s="2452"/>
      <c r="F725" s="2453"/>
      <c r="G725" s="2470">
        <v>2</v>
      </c>
      <c r="H725" s="2471"/>
      <c r="I725" s="2471"/>
      <c r="J725" s="2472"/>
      <c r="K725" s="1238">
        <v>1127</v>
      </c>
      <c r="L725" s="1239"/>
      <c r="M725" s="1239"/>
      <c r="N725" s="1240"/>
      <c r="O725" s="2473">
        <v>1037</v>
      </c>
      <c r="P725" s="2474"/>
      <c r="Q725" s="2474"/>
      <c r="R725" s="2474"/>
      <c r="S725" s="2475"/>
      <c r="T725" s="2473">
        <v>145</v>
      </c>
      <c r="U725" s="2474"/>
      <c r="V725" s="2474"/>
      <c r="W725" s="2475"/>
      <c r="X725" s="2476">
        <f t="shared" si="60"/>
        <v>1182</v>
      </c>
      <c r="Y725" s="2408"/>
      <c r="Z725" s="2408"/>
      <c r="AA725" s="2408"/>
      <c r="AB725" s="2477"/>
      <c r="AC725" s="2478">
        <v>0.3</v>
      </c>
      <c r="AD725" s="2479"/>
      <c r="AE725" s="2479"/>
      <c r="AF725" s="2479"/>
      <c r="AG725" s="2480"/>
      <c r="AH725" s="2481">
        <f t="shared" si="61"/>
        <v>0.3</v>
      </c>
      <c r="AI725" s="2482"/>
      <c r="AJ725" s="2483"/>
      <c r="AK725" s="2451" t="s">
        <v>299</v>
      </c>
      <c r="AL725" s="2452"/>
      <c r="AM725" s="2452"/>
      <c r="AN725" s="2452"/>
      <c r="AO725" s="2453"/>
      <c r="AP725" s="3"/>
      <c r="AQ725" s="3"/>
      <c r="AR725" s="3"/>
      <c r="AS725" s="3"/>
      <c r="AY725" s="882"/>
      <c r="AZ725" s="882"/>
      <c r="BA725" s="882"/>
      <c r="BB725" s="882"/>
      <c r="BC725" s="882"/>
      <c r="BD725" s="3"/>
      <c r="BE725" s="3"/>
      <c r="BF725" s="3"/>
      <c r="BK725" s="3"/>
      <c r="BL725" s="3"/>
      <c r="BM725" s="3"/>
      <c r="BN725" s="3"/>
      <c r="BO725" s="3"/>
      <c r="BP725" s="209"/>
      <c r="BQ725" s="139"/>
      <c r="BR725" s="2484"/>
      <c r="BS725" s="2484"/>
      <c r="BT725" s="2484"/>
      <c r="BU725" s="2484"/>
      <c r="BV725" s="248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2451"/>
      <c r="C726" s="2452"/>
      <c r="D726" s="2452"/>
      <c r="E726" s="2452"/>
      <c r="F726" s="2453"/>
      <c r="G726" s="2470"/>
      <c r="H726" s="2471"/>
      <c r="I726" s="2471"/>
      <c r="J726" s="2472"/>
      <c r="K726" s="1238"/>
      <c r="L726" s="1239"/>
      <c r="M726" s="1239"/>
      <c r="N726" s="1240"/>
      <c r="O726" s="2473"/>
      <c r="P726" s="2474"/>
      <c r="Q726" s="2474"/>
      <c r="R726" s="2474"/>
      <c r="S726" s="2475"/>
      <c r="T726" s="2473"/>
      <c r="U726" s="2474"/>
      <c r="V726" s="2474"/>
      <c r="W726" s="2475"/>
      <c r="X726" s="2476">
        <f t="shared" si="60"/>
        <v>0</v>
      </c>
      <c r="Y726" s="2408"/>
      <c r="Z726" s="2408"/>
      <c r="AA726" s="2408"/>
      <c r="AB726" s="2477"/>
      <c r="AC726" s="2478"/>
      <c r="AD726" s="2479"/>
      <c r="AE726" s="2479"/>
      <c r="AF726" s="2479"/>
      <c r="AG726" s="2480"/>
      <c r="AH726" s="2481" t="str">
        <f t="shared" si="61"/>
        <v/>
      </c>
      <c r="AI726" s="2482"/>
      <c r="AJ726" s="2483"/>
      <c r="AK726" s="2451" t="s">
        <v>299</v>
      </c>
      <c r="AL726" s="2452"/>
      <c r="AM726" s="2452"/>
      <c r="AN726" s="2452"/>
      <c r="AO726" s="2453"/>
      <c r="AP726" s="3"/>
      <c r="AQ726" s="3"/>
      <c r="AR726" s="3"/>
      <c r="AS726" s="3"/>
      <c r="AY726" s="882"/>
      <c r="AZ726" s="882"/>
      <c r="BA726" s="882"/>
      <c r="BB726" s="882"/>
      <c r="BC726" s="882"/>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3"/>
      <c r="B727" s="2451"/>
      <c r="C727" s="2452"/>
      <c r="D727" s="2452"/>
      <c r="E727" s="2452"/>
      <c r="F727" s="2453"/>
      <c r="G727" s="2470"/>
      <c r="H727" s="2471"/>
      <c r="I727" s="2471"/>
      <c r="J727" s="2472"/>
      <c r="K727" s="1238"/>
      <c r="L727" s="1239"/>
      <c r="M727" s="1239"/>
      <c r="N727" s="1240"/>
      <c r="O727" s="2473"/>
      <c r="P727" s="2474"/>
      <c r="Q727" s="2474"/>
      <c r="R727" s="2474"/>
      <c r="S727" s="2475"/>
      <c r="T727" s="2473"/>
      <c r="U727" s="2474"/>
      <c r="V727" s="2474"/>
      <c r="W727" s="2475"/>
      <c r="X727" s="2476">
        <f t="shared" si="60"/>
        <v>0</v>
      </c>
      <c r="Y727" s="2408"/>
      <c r="Z727" s="2408"/>
      <c r="AA727" s="2408"/>
      <c r="AB727" s="2477"/>
      <c r="AC727" s="2478"/>
      <c r="AD727" s="2479"/>
      <c r="AE727" s="2479"/>
      <c r="AF727" s="2479"/>
      <c r="AG727" s="2480"/>
      <c r="AH727" s="2481" t="str">
        <f t="shared" si="61"/>
        <v/>
      </c>
      <c r="AI727" s="2482"/>
      <c r="AJ727" s="2483"/>
      <c r="AK727" s="2451" t="s">
        <v>299</v>
      </c>
      <c r="AL727" s="2452"/>
      <c r="AM727" s="2452"/>
      <c r="AN727" s="2452"/>
      <c r="AO727" s="2453"/>
      <c r="AP727" s="3"/>
      <c r="AQ727" s="3"/>
      <c r="AR727" s="3"/>
      <c r="AS727" s="3"/>
      <c r="AY727" s="882"/>
      <c r="AZ727" s="882"/>
      <c r="BA727" s="882"/>
      <c r="BB727" s="882"/>
      <c r="BC727" s="882"/>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3"/>
      <c r="B728" s="2451"/>
      <c r="C728" s="2452"/>
      <c r="D728" s="2452"/>
      <c r="E728" s="2452"/>
      <c r="F728" s="2453"/>
      <c r="G728" s="2470"/>
      <c r="H728" s="2471"/>
      <c r="I728" s="2471"/>
      <c r="J728" s="2472"/>
      <c r="K728" s="1238"/>
      <c r="L728" s="1239"/>
      <c r="M728" s="1239"/>
      <c r="N728" s="1240"/>
      <c r="O728" s="2473"/>
      <c r="P728" s="2474"/>
      <c r="Q728" s="2474"/>
      <c r="R728" s="2474"/>
      <c r="S728" s="2475"/>
      <c r="T728" s="2473"/>
      <c r="U728" s="2474"/>
      <c r="V728" s="2474"/>
      <c r="W728" s="2475"/>
      <c r="X728" s="2476">
        <f t="shared" si="60"/>
        <v>0</v>
      </c>
      <c r="Y728" s="2408"/>
      <c r="Z728" s="2408"/>
      <c r="AA728" s="2408"/>
      <c r="AB728" s="2477"/>
      <c r="AC728" s="2478"/>
      <c r="AD728" s="2479"/>
      <c r="AE728" s="2479"/>
      <c r="AF728" s="2479"/>
      <c r="AG728" s="2480"/>
      <c r="AH728" s="2481" t="str">
        <f t="shared" si="61"/>
        <v/>
      </c>
      <c r="AI728" s="2482"/>
      <c r="AJ728" s="2483"/>
      <c r="AK728" s="2451" t="s">
        <v>299</v>
      </c>
      <c r="AL728" s="2452"/>
      <c r="AM728" s="2452"/>
      <c r="AN728" s="2452"/>
      <c r="AO728" s="2453"/>
      <c r="AP728" s="3"/>
      <c r="AQ728" s="3"/>
      <c r="AR728" s="3"/>
      <c r="AS728" s="3"/>
      <c r="AY728" s="882"/>
      <c r="AZ728" s="882"/>
      <c r="BA728" s="882"/>
      <c r="BB728" s="882"/>
      <c r="BC728" s="882"/>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3"/>
      <c r="B729" s="2451"/>
      <c r="C729" s="2452"/>
      <c r="D729" s="2452"/>
      <c r="E729" s="2452"/>
      <c r="F729" s="2453"/>
      <c r="G729" s="2470"/>
      <c r="H729" s="2471"/>
      <c r="I729" s="2471"/>
      <c r="J729" s="2472"/>
      <c r="K729" s="1238"/>
      <c r="L729" s="1239"/>
      <c r="M729" s="1239"/>
      <c r="N729" s="1240"/>
      <c r="O729" s="2473"/>
      <c r="P729" s="2474"/>
      <c r="Q729" s="2474"/>
      <c r="R729" s="2474"/>
      <c r="S729" s="2475"/>
      <c r="T729" s="2473"/>
      <c r="U729" s="2474"/>
      <c r="V729" s="2474"/>
      <c r="W729" s="2475"/>
      <c r="X729" s="2476">
        <f t="shared" si="60"/>
        <v>0</v>
      </c>
      <c r="Y729" s="2408"/>
      <c r="Z729" s="2408"/>
      <c r="AA729" s="2408"/>
      <c r="AB729" s="2477"/>
      <c r="AC729" s="2478"/>
      <c r="AD729" s="2479"/>
      <c r="AE729" s="2479"/>
      <c r="AF729" s="2479"/>
      <c r="AG729" s="2480"/>
      <c r="AH729" s="2481" t="str">
        <f t="shared" si="61"/>
        <v/>
      </c>
      <c r="AI729" s="2482"/>
      <c r="AJ729" s="2483"/>
      <c r="AK729" s="2451" t="s">
        <v>299</v>
      </c>
      <c r="AL729" s="2452"/>
      <c r="AM729" s="2452"/>
      <c r="AN729" s="2452"/>
      <c r="AO729" s="2453"/>
      <c r="AP729" s="3"/>
      <c r="AQ729" s="3"/>
      <c r="AR729" s="3"/>
      <c r="AS729" s="3"/>
      <c r="AY729" s="882"/>
      <c r="AZ729" s="882"/>
      <c r="BA729" s="882"/>
      <c r="BB729" s="882"/>
      <c r="BC729" s="882"/>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2451"/>
      <c r="C730" s="2452"/>
      <c r="D730" s="2452"/>
      <c r="E730" s="2452"/>
      <c r="F730" s="2453"/>
      <c r="G730" s="2470"/>
      <c r="H730" s="2471"/>
      <c r="I730" s="2471"/>
      <c r="J730" s="2472"/>
      <c r="K730" s="1238"/>
      <c r="L730" s="1239"/>
      <c r="M730" s="1239"/>
      <c r="N730" s="1240"/>
      <c r="O730" s="2473"/>
      <c r="P730" s="2474"/>
      <c r="Q730" s="2474"/>
      <c r="R730" s="2474"/>
      <c r="S730" s="2475"/>
      <c r="T730" s="2473"/>
      <c r="U730" s="2474"/>
      <c r="V730" s="2474"/>
      <c r="W730" s="2475"/>
      <c r="X730" s="2476">
        <f t="shared" si="60"/>
        <v>0</v>
      </c>
      <c r="Y730" s="2408"/>
      <c r="Z730" s="2408"/>
      <c r="AA730" s="2408"/>
      <c r="AB730" s="2477"/>
      <c r="AC730" s="2478"/>
      <c r="AD730" s="2479"/>
      <c r="AE730" s="2479"/>
      <c r="AF730" s="2479"/>
      <c r="AG730" s="2480"/>
      <c r="AH730" s="2481" t="str">
        <f t="shared" si="61"/>
        <v/>
      </c>
      <c r="AI730" s="2482"/>
      <c r="AJ730" s="2483"/>
      <c r="AK730" s="2451" t="s">
        <v>299</v>
      </c>
      <c r="AL730" s="2452"/>
      <c r="AM730" s="2452"/>
      <c r="AN730" s="2452"/>
      <c r="AO730" s="2453"/>
      <c r="AP730" s="3"/>
      <c r="AQ730" s="3"/>
      <c r="AR730" s="3"/>
      <c r="AS730" s="3"/>
      <c r="AY730" s="882"/>
      <c r="AZ730" s="882"/>
      <c r="BA730" s="882"/>
      <c r="BB730" s="882"/>
      <c r="BC730" s="882"/>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2451"/>
      <c r="C731" s="2452"/>
      <c r="D731" s="2452"/>
      <c r="E731" s="2452"/>
      <c r="F731" s="2453"/>
      <c r="G731" s="2470"/>
      <c r="H731" s="2471"/>
      <c r="I731" s="2471"/>
      <c r="J731" s="2472"/>
      <c r="K731" s="1238"/>
      <c r="L731" s="1239"/>
      <c r="M731" s="1239"/>
      <c r="N731" s="1240"/>
      <c r="O731" s="2473"/>
      <c r="P731" s="2474"/>
      <c r="Q731" s="2474"/>
      <c r="R731" s="2474"/>
      <c r="S731" s="2475"/>
      <c r="T731" s="2473"/>
      <c r="U731" s="2474"/>
      <c r="V731" s="2474"/>
      <c r="W731" s="2475"/>
      <c r="X731" s="2476">
        <f t="shared" si="60"/>
        <v>0</v>
      </c>
      <c r="Y731" s="2408"/>
      <c r="Z731" s="2408"/>
      <c r="AA731" s="2408"/>
      <c r="AB731" s="2477"/>
      <c r="AC731" s="2478"/>
      <c r="AD731" s="2479"/>
      <c r="AE731" s="2479"/>
      <c r="AF731" s="2479"/>
      <c r="AG731" s="2480"/>
      <c r="AH731" s="2481" t="str">
        <f t="shared" si="61"/>
        <v/>
      </c>
      <c r="AI731" s="2482"/>
      <c r="AJ731" s="2483"/>
      <c r="AK731" s="2451" t="s">
        <v>299</v>
      </c>
      <c r="AL731" s="2452"/>
      <c r="AM731" s="2452"/>
      <c r="AN731" s="2452"/>
      <c r="AO731" s="2453"/>
      <c r="AP731" s="3"/>
      <c r="AQ731" s="3"/>
      <c r="AR731" s="3"/>
      <c r="AS731" s="3"/>
      <c r="AY731" s="882"/>
      <c r="AZ731" s="882"/>
      <c r="BA731" s="882"/>
      <c r="BB731" s="882"/>
      <c r="BC731" s="882"/>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2451"/>
      <c r="C732" s="2452"/>
      <c r="D732" s="2452"/>
      <c r="E732" s="2452"/>
      <c r="F732" s="2453"/>
      <c r="G732" s="2470"/>
      <c r="H732" s="2471"/>
      <c r="I732" s="2471"/>
      <c r="J732" s="2472"/>
      <c r="K732" s="1238"/>
      <c r="L732" s="1239"/>
      <c r="M732" s="1239"/>
      <c r="N732" s="1240"/>
      <c r="O732" s="2473"/>
      <c r="P732" s="2474"/>
      <c r="Q732" s="2474"/>
      <c r="R732" s="2474"/>
      <c r="S732" s="2475"/>
      <c r="T732" s="2473"/>
      <c r="U732" s="2474"/>
      <c r="V732" s="2474"/>
      <c r="W732" s="2475"/>
      <c r="X732" s="2476">
        <f t="shared" si="60"/>
        <v>0</v>
      </c>
      <c r="Y732" s="2408"/>
      <c r="Z732" s="2408"/>
      <c r="AA732" s="2408"/>
      <c r="AB732" s="2477"/>
      <c r="AC732" s="2478"/>
      <c r="AD732" s="2479"/>
      <c r="AE732" s="2479"/>
      <c r="AF732" s="2479"/>
      <c r="AG732" s="2480"/>
      <c r="AH732" s="2481" t="str">
        <f t="shared" si="61"/>
        <v/>
      </c>
      <c r="AI732" s="2482"/>
      <c r="AJ732" s="2483"/>
      <c r="AK732" s="2451" t="s">
        <v>299</v>
      </c>
      <c r="AL732" s="2452"/>
      <c r="AM732" s="2452"/>
      <c r="AN732" s="2452"/>
      <c r="AO732" s="2453"/>
      <c r="AP732" s="3"/>
      <c r="AQ732" s="3"/>
      <c r="AR732" s="3"/>
      <c r="AS732" s="3"/>
      <c r="AY732" s="882"/>
      <c r="AZ732" s="882"/>
      <c r="BA732" s="882"/>
      <c r="BB732" s="882"/>
      <c r="BC732" s="882"/>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2451"/>
      <c r="C733" s="2452"/>
      <c r="D733" s="2452"/>
      <c r="E733" s="2452"/>
      <c r="F733" s="2453"/>
      <c r="G733" s="2470"/>
      <c r="H733" s="2471"/>
      <c r="I733" s="2471"/>
      <c r="J733" s="2472"/>
      <c r="K733" s="1238"/>
      <c r="L733" s="1239"/>
      <c r="M733" s="1239"/>
      <c r="N733" s="1240"/>
      <c r="O733" s="2473"/>
      <c r="P733" s="2474"/>
      <c r="Q733" s="2474"/>
      <c r="R733" s="2474"/>
      <c r="S733" s="2475"/>
      <c r="T733" s="2473"/>
      <c r="U733" s="2474"/>
      <c r="V733" s="2474"/>
      <c r="W733" s="2475"/>
      <c r="X733" s="2476">
        <f t="shared" si="60"/>
        <v>0</v>
      </c>
      <c r="Y733" s="2408"/>
      <c r="Z733" s="2408"/>
      <c r="AA733" s="2408"/>
      <c r="AB733" s="2477"/>
      <c r="AC733" s="2478"/>
      <c r="AD733" s="2479"/>
      <c r="AE733" s="2479"/>
      <c r="AF733" s="2479"/>
      <c r="AG733" s="2480"/>
      <c r="AH733" s="2481" t="str">
        <f t="shared" si="61"/>
        <v/>
      </c>
      <c r="AI733" s="2482"/>
      <c r="AJ733" s="2483"/>
      <c r="AK733" s="2451" t="s">
        <v>299</v>
      </c>
      <c r="AL733" s="2452"/>
      <c r="AM733" s="2452"/>
      <c r="AN733" s="2452"/>
      <c r="AO733" s="2453"/>
      <c r="AP733" s="3"/>
      <c r="AQ733" s="3"/>
      <c r="AR733" s="3"/>
      <c r="AS733" s="3"/>
      <c r="AY733" s="882"/>
      <c r="AZ733" s="882"/>
      <c r="BA733" s="882"/>
      <c r="BB733" s="882"/>
      <c r="BC733" s="882"/>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2451"/>
      <c r="C734" s="2452"/>
      <c r="D734" s="2452"/>
      <c r="E734" s="2452"/>
      <c r="F734" s="2453"/>
      <c r="G734" s="2470"/>
      <c r="H734" s="2471"/>
      <c r="I734" s="2471"/>
      <c r="J734" s="2472"/>
      <c r="K734" s="1238"/>
      <c r="L734" s="1239"/>
      <c r="M734" s="1239"/>
      <c r="N734" s="1240"/>
      <c r="O734" s="2473"/>
      <c r="P734" s="2474"/>
      <c r="Q734" s="2474"/>
      <c r="R734" s="2474"/>
      <c r="S734" s="2475"/>
      <c r="T734" s="2473"/>
      <c r="U734" s="2474"/>
      <c r="V734" s="2474"/>
      <c r="W734" s="2475"/>
      <c r="X734" s="2476">
        <f t="shared" si="60"/>
        <v>0</v>
      </c>
      <c r="Y734" s="2408"/>
      <c r="Z734" s="2408"/>
      <c r="AA734" s="2408"/>
      <c r="AB734" s="2477"/>
      <c r="AC734" s="2478"/>
      <c r="AD734" s="2479"/>
      <c r="AE734" s="2479"/>
      <c r="AF734" s="2479"/>
      <c r="AG734" s="2480"/>
      <c r="AH734" s="2481" t="str">
        <f t="shared" si="61"/>
        <v/>
      </c>
      <c r="AI734" s="2482"/>
      <c r="AJ734" s="2483"/>
      <c r="AK734" s="2451" t="s">
        <v>299</v>
      </c>
      <c r="AL734" s="2452"/>
      <c r="AM734" s="2452"/>
      <c r="AN734" s="2452"/>
      <c r="AO734" s="2453"/>
      <c r="AP734" s="3"/>
      <c r="AQ734" s="3"/>
      <c r="AR734" s="3"/>
      <c r="AS734" s="3"/>
      <c r="AY734" s="882"/>
      <c r="AZ734" s="882"/>
      <c r="BA734" s="882"/>
      <c r="BB734" s="882"/>
      <c r="BC734" s="882"/>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2451"/>
      <c r="C735" s="2452"/>
      <c r="D735" s="2452"/>
      <c r="E735" s="2452"/>
      <c r="F735" s="2453"/>
      <c r="G735" s="2470"/>
      <c r="H735" s="2471"/>
      <c r="I735" s="2471"/>
      <c r="J735" s="2472"/>
      <c r="K735" s="1238"/>
      <c r="L735" s="1239"/>
      <c r="M735" s="1239"/>
      <c r="N735" s="1240"/>
      <c r="O735" s="2473"/>
      <c r="P735" s="2474"/>
      <c r="Q735" s="2474"/>
      <c r="R735" s="2474"/>
      <c r="S735" s="2475"/>
      <c r="T735" s="2473"/>
      <c r="U735" s="2474"/>
      <c r="V735" s="2474"/>
      <c r="W735" s="2475"/>
      <c r="X735" s="2476">
        <f t="shared" si="60"/>
        <v>0</v>
      </c>
      <c r="Y735" s="2408"/>
      <c r="Z735" s="2408"/>
      <c r="AA735" s="2408"/>
      <c r="AB735" s="2477"/>
      <c r="AC735" s="2478"/>
      <c r="AD735" s="2479"/>
      <c r="AE735" s="2479"/>
      <c r="AF735" s="2479"/>
      <c r="AG735" s="2480"/>
      <c r="AH735" s="2481" t="str">
        <f t="shared" si="61"/>
        <v/>
      </c>
      <c r="AI735" s="2482"/>
      <c r="AJ735" s="2483"/>
      <c r="AK735" s="2451" t="s">
        <v>299</v>
      </c>
      <c r="AL735" s="2452"/>
      <c r="AM735" s="2452"/>
      <c r="AN735" s="2452"/>
      <c r="AO735" s="2453"/>
      <c r="AP735" s="3"/>
      <c r="AQ735" s="3"/>
      <c r="AR735" s="3"/>
      <c r="AS735" s="3"/>
      <c r="AY735" s="882"/>
      <c r="AZ735" s="882"/>
      <c r="BA735" s="882"/>
      <c r="BB735" s="882"/>
      <c r="BC735" s="882"/>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2451"/>
      <c r="C736" s="2452"/>
      <c r="D736" s="2452"/>
      <c r="E736" s="2452"/>
      <c r="F736" s="2453"/>
      <c r="G736" s="2470"/>
      <c r="H736" s="2471"/>
      <c r="I736" s="2471"/>
      <c r="J736" s="2472"/>
      <c r="K736" s="1238"/>
      <c r="L736" s="1239"/>
      <c r="M736" s="1239"/>
      <c r="N736" s="1240"/>
      <c r="O736" s="2473"/>
      <c r="P736" s="2474"/>
      <c r="Q736" s="2474"/>
      <c r="R736" s="2474"/>
      <c r="S736" s="2475"/>
      <c r="T736" s="2473"/>
      <c r="U736" s="2474"/>
      <c r="V736" s="2474"/>
      <c r="W736" s="2475"/>
      <c r="X736" s="2476">
        <f t="shared" si="60"/>
        <v>0</v>
      </c>
      <c r="Y736" s="2408"/>
      <c r="Z736" s="2408"/>
      <c r="AA736" s="2408"/>
      <c r="AB736" s="2477"/>
      <c r="AC736" s="2478"/>
      <c r="AD736" s="2479"/>
      <c r="AE736" s="2479"/>
      <c r="AF736" s="2479"/>
      <c r="AG736" s="2480"/>
      <c r="AH736" s="2481" t="str">
        <f t="shared" si="61"/>
        <v/>
      </c>
      <c r="AI736" s="2482"/>
      <c r="AJ736" s="2483"/>
      <c r="AK736" s="2451" t="s">
        <v>299</v>
      </c>
      <c r="AL736" s="2452"/>
      <c r="AM736" s="2452"/>
      <c r="AN736" s="2452"/>
      <c r="AO736" s="2453"/>
      <c r="AP736" s="3"/>
      <c r="AQ736" s="3"/>
      <c r="AR736" s="3"/>
      <c r="AS736" s="3"/>
      <c r="AY736" s="882"/>
      <c r="AZ736" s="882"/>
      <c r="BA736" s="882"/>
      <c r="BB736" s="882"/>
      <c r="BC736" s="882"/>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2451"/>
      <c r="C737" s="2452"/>
      <c r="D737" s="2452"/>
      <c r="E737" s="2452"/>
      <c r="F737" s="2453"/>
      <c r="G737" s="2470"/>
      <c r="H737" s="2471"/>
      <c r="I737" s="2471"/>
      <c r="J737" s="2472"/>
      <c r="K737" s="1238"/>
      <c r="L737" s="1239"/>
      <c r="M737" s="1239"/>
      <c r="N737" s="1240"/>
      <c r="O737" s="2473"/>
      <c r="P737" s="2474"/>
      <c r="Q737" s="2474"/>
      <c r="R737" s="2474"/>
      <c r="S737" s="2475"/>
      <c r="T737" s="2473"/>
      <c r="U737" s="2474"/>
      <c r="V737" s="2474"/>
      <c r="W737" s="2475"/>
      <c r="X737" s="2476">
        <f t="shared" si="60"/>
        <v>0</v>
      </c>
      <c r="Y737" s="2408"/>
      <c r="Z737" s="2408"/>
      <c r="AA737" s="2408"/>
      <c r="AB737" s="2477"/>
      <c r="AC737" s="2478"/>
      <c r="AD737" s="2479"/>
      <c r="AE737" s="2479"/>
      <c r="AF737" s="2479"/>
      <c r="AG737" s="2480"/>
      <c r="AH737" s="2481" t="str">
        <f t="shared" si="61"/>
        <v/>
      </c>
      <c r="AI737" s="2482"/>
      <c r="AJ737" s="2483"/>
      <c r="AK737" s="2451" t="s">
        <v>299</v>
      </c>
      <c r="AL737" s="2452"/>
      <c r="AM737" s="2452"/>
      <c r="AN737" s="2452"/>
      <c r="AO737" s="2453"/>
      <c r="AP737" s="3"/>
      <c r="AQ737" s="3"/>
      <c r="AR737" s="3"/>
      <c r="AS737" s="3"/>
      <c r="AY737" s="882"/>
      <c r="AZ737" s="882"/>
      <c r="BA737" s="882"/>
      <c r="BB737" s="882"/>
      <c r="BC737" s="882"/>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2451"/>
      <c r="C738" s="2452"/>
      <c r="D738" s="2452"/>
      <c r="E738" s="2452"/>
      <c r="F738" s="2453"/>
      <c r="G738" s="2470"/>
      <c r="H738" s="2471"/>
      <c r="I738" s="2471"/>
      <c r="J738" s="2472"/>
      <c r="K738" s="1238"/>
      <c r="L738" s="1239"/>
      <c r="M738" s="1239"/>
      <c r="N738" s="1240"/>
      <c r="O738" s="2473"/>
      <c r="P738" s="2474"/>
      <c r="Q738" s="2474"/>
      <c r="R738" s="2474"/>
      <c r="S738" s="2475"/>
      <c r="T738" s="2473"/>
      <c r="U738" s="2474"/>
      <c r="V738" s="2474"/>
      <c r="W738" s="2475"/>
      <c r="X738" s="2476">
        <f t="shared" si="60"/>
        <v>0</v>
      </c>
      <c r="Y738" s="2408"/>
      <c r="Z738" s="2408"/>
      <c r="AA738" s="2408"/>
      <c r="AB738" s="2477"/>
      <c r="AC738" s="2478"/>
      <c r="AD738" s="2479"/>
      <c r="AE738" s="2479"/>
      <c r="AF738" s="2479"/>
      <c r="AG738" s="2480"/>
      <c r="AH738" s="2481" t="str">
        <f t="shared" si="61"/>
        <v/>
      </c>
      <c r="AI738" s="2482"/>
      <c r="AJ738" s="2483"/>
      <c r="AK738" s="2451" t="s">
        <v>299</v>
      </c>
      <c r="AL738" s="2452"/>
      <c r="AM738" s="2452"/>
      <c r="AN738" s="2452"/>
      <c r="AO738" s="2453"/>
      <c r="AP738" s="3"/>
      <c r="AQ738" s="3"/>
      <c r="AR738" s="3"/>
      <c r="AS738" s="3"/>
      <c r="AY738" s="882"/>
      <c r="AZ738" s="882"/>
      <c r="BA738" s="882"/>
      <c r="BB738" s="882"/>
      <c r="BC738" s="882"/>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2451"/>
      <c r="C739" s="2452"/>
      <c r="D739" s="2452"/>
      <c r="E739" s="2452"/>
      <c r="F739" s="2453"/>
      <c r="G739" s="2470"/>
      <c r="H739" s="2471"/>
      <c r="I739" s="2471"/>
      <c r="J739" s="2472"/>
      <c r="K739" s="1238"/>
      <c r="L739" s="1239"/>
      <c r="M739" s="1239"/>
      <c r="N739" s="1240"/>
      <c r="O739" s="2473"/>
      <c r="P739" s="2474"/>
      <c r="Q739" s="2474"/>
      <c r="R739" s="2474"/>
      <c r="S739" s="2475"/>
      <c r="T739" s="2473"/>
      <c r="U739" s="2474"/>
      <c r="V739" s="2474"/>
      <c r="W739" s="2475"/>
      <c r="X739" s="2476">
        <f t="shared" si="60"/>
        <v>0</v>
      </c>
      <c r="Y739" s="2408"/>
      <c r="Z739" s="2408"/>
      <c r="AA739" s="2408"/>
      <c r="AB739" s="2477"/>
      <c r="AC739" s="2478"/>
      <c r="AD739" s="2479"/>
      <c r="AE739" s="2479"/>
      <c r="AF739" s="2479"/>
      <c r="AG739" s="2480"/>
      <c r="AH739" s="2481" t="str">
        <f t="shared" si="61"/>
        <v/>
      </c>
      <c r="AI739" s="2482"/>
      <c r="AJ739" s="2483"/>
      <c r="AK739" s="2451" t="s">
        <v>299</v>
      </c>
      <c r="AL739" s="2452"/>
      <c r="AM739" s="2452"/>
      <c r="AN739" s="2452"/>
      <c r="AO739" s="2453"/>
      <c r="AP739" s="3"/>
      <c r="AQ739" s="3"/>
      <c r="AR739" s="3"/>
      <c r="AS739" s="3"/>
      <c r="AY739" s="882"/>
      <c r="AZ739" s="882"/>
      <c r="BA739" s="882"/>
      <c r="BB739" s="882"/>
      <c r="BC739" s="882"/>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2451"/>
      <c r="C740" s="2452"/>
      <c r="D740" s="2452"/>
      <c r="E740" s="2452"/>
      <c r="F740" s="2453"/>
      <c r="G740" s="2470"/>
      <c r="H740" s="2471"/>
      <c r="I740" s="2471"/>
      <c r="J740" s="2472"/>
      <c r="K740" s="1238"/>
      <c r="L740" s="1239"/>
      <c r="M740" s="1239"/>
      <c r="N740" s="1240"/>
      <c r="O740" s="2473"/>
      <c r="P740" s="2474"/>
      <c r="Q740" s="2474"/>
      <c r="R740" s="2474"/>
      <c r="S740" s="2475"/>
      <c r="T740" s="2473"/>
      <c r="U740" s="2474"/>
      <c r="V740" s="2474"/>
      <c r="W740" s="2475"/>
      <c r="X740" s="2476">
        <f t="shared" si="60"/>
        <v>0</v>
      </c>
      <c r="Y740" s="2408"/>
      <c r="Z740" s="2408"/>
      <c r="AA740" s="2408"/>
      <c r="AB740" s="2477"/>
      <c r="AC740" s="2478"/>
      <c r="AD740" s="2479"/>
      <c r="AE740" s="2479"/>
      <c r="AF740" s="2479"/>
      <c r="AG740" s="2480"/>
      <c r="AH740" s="2481" t="str">
        <f t="shared" si="61"/>
        <v/>
      </c>
      <c r="AI740" s="2482"/>
      <c r="AJ740" s="2483"/>
      <c r="AK740" s="2451" t="s">
        <v>299</v>
      </c>
      <c r="AL740" s="2452"/>
      <c r="AM740" s="2452"/>
      <c r="AN740" s="2452"/>
      <c r="AO740" s="2453"/>
      <c r="AP740" s="3"/>
      <c r="AQ740" s="3"/>
      <c r="AR740" s="3"/>
      <c r="AS740" s="3"/>
      <c r="AY740" s="882"/>
      <c r="AZ740" s="882"/>
      <c r="BA740" s="882"/>
      <c r="BB740" s="882"/>
      <c r="BC740" s="882"/>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2451"/>
      <c r="C741" s="2452"/>
      <c r="D741" s="2452"/>
      <c r="E741" s="2452"/>
      <c r="F741" s="2453"/>
      <c r="G741" s="2470"/>
      <c r="H741" s="2471"/>
      <c r="I741" s="2471"/>
      <c r="J741" s="2472"/>
      <c r="K741" s="1238"/>
      <c r="L741" s="1239"/>
      <c r="M741" s="1239"/>
      <c r="N741" s="1240"/>
      <c r="O741" s="2473"/>
      <c r="P741" s="2474"/>
      <c r="Q741" s="2474"/>
      <c r="R741" s="2474"/>
      <c r="S741" s="2475"/>
      <c r="T741" s="2473"/>
      <c r="U741" s="2474"/>
      <c r="V741" s="2474"/>
      <c r="W741" s="2475"/>
      <c r="X741" s="2476">
        <f t="shared" si="60"/>
        <v>0</v>
      </c>
      <c r="Y741" s="2408"/>
      <c r="Z741" s="2408"/>
      <c r="AA741" s="2408"/>
      <c r="AB741" s="2477"/>
      <c r="AC741" s="2478"/>
      <c r="AD741" s="2479"/>
      <c r="AE741" s="2479"/>
      <c r="AF741" s="2479"/>
      <c r="AG741" s="2480"/>
      <c r="AH741" s="2481" t="str">
        <f t="shared" si="61"/>
        <v/>
      </c>
      <c r="AI741" s="2482"/>
      <c r="AJ741" s="2483"/>
      <c r="AK741" s="2451" t="s">
        <v>299</v>
      </c>
      <c r="AL741" s="2452"/>
      <c r="AM741" s="2452"/>
      <c r="AN741" s="2452"/>
      <c r="AO741" s="2453"/>
      <c r="AP741" s="3"/>
      <c r="AQ741" s="3"/>
      <c r="AR741" s="3"/>
      <c r="AS741" s="3"/>
      <c r="AY741" s="882"/>
      <c r="AZ741" s="882"/>
      <c r="BA741" s="882"/>
      <c r="BB741" s="882"/>
      <c r="BC741" s="882"/>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2451"/>
      <c r="C742" s="2452"/>
      <c r="D742" s="2452"/>
      <c r="E742" s="2452"/>
      <c r="F742" s="2453"/>
      <c r="G742" s="2470"/>
      <c r="H742" s="2471"/>
      <c r="I742" s="2471"/>
      <c r="J742" s="2472"/>
      <c r="K742" s="1238"/>
      <c r="L742" s="1239"/>
      <c r="M742" s="1239"/>
      <c r="N742" s="1240"/>
      <c r="O742" s="2473"/>
      <c r="P742" s="2474"/>
      <c r="Q742" s="2474"/>
      <c r="R742" s="2474"/>
      <c r="S742" s="2475"/>
      <c r="T742" s="2473"/>
      <c r="U742" s="2474"/>
      <c r="V742" s="2474"/>
      <c r="W742" s="2475"/>
      <c r="X742" s="2476">
        <f t="shared" ref="X742:X751" si="62">O742+T742</f>
        <v>0</v>
      </c>
      <c r="Y742" s="2408"/>
      <c r="Z742" s="2408"/>
      <c r="AA742" s="2408"/>
      <c r="AB742" s="2477"/>
      <c r="AC742" s="2478"/>
      <c r="AD742" s="2479"/>
      <c r="AE742" s="2479"/>
      <c r="AF742" s="2479"/>
      <c r="AG742" s="2480"/>
      <c r="AH742" s="2481" t="str">
        <f t="shared" si="61"/>
        <v/>
      </c>
      <c r="AI742" s="2482"/>
      <c r="AJ742" s="2483"/>
      <c r="AK742" s="2451" t="s">
        <v>299</v>
      </c>
      <c r="AL742" s="2452"/>
      <c r="AM742" s="2452"/>
      <c r="AN742" s="2452"/>
      <c r="AO742" s="2453"/>
      <c r="AP742" s="3"/>
      <c r="AQ742" s="3"/>
      <c r="AR742" s="3"/>
      <c r="AS742" s="3"/>
      <c r="AY742" s="882"/>
      <c r="AZ742" s="882"/>
      <c r="BA742" s="882"/>
      <c r="BB742" s="882"/>
      <c r="BC742" s="882"/>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2451"/>
      <c r="C743" s="2452"/>
      <c r="D743" s="2452"/>
      <c r="E743" s="2452"/>
      <c r="F743" s="2453"/>
      <c r="G743" s="2470"/>
      <c r="H743" s="2471"/>
      <c r="I743" s="2471"/>
      <c r="J743" s="2472"/>
      <c r="K743" s="1238"/>
      <c r="L743" s="1239"/>
      <c r="M743" s="1239"/>
      <c r="N743" s="1240"/>
      <c r="O743" s="2473"/>
      <c r="P743" s="2474"/>
      <c r="Q743" s="2474"/>
      <c r="R743" s="2474"/>
      <c r="S743" s="2475"/>
      <c r="T743" s="2473"/>
      <c r="U743" s="2474"/>
      <c r="V743" s="2474"/>
      <c r="W743" s="2475"/>
      <c r="X743" s="2476">
        <f t="shared" si="62"/>
        <v>0</v>
      </c>
      <c r="Y743" s="2408"/>
      <c r="Z743" s="2408"/>
      <c r="AA743" s="2408"/>
      <c r="AB743" s="2477"/>
      <c r="AC743" s="2478"/>
      <c r="AD743" s="2479"/>
      <c r="AE743" s="2479"/>
      <c r="AF743" s="2479"/>
      <c r="AG743" s="2480"/>
      <c r="AH743" s="2481" t="str">
        <f t="shared" si="61"/>
        <v/>
      </c>
      <c r="AI743" s="2482"/>
      <c r="AJ743" s="2483"/>
      <c r="AK743" s="2451" t="s">
        <v>299</v>
      </c>
      <c r="AL743" s="2452"/>
      <c r="AM743" s="2452"/>
      <c r="AN743" s="2452"/>
      <c r="AO743" s="2453"/>
      <c r="AT743"/>
      <c r="AU743"/>
      <c r="AV743"/>
      <c r="AW743"/>
      <c r="AX743"/>
      <c r="AY743" s="882"/>
      <c r="AZ743" s="882"/>
      <c r="BA743" s="882"/>
      <c r="BB743" s="882"/>
      <c r="BC743" s="882"/>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2451"/>
      <c r="C744" s="2452"/>
      <c r="D744" s="2452"/>
      <c r="E744" s="2452"/>
      <c r="F744" s="2453"/>
      <c r="G744" s="2470"/>
      <c r="H744" s="2471"/>
      <c r="I744" s="2471"/>
      <c r="J744" s="2472"/>
      <c r="K744" s="1238"/>
      <c r="L744" s="1239"/>
      <c r="M744" s="1239"/>
      <c r="N744" s="1240"/>
      <c r="O744" s="2473"/>
      <c r="P744" s="2474"/>
      <c r="Q744" s="2474"/>
      <c r="R744" s="2474"/>
      <c r="S744" s="2475"/>
      <c r="T744" s="2473"/>
      <c r="U744" s="2474"/>
      <c r="V744" s="2474"/>
      <c r="W744" s="2475"/>
      <c r="X744" s="2476">
        <f t="shared" si="62"/>
        <v>0</v>
      </c>
      <c r="Y744" s="2408"/>
      <c r="Z744" s="2408"/>
      <c r="AA744" s="2408"/>
      <c r="AB744" s="2477"/>
      <c r="AC744" s="2478"/>
      <c r="AD744" s="2479"/>
      <c r="AE744" s="2479"/>
      <c r="AF744" s="2479"/>
      <c r="AG744" s="2480"/>
      <c r="AH744" s="2481" t="str">
        <f t="shared" si="61"/>
        <v/>
      </c>
      <c r="AI744" s="2482"/>
      <c r="AJ744" s="2483"/>
      <c r="AK744" s="2451" t="s">
        <v>299</v>
      </c>
      <c r="AL744" s="2452"/>
      <c r="AM744" s="2452"/>
      <c r="AN744" s="2452"/>
      <c r="AO744" s="2453"/>
      <c r="AP744" s="3"/>
      <c r="AQ744" s="3"/>
      <c r="AR744" s="3"/>
      <c r="AS744" s="3"/>
      <c r="AY744" s="882"/>
      <c r="AZ744" s="882"/>
      <c r="BA744" s="882"/>
      <c r="BB744" s="882"/>
      <c r="BC744" s="882"/>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2451"/>
      <c r="C745" s="2452"/>
      <c r="D745" s="2452"/>
      <c r="E745" s="2452"/>
      <c r="F745" s="2453"/>
      <c r="G745" s="2470"/>
      <c r="H745" s="2471"/>
      <c r="I745" s="2471"/>
      <c r="J745" s="2472"/>
      <c r="K745" s="1238"/>
      <c r="L745" s="1239"/>
      <c r="M745" s="1239"/>
      <c r="N745" s="1240"/>
      <c r="O745" s="2473"/>
      <c r="P745" s="2474"/>
      <c r="Q745" s="2474"/>
      <c r="R745" s="2474"/>
      <c r="S745" s="2475"/>
      <c r="T745" s="2473"/>
      <c r="U745" s="2474"/>
      <c r="V745" s="2474"/>
      <c r="W745" s="2475"/>
      <c r="X745" s="2476">
        <f t="shared" si="62"/>
        <v>0</v>
      </c>
      <c r="Y745" s="2408"/>
      <c r="Z745" s="2408"/>
      <c r="AA745" s="2408"/>
      <c r="AB745" s="2477"/>
      <c r="AC745" s="2478"/>
      <c r="AD745" s="2479"/>
      <c r="AE745" s="2479"/>
      <c r="AF745" s="2479"/>
      <c r="AG745" s="2480"/>
      <c r="AH745" s="2481" t="str">
        <f t="shared" si="61"/>
        <v/>
      </c>
      <c r="AI745" s="2482"/>
      <c r="AJ745" s="2483"/>
      <c r="AK745" s="2451" t="s">
        <v>299</v>
      </c>
      <c r="AL745" s="2452"/>
      <c r="AM745" s="2452"/>
      <c r="AN745" s="2452"/>
      <c r="AO745" s="2453"/>
      <c r="AP745" s="3"/>
      <c r="AQ745" s="3"/>
      <c r="AR745" s="3"/>
      <c r="AS745" s="3"/>
      <c r="AY745" s="882"/>
      <c r="AZ745" s="882"/>
      <c r="BA745" s="882"/>
      <c r="BB745" s="882"/>
      <c r="BC745" s="882"/>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2451"/>
      <c r="C746" s="2452"/>
      <c r="D746" s="2452"/>
      <c r="E746" s="2452"/>
      <c r="F746" s="2453"/>
      <c r="G746" s="2470"/>
      <c r="H746" s="2471"/>
      <c r="I746" s="2471"/>
      <c r="J746" s="2472"/>
      <c r="K746" s="1238"/>
      <c r="L746" s="1239"/>
      <c r="M746" s="1239"/>
      <c r="N746" s="1240"/>
      <c r="O746" s="2473"/>
      <c r="P746" s="2474"/>
      <c r="Q746" s="2474"/>
      <c r="R746" s="2474"/>
      <c r="S746" s="2475"/>
      <c r="T746" s="2473"/>
      <c r="U746" s="2474"/>
      <c r="V746" s="2474"/>
      <c r="W746" s="2475"/>
      <c r="X746" s="2476">
        <f t="shared" si="62"/>
        <v>0</v>
      </c>
      <c r="Y746" s="2408"/>
      <c r="Z746" s="2408"/>
      <c r="AA746" s="2408"/>
      <c r="AB746" s="2477"/>
      <c r="AC746" s="2478"/>
      <c r="AD746" s="2479"/>
      <c r="AE746" s="2479"/>
      <c r="AF746" s="2479"/>
      <c r="AG746" s="2480"/>
      <c r="AH746" s="2481" t="str">
        <f t="shared" si="61"/>
        <v/>
      </c>
      <c r="AI746" s="2482"/>
      <c r="AJ746" s="2483"/>
      <c r="AK746" s="2451" t="s">
        <v>299</v>
      </c>
      <c r="AL746" s="2452"/>
      <c r="AM746" s="2452"/>
      <c r="AN746" s="2452"/>
      <c r="AO746" s="2453"/>
      <c r="AP746" s="3"/>
      <c r="AQ746" s="3"/>
      <c r="AR746" s="3"/>
      <c r="AS746" s="3"/>
      <c r="AY746" s="882"/>
      <c r="AZ746" s="882"/>
      <c r="BA746" s="882"/>
      <c r="BB746" s="882"/>
      <c r="BC746" s="882"/>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214"/>
      <c r="FE746" s="214"/>
      <c r="FF746" s="214"/>
      <c r="FG746" s="214"/>
      <c r="FH746" s="214"/>
      <c r="FI746" s="214"/>
      <c r="FJ746" s="214"/>
      <c r="FK746" s="214"/>
      <c r="FL746" s="214"/>
      <c r="FM746" s="214"/>
      <c r="FN746" s="214"/>
      <c r="FO746" s="214"/>
      <c r="FP746" s="214"/>
      <c r="FQ746" s="214"/>
      <c r="FR746" s="214"/>
      <c r="FS746" s="214"/>
      <c r="FT746" s="214"/>
      <c r="FU746" s="214"/>
      <c r="FV746" s="214"/>
      <c r="FW746" s="214"/>
      <c r="FX746" s="214"/>
      <c r="FY746" s="214"/>
      <c r="FZ746" s="214"/>
      <c r="GA746" s="214"/>
      <c r="GB746" s="214"/>
      <c r="GC746" s="214"/>
      <c r="GD746" s="214"/>
      <c r="GE746" s="214"/>
      <c r="GF746" s="214"/>
      <c r="GG746" s="214"/>
      <c r="GH746" s="214"/>
      <c r="GI746" s="214"/>
      <c r="GJ746" s="214"/>
      <c r="GK746" s="214"/>
      <c r="GL746" s="214"/>
      <c r="GM746" s="214"/>
      <c r="GN746" s="214"/>
      <c r="GO746" s="214"/>
      <c r="GP746" s="214"/>
      <c r="GQ746" s="214"/>
      <c r="GR746" s="214"/>
      <c r="GS746" s="214"/>
      <c r="GT746" s="214"/>
      <c r="GU746" s="214"/>
      <c r="GV746" s="214"/>
      <c r="GW746" s="214"/>
      <c r="GX746" s="214"/>
      <c r="GY746" s="214"/>
      <c r="GZ746" s="214"/>
      <c r="HA746" s="214"/>
      <c r="HB746" s="214"/>
      <c r="HC746" s="214"/>
      <c r="HD746" s="214"/>
      <c r="HE746" s="214"/>
      <c r="HF746" s="214"/>
      <c r="HG746" s="214"/>
      <c r="HH746" s="214"/>
      <c r="HI746" s="214"/>
      <c r="HJ746" s="214"/>
      <c r="HK746" s="214"/>
      <c r="HL746" s="214"/>
      <c r="HM746" s="214"/>
      <c r="HN746" s="214"/>
      <c r="HO746" s="214"/>
      <c r="HP746" s="214"/>
      <c r="HQ746" s="214"/>
      <c r="HR746" s="214"/>
      <c r="HS746" s="214"/>
      <c r="HT746" s="214"/>
      <c r="HU746" s="214"/>
      <c r="HV746" s="214"/>
      <c r="HW746" s="214"/>
      <c r="HX746" s="214"/>
      <c r="HY746" s="214"/>
      <c r="HZ746" s="214"/>
      <c r="IA746" s="214"/>
      <c r="IB746" s="214"/>
      <c r="IC746" s="214"/>
      <c r="ID746" s="214"/>
      <c r="IE746" s="214"/>
      <c r="IF746" s="214"/>
      <c r="IG746" s="214"/>
      <c r="IH746" s="214"/>
      <c r="II746" s="214"/>
      <c r="IJ746" s="214"/>
      <c r="IK746" s="214"/>
      <c r="IL746" s="214"/>
      <c r="IM746" s="214"/>
      <c r="IN746" s="214"/>
      <c r="IO746" s="214"/>
      <c r="IP746" s="214"/>
      <c r="IQ746" s="214"/>
      <c r="IR746" s="214"/>
      <c r="IS746" s="214"/>
      <c r="IT746" s="214"/>
      <c r="IU746" s="214"/>
      <c r="IV746" s="214"/>
      <c r="IW746" s="214"/>
      <c r="IX746" s="214"/>
      <c r="IY746" s="214"/>
      <c r="IZ746" s="214"/>
      <c r="JA746" s="214"/>
      <c r="JB746" s="214"/>
      <c r="JC746" s="214"/>
      <c r="JD746" s="214"/>
      <c r="JE746" s="214"/>
      <c r="JF746" s="214"/>
      <c r="JG746" s="214"/>
      <c r="JH746" s="214"/>
      <c r="JI746" s="214"/>
      <c r="JJ746" s="214"/>
      <c r="JK746" s="214"/>
      <c r="JL746" s="214"/>
      <c r="JM746" s="214"/>
      <c r="JN746" s="214"/>
      <c r="JO746" s="214"/>
      <c r="JP746" s="214"/>
      <c r="JQ746" s="214"/>
      <c r="JR746" s="214"/>
      <c r="JS746" s="214"/>
      <c r="JT746" s="214"/>
      <c r="JU746" s="214"/>
      <c r="JV746" s="214"/>
      <c r="JW746" s="214"/>
      <c r="JX746" s="214"/>
      <c r="JY746" s="214"/>
      <c r="JZ746" s="214"/>
      <c r="KA746" s="214"/>
      <c r="KB746" s="214"/>
      <c r="KC746" s="214"/>
      <c r="KD746" s="214"/>
      <c r="KE746" s="214"/>
      <c r="KF746" s="214"/>
      <c r="KG746" s="214"/>
      <c r="KH746" s="214"/>
      <c r="KI746" s="214"/>
      <c r="KJ746" s="214"/>
      <c r="KK746" s="214"/>
      <c r="KL746" s="214"/>
      <c r="KM746" s="214"/>
      <c r="KN746" s="214"/>
      <c r="KO746" s="214"/>
      <c r="KP746" s="214"/>
      <c r="KQ746" s="214"/>
      <c r="KR746" s="214"/>
      <c r="KS746" s="214"/>
      <c r="KT746" s="214"/>
      <c r="KU746" s="214"/>
      <c r="KV746" s="214"/>
      <c r="KW746" s="214"/>
      <c r="KX746" s="214"/>
      <c r="KY746" s="214"/>
      <c r="KZ746" s="214"/>
      <c r="LA746" s="214"/>
      <c r="LB746" s="214"/>
      <c r="LC746" s="214"/>
      <c r="LD746" s="214"/>
      <c r="LE746" s="214"/>
      <c r="LF746" s="214"/>
      <c r="LG746" s="214"/>
      <c r="LH746" s="214"/>
      <c r="LI746" s="214"/>
      <c r="LJ746" s="214"/>
      <c r="LK746" s="214"/>
      <c r="LL746" s="214"/>
      <c r="LM746" s="214"/>
      <c r="LN746" s="214"/>
      <c r="LO746" s="214"/>
      <c r="LP746" s="214"/>
      <c r="LQ746" s="214"/>
      <c r="LR746" s="214"/>
      <c r="LS746" s="214"/>
      <c r="LT746" s="214"/>
      <c r="LU746" s="214"/>
      <c r="LV746" s="214"/>
      <c r="LW746" s="214"/>
      <c r="LX746" s="214"/>
      <c r="LY746" s="214"/>
      <c r="LZ746" s="214"/>
      <c r="MA746" s="214"/>
      <c r="MB746" s="214"/>
      <c r="MC746" s="214"/>
      <c r="MD746" s="214"/>
      <c r="ME746" s="214"/>
      <c r="MF746" s="214"/>
      <c r="MG746" s="214"/>
      <c r="MH746" s="214"/>
      <c r="MI746" s="214"/>
      <c r="MJ746" s="214"/>
      <c r="MK746" s="214"/>
      <c r="ML746" s="214"/>
      <c r="MM746" s="214"/>
      <c r="MN746" s="214"/>
      <c r="MO746" s="214"/>
      <c r="MP746" s="214"/>
      <c r="MQ746" s="214"/>
      <c r="MR746" s="214"/>
      <c r="MS746" s="214"/>
      <c r="MT746" s="214"/>
      <c r="MU746" s="214"/>
      <c r="MV746" s="214"/>
      <c r="MW746" s="214"/>
      <c r="MX746" s="214"/>
      <c r="MY746" s="214"/>
      <c r="MZ746" s="214"/>
      <c r="NA746" s="214"/>
      <c r="NB746" s="214"/>
      <c r="NC746" s="214"/>
      <c r="ND746" s="214"/>
      <c r="NE746" s="214"/>
      <c r="NF746" s="214"/>
      <c r="NG746" s="214"/>
      <c r="NH746" s="214"/>
      <c r="NI746" s="214"/>
      <c r="NJ746" s="214"/>
      <c r="NK746" s="214"/>
      <c r="NL746" s="214"/>
      <c r="NM746" s="214"/>
      <c r="NN746" s="214"/>
      <c r="NO746" s="214"/>
      <c r="NP746" s="214"/>
      <c r="NQ746" s="214"/>
      <c r="NR746" s="214"/>
      <c r="NS746" s="214"/>
      <c r="NT746" s="214"/>
      <c r="NU746" s="214"/>
      <c r="NV746" s="214"/>
      <c r="NW746" s="214"/>
      <c r="NX746" s="214"/>
      <c r="NY746" s="214"/>
      <c r="NZ746" s="214"/>
      <c r="OA746" s="214"/>
      <c r="OB746" s="214"/>
      <c r="OC746" s="214"/>
      <c r="OD746" s="214"/>
      <c r="OE746" s="214"/>
      <c r="OF746" s="214"/>
      <c r="OG746" s="214"/>
      <c r="OH746" s="214"/>
      <c r="OI746" s="214"/>
      <c r="OJ746" s="214"/>
      <c r="OK746" s="214"/>
      <c r="OL746" s="214"/>
      <c r="OM746" s="214"/>
      <c r="ON746" s="214"/>
      <c r="OO746" s="214"/>
      <c r="OP746" s="214"/>
      <c r="OQ746" s="214"/>
      <c r="OR746" s="214"/>
      <c r="OS746" s="214"/>
      <c r="OT746" s="214"/>
      <c r="OU746" s="214"/>
      <c r="OV746" s="214"/>
      <c r="OW746" s="214"/>
      <c r="OX746" s="214"/>
      <c r="OY746" s="214"/>
      <c r="OZ746" s="214"/>
      <c r="PA746" s="214"/>
      <c r="PB746" s="214"/>
      <c r="PC746" s="214"/>
      <c r="PD746" s="214"/>
      <c r="PE746" s="214"/>
      <c r="PF746" s="214"/>
      <c r="PG746" s="214"/>
      <c r="PH746" s="214"/>
      <c r="PI746" s="214"/>
      <c r="PJ746" s="214"/>
      <c r="PK746" s="214"/>
      <c r="PL746" s="214"/>
      <c r="PM746" s="214"/>
      <c r="PN746" s="214"/>
      <c r="PO746" s="214"/>
      <c r="PP746" s="214"/>
      <c r="PQ746" s="214"/>
      <c r="PR746" s="214"/>
      <c r="PS746" s="214"/>
      <c r="PT746" s="214"/>
      <c r="PU746" s="214"/>
      <c r="PV746" s="214"/>
      <c r="PW746" s="214"/>
      <c r="PX746" s="214"/>
      <c r="PY746" s="214"/>
      <c r="PZ746" s="214"/>
      <c r="QA746" s="214"/>
      <c r="QB746" s="214"/>
      <c r="QC746" s="214"/>
      <c r="QD746" s="214"/>
      <c r="QE746" s="214"/>
      <c r="QF746" s="214"/>
      <c r="QG746" s="214"/>
      <c r="QH746" s="214"/>
      <c r="QI746" s="214"/>
      <c r="QJ746" s="214"/>
      <c r="QK746" s="214"/>
      <c r="QL746" s="214"/>
      <c r="QM746" s="214"/>
      <c r="QN746" s="214"/>
      <c r="QO746" s="214"/>
      <c r="QP746" s="214"/>
      <c r="QQ746" s="214"/>
      <c r="QR746" s="214"/>
      <c r="QS746" s="214"/>
      <c r="QT746" s="214"/>
      <c r="QU746" s="214"/>
      <c r="QV746" s="214"/>
      <c r="QW746" s="214"/>
      <c r="QX746" s="214"/>
      <c r="QY746" s="214"/>
      <c r="QZ746" s="214"/>
      <c r="RA746" s="214"/>
      <c r="RB746" s="214"/>
      <c r="RC746" s="214"/>
      <c r="RD746" s="214"/>
      <c r="RE746" s="214"/>
      <c r="RF746" s="214"/>
      <c r="RG746" s="214"/>
      <c r="RH746" s="214"/>
      <c r="RI746" s="214"/>
      <c r="RJ746" s="214"/>
      <c r="RK746" s="214"/>
      <c r="RL746" s="214"/>
      <c r="RM746" s="214"/>
      <c r="RN746" s="214"/>
      <c r="RO746" s="214"/>
      <c r="RP746" s="214"/>
      <c r="RQ746" s="214"/>
      <c r="RR746" s="214"/>
      <c r="RS746" s="214"/>
      <c r="RT746" s="214"/>
      <c r="RU746" s="214"/>
      <c r="RV746" s="214"/>
      <c r="RW746" s="214"/>
      <c r="RX746" s="214"/>
      <c r="RY746" s="214"/>
      <c r="RZ746" s="214"/>
      <c r="SA746" s="214"/>
      <c r="SB746" s="214"/>
      <c r="SC746" s="214"/>
      <c r="SD746" s="214"/>
      <c r="SE746" s="214"/>
      <c r="SF746" s="214"/>
      <c r="SG746" s="214"/>
      <c r="SH746" s="214"/>
      <c r="SI746" s="214"/>
      <c r="SJ746" s="214"/>
      <c r="SK746" s="214"/>
      <c r="SL746" s="214"/>
      <c r="SM746" s="214"/>
      <c r="SN746" s="214"/>
      <c r="SO746" s="214"/>
      <c r="SP746" s="214"/>
      <c r="SQ746" s="214"/>
      <c r="SR746" s="214"/>
      <c r="SS746" s="214"/>
      <c r="ST746" s="214"/>
      <c r="SU746" s="214"/>
      <c r="SV746" s="214"/>
      <c r="SW746" s="214"/>
      <c r="SX746" s="214"/>
      <c r="SY746" s="214"/>
      <c r="SZ746" s="214"/>
      <c r="TA746" s="214"/>
      <c r="TB746" s="214"/>
      <c r="TC746" s="214"/>
      <c r="TD746" s="214"/>
      <c r="TE746" s="214"/>
      <c r="TF746" s="214"/>
      <c r="TG746" s="214"/>
      <c r="TH746" s="214"/>
      <c r="TI746" s="214"/>
      <c r="TJ746" s="214"/>
      <c r="TK746" s="214"/>
      <c r="TL746" s="214"/>
      <c r="TM746" s="214"/>
      <c r="TN746" s="214"/>
      <c r="TO746" s="214"/>
      <c r="TP746" s="214"/>
      <c r="TQ746" s="214"/>
      <c r="TR746" s="214"/>
      <c r="TS746" s="214"/>
      <c r="TT746" s="214"/>
      <c r="TU746" s="214"/>
      <c r="TV746" s="214"/>
      <c r="TW746" s="214"/>
      <c r="TX746" s="214"/>
      <c r="TY746" s="214"/>
      <c r="TZ746" s="214"/>
      <c r="UA746" s="214"/>
      <c r="UB746" s="214"/>
      <c r="UC746" s="214"/>
      <c r="UD746" s="214"/>
      <c r="UE746" s="214"/>
      <c r="UF746" s="214"/>
      <c r="UG746" s="214"/>
      <c r="UH746" s="214"/>
      <c r="UI746" s="214"/>
      <c r="UJ746" s="214"/>
      <c r="UK746" s="214"/>
      <c r="UL746" s="214"/>
      <c r="UM746" s="214"/>
      <c r="UN746" s="214"/>
      <c r="UO746" s="214"/>
      <c r="UP746" s="214"/>
      <c r="UQ746" s="214"/>
      <c r="UR746" s="214"/>
      <c r="US746" s="214"/>
      <c r="UT746" s="214"/>
      <c r="UU746" s="214"/>
      <c r="UV746" s="214"/>
      <c r="UW746" s="214"/>
      <c r="UX746" s="214"/>
      <c r="UY746" s="214"/>
      <c r="UZ746" s="214"/>
      <c r="VA746" s="214"/>
      <c r="VB746" s="214"/>
      <c r="VC746" s="214"/>
      <c r="VD746" s="214"/>
      <c r="VE746" s="214"/>
      <c r="VF746" s="214"/>
      <c r="VG746" s="214"/>
      <c r="VH746" s="214"/>
      <c r="VI746" s="214"/>
      <c r="VJ746" s="214"/>
      <c r="VK746" s="214"/>
      <c r="VL746" s="214"/>
      <c r="VM746" s="214"/>
      <c r="VN746" s="214"/>
      <c r="VO746" s="214"/>
      <c r="VP746" s="214"/>
      <c r="VQ746" s="214"/>
      <c r="VR746" s="214"/>
      <c r="VS746" s="214"/>
      <c r="VT746" s="214"/>
      <c r="VU746" s="214"/>
      <c r="VV746" s="214"/>
      <c r="VW746" s="214"/>
      <c r="VX746" s="214"/>
      <c r="VY746" s="214"/>
      <c r="VZ746" s="214"/>
      <c r="WA746" s="214"/>
      <c r="WB746" s="214"/>
      <c r="WC746" s="214"/>
      <c r="WD746" s="214"/>
      <c r="WE746" s="214"/>
      <c r="WF746" s="214"/>
      <c r="WG746" s="214"/>
      <c r="WH746" s="214"/>
      <c r="WI746" s="214"/>
      <c r="WJ746" s="214"/>
      <c r="WK746" s="214"/>
      <c r="WL746" s="214"/>
      <c r="WM746" s="214"/>
      <c r="WN746" s="214"/>
      <c r="WO746" s="214"/>
      <c r="WP746" s="214"/>
      <c r="WQ746" s="214"/>
      <c r="WR746" s="214"/>
      <c r="WS746" s="214"/>
      <c r="WT746" s="214"/>
      <c r="WU746" s="214"/>
      <c r="WV746" s="214"/>
      <c r="WW746" s="214"/>
      <c r="WX746" s="214"/>
      <c r="WY746" s="214"/>
      <c r="WZ746" s="214"/>
      <c r="XA746" s="214"/>
      <c r="XB746" s="214"/>
      <c r="XC746" s="214"/>
      <c r="XD746" s="214"/>
      <c r="XE746" s="214"/>
      <c r="XF746" s="214"/>
      <c r="XG746" s="214"/>
      <c r="XH746" s="214"/>
      <c r="XI746" s="214"/>
      <c r="XJ746" s="214"/>
      <c r="XK746" s="214"/>
      <c r="XL746" s="214"/>
      <c r="XM746" s="214"/>
      <c r="XN746" s="214"/>
      <c r="XO746" s="214"/>
      <c r="XP746" s="214"/>
      <c r="XQ746" s="214"/>
      <c r="XR746" s="214"/>
      <c r="XS746" s="214"/>
      <c r="XT746" s="214"/>
      <c r="XU746" s="214"/>
      <c r="XV746" s="214"/>
      <c r="XW746" s="214"/>
      <c r="XX746" s="214"/>
      <c r="XY746" s="214"/>
      <c r="XZ746" s="214"/>
      <c r="YA746" s="214"/>
      <c r="YB746" s="214"/>
      <c r="YC746" s="214"/>
      <c r="YD746" s="214"/>
      <c r="YE746" s="214"/>
      <c r="YF746" s="214"/>
      <c r="YG746" s="214"/>
      <c r="YH746" s="214"/>
      <c r="YI746" s="214"/>
      <c r="YJ746" s="214"/>
      <c r="YK746" s="214"/>
      <c r="YL746" s="214"/>
      <c r="YM746" s="214"/>
      <c r="YN746" s="214"/>
      <c r="YO746" s="214"/>
      <c r="YP746" s="214"/>
      <c r="YQ746" s="214"/>
      <c r="YR746" s="214"/>
      <c r="YS746" s="214"/>
      <c r="YT746" s="214"/>
      <c r="YU746" s="214"/>
      <c r="YV746" s="214"/>
      <c r="YW746" s="214"/>
      <c r="YX746" s="214"/>
      <c r="YY746" s="214"/>
      <c r="YZ746" s="214"/>
      <c r="ZA746" s="214"/>
      <c r="ZB746" s="214"/>
      <c r="ZC746" s="214"/>
      <c r="ZD746" s="214"/>
      <c r="ZE746" s="214"/>
      <c r="ZF746" s="214"/>
      <c r="ZG746" s="214"/>
      <c r="ZH746" s="214"/>
      <c r="ZI746" s="214"/>
      <c r="ZJ746" s="214"/>
      <c r="ZK746" s="214"/>
      <c r="ZL746" s="214"/>
      <c r="ZM746" s="214"/>
      <c r="ZN746" s="214"/>
      <c r="ZO746" s="214"/>
      <c r="ZP746" s="214"/>
      <c r="ZQ746" s="214"/>
      <c r="ZR746" s="214"/>
      <c r="ZS746" s="214"/>
      <c r="ZT746" s="214"/>
      <c r="ZU746" s="214"/>
      <c r="ZV746" s="214"/>
      <c r="ZW746" s="214"/>
      <c r="ZX746" s="214"/>
      <c r="ZY746" s="214"/>
      <c r="ZZ746" s="214"/>
      <c r="AAA746" s="214"/>
      <c r="AAB746" s="214"/>
      <c r="AAC746" s="214"/>
      <c r="AAD746" s="214"/>
      <c r="AAE746" s="214"/>
      <c r="AAF746" s="214"/>
      <c r="AAG746" s="214"/>
      <c r="AAH746" s="214"/>
      <c r="AAI746" s="214"/>
      <c r="AAJ746" s="214"/>
      <c r="AAK746" s="214"/>
      <c r="AAL746" s="214"/>
      <c r="AAM746" s="214"/>
      <c r="AAN746" s="214"/>
      <c r="AAO746" s="214"/>
      <c r="AAP746" s="214"/>
      <c r="AAQ746" s="214"/>
      <c r="AAR746" s="214"/>
      <c r="AAS746" s="214"/>
      <c r="AAT746" s="214"/>
      <c r="AAU746" s="214"/>
      <c r="AAV746" s="214"/>
      <c r="AAW746" s="214"/>
      <c r="AAX746" s="214"/>
      <c r="AAY746" s="214"/>
      <c r="AAZ746" s="214"/>
      <c r="ABA746" s="214"/>
      <c r="ABB746" s="214"/>
      <c r="ABC746" s="214"/>
      <c r="ABD746" s="214"/>
      <c r="ABE746" s="214"/>
      <c r="ABF746" s="214"/>
      <c r="ABG746" s="214"/>
      <c r="ABH746" s="214"/>
      <c r="ABI746" s="214"/>
      <c r="ABJ746" s="214"/>
      <c r="ABK746" s="214"/>
      <c r="ABL746" s="214"/>
      <c r="ABM746" s="214"/>
      <c r="ABN746" s="214"/>
      <c r="ABO746" s="214"/>
      <c r="ABP746" s="214"/>
      <c r="ABQ746" s="214"/>
      <c r="ABR746" s="214"/>
      <c r="ABS746" s="214"/>
      <c r="ABT746" s="214"/>
      <c r="ABU746" s="214"/>
      <c r="ABV746" s="214"/>
      <c r="ABW746" s="214"/>
      <c r="ABX746" s="214"/>
      <c r="ABY746" s="214"/>
      <c r="ABZ746" s="214"/>
      <c r="ACA746" s="214"/>
      <c r="ACB746" s="214"/>
      <c r="ACC746" s="214"/>
      <c r="ACD746" s="214"/>
      <c r="ACE746" s="214"/>
      <c r="ACF746" s="214"/>
      <c r="ACG746" s="214"/>
      <c r="ACH746" s="214"/>
      <c r="ACI746" s="214"/>
      <c r="ACJ746" s="214"/>
      <c r="ACK746" s="214"/>
      <c r="ACL746" s="214"/>
      <c r="ACM746" s="214"/>
      <c r="ACN746" s="214"/>
      <c r="ACO746" s="214"/>
      <c r="ACP746" s="214"/>
      <c r="ACQ746" s="214"/>
      <c r="ACR746" s="214"/>
      <c r="ACS746" s="214"/>
      <c r="ACT746" s="214"/>
      <c r="ACU746" s="214"/>
      <c r="ACV746" s="214"/>
      <c r="ACW746" s="214"/>
      <c r="ACX746" s="214"/>
      <c r="ACY746" s="214"/>
      <c r="ACZ746" s="214"/>
      <c r="ADA746" s="214"/>
      <c r="ADB746" s="214"/>
      <c r="ADC746" s="214"/>
      <c r="ADD746" s="214"/>
      <c r="ADE746" s="214"/>
      <c r="ADF746" s="214"/>
      <c r="ADG746" s="214"/>
      <c r="ADH746" s="214"/>
      <c r="ADI746" s="214"/>
      <c r="ADJ746" s="214"/>
      <c r="ADK746" s="214"/>
      <c r="ADL746" s="214"/>
      <c r="ADM746" s="214"/>
      <c r="ADN746" s="214"/>
      <c r="ADO746" s="214"/>
      <c r="ADP746" s="214"/>
      <c r="ADQ746" s="214"/>
      <c r="ADR746" s="214"/>
      <c r="ADS746" s="214"/>
      <c r="ADT746" s="214"/>
      <c r="ADU746" s="214"/>
      <c r="ADV746" s="214"/>
      <c r="ADW746" s="214"/>
      <c r="ADX746" s="214"/>
      <c r="ADY746" s="214"/>
      <c r="ADZ746" s="214"/>
      <c r="AEA746" s="214"/>
      <c r="AEB746" s="214"/>
      <c r="AEC746" s="214"/>
      <c r="AED746" s="214"/>
      <c r="AEE746" s="214"/>
      <c r="AEF746" s="214"/>
      <c r="AEG746" s="214"/>
      <c r="AEH746" s="214"/>
      <c r="AEI746" s="214"/>
      <c r="AEJ746" s="214"/>
      <c r="AEK746" s="214"/>
      <c r="AEL746" s="214"/>
      <c r="AEM746" s="214"/>
      <c r="AEN746" s="214"/>
      <c r="AEO746" s="214"/>
      <c r="AEP746" s="214"/>
      <c r="AEQ746" s="214"/>
      <c r="AER746" s="214"/>
      <c r="AES746" s="214"/>
      <c r="AET746" s="214"/>
      <c r="AEU746" s="214"/>
      <c r="AEV746" s="214"/>
      <c r="AEW746" s="214"/>
      <c r="AEX746" s="214"/>
      <c r="AEY746" s="214"/>
      <c r="AEZ746" s="214"/>
      <c r="AFA746" s="214"/>
      <c r="AFB746" s="214"/>
      <c r="AFC746" s="214"/>
      <c r="AFD746" s="214"/>
      <c r="AFE746" s="214"/>
      <c r="AFF746" s="214"/>
      <c r="AFG746" s="214"/>
      <c r="AFH746" s="214"/>
      <c r="AFI746" s="214"/>
      <c r="AFJ746" s="214"/>
      <c r="AFK746" s="214"/>
      <c r="AFL746" s="214"/>
      <c r="AFM746" s="214"/>
      <c r="AFN746" s="214"/>
      <c r="AFO746" s="214"/>
      <c r="AFP746" s="214"/>
      <c r="AFQ746" s="214"/>
      <c r="AFR746" s="214"/>
      <c r="AFS746" s="214"/>
      <c r="AFT746" s="214"/>
      <c r="AFU746" s="214"/>
      <c r="AFV746" s="214"/>
      <c r="AFW746" s="214"/>
      <c r="AFX746" s="214"/>
      <c r="AFY746" s="214"/>
      <c r="AFZ746" s="214"/>
      <c r="AGA746" s="214"/>
      <c r="AGB746" s="214"/>
      <c r="AGC746" s="214"/>
      <c r="AGD746" s="214"/>
      <c r="AGE746" s="214"/>
      <c r="AGF746" s="214"/>
      <c r="AGG746" s="214"/>
      <c r="AGH746" s="214"/>
      <c r="AGI746" s="214"/>
      <c r="AGJ746" s="214"/>
      <c r="AGK746" s="214"/>
      <c r="AGL746" s="214"/>
      <c r="AGM746" s="214"/>
      <c r="AGN746" s="214"/>
      <c r="AGO746" s="214"/>
      <c r="AGP746" s="214"/>
      <c r="AGQ746" s="214"/>
      <c r="AGR746" s="214"/>
      <c r="AGS746" s="214"/>
      <c r="AGT746" s="214"/>
      <c r="AGU746" s="214"/>
      <c r="AGV746" s="214"/>
      <c r="AGW746" s="214"/>
      <c r="AGX746" s="214"/>
      <c r="AGY746" s="214"/>
      <c r="AGZ746" s="214"/>
      <c r="AHA746" s="214"/>
      <c r="AHB746" s="214"/>
      <c r="AHC746" s="214"/>
      <c r="AHD746" s="214"/>
      <c r="AHE746" s="214"/>
      <c r="AHF746" s="214"/>
      <c r="AHG746" s="214"/>
      <c r="AHH746" s="214"/>
      <c r="AHI746" s="214"/>
      <c r="AHJ746" s="214"/>
      <c r="AHK746" s="214"/>
      <c r="AHL746" s="214"/>
      <c r="AHM746" s="214"/>
      <c r="AHN746" s="214"/>
      <c r="AHO746" s="214"/>
      <c r="AHP746" s="214"/>
      <c r="AHQ746" s="214"/>
      <c r="AHR746" s="214"/>
      <c r="AHS746" s="214"/>
      <c r="AHT746" s="214"/>
      <c r="AHU746" s="214"/>
      <c r="AHV746" s="214"/>
      <c r="AHW746" s="214"/>
      <c r="AHX746" s="214"/>
      <c r="AHY746" s="214"/>
      <c r="AHZ746" s="214"/>
      <c r="AIA746" s="214"/>
      <c r="AIB746" s="214"/>
      <c r="AIC746" s="214"/>
      <c r="AID746" s="214"/>
      <c r="AIE746" s="214"/>
      <c r="AIF746" s="214"/>
      <c r="AIG746" s="214"/>
      <c r="AIH746" s="214"/>
      <c r="AII746" s="214"/>
      <c r="AIJ746" s="214"/>
      <c r="AIK746" s="214"/>
      <c r="AIL746" s="214"/>
      <c r="AIM746" s="214"/>
      <c r="AIN746" s="214"/>
      <c r="AIO746" s="214"/>
      <c r="AIP746" s="214"/>
      <c r="AIQ746" s="214"/>
      <c r="AIR746" s="214"/>
      <c r="AIS746" s="214"/>
      <c r="AIT746" s="214"/>
      <c r="AIU746" s="214"/>
      <c r="AIV746" s="214"/>
      <c r="AIW746" s="214"/>
      <c r="AIX746" s="214"/>
      <c r="AIY746" s="214"/>
      <c r="AIZ746" s="214"/>
      <c r="AJA746" s="214"/>
      <c r="AJB746" s="214"/>
      <c r="AJC746" s="214"/>
      <c r="AJD746" s="214"/>
      <c r="AJE746" s="214"/>
      <c r="AJF746" s="214"/>
      <c r="AJG746" s="214"/>
      <c r="AJH746" s="214"/>
      <c r="AJI746" s="214"/>
      <c r="AJJ746" s="214"/>
      <c r="AJK746" s="214"/>
      <c r="AJL746" s="214"/>
      <c r="AJM746" s="214"/>
      <c r="AJN746" s="214"/>
      <c r="AJO746" s="214"/>
      <c r="AJP746" s="214"/>
      <c r="AJQ746" s="214"/>
      <c r="AJR746" s="214"/>
      <c r="AJS746" s="214"/>
      <c r="AJT746" s="214"/>
      <c r="AJU746" s="214"/>
      <c r="AJV746" s="214"/>
      <c r="AJW746" s="214"/>
      <c r="AJX746" s="214"/>
      <c r="AJY746" s="214"/>
      <c r="AJZ746" s="214"/>
      <c r="AKA746" s="214"/>
      <c r="AKB746" s="214"/>
      <c r="AKC746" s="214"/>
      <c r="AKD746" s="214"/>
      <c r="AKE746" s="214"/>
      <c r="AKF746" s="214"/>
      <c r="AKG746" s="214"/>
      <c r="AKH746" s="214"/>
      <c r="AKI746" s="214"/>
      <c r="AKJ746" s="214"/>
      <c r="AKK746" s="214"/>
      <c r="AKL746" s="214"/>
      <c r="AKM746" s="214"/>
      <c r="AKN746" s="214"/>
      <c r="AKO746" s="214"/>
      <c r="AKP746" s="214"/>
      <c r="AKQ746" s="214"/>
      <c r="AKR746" s="214"/>
      <c r="AKS746" s="214"/>
      <c r="AKT746" s="214"/>
      <c r="AKU746" s="214"/>
      <c r="AKV746" s="214"/>
      <c r="AKW746" s="214"/>
      <c r="AKX746" s="214"/>
      <c r="AKY746" s="214"/>
      <c r="AKZ746" s="214"/>
      <c r="ALA746" s="214"/>
      <c r="ALB746" s="214"/>
      <c r="ALC746" s="214"/>
      <c r="ALD746" s="214"/>
      <c r="ALE746" s="214"/>
      <c r="ALF746" s="214"/>
      <c r="ALG746" s="214"/>
      <c r="ALH746" s="214"/>
      <c r="ALI746" s="214"/>
      <c r="ALJ746" s="214"/>
      <c r="ALK746" s="214"/>
      <c r="ALL746" s="214"/>
      <c r="ALM746" s="214"/>
      <c r="ALN746" s="214"/>
      <c r="ALO746" s="214"/>
      <c r="ALP746" s="214"/>
      <c r="ALQ746" s="214"/>
      <c r="ALR746" s="214"/>
      <c r="ALS746" s="214"/>
      <c r="ALT746" s="214"/>
      <c r="ALU746" s="214"/>
      <c r="ALV746" s="214"/>
      <c r="ALW746" s="214"/>
      <c r="ALX746" s="214"/>
      <c r="ALY746" s="214"/>
      <c r="ALZ746" s="214"/>
      <c r="AMA746" s="214"/>
      <c r="AMB746" s="214"/>
      <c r="AMC746" s="214"/>
      <c r="AMD746" s="214"/>
      <c r="AME746" s="214"/>
      <c r="AMF746" s="214"/>
      <c r="AMG746" s="214"/>
      <c r="AMH746" s="214"/>
      <c r="AMI746" s="214"/>
      <c r="AMJ746" s="214"/>
      <c r="AMK746" s="214"/>
      <c r="AML746" s="214"/>
      <c r="AMM746" s="214"/>
      <c r="AMN746" s="214"/>
      <c r="AMO746" s="214"/>
      <c r="AMP746" s="214"/>
      <c r="AMQ746" s="214"/>
      <c r="AMR746" s="214"/>
      <c r="AMS746" s="214"/>
      <c r="AMT746" s="214"/>
      <c r="AMU746" s="214"/>
      <c r="AMV746" s="214"/>
      <c r="AMW746" s="214"/>
      <c r="AMX746" s="214"/>
      <c r="AMY746" s="214"/>
      <c r="AMZ746" s="214"/>
      <c r="ANA746" s="214"/>
      <c r="ANB746" s="214"/>
      <c r="ANC746" s="214"/>
      <c r="AND746" s="214"/>
      <c r="ANE746" s="214"/>
      <c r="ANF746" s="214"/>
      <c r="ANG746" s="214"/>
      <c r="ANH746" s="214"/>
      <c r="ANI746" s="214"/>
      <c r="ANJ746" s="214"/>
      <c r="ANK746" s="214"/>
      <c r="ANL746" s="214"/>
      <c r="ANM746" s="214"/>
      <c r="ANN746" s="214"/>
      <c r="ANO746" s="214"/>
      <c r="ANP746" s="214"/>
      <c r="ANQ746" s="214"/>
      <c r="ANR746" s="214"/>
      <c r="ANS746" s="214"/>
      <c r="ANT746" s="214"/>
      <c r="ANU746" s="214"/>
      <c r="ANV746" s="214"/>
      <c r="ANW746" s="214"/>
      <c r="ANX746" s="214"/>
      <c r="ANY746" s="214"/>
      <c r="ANZ746" s="214"/>
      <c r="AOA746" s="214"/>
      <c r="AOB746" s="214"/>
      <c r="AOC746" s="214"/>
      <c r="AOD746" s="214"/>
      <c r="AOE746" s="214"/>
      <c r="AOF746" s="214"/>
      <c r="AOG746" s="214"/>
      <c r="AOH746" s="214"/>
      <c r="AOI746" s="214"/>
      <c r="AOJ746" s="214"/>
      <c r="AOK746" s="214"/>
      <c r="AOL746" s="214"/>
      <c r="AOM746" s="214"/>
      <c r="AON746" s="214"/>
      <c r="AOO746" s="214"/>
      <c r="AOP746" s="214"/>
      <c r="AOQ746" s="214"/>
      <c r="AOR746" s="214"/>
      <c r="AOS746" s="214"/>
      <c r="AOT746" s="214"/>
      <c r="AOU746" s="214"/>
      <c r="AOV746" s="214"/>
      <c r="AOW746" s="214"/>
      <c r="AOX746" s="214"/>
      <c r="AOY746" s="214"/>
      <c r="AOZ746" s="214"/>
      <c r="APA746" s="214"/>
      <c r="APB746" s="214"/>
      <c r="APC746" s="214"/>
      <c r="APD746" s="214"/>
      <c r="APE746" s="214"/>
      <c r="APF746" s="214"/>
      <c r="APG746" s="214"/>
      <c r="APH746" s="214"/>
      <c r="API746" s="214"/>
      <c r="APJ746" s="214"/>
      <c r="APK746" s="214"/>
      <c r="APL746" s="214"/>
      <c r="APM746" s="214"/>
      <c r="APN746" s="214"/>
      <c r="APO746" s="214"/>
      <c r="APP746" s="214"/>
      <c r="APQ746" s="214"/>
      <c r="APR746" s="214"/>
      <c r="APS746" s="214"/>
      <c r="APT746" s="214"/>
      <c r="APU746" s="214"/>
      <c r="APV746" s="214"/>
      <c r="APW746" s="214"/>
      <c r="APX746" s="214"/>
      <c r="APY746" s="214"/>
      <c r="APZ746" s="214"/>
      <c r="AQA746" s="214"/>
      <c r="AQB746" s="214"/>
      <c r="AQC746" s="214"/>
      <c r="AQD746" s="214"/>
      <c r="AQE746" s="214"/>
      <c r="AQF746" s="214"/>
      <c r="AQG746" s="214"/>
      <c r="AQH746" s="214"/>
      <c r="AQI746" s="214"/>
      <c r="AQJ746" s="214"/>
      <c r="AQK746" s="214"/>
      <c r="AQL746" s="214"/>
      <c r="AQM746" s="214"/>
      <c r="AQN746" s="214"/>
      <c r="AQO746" s="214"/>
      <c r="AQP746" s="214"/>
      <c r="AQQ746" s="214"/>
      <c r="AQR746" s="214"/>
      <c r="AQS746" s="214"/>
      <c r="AQT746" s="214"/>
      <c r="AQU746" s="214"/>
      <c r="AQV746" s="214"/>
      <c r="AQW746" s="214"/>
      <c r="AQX746" s="214"/>
      <c r="AQY746" s="214"/>
      <c r="AQZ746" s="214"/>
      <c r="ARA746" s="214"/>
      <c r="ARB746" s="214"/>
      <c r="ARC746" s="214"/>
      <c r="ARD746" s="214"/>
      <c r="ARE746" s="214"/>
      <c r="ARF746" s="214"/>
      <c r="ARG746" s="214"/>
      <c r="ARH746" s="214"/>
      <c r="ARI746" s="214"/>
      <c r="ARJ746" s="214"/>
      <c r="ARK746" s="214"/>
      <c r="ARL746" s="214"/>
      <c r="ARM746" s="214"/>
      <c r="ARN746" s="214"/>
      <c r="ARO746" s="214"/>
      <c r="ARP746" s="214"/>
      <c r="ARQ746" s="214"/>
      <c r="ARR746" s="214"/>
      <c r="ARS746" s="214"/>
      <c r="ART746" s="214"/>
      <c r="ARU746" s="214"/>
      <c r="ARV746" s="214"/>
      <c r="ARW746" s="214"/>
      <c r="ARX746" s="214"/>
      <c r="ARY746" s="214"/>
      <c r="ARZ746" s="214"/>
      <c r="ASA746" s="214"/>
      <c r="ASB746" s="214"/>
      <c r="ASC746" s="214"/>
      <c r="ASD746" s="214"/>
      <c r="ASE746" s="214"/>
      <c r="ASF746" s="214"/>
      <c r="ASG746" s="214"/>
      <c r="ASH746" s="214"/>
      <c r="ASI746" s="214"/>
      <c r="ASJ746" s="214"/>
      <c r="ASK746" s="214"/>
      <c r="ASL746" s="214"/>
      <c r="ASM746" s="214"/>
      <c r="ASN746" s="214"/>
      <c r="ASO746" s="214"/>
      <c r="ASP746" s="214"/>
      <c r="ASQ746" s="214"/>
      <c r="ASR746" s="214"/>
      <c r="ASS746" s="214"/>
      <c r="AST746" s="214"/>
      <c r="ASU746" s="214"/>
      <c r="ASV746" s="214"/>
      <c r="ASW746" s="214"/>
      <c r="ASX746" s="214"/>
      <c r="ASY746" s="214"/>
      <c r="ASZ746" s="214"/>
      <c r="ATA746" s="214"/>
      <c r="ATB746" s="214"/>
      <c r="ATC746" s="214"/>
      <c r="ATD746" s="214"/>
      <c r="ATE746" s="214"/>
      <c r="ATF746" s="214"/>
      <c r="ATG746" s="214"/>
      <c r="ATH746" s="214"/>
      <c r="ATI746" s="214"/>
      <c r="ATJ746" s="214"/>
      <c r="ATK746" s="214"/>
      <c r="ATL746" s="214"/>
      <c r="ATM746" s="214"/>
      <c r="ATN746" s="214"/>
      <c r="ATO746" s="214"/>
      <c r="ATP746" s="214"/>
      <c r="ATQ746" s="214"/>
      <c r="ATR746" s="214"/>
      <c r="ATS746" s="214"/>
      <c r="ATT746" s="214"/>
      <c r="ATU746" s="214"/>
      <c r="ATV746" s="214"/>
      <c r="ATW746" s="214"/>
      <c r="ATX746" s="214"/>
      <c r="ATY746" s="214"/>
      <c r="ATZ746" s="214"/>
      <c r="AUA746" s="214"/>
      <c r="AUB746" s="214"/>
      <c r="AUC746" s="214"/>
      <c r="AUD746" s="214"/>
      <c r="AUE746" s="214"/>
      <c r="AUF746" s="214"/>
      <c r="AUG746" s="214"/>
      <c r="AUH746" s="214"/>
      <c r="AUI746" s="214"/>
      <c r="AUJ746" s="214"/>
      <c r="AUK746" s="214"/>
      <c r="AUL746" s="214"/>
      <c r="AUM746" s="214"/>
      <c r="AUN746" s="214"/>
      <c r="AUO746" s="214"/>
      <c r="AUP746" s="214"/>
      <c r="AUQ746" s="214"/>
      <c r="AUR746" s="214"/>
      <c r="AUS746" s="214"/>
      <c r="AUT746" s="214"/>
      <c r="AUU746" s="214"/>
      <c r="AUV746" s="214"/>
      <c r="AUW746" s="214"/>
      <c r="AUX746" s="214"/>
      <c r="AUY746" s="214"/>
      <c r="AUZ746" s="214"/>
      <c r="AVA746" s="214"/>
      <c r="AVB746" s="214"/>
      <c r="AVC746" s="214"/>
      <c r="AVD746" s="214"/>
      <c r="AVE746" s="214"/>
      <c r="AVF746" s="214"/>
      <c r="AVG746" s="214"/>
      <c r="AVH746" s="214"/>
      <c r="AVI746" s="214"/>
      <c r="AVJ746" s="214"/>
      <c r="AVK746" s="214"/>
      <c r="AVL746" s="214"/>
      <c r="AVM746" s="214"/>
      <c r="AVN746" s="214"/>
      <c r="AVO746" s="214"/>
      <c r="AVP746" s="214"/>
      <c r="AVQ746" s="214"/>
      <c r="AVR746" s="214"/>
      <c r="AVS746" s="214"/>
      <c r="AVT746" s="214"/>
      <c r="AVU746" s="214"/>
      <c r="AVV746" s="214"/>
      <c r="AVW746" s="214"/>
      <c r="AVX746" s="214"/>
      <c r="AVY746" s="214"/>
      <c r="AVZ746" s="214"/>
      <c r="AWA746" s="214"/>
      <c r="AWB746" s="214"/>
      <c r="AWC746" s="214"/>
      <c r="AWD746" s="214"/>
      <c r="AWE746" s="214"/>
      <c r="AWF746" s="214"/>
      <c r="AWG746" s="214"/>
      <c r="AWH746" s="214"/>
      <c r="AWI746" s="214"/>
      <c r="AWJ746" s="214"/>
      <c r="AWK746" s="214"/>
      <c r="AWL746" s="214"/>
      <c r="AWM746" s="214"/>
      <c r="AWN746" s="214"/>
      <c r="AWO746" s="214"/>
      <c r="AWP746" s="214"/>
      <c r="AWQ746" s="214"/>
      <c r="AWR746" s="214"/>
      <c r="AWS746" s="214"/>
      <c r="AWT746" s="214"/>
      <c r="AWU746" s="214"/>
      <c r="AWV746" s="214"/>
      <c r="AWW746" s="214"/>
      <c r="AWX746" s="214"/>
      <c r="AWY746" s="214"/>
      <c r="AWZ746" s="214"/>
      <c r="AXA746" s="214"/>
      <c r="AXB746" s="214"/>
      <c r="AXC746" s="214"/>
      <c r="AXD746" s="214"/>
      <c r="AXE746" s="214"/>
      <c r="AXF746" s="214"/>
      <c r="AXG746" s="214"/>
      <c r="AXH746" s="214"/>
      <c r="AXI746" s="214"/>
      <c r="AXJ746" s="214"/>
      <c r="AXK746" s="214"/>
      <c r="AXL746" s="214"/>
      <c r="AXM746" s="214"/>
      <c r="AXN746" s="214"/>
      <c r="AXO746" s="214"/>
      <c r="AXP746" s="214"/>
      <c r="AXQ746" s="214"/>
      <c r="AXR746" s="214"/>
      <c r="AXS746" s="214"/>
      <c r="AXT746" s="214"/>
      <c r="AXU746" s="214"/>
      <c r="AXV746" s="214"/>
      <c r="AXW746" s="214"/>
      <c r="AXX746" s="214"/>
      <c r="AXY746" s="214"/>
      <c r="AXZ746" s="214"/>
      <c r="AYA746" s="214"/>
      <c r="AYB746" s="214"/>
      <c r="AYC746" s="214"/>
      <c r="AYD746" s="214"/>
      <c r="AYE746" s="214"/>
      <c r="AYF746" s="214"/>
      <c r="AYG746" s="214"/>
      <c r="AYH746" s="214"/>
      <c r="AYI746" s="214"/>
      <c r="AYJ746" s="214"/>
      <c r="AYK746" s="214"/>
      <c r="AYL746" s="214"/>
      <c r="AYM746" s="214"/>
      <c r="AYN746" s="214"/>
      <c r="AYO746" s="214"/>
      <c r="AYP746" s="214"/>
      <c r="AYQ746" s="214"/>
      <c r="AYR746" s="214"/>
      <c r="AYS746" s="214"/>
      <c r="AYT746" s="214"/>
      <c r="AYU746" s="214"/>
      <c r="AYV746" s="214"/>
      <c r="AYW746" s="214"/>
      <c r="AYX746" s="214"/>
      <c r="AYY746" s="214"/>
      <c r="AYZ746" s="214"/>
      <c r="AZA746" s="214"/>
      <c r="AZB746" s="214"/>
      <c r="AZC746" s="214"/>
      <c r="AZD746" s="214"/>
      <c r="AZE746" s="214"/>
      <c r="AZF746" s="214"/>
      <c r="AZG746" s="214"/>
      <c r="AZH746" s="214"/>
      <c r="AZI746" s="214"/>
      <c r="AZJ746" s="214"/>
      <c r="AZK746" s="214"/>
      <c r="AZL746" s="214"/>
      <c r="AZM746" s="214"/>
      <c r="AZN746" s="214"/>
      <c r="AZO746" s="214"/>
      <c r="AZP746" s="214"/>
      <c r="AZQ746" s="214"/>
      <c r="AZR746" s="214"/>
      <c r="AZS746" s="214"/>
      <c r="AZT746" s="214"/>
      <c r="AZU746" s="214"/>
      <c r="AZV746" s="214"/>
      <c r="AZW746" s="214"/>
      <c r="AZX746" s="214"/>
      <c r="AZY746" s="214"/>
      <c r="AZZ746" s="214"/>
      <c r="BAA746" s="214"/>
      <c r="BAB746" s="214"/>
      <c r="BAC746" s="214"/>
      <c r="BAD746" s="214"/>
      <c r="BAE746" s="214"/>
      <c r="BAF746" s="214"/>
      <c r="BAG746" s="214"/>
      <c r="BAH746" s="214"/>
      <c r="BAI746" s="214"/>
      <c r="BAJ746" s="214"/>
      <c r="BAK746" s="214"/>
      <c r="BAL746" s="214"/>
      <c r="BAM746" s="214"/>
      <c r="BAN746" s="214"/>
      <c r="BAO746" s="214"/>
      <c r="BAP746" s="214"/>
      <c r="BAQ746" s="214"/>
      <c r="BAR746" s="214"/>
      <c r="BAS746" s="214"/>
      <c r="BAT746" s="214"/>
      <c r="BAU746" s="214"/>
      <c r="BAV746" s="214"/>
      <c r="BAW746" s="214"/>
      <c r="BAX746" s="214"/>
      <c r="BAY746" s="214"/>
      <c r="BAZ746" s="214"/>
      <c r="BBA746" s="214"/>
      <c r="BBB746" s="214"/>
      <c r="BBC746" s="214"/>
      <c r="BBD746" s="214"/>
      <c r="BBE746" s="214"/>
      <c r="BBF746" s="214"/>
      <c r="BBG746" s="214"/>
      <c r="BBH746" s="214"/>
      <c r="BBI746" s="214"/>
      <c r="BBJ746" s="214"/>
      <c r="BBK746" s="214"/>
      <c r="BBL746" s="214"/>
      <c r="BBM746" s="214"/>
      <c r="BBN746" s="214"/>
      <c r="BBO746" s="214"/>
      <c r="BBP746" s="214"/>
      <c r="BBQ746" s="214"/>
      <c r="BBR746" s="214"/>
      <c r="BBS746" s="214"/>
      <c r="BBT746" s="214"/>
      <c r="BBU746" s="214"/>
      <c r="BBV746" s="214"/>
      <c r="BBW746" s="214"/>
      <c r="BBX746" s="214"/>
      <c r="BBY746" s="214"/>
      <c r="BBZ746" s="214"/>
      <c r="BCA746" s="214"/>
      <c r="BCB746" s="214"/>
      <c r="BCC746" s="214"/>
      <c r="BCD746" s="214"/>
      <c r="BCE746" s="214"/>
      <c r="BCF746" s="214"/>
      <c r="BCG746" s="214"/>
      <c r="BCH746" s="214"/>
      <c r="BCI746" s="214"/>
      <c r="BCJ746" s="214"/>
      <c r="BCK746" s="214"/>
      <c r="BCL746" s="214"/>
      <c r="BCM746" s="214"/>
      <c r="BCN746" s="214"/>
      <c r="BCO746" s="214"/>
      <c r="BCP746" s="214"/>
      <c r="BCQ746" s="214"/>
      <c r="BCR746" s="214"/>
      <c r="BCS746" s="214"/>
      <c r="BCT746" s="214"/>
      <c r="BCU746" s="214"/>
      <c r="BCV746" s="214"/>
      <c r="BCW746" s="214"/>
      <c r="BCX746" s="214"/>
      <c r="BCY746" s="214"/>
      <c r="BCZ746" s="214"/>
      <c r="BDA746" s="214"/>
      <c r="BDB746" s="214"/>
      <c r="BDC746" s="214"/>
      <c r="BDD746" s="214"/>
      <c r="BDE746" s="214"/>
      <c r="BDF746" s="214"/>
      <c r="BDG746" s="214"/>
      <c r="BDH746" s="214"/>
      <c r="BDI746" s="214"/>
      <c r="BDJ746" s="214"/>
      <c r="BDK746" s="214"/>
      <c r="BDL746" s="214"/>
      <c r="BDM746" s="214"/>
      <c r="BDN746" s="214"/>
      <c r="BDO746" s="214"/>
      <c r="BDP746" s="214"/>
      <c r="BDQ746" s="214"/>
      <c r="BDR746" s="214"/>
      <c r="BDS746" s="214"/>
      <c r="BDT746" s="214"/>
      <c r="BDU746" s="214"/>
      <c r="BDV746" s="214"/>
      <c r="BDW746" s="214"/>
      <c r="BDX746" s="214"/>
      <c r="BDY746" s="214"/>
      <c r="BDZ746" s="214"/>
      <c r="BEA746" s="214"/>
      <c r="BEB746" s="214"/>
      <c r="BEC746" s="214"/>
      <c r="BED746" s="214"/>
      <c r="BEE746" s="214"/>
      <c r="BEF746" s="214"/>
      <c r="BEG746" s="214"/>
      <c r="BEH746" s="214"/>
      <c r="BEI746" s="214"/>
      <c r="BEJ746" s="214"/>
      <c r="BEK746" s="214"/>
      <c r="BEL746" s="214"/>
      <c r="BEM746" s="214"/>
      <c r="BEN746" s="214"/>
      <c r="BEO746" s="214"/>
      <c r="BEP746" s="214"/>
      <c r="BEQ746" s="214"/>
      <c r="BER746" s="214"/>
      <c r="BES746" s="214"/>
      <c r="BET746" s="214"/>
      <c r="BEU746" s="214"/>
      <c r="BEV746" s="214"/>
      <c r="BEW746" s="214"/>
      <c r="BEX746" s="214"/>
      <c r="BEY746" s="214"/>
      <c r="BEZ746" s="214"/>
      <c r="BFA746" s="214"/>
      <c r="BFB746" s="214"/>
      <c r="BFC746" s="214"/>
      <c r="BFD746" s="214"/>
      <c r="BFE746" s="214"/>
      <c r="BFF746" s="214"/>
      <c r="BFG746" s="214"/>
      <c r="BFH746" s="214"/>
      <c r="BFI746" s="214"/>
      <c r="BFJ746" s="214"/>
      <c r="BFK746" s="214"/>
      <c r="BFL746" s="214"/>
      <c r="BFM746" s="214"/>
      <c r="BFN746" s="214"/>
      <c r="BFO746" s="214"/>
      <c r="BFP746" s="214"/>
      <c r="BFQ746" s="214"/>
      <c r="BFR746" s="214"/>
      <c r="BFS746" s="214"/>
      <c r="BFT746" s="214"/>
      <c r="BFU746" s="214"/>
      <c r="BFV746" s="214"/>
      <c r="BFW746" s="214"/>
      <c r="BFX746" s="214"/>
      <c r="BFY746" s="214"/>
      <c r="BFZ746" s="214"/>
      <c r="BGA746" s="214"/>
      <c r="BGB746" s="214"/>
      <c r="BGC746" s="214"/>
      <c r="BGD746" s="214"/>
      <c r="BGE746" s="214"/>
      <c r="BGF746" s="214"/>
      <c r="BGG746" s="214"/>
      <c r="BGH746" s="214"/>
      <c r="BGI746" s="214"/>
      <c r="BGJ746" s="214"/>
      <c r="BGK746" s="214"/>
      <c r="BGL746" s="214"/>
      <c r="BGM746" s="214"/>
      <c r="BGN746" s="214"/>
      <c r="BGO746" s="214"/>
      <c r="BGP746" s="214"/>
      <c r="BGQ746" s="214"/>
      <c r="BGR746" s="214"/>
      <c r="BGS746" s="214"/>
      <c r="BGT746" s="214"/>
      <c r="BGU746" s="214"/>
      <c r="BGV746" s="214"/>
      <c r="BGW746" s="214"/>
      <c r="BGX746" s="214"/>
      <c r="BGY746" s="214"/>
      <c r="BGZ746" s="214"/>
      <c r="BHA746" s="214"/>
      <c r="BHB746" s="214"/>
      <c r="BHC746" s="214"/>
      <c r="BHD746" s="214"/>
      <c r="BHE746" s="214"/>
      <c r="BHF746" s="214"/>
      <c r="BHG746" s="214"/>
      <c r="BHH746" s="214"/>
      <c r="BHI746" s="214"/>
      <c r="BHJ746" s="214"/>
      <c r="BHK746" s="214"/>
      <c r="BHL746" s="214"/>
      <c r="BHM746" s="214"/>
      <c r="BHN746" s="214"/>
      <c r="BHO746" s="214"/>
      <c r="BHP746" s="214"/>
      <c r="BHQ746" s="214"/>
      <c r="BHR746" s="214"/>
      <c r="BHS746" s="214"/>
      <c r="BHT746" s="214"/>
      <c r="BHU746" s="214"/>
      <c r="BHV746" s="214"/>
      <c r="BHW746" s="214"/>
      <c r="BHX746" s="214"/>
      <c r="BHY746" s="214"/>
      <c r="BHZ746" s="214"/>
      <c r="BIA746" s="214"/>
      <c r="BIB746" s="214"/>
      <c r="BIC746" s="214"/>
      <c r="BID746" s="214"/>
      <c r="BIE746" s="214"/>
      <c r="BIF746" s="214"/>
      <c r="BIG746" s="214"/>
      <c r="BIH746" s="214"/>
      <c r="BII746" s="214"/>
      <c r="BIJ746" s="214"/>
      <c r="BIK746" s="214"/>
      <c r="BIL746" s="214"/>
      <c r="BIM746" s="214"/>
      <c r="BIN746" s="214"/>
      <c r="BIO746" s="214"/>
      <c r="BIP746" s="214"/>
      <c r="BIQ746" s="214"/>
      <c r="BIR746" s="214"/>
      <c r="BIS746" s="214"/>
      <c r="BIT746" s="214"/>
      <c r="BIU746" s="214"/>
      <c r="BIV746" s="214"/>
      <c r="BIW746" s="214"/>
      <c r="BIX746" s="214"/>
      <c r="BIY746" s="214"/>
      <c r="BIZ746" s="214"/>
      <c r="BJA746" s="214"/>
      <c r="BJB746" s="214"/>
      <c r="BJC746" s="214"/>
      <c r="BJD746" s="214"/>
      <c r="BJE746" s="214"/>
      <c r="BJF746" s="214"/>
      <c r="BJG746" s="214"/>
      <c r="BJH746" s="214"/>
      <c r="BJI746" s="214"/>
      <c r="BJJ746" s="214"/>
      <c r="BJK746" s="214"/>
      <c r="BJL746" s="214"/>
      <c r="BJM746" s="214"/>
      <c r="BJN746" s="214"/>
      <c r="BJO746" s="214"/>
      <c r="BJP746" s="214"/>
      <c r="BJQ746" s="214"/>
      <c r="BJR746" s="214"/>
      <c r="BJS746" s="214"/>
      <c r="BJT746" s="214"/>
      <c r="BJU746" s="214"/>
      <c r="BJV746" s="214"/>
      <c r="BJW746" s="214"/>
      <c r="BJX746" s="214"/>
      <c r="BJY746" s="214"/>
      <c r="BJZ746" s="214"/>
      <c r="BKA746" s="214"/>
      <c r="BKB746" s="214"/>
      <c r="BKC746" s="214"/>
      <c r="BKD746" s="214"/>
      <c r="BKE746" s="214"/>
      <c r="BKF746" s="214"/>
      <c r="BKG746" s="214"/>
      <c r="BKH746" s="214"/>
      <c r="BKI746" s="214"/>
      <c r="BKJ746" s="214"/>
      <c r="BKK746" s="214"/>
      <c r="BKL746" s="214"/>
      <c r="BKM746" s="214"/>
      <c r="BKN746" s="214"/>
      <c r="BKO746" s="214"/>
      <c r="BKP746" s="214"/>
      <c r="BKQ746" s="214"/>
      <c r="BKR746" s="214"/>
      <c r="BKS746" s="214"/>
      <c r="BKT746" s="214"/>
      <c r="BKU746" s="214"/>
      <c r="BKV746" s="214"/>
      <c r="BKW746" s="214"/>
      <c r="BKX746" s="214"/>
      <c r="BKY746" s="214"/>
      <c r="BKZ746" s="214"/>
      <c r="BLA746" s="214"/>
      <c r="BLB746" s="214"/>
      <c r="BLC746" s="214"/>
      <c r="BLD746" s="214"/>
      <c r="BLE746" s="214"/>
      <c r="BLF746" s="214"/>
      <c r="BLG746" s="214"/>
      <c r="BLH746" s="214"/>
      <c r="BLI746" s="214"/>
      <c r="BLJ746" s="214"/>
      <c r="BLK746" s="214"/>
      <c r="BLL746" s="214"/>
      <c r="BLM746" s="214"/>
      <c r="BLN746" s="214"/>
      <c r="BLO746" s="214"/>
      <c r="BLP746" s="214"/>
      <c r="BLQ746" s="214"/>
      <c r="BLR746" s="214"/>
      <c r="BLS746" s="214"/>
      <c r="BLT746" s="214"/>
      <c r="BLU746" s="214"/>
      <c r="BLV746" s="214"/>
      <c r="BLW746" s="214"/>
      <c r="BLX746" s="214"/>
      <c r="BLY746" s="214"/>
      <c r="BLZ746" s="214"/>
      <c r="BMA746" s="214"/>
      <c r="BMB746" s="214"/>
      <c r="BMC746" s="214"/>
      <c r="BMD746" s="214"/>
      <c r="BME746" s="214"/>
      <c r="BMF746" s="214"/>
      <c r="BMG746" s="214"/>
      <c r="BMH746" s="214"/>
      <c r="BMI746" s="214"/>
      <c r="BMJ746" s="214"/>
      <c r="BMK746" s="214"/>
      <c r="BML746" s="214"/>
      <c r="BMM746" s="214"/>
      <c r="BMN746" s="214"/>
      <c r="BMO746" s="214"/>
      <c r="BMP746" s="214"/>
      <c r="BMQ746" s="214"/>
      <c r="BMR746" s="214"/>
      <c r="BMS746" s="214"/>
      <c r="BMT746" s="214"/>
      <c r="BMU746" s="214"/>
      <c r="BMV746" s="214"/>
      <c r="BMW746" s="214"/>
      <c r="BMX746" s="214"/>
      <c r="BMY746" s="214"/>
      <c r="BMZ746" s="214"/>
      <c r="BNA746" s="214"/>
      <c r="BNB746" s="214"/>
      <c r="BNC746" s="214"/>
      <c r="BND746" s="214"/>
      <c r="BNE746" s="214"/>
      <c r="BNF746" s="214"/>
      <c r="BNG746" s="214"/>
      <c r="BNH746" s="214"/>
      <c r="BNI746" s="214"/>
      <c r="BNJ746" s="214"/>
      <c r="BNK746" s="214"/>
      <c r="BNL746" s="214"/>
      <c r="BNM746" s="214"/>
      <c r="BNN746" s="214"/>
      <c r="BNO746" s="214"/>
      <c r="BNP746" s="214"/>
      <c r="BNQ746" s="214"/>
      <c r="BNR746" s="214"/>
      <c r="BNS746" s="214"/>
      <c r="BNT746" s="214"/>
      <c r="BNU746" s="214"/>
      <c r="BNV746" s="214"/>
      <c r="BNW746" s="214"/>
      <c r="BNX746" s="214"/>
      <c r="BNY746" s="214"/>
      <c r="BNZ746" s="214"/>
      <c r="BOA746" s="214"/>
      <c r="BOB746" s="214"/>
      <c r="BOC746" s="214"/>
      <c r="BOD746" s="214"/>
      <c r="BOE746" s="214"/>
      <c r="BOF746" s="214"/>
      <c r="BOG746" s="214"/>
      <c r="BOH746" s="214"/>
      <c r="BOI746" s="214"/>
      <c r="BOJ746" s="214"/>
      <c r="BOK746" s="214"/>
      <c r="BOL746" s="214"/>
      <c r="BOM746" s="214"/>
      <c r="BON746" s="214"/>
      <c r="BOO746" s="214"/>
      <c r="BOP746" s="214"/>
      <c r="BOQ746" s="214"/>
      <c r="BOR746" s="214"/>
      <c r="BOS746" s="214"/>
      <c r="BOT746" s="214"/>
      <c r="BOU746" s="214"/>
      <c r="BOV746" s="214"/>
      <c r="BOW746" s="214"/>
      <c r="BOX746" s="214"/>
      <c r="BOY746" s="214"/>
      <c r="BOZ746" s="214"/>
      <c r="BPA746" s="214"/>
      <c r="BPB746" s="214"/>
      <c r="BPC746" s="214"/>
      <c r="BPD746" s="214"/>
      <c r="BPE746" s="214"/>
      <c r="BPF746" s="214"/>
      <c r="BPG746" s="214"/>
      <c r="BPH746" s="214"/>
      <c r="BPI746" s="214"/>
      <c r="BPJ746" s="214"/>
      <c r="BPK746" s="214"/>
      <c r="BPL746" s="214"/>
      <c r="BPM746" s="214"/>
      <c r="BPN746" s="214"/>
      <c r="BPO746" s="214"/>
      <c r="BPP746" s="214"/>
      <c r="BPQ746" s="214"/>
      <c r="BPR746" s="214"/>
      <c r="BPS746" s="214"/>
      <c r="BPT746" s="214"/>
      <c r="BPU746" s="214"/>
      <c r="BPV746" s="214"/>
      <c r="BPW746" s="214"/>
      <c r="BPX746" s="214"/>
      <c r="BPY746" s="214"/>
      <c r="BPZ746" s="214"/>
      <c r="BQA746" s="214"/>
      <c r="BQB746" s="214"/>
      <c r="BQC746" s="214"/>
      <c r="BQD746" s="214"/>
      <c r="BQE746" s="214"/>
      <c r="BQF746" s="214"/>
      <c r="BQG746" s="214"/>
      <c r="BQH746" s="214"/>
      <c r="BQI746" s="214"/>
      <c r="BQJ746" s="214"/>
      <c r="BQK746" s="214"/>
      <c r="BQL746" s="214"/>
      <c r="BQM746" s="214"/>
      <c r="BQN746" s="214"/>
      <c r="BQO746" s="214"/>
      <c r="BQP746" s="214"/>
      <c r="BQQ746" s="214"/>
      <c r="BQR746" s="214"/>
      <c r="BQS746" s="214"/>
      <c r="BQT746" s="214"/>
      <c r="BQU746" s="214"/>
      <c r="BQV746" s="214"/>
      <c r="BQW746" s="214"/>
      <c r="BQX746" s="214"/>
      <c r="BQY746" s="214"/>
      <c r="BQZ746" s="214"/>
      <c r="BRA746" s="214"/>
      <c r="BRB746" s="214"/>
      <c r="BRC746" s="214"/>
      <c r="BRD746" s="214"/>
      <c r="BRE746" s="214"/>
      <c r="BRF746" s="214"/>
      <c r="BRG746" s="214"/>
      <c r="BRH746" s="214"/>
      <c r="BRI746" s="214"/>
      <c r="BRJ746" s="214"/>
      <c r="BRK746" s="214"/>
      <c r="BRL746" s="214"/>
      <c r="BRM746" s="214"/>
      <c r="BRN746" s="214"/>
      <c r="BRO746" s="214"/>
      <c r="BRP746" s="214"/>
      <c r="BRQ746" s="214"/>
      <c r="BRR746" s="214"/>
      <c r="BRS746" s="214"/>
      <c r="BRT746" s="214"/>
      <c r="BRU746" s="214"/>
      <c r="BRV746" s="214"/>
      <c r="BRW746" s="214"/>
      <c r="BRX746" s="214"/>
      <c r="BRY746" s="214"/>
      <c r="BRZ746" s="214"/>
      <c r="BSA746" s="214"/>
      <c r="BSB746" s="214"/>
      <c r="BSC746" s="214"/>
      <c r="BSD746" s="214"/>
      <c r="BSE746" s="214"/>
      <c r="BSF746" s="214"/>
      <c r="BSG746" s="214"/>
      <c r="BSH746" s="214"/>
      <c r="BSI746" s="214"/>
      <c r="BSJ746" s="214"/>
      <c r="BSK746" s="214"/>
      <c r="BSL746" s="214"/>
      <c r="BSM746" s="214"/>
      <c r="BSN746" s="214"/>
      <c r="BSO746" s="214"/>
      <c r="BSP746" s="214"/>
      <c r="BSQ746" s="214"/>
      <c r="BSR746" s="214"/>
      <c r="BSS746" s="214"/>
      <c r="BST746" s="214"/>
      <c r="BSU746" s="214"/>
      <c r="BSV746" s="214"/>
      <c r="BSW746" s="214"/>
      <c r="BSX746" s="214"/>
      <c r="BSY746" s="214"/>
      <c r="BSZ746" s="214"/>
      <c r="BTA746" s="214"/>
      <c r="BTB746" s="214"/>
      <c r="BTC746" s="214"/>
      <c r="BTD746" s="214"/>
      <c r="BTE746" s="214"/>
      <c r="BTF746" s="214"/>
      <c r="BTG746" s="214"/>
      <c r="BTH746" s="214"/>
      <c r="BTI746" s="214"/>
      <c r="BTJ746" s="214"/>
      <c r="BTK746" s="214"/>
      <c r="BTL746" s="214"/>
      <c r="BTM746" s="214"/>
      <c r="BTN746" s="214"/>
      <c r="BTO746" s="214"/>
      <c r="BTP746" s="214"/>
      <c r="BTQ746" s="214"/>
      <c r="BTR746" s="214"/>
      <c r="BTS746" s="214"/>
      <c r="BTT746" s="214"/>
      <c r="BTU746" s="214"/>
      <c r="BTV746" s="214"/>
      <c r="BTW746" s="214"/>
      <c r="BTX746" s="214"/>
      <c r="BTY746" s="214"/>
      <c r="BTZ746" s="214"/>
      <c r="BUA746" s="214"/>
      <c r="BUB746" s="214"/>
      <c r="BUC746" s="214"/>
      <c r="BUD746" s="214"/>
      <c r="BUE746" s="214"/>
      <c r="BUF746" s="214"/>
      <c r="BUG746" s="214"/>
      <c r="BUH746" s="214"/>
      <c r="BUI746" s="214"/>
      <c r="BUJ746" s="214"/>
      <c r="BUK746" s="214"/>
      <c r="BUL746" s="214"/>
      <c r="BUM746" s="214"/>
      <c r="BUN746" s="214"/>
      <c r="BUO746" s="214"/>
      <c r="BUP746" s="214"/>
      <c r="BUQ746" s="214"/>
      <c r="BUR746" s="214"/>
      <c r="BUS746" s="214"/>
      <c r="BUT746" s="214"/>
      <c r="BUU746" s="214"/>
      <c r="BUV746" s="214"/>
      <c r="BUW746" s="214"/>
      <c r="BUX746" s="214"/>
      <c r="BUY746" s="214"/>
      <c r="BUZ746" s="214"/>
      <c r="BVA746" s="214"/>
      <c r="BVB746" s="214"/>
      <c r="BVC746" s="214"/>
      <c r="BVD746" s="214"/>
      <c r="BVE746" s="214"/>
      <c r="BVF746" s="214"/>
      <c r="BVG746" s="214"/>
      <c r="BVH746" s="214"/>
      <c r="BVI746" s="214"/>
      <c r="BVJ746" s="214"/>
      <c r="BVK746" s="214"/>
      <c r="BVL746" s="214"/>
      <c r="BVM746" s="214"/>
      <c r="BVN746" s="214"/>
      <c r="BVO746" s="214"/>
      <c r="BVP746" s="214"/>
      <c r="BVQ746" s="214"/>
      <c r="BVR746" s="214"/>
      <c r="BVS746" s="214"/>
      <c r="BVT746" s="214"/>
      <c r="BVU746" s="214"/>
      <c r="BVV746" s="214"/>
      <c r="BVW746" s="214"/>
      <c r="BVX746" s="214"/>
      <c r="BVY746" s="214"/>
      <c r="BVZ746" s="214"/>
      <c r="BWA746" s="214"/>
      <c r="BWB746" s="214"/>
      <c r="BWC746" s="214"/>
      <c r="BWD746" s="214"/>
      <c r="BWE746" s="214"/>
      <c r="BWF746" s="214"/>
      <c r="BWG746" s="214"/>
      <c r="BWH746" s="214"/>
      <c r="BWI746" s="214"/>
      <c r="BWJ746" s="214"/>
      <c r="BWK746" s="214"/>
      <c r="BWL746" s="214"/>
      <c r="BWM746" s="214"/>
      <c r="BWN746" s="214"/>
      <c r="BWO746" s="214"/>
      <c r="BWP746" s="214"/>
      <c r="BWQ746" s="214"/>
      <c r="BWR746" s="214"/>
      <c r="BWS746" s="214"/>
      <c r="BWT746" s="214"/>
      <c r="BWU746" s="214"/>
      <c r="BWV746" s="214"/>
      <c r="BWW746" s="214"/>
      <c r="BWX746" s="214"/>
      <c r="BWY746" s="214"/>
      <c r="BWZ746" s="214"/>
      <c r="BXA746" s="214"/>
      <c r="BXB746" s="214"/>
      <c r="BXC746" s="214"/>
      <c r="BXD746" s="214"/>
      <c r="BXE746" s="214"/>
      <c r="BXF746" s="214"/>
      <c r="BXG746" s="214"/>
      <c r="BXH746" s="214"/>
      <c r="BXI746" s="214"/>
      <c r="BXJ746" s="214"/>
      <c r="BXK746" s="214"/>
      <c r="BXL746" s="214"/>
      <c r="BXM746" s="214"/>
      <c r="BXN746" s="214"/>
      <c r="BXO746" s="214"/>
      <c r="BXP746" s="214"/>
      <c r="BXQ746" s="214"/>
      <c r="BXR746" s="214"/>
      <c r="BXS746" s="214"/>
      <c r="BXT746" s="214"/>
      <c r="BXU746" s="214"/>
      <c r="BXV746" s="214"/>
      <c r="BXW746" s="214"/>
      <c r="BXX746" s="214"/>
      <c r="BXY746" s="214"/>
      <c r="BXZ746" s="214"/>
      <c r="BYA746" s="214"/>
      <c r="BYB746" s="214"/>
      <c r="BYC746" s="214"/>
      <c r="BYD746" s="214"/>
      <c r="BYE746" s="214"/>
      <c r="BYF746" s="214"/>
      <c r="BYG746" s="214"/>
      <c r="BYH746" s="214"/>
      <c r="BYI746" s="214"/>
      <c r="BYJ746" s="214"/>
      <c r="BYK746" s="214"/>
      <c r="BYL746" s="214"/>
      <c r="BYM746" s="214"/>
      <c r="BYN746" s="214"/>
      <c r="BYO746" s="214"/>
      <c r="BYP746" s="214"/>
      <c r="BYQ746" s="214"/>
      <c r="BYR746" s="214"/>
      <c r="BYS746" s="214"/>
      <c r="BYT746" s="214"/>
      <c r="BYU746" s="214"/>
      <c r="BYV746" s="214"/>
      <c r="BYW746" s="214"/>
      <c r="BYX746" s="214"/>
      <c r="BYY746" s="214"/>
      <c r="BYZ746" s="214"/>
      <c r="BZA746" s="214"/>
      <c r="BZB746" s="214"/>
      <c r="BZC746" s="214"/>
      <c r="BZD746" s="214"/>
      <c r="BZE746" s="214"/>
      <c r="BZF746" s="214"/>
      <c r="BZG746" s="214"/>
      <c r="BZH746" s="214"/>
      <c r="BZI746" s="214"/>
      <c r="BZJ746" s="214"/>
      <c r="BZK746" s="214"/>
      <c r="BZL746" s="214"/>
      <c r="BZM746" s="214"/>
      <c r="BZN746" s="214"/>
      <c r="BZO746" s="214"/>
      <c r="BZP746" s="214"/>
      <c r="BZQ746" s="214"/>
      <c r="BZR746" s="214"/>
      <c r="BZS746" s="214"/>
      <c r="BZT746" s="214"/>
      <c r="BZU746" s="214"/>
      <c r="BZV746" s="214"/>
      <c r="BZW746" s="214"/>
      <c r="BZX746" s="214"/>
      <c r="BZY746" s="214"/>
      <c r="BZZ746" s="214"/>
      <c r="CAA746" s="214"/>
      <c r="CAB746" s="214"/>
      <c r="CAC746" s="214"/>
      <c r="CAD746" s="214"/>
      <c r="CAE746" s="214"/>
      <c r="CAF746" s="214"/>
      <c r="CAG746" s="214"/>
      <c r="CAH746" s="214"/>
      <c r="CAI746" s="214"/>
      <c r="CAJ746" s="214"/>
      <c r="CAK746" s="214"/>
      <c r="CAL746" s="214"/>
      <c r="CAM746" s="214"/>
      <c r="CAN746" s="214"/>
      <c r="CAO746" s="214"/>
      <c r="CAP746" s="214"/>
      <c r="CAQ746" s="214"/>
      <c r="CAR746" s="214"/>
      <c r="CAS746" s="214"/>
      <c r="CAT746" s="214"/>
      <c r="CAU746" s="214"/>
      <c r="CAV746" s="214"/>
      <c r="CAW746" s="214"/>
      <c r="CAX746" s="214"/>
      <c r="CAY746" s="214"/>
      <c r="CAZ746" s="214"/>
      <c r="CBA746" s="214"/>
      <c r="CBB746" s="214"/>
      <c r="CBC746" s="214"/>
      <c r="CBD746" s="214"/>
      <c r="CBE746" s="214"/>
      <c r="CBF746" s="214"/>
      <c r="CBG746" s="214"/>
      <c r="CBH746" s="214"/>
      <c r="CBI746" s="214"/>
      <c r="CBJ746" s="214"/>
      <c r="CBK746" s="214"/>
      <c r="CBL746" s="214"/>
      <c r="CBM746" s="214"/>
      <c r="CBN746" s="214"/>
      <c r="CBO746" s="214"/>
      <c r="CBP746" s="214"/>
      <c r="CBQ746" s="214"/>
      <c r="CBR746" s="214"/>
      <c r="CBS746" s="214"/>
      <c r="CBT746" s="214"/>
      <c r="CBU746" s="214"/>
      <c r="CBV746" s="214"/>
      <c r="CBW746" s="214"/>
      <c r="CBX746" s="214"/>
      <c r="CBY746" s="214"/>
      <c r="CBZ746" s="214"/>
      <c r="CCA746" s="214"/>
      <c r="CCB746" s="214"/>
      <c r="CCC746" s="214"/>
      <c r="CCD746" s="214"/>
      <c r="CCE746" s="214"/>
      <c r="CCF746" s="214"/>
      <c r="CCG746" s="214"/>
      <c r="CCH746" s="214"/>
      <c r="CCI746" s="214"/>
      <c r="CCJ746" s="214"/>
      <c r="CCK746" s="214"/>
      <c r="CCL746" s="214"/>
      <c r="CCM746" s="214"/>
      <c r="CCN746" s="214"/>
      <c r="CCO746" s="214"/>
      <c r="CCP746" s="214"/>
      <c r="CCQ746" s="214"/>
      <c r="CCR746" s="214"/>
      <c r="CCS746" s="214"/>
      <c r="CCT746" s="214"/>
      <c r="CCU746" s="214"/>
      <c r="CCV746" s="214"/>
      <c r="CCW746" s="214"/>
      <c r="CCX746" s="214"/>
      <c r="CCY746" s="214"/>
      <c r="CCZ746" s="214"/>
      <c r="CDA746" s="214"/>
      <c r="CDB746" s="214"/>
      <c r="CDC746" s="214"/>
      <c r="CDD746" s="214"/>
      <c r="CDE746" s="214"/>
      <c r="CDF746" s="214"/>
      <c r="CDG746" s="214"/>
      <c r="CDH746" s="214"/>
      <c r="CDI746" s="214"/>
      <c r="CDJ746" s="214"/>
      <c r="CDK746" s="214"/>
      <c r="CDL746" s="214"/>
      <c r="CDM746" s="214"/>
      <c r="CDN746" s="214"/>
      <c r="CDO746" s="214"/>
      <c r="CDP746" s="214"/>
      <c r="CDQ746" s="214"/>
      <c r="CDR746" s="214"/>
      <c r="CDS746" s="214"/>
      <c r="CDT746" s="214"/>
      <c r="CDU746" s="214"/>
      <c r="CDV746" s="214"/>
      <c r="CDW746" s="214"/>
      <c r="CDX746" s="214"/>
      <c r="CDY746" s="214"/>
      <c r="CDZ746" s="214"/>
      <c r="CEA746" s="214"/>
      <c r="CEB746" s="214"/>
      <c r="CEC746" s="214"/>
      <c r="CED746" s="214"/>
      <c r="CEE746" s="214"/>
      <c r="CEF746" s="214"/>
      <c r="CEG746" s="214"/>
      <c r="CEH746" s="214"/>
      <c r="CEI746" s="214"/>
      <c r="CEJ746" s="214"/>
      <c r="CEK746" s="214"/>
      <c r="CEL746" s="214"/>
      <c r="CEM746" s="214"/>
      <c r="CEN746" s="214"/>
      <c r="CEO746" s="214"/>
      <c r="CEP746" s="214"/>
      <c r="CEQ746" s="214"/>
      <c r="CER746" s="214"/>
      <c r="CES746" s="214"/>
      <c r="CET746" s="214"/>
      <c r="CEU746" s="214"/>
      <c r="CEV746" s="214"/>
      <c r="CEW746" s="214"/>
      <c r="CEX746" s="214"/>
      <c r="CEY746" s="214"/>
      <c r="CEZ746" s="214"/>
      <c r="CFA746" s="214"/>
      <c r="CFB746" s="214"/>
      <c r="CFC746" s="214"/>
      <c r="CFD746" s="214"/>
      <c r="CFE746" s="214"/>
      <c r="CFF746" s="214"/>
      <c r="CFG746" s="214"/>
      <c r="CFH746" s="214"/>
      <c r="CFI746" s="214"/>
      <c r="CFJ746" s="214"/>
      <c r="CFK746" s="214"/>
      <c r="CFL746" s="214"/>
      <c r="CFM746" s="214"/>
      <c r="CFN746" s="214"/>
      <c r="CFO746" s="214"/>
      <c r="CFP746" s="214"/>
      <c r="CFQ746" s="214"/>
      <c r="CFR746" s="214"/>
      <c r="CFS746" s="214"/>
      <c r="CFT746" s="214"/>
      <c r="CFU746" s="214"/>
      <c r="CFV746" s="214"/>
      <c r="CFW746" s="214"/>
      <c r="CFX746" s="214"/>
      <c r="CFY746" s="214"/>
      <c r="CFZ746" s="214"/>
      <c r="CGA746" s="214"/>
      <c r="CGB746" s="214"/>
      <c r="CGC746" s="214"/>
      <c r="CGD746" s="214"/>
      <c r="CGE746" s="214"/>
      <c r="CGF746" s="214"/>
      <c r="CGG746" s="214"/>
      <c r="CGH746" s="214"/>
      <c r="CGI746" s="214"/>
      <c r="CGJ746" s="214"/>
      <c r="CGK746" s="214"/>
      <c r="CGL746" s="214"/>
      <c r="CGM746" s="214"/>
      <c r="CGN746" s="214"/>
      <c r="CGO746" s="214"/>
      <c r="CGP746" s="214"/>
      <c r="CGQ746" s="214"/>
      <c r="CGR746" s="214"/>
      <c r="CGS746" s="214"/>
      <c r="CGT746" s="214"/>
      <c r="CGU746" s="214"/>
      <c r="CGV746" s="214"/>
      <c r="CGW746" s="214"/>
      <c r="CGX746" s="214"/>
      <c r="CGY746" s="214"/>
      <c r="CGZ746" s="214"/>
      <c r="CHA746" s="214"/>
      <c r="CHB746" s="214"/>
      <c r="CHC746" s="214"/>
      <c r="CHD746" s="214"/>
      <c r="CHE746" s="214"/>
      <c r="CHF746" s="214"/>
      <c r="CHG746" s="214"/>
      <c r="CHH746" s="214"/>
      <c r="CHI746" s="214"/>
      <c r="CHJ746" s="214"/>
      <c r="CHK746" s="214"/>
      <c r="CHL746" s="214"/>
      <c r="CHM746" s="214"/>
      <c r="CHN746" s="214"/>
      <c r="CHO746" s="214"/>
      <c r="CHP746" s="214"/>
      <c r="CHQ746" s="214"/>
      <c r="CHR746" s="214"/>
      <c r="CHS746" s="214"/>
      <c r="CHT746" s="214"/>
      <c r="CHU746" s="214"/>
      <c r="CHV746" s="214"/>
      <c r="CHW746" s="214"/>
      <c r="CHX746" s="214"/>
      <c r="CHY746" s="214"/>
      <c r="CHZ746" s="214"/>
      <c r="CIA746" s="214"/>
      <c r="CIB746" s="214"/>
      <c r="CIC746" s="214"/>
      <c r="CID746" s="214"/>
      <c r="CIE746" s="214"/>
      <c r="CIF746" s="214"/>
      <c r="CIG746" s="214"/>
      <c r="CIH746" s="214"/>
      <c r="CII746" s="214"/>
      <c r="CIJ746" s="214"/>
      <c r="CIK746" s="214"/>
      <c r="CIL746" s="214"/>
      <c r="CIM746" s="214"/>
      <c r="CIN746" s="214"/>
      <c r="CIO746" s="214"/>
      <c r="CIP746" s="214"/>
      <c r="CIQ746" s="214"/>
      <c r="CIR746" s="214"/>
      <c r="CIS746" s="214"/>
      <c r="CIT746" s="214"/>
      <c r="CIU746" s="214"/>
      <c r="CIV746" s="214"/>
      <c r="CIW746" s="214"/>
      <c r="CIX746" s="214"/>
      <c r="CIY746" s="214"/>
      <c r="CIZ746" s="214"/>
      <c r="CJA746" s="214"/>
      <c r="CJB746" s="214"/>
      <c r="CJC746" s="214"/>
      <c r="CJD746" s="214"/>
      <c r="CJE746" s="214"/>
      <c r="CJF746" s="214"/>
      <c r="CJG746" s="214"/>
      <c r="CJH746" s="214"/>
      <c r="CJI746" s="214"/>
      <c r="CJJ746" s="214"/>
      <c r="CJK746" s="214"/>
      <c r="CJL746" s="214"/>
      <c r="CJM746" s="214"/>
      <c r="CJN746" s="214"/>
      <c r="CJO746" s="214"/>
      <c r="CJP746" s="214"/>
      <c r="CJQ746" s="214"/>
      <c r="CJR746" s="214"/>
      <c r="CJS746" s="214"/>
      <c r="CJT746" s="214"/>
      <c r="CJU746" s="214"/>
      <c r="CJV746" s="214"/>
      <c r="CJW746" s="214"/>
      <c r="CJX746" s="214"/>
      <c r="CJY746" s="214"/>
      <c r="CJZ746" s="214"/>
      <c r="CKA746" s="214"/>
      <c r="CKB746" s="214"/>
      <c r="CKC746" s="214"/>
      <c r="CKD746" s="214"/>
      <c r="CKE746" s="214"/>
      <c r="CKF746" s="214"/>
      <c r="CKG746" s="214"/>
      <c r="CKH746" s="214"/>
      <c r="CKI746" s="214"/>
      <c r="CKJ746" s="214"/>
      <c r="CKK746" s="214"/>
      <c r="CKL746" s="214"/>
      <c r="CKM746" s="214"/>
      <c r="CKN746" s="214"/>
      <c r="CKO746" s="214"/>
      <c r="CKP746" s="214"/>
      <c r="CKQ746" s="214"/>
      <c r="CKR746" s="214"/>
      <c r="CKS746" s="214"/>
      <c r="CKT746" s="214"/>
      <c r="CKU746" s="214"/>
      <c r="CKV746" s="214"/>
      <c r="CKW746" s="214"/>
      <c r="CKX746" s="214"/>
      <c r="CKY746" s="214"/>
      <c r="CKZ746" s="214"/>
      <c r="CLA746" s="214"/>
      <c r="CLB746" s="214"/>
      <c r="CLC746" s="214"/>
      <c r="CLD746" s="214"/>
      <c r="CLE746" s="214"/>
      <c r="CLF746" s="214"/>
      <c r="CLG746" s="214"/>
      <c r="CLH746" s="214"/>
      <c r="CLI746" s="214"/>
      <c r="CLJ746" s="214"/>
      <c r="CLK746" s="214"/>
      <c r="CLL746" s="214"/>
      <c r="CLM746" s="214"/>
      <c r="CLN746" s="214"/>
      <c r="CLO746" s="214"/>
      <c r="CLP746" s="214"/>
      <c r="CLQ746" s="214"/>
      <c r="CLR746" s="214"/>
      <c r="CLS746" s="214"/>
      <c r="CLT746" s="214"/>
      <c r="CLU746" s="214"/>
      <c r="CLV746" s="214"/>
      <c r="CLW746" s="214"/>
      <c r="CLX746" s="214"/>
      <c r="CLY746" s="214"/>
      <c r="CLZ746" s="214"/>
      <c r="CMA746" s="214"/>
      <c r="CMB746" s="214"/>
      <c r="CMC746" s="214"/>
      <c r="CMD746" s="214"/>
      <c r="CME746" s="214"/>
      <c r="CMF746" s="214"/>
      <c r="CMG746" s="214"/>
      <c r="CMH746" s="214"/>
      <c r="CMI746" s="214"/>
      <c r="CMJ746" s="214"/>
      <c r="CMK746" s="214"/>
      <c r="CML746" s="214"/>
      <c r="CMM746" s="214"/>
      <c r="CMN746" s="214"/>
      <c r="CMO746" s="214"/>
      <c r="CMP746" s="214"/>
      <c r="CMQ746" s="214"/>
      <c r="CMR746" s="214"/>
      <c r="CMS746" s="214"/>
      <c r="CMT746" s="214"/>
      <c r="CMU746" s="214"/>
      <c r="CMV746" s="214"/>
      <c r="CMW746" s="214"/>
      <c r="CMX746" s="214"/>
      <c r="CMY746" s="214"/>
      <c r="CMZ746" s="214"/>
      <c r="CNA746" s="214"/>
      <c r="CNB746" s="214"/>
      <c r="CNC746" s="214"/>
      <c r="CND746" s="214"/>
      <c r="CNE746" s="214"/>
      <c r="CNF746" s="214"/>
      <c r="CNG746" s="214"/>
      <c r="CNH746" s="214"/>
      <c r="CNI746" s="214"/>
      <c r="CNJ746" s="214"/>
      <c r="CNK746" s="214"/>
      <c r="CNL746" s="214"/>
      <c r="CNM746" s="214"/>
      <c r="CNN746" s="214"/>
      <c r="CNO746" s="214"/>
      <c r="CNP746" s="214"/>
      <c r="CNQ746" s="214"/>
      <c r="CNR746" s="214"/>
      <c r="CNS746" s="214"/>
      <c r="CNT746" s="214"/>
      <c r="CNU746" s="214"/>
      <c r="CNV746" s="214"/>
      <c r="CNW746" s="214"/>
      <c r="CNX746" s="214"/>
      <c r="CNY746" s="214"/>
      <c r="CNZ746" s="214"/>
      <c r="COA746" s="214"/>
      <c r="COB746" s="214"/>
      <c r="COC746" s="214"/>
      <c r="COD746" s="214"/>
      <c r="COE746" s="214"/>
      <c r="COF746" s="214"/>
      <c r="COG746" s="214"/>
      <c r="COH746" s="214"/>
      <c r="COI746" s="214"/>
      <c r="COJ746" s="214"/>
      <c r="COK746" s="214"/>
      <c r="COL746" s="214"/>
      <c r="COM746" s="214"/>
      <c r="CON746" s="214"/>
      <c r="COO746" s="214"/>
      <c r="COP746" s="214"/>
      <c r="COQ746" s="214"/>
      <c r="COR746" s="214"/>
      <c r="COS746" s="214"/>
      <c r="COT746" s="214"/>
      <c r="COU746" s="214"/>
      <c r="COV746" s="214"/>
      <c r="COW746" s="214"/>
      <c r="COX746" s="214"/>
      <c r="COY746" s="214"/>
      <c r="COZ746" s="214"/>
      <c r="CPA746" s="214"/>
      <c r="CPB746" s="214"/>
      <c r="CPC746" s="214"/>
      <c r="CPD746" s="214"/>
      <c r="CPE746" s="214"/>
      <c r="CPF746" s="214"/>
      <c r="CPG746" s="214"/>
      <c r="CPH746" s="214"/>
      <c r="CPI746" s="214"/>
      <c r="CPJ746" s="214"/>
      <c r="CPK746" s="214"/>
      <c r="CPL746" s="214"/>
      <c r="CPM746" s="214"/>
      <c r="CPN746" s="214"/>
      <c r="CPO746" s="214"/>
      <c r="CPP746" s="214"/>
      <c r="CPQ746" s="214"/>
      <c r="CPR746" s="214"/>
      <c r="CPS746" s="214"/>
      <c r="CPT746" s="214"/>
      <c r="CPU746" s="214"/>
      <c r="CPV746" s="214"/>
      <c r="CPW746" s="214"/>
      <c r="CPX746" s="214"/>
      <c r="CPY746" s="214"/>
      <c r="CPZ746" s="214"/>
      <c r="CQA746" s="214"/>
      <c r="CQB746" s="214"/>
      <c r="CQC746" s="214"/>
      <c r="CQD746" s="214"/>
      <c r="CQE746" s="214"/>
      <c r="CQF746" s="214"/>
      <c r="CQG746" s="214"/>
      <c r="CQH746" s="214"/>
      <c r="CQI746" s="214"/>
      <c r="CQJ746" s="214"/>
      <c r="CQK746" s="214"/>
      <c r="CQL746" s="214"/>
      <c r="CQM746" s="214"/>
      <c r="CQN746" s="214"/>
      <c r="CQO746" s="214"/>
      <c r="CQP746" s="214"/>
      <c r="CQQ746" s="214"/>
      <c r="CQR746" s="214"/>
      <c r="CQS746" s="214"/>
      <c r="CQT746" s="214"/>
      <c r="CQU746" s="214"/>
      <c r="CQV746" s="214"/>
      <c r="CQW746" s="214"/>
      <c r="CQX746" s="214"/>
      <c r="CQY746" s="214"/>
      <c r="CQZ746" s="214"/>
      <c r="CRA746" s="214"/>
      <c r="CRB746" s="214"/>
      <c r="CRC746" s="214"/>
      <c r="CRD746" s="214"/>
      <c r="CRE746" s="214"/>
      <c r="CRF746" s="214"/>
      <c r="CRG746" s="214"/>
      <c r="CRH746" s="214"/>
      <c r="CRI746" s="214"/>
      <c r="CRJ746" s="214"/>
      <c r="CRK746" s="214"/>
      <c r="CRL746" s="214"/>
      <c r="CRM746" s="214"/>
      <c r="CRN746" s="214"/>
      <c r="CRO746" s="214"/>
      <c r="CRP746" s="214"/>
      <c r="CRQ746" s="214"/>
      <c r="CRR746" s="214"/>
      <c r="CRS746" s="214"/>
      <c r="CRT746" s="214"/>
      <c r="CRU746" s="214"/>
      <c r="CRV746" s="214"/>
      <c r="CRW746" s="214"/>
      <c r="CRX746" s="214"/>
      <c r="CRY746" s="214"/>
      <c r="CRZ746" s="214"/>
      <c r="CSA746" s="214"/>
      <c r="CSB746" s="214"/>
      <c r="CSC746" s="214"/>
      <c r="CSD746" s="214"/>
      <c r="CSE746" s="214"/>
      <c r="CSF746" s="214"/>
      <c r="CSG746" s="214"/>
      <c r="CSH746" s="214"/>
      <c r="CSI746" s="214"/>
      <c r="CSJ746" s="214"/>
      <c r="CSK746" s="214"/>
      <c r="CSL746" s="214"/>
      <c r="CSM746" s="214"/>
      <c r="CSN746" s="214"/>
      <c r="CSO746" s="214"/>
      <c r="CSP746" s="214"/>
      <c r="CSQ746" s="214"/>
      <c r="CSR746" s="214"/>
      <c r="CSS746" s="214"/>
      <c r="CST746" s="214"/>
      <c r="CSU746" s="214"/>
      <c r="CSV746" s="214"/>
      <c r="CSW746" s="214"/>
      <c r="CSX746" s="214"/>
      <c r="CSY746" s="214"/>
      <c r="CSZ746" s="214"/>
      <c r="CTA746" s="214"/>
      <c r="CTB746" s="214"/>
      <c r="CTC746" s="214"/>
      <c r="CTD746" s="214"/>
      <c r="CTE746" s="214"/>
      <c r="CTF746" s="214"/>
      <c r="CTG746" s="214"/>
      <c r="CTH746" s="214"/>
      <c r="CTI746" s="214"/>
      <c r="CTJ746" s="214"/>
      <c r="CTK746" s="214"/>
      <c r="CTL746" s="214"/>
      <c r="CTM746" s="214"/>
      <c r="CTN746" s="214"/>
      <c r="CTO746" s="214"/>
      <c r="CTP746" s="214"/>
      <c r="CTQ746" s="214"/>
      <c r="CTR746" s="214"/>
      <c r="CTS746" s="214"/>
      <c r="CTT746" s="214"/>
      <c r="CTU746" s="214"/>
      <c r="CTV746" s="214"/>
      <c r="CTW746" s="214"/>
      <c r="CTX746" s="214"/>
      <c r="CTY746" s="214"/>
      <c r="CTZ746" s="214"/>
      <c r="CUA746" s="214"/>
      <c r="CUB746" s="214"/>
      <c r="CUC746" s="214"/>
      <c r="CUD746" s="214"/>
      <c r="CUE746" s="214"/>
      <c r="CUF746" s="214"/>
      <c r="CUG746" s="214"/>
      <c r="CUH746" s="214"/>
      <c r="CUI746" s="214"/>
      <c r="CUJ746" s="214"/>
      <c r="CUK746" s="214"/>
      <c r="CUL746" s="214"/>
      <c r="CUM746" s="214"/>
      <c r="CUN746" s="214"/>
      <c r="CUO746" s="214"/>
      <c r="CUP746" s="214"/>
      <c r="CUQ746" s="214"/>
      <c r="CUR746" s="214"/>
      <c r="CUS746" s="214"/>
      <c r="CUT746" s="214"/>
      <c r="CUU746" s="214"/>
      <c r="CUV746" s="214"/>
      <c r="CUW746" s="214"/>
      <c r="CUX746" s="214"/>
      <c r="CUY746" s="214"/>
      <c r="CUZ746" s="214"/>
      <c r="CVA746" s="214"/>
      <c r="CVB746" s="214"/>
      <c r="CVC746" s="214"/>
      <c r="CVD746" s="214"/>
      <c r="CVE746" s="214"/>
      <c r="CVF746" s="214"/>
      <c r="CVG746" s="214"/>
      <c r="CVH746" s="214"/>
      <c r="CVI746" s="214"/>
      <c r="CVJ746" s="214"/>
      <c r="CVK746" s="214"/>
      <c r="CVL746" s="214"/>
      <c r="CVM746" s="214"/>
      <c r="CVN746" s="214"/>
      <c r="CVO746" s="214"/>
      <c r="CVP746" s="214"/>
      <c r="CVQ746" s="214"/>
      <c r="CVR746" s="214"/>
      <c r="CVS746" s="214"/>
      <c r="CVT746" s="214"/>
      <c r="CVU746" s="214"/>
      <c r="CVV746" s="214"/>
      <c r="CVW746" s="214"/>
      <c r="CVX746" s="214"/>
      <c r="CVY746" s="214"/>
      <c r="CVZ746" s="214"/>
      <c r="CWA746" s="214"/>
      <c r="CWB746" s="214"/>
      <c r="CWC746" s="214"/>
      <c r="CWD746" s="214"/>
      <c r="CWE746" s="214"/>
      <c r="CWF746" s="214"/>
      <c r="CWG746" s="214"/>
      <c r="CWH746" s="214"/>
      <c r="CWI746" s="214"/>
      <c r="CWJ746" s="214"/>
      <c r="CWK746" s="214"/>
      <c r="CWL746" s="214"/>
      <c r="CWM746" s="214"/>
      <c r="CWN746" s="214"/>
      <c r="CWO746" s="214"/>
      <c r="CWP746" s="214"/>
      <c r="CWQ746" s="214"/>
      <c r="CWR746" s="214"/>
      <c r="CWS746" s="214"/>
      <c r="CWT746" s="214"/>
      <c r="CWU746" s="214"/>
      <c r="CWV746" s="214"/>
      <c r="CWW746" s="214"/>
      <c r="CWX746" s="214"/>
      <c r="CWY746" s="214"/>
      <c r="CWZ746" s="214"/>
      <c r="CXA746" s="214"/>
      <c r="CXB746" s="214"/>
      <c r="CXC746" s="214"/>
      <c r="CXD746" s="214"/>
      <c r="CXE746" s="214"/>
      <c r="CXF746" s="214"/>
      <c r="CXG746" s="214"/>
      <c r="CXH746" s="214"/>
      <c r="CXI746" s="214"/>
      <c r="CXJ746" s="214"/>
      <c r="CXK746" s="214"/>
      <c r="CXL746" s="214"/>
      <c r="CXM746" s="214"/>
      <c r="CXN746" s="214"/>
      <c r="CXO746" s="214"/>
      <c r="CXP746" s="214"/>
      <c r="CXQ746" s="214"/>
      <c r="CXR746" s="214"/>
      <c r="CXS746" s="214"/>
      <c r="CXT746" s="214"/>
      <c r="CXU746" s="214"/>
      <c r="CXV746" s="214"/>
      <c r="CXW746" s="214"/>
      <c r="CXX746" s="214"/>
      <c r="CXY746" s="214"/>
      <c r="CXZ746" s="214"/>
      <c r="CYA746" s="214"/>
      <c r="CYB746" s="214"/>
      <c r="CYC746" s="214"/>
      <c r="CYD746" s="214"/>
      <c r="CYE746" s="214"/>
      <c r="CYF746" s="214"/>
      <c r="CYG746" s="214"/>
      <c r="CYH746" s="214"/>
      <c r="CYI746" s="214"/>
      <c r="CYJ746" s="214"/>
      <c r="CYK746" s="214"/>
      <c r="CYL746" s="214"/>
      <c r="CYM746" s="214"/>
      <c r="CYN746" s="214"/>
      <c r="CYO746" s="214"/>
      <c r="CYP746" s="214"/>
      <c r="CYQ746" s="214"/>
      <c r="CYR746" s="214"/>
      <c r="CYS746" s="214"/>
      <c r="CYT746" s="214"/>
      <c r="CYU746" s="214"/>
      <c r="CYV746" s="214"/>
      <c r="CYW746" s="214"/>
      <c r="CYX746" s="214"/>
      <c r="CYY746" s="214"/>
      <c r="CYZ746" s="214"/>
      <c r="CZA746" s="214"/>
      <c r="CZB746" s="214"/>
      <c r="CZC746" s="214"/>
      <c r="CZD746" s="214"/>
      <c r="CZE746" s="214"/>
      <c r="CZF746" s="214"/>
      <c r="CZG746" s="214"/>
      <c r="CZH746" s="214"/>
      <c r="CZI746" s="214"/>
      <c r="CZJ746" s="214"/>
      <c r="CZK746" s="214"/>
      <c r="CZL746" s="214"/>
      <c r="CZM746" s="214"/>
      <c r="CZN746" s="214"/>
      <c r="CZO746" s="214"/>
      <c r="CZP746" s="214"/>
      <c r="CZQ746" s="214"/>
      <c r="CZR746" s="214"/>
      <c r="CZS746" s="214"/>
      <c r="CZT746" s="214"/>
      <c r="CZU746" s="214"/>
      <c r="CZV746" s="214"/>
      <c r="CZW746" s="214"/>
      <c r="CZX746" s="214"/>
      <c r="CZY746" s="214"/>
      <c r="CZZ746" s="214"/>
      <c r="DAA746" s="214"/>
      <c r="DAB746" s="214"/>
      <c r="DAC746" s="214"/>
      <c r="DAD746" s="214"/>
      <c r="DAE746" s="214"/>
      <c r="DAF746" s="214"/>
      <c r="DAG746" s="214"/>
      <c r="DAH746" s="214"/>
      <c r="DAI746" s="214"/>
      <c r="DAJ746" s="214"/>
      <c r="DAK746" s="214"/>
      <c r="DAL746" s="214"/>
      <c r="DAM746" s="214"/>
      <c r="DAN746" s="214"/>
      <c r="DAO746" s="214"/>
      <c r="DAP746" s="214"/>
      <c r="DAQ746" s="214"/>
      <c r="DAR746" s="214"/>
      <c r="DAS746" s="214"/>
      <c r="DAT746" s="214"/>
      <c r="DAU746" s="214"/>
      <c r="DAV746" s="214"/>
      <c r="DAW746" s="214"/>
      <c r="DAX746" s="214"/>
      <c r="DAY746" s="214"/>
      <c r="DAZ746" s="214"/>
      <c r="DBA746" s="214"/>
      <c r="DBB746" s="214"/>
      <c r="DBC746" s="214"/>
      <c r="DBD746" s="214"/>
      <c r="DBE746" s="214"/>
      <c r="DBF746" s="214"/>
      <c r="DBG746" s="214"/>
      <c r="DBH746" s="214"/>
      <c r="DBI746" s="214"/>
      <c r="DBJ746" s="214"/>
      <c r="DBK746" s="214"/>
      <c r="DBL746" s="214"/>
      <c r="DBM746" s="214"/>
      <c r="DBN746" s="214"/>
      <c r="DBO746" s="214"/>
      <c r="DBP746" s="214"/>
      <c r="DBQ746" s="214"/>
      <c r="DBR746" s="214"/>
      <c r="DBS746" s="214"/>
      <c r="DBT746" s="214"/>
      <c r="DBU746" s="214"/>
      <c r="DBV746" s="214"/>
      <c r="DBW746" s="214"/>
      <c r="DBX746" s="214"/>
      <c r="DBY746" s="214"/>
      <c r="DBZ746" s="214"/>
      <c r="DCA746" s="214"/>
      <c r="DCB746" s="214"/>
      <c r="DCC746" s="214"/>
      <c r="DCD746" s="214"/>
      <c r="DCE746" s="214"/>
      <c r="DCF746" s="214"/>
      <c r="DCG746" s="214"/>
      <c r="DCH746" s="214"/>
      <c r="DCI746" s="214"/>
      <c r="DCJ746" s="214"/>
      <c r="DCK746" s="214"/>
      <c r="DCL746" s="214"/>
      <c r="DCM746" s="214"/>
      <c r="DCN746" s="214"/>
      <c r="DCO746" s="214"/>
      <c r="DCP746" s="214"/>
      <c r="DCQ746" s="214"/>
      <c r="DCR746" s="214"/>
      <c r="DCS746" s="214"/>
      <c r="DCT746" s="214"/>
      <c r="DCU746" s="214"/>
      <c r="DCV746" s="214"/>
      <c r="DCW746" s="214"/>
      <c r="DCX746" s="214"/>
      <c r="DCY746" s="214"/>
      <c r="DCZ746" s="214"/>
      <c r="DDA746" s="214"/>
      <c r="DDB746" s="214"/>
      <c r="DDC746" s="214"/>
      <c r="DDD746" s="214"/>
      <c r="DDE746" s="214"/>
      <c r="DDF746" s="214"/>
      <c r="DDG746" s="214"/>
      <c r="DDH746" s="214"/>
      <c r="DDI746" s="214"/>
      <c r="DDJ746" s="214"/>
      <c r="DDK746" s="214"/>
      <c r="DDL746" s="214"/>
      <c r="DDM746" s="214"/>
      <c r="DDN746" s="214"/>
      <c r="DDO746" s="214"/>
      <c r="DDP746" s="214"/>
      <c r="DDQ746" s="214"/>
      <c r="DDR746" s="214"/>
      <c r="DDS746" s="214"/>
      <c r="DDT746" s="214"/>
      <c r="DDU746" s="214"/>
      <c r="DDV746" s="214"/>
      <c r="DDW746" s="214"/>
      <c r="DDX746" s="214"/>
      <c r="DDY746" s="214"/>
      <c r="DDZ746" s="214"/>
      <c r="DEA746" s="214"/>
      <c r="DEB746" s="214"/>
      <c r="DEC746" s="214"/>
      <c r="DED746" s="214"/>
      <c r="DEE746" s="214"/>
      <c r="DEF746" s="214"/>
      <c r="DEG746" s="214"/>
      <c r="DEH746" s="214"/>
      <c r="DEI746" s="214"/>
      <c r="DEJ746" s="214"/>
      <c r="DEK746" s="214"/>
      <c r="DEL746" s="214"/>
      <c r="DEM746" s="214"/>
      <c r="DEN746" s="214"/>
      <c r="DEO746" s="214"/>
      <c r="DEP746" s="214"/>
      <c r="DEQ746" s="214"/>
      <c r="DER746" s="214"/>
      <c r="DES746" s="214"/>
      <c r="DET746" s="214"/>
      <c r="DEU746" s="214"/>
      <c r="DEV746" s="214"/>
      <c r="DEW746" s="214"/>
      <c r="DEX746" s="214"/>
      <c r="DEY746" s="214"/>
      <c r="DEZ746" s="214"/>
      <c r="DFA746" s="214"/>
      <c r="DFB746" s="214"/>
      <c r="DFC746" s="214"/>
      <c r="DFD746" s="214"/>
      <c r="DFE746" s="214"/>
      <c r="DFF746" s="214"/>
      <c r="DFG746" s="214"/>
      <c r="DFH746" s="214"/>
      <c r="DFI746" s="214"/>
      <c r="DFJ746" s="214"/>
      <c r="DFK746" s="214"/>
      <c r="DFL746" s="214"/>
      <c r="DFM746" s="214"/>
      <c r="DFN746" s="214"/>
      <c r="DFO746" s="214"/>
      <c r="DFP746" s="214"/>
      <c r="DFQ746" s="214"/>
      <c r="DFR746" s="214"/>
      <c r="DFS746" s="214"/>
      <c r="DFT746" s="214"/>
      <c r="DFU746" s="214"/>
      <c r="DFV746" s="214"/>
      <c r="DFW746" s="214"/>
      <c r="DFX746" s="214"/>
      <c r="DFY746" s="214"/>
      <c r="DFZ746" s="214"/>
      <c r="DGA746" s="214"/>
      <c r="DGB746" s="214"/>
      <c r="DGC746" s="214"/>
      <c r="DGD746" s="214"/>
      <c r="DGE746" s="214"/>
      <c r="DGF746" s="214"/>
      <c r="DGG746" s="214"/>
      <c r="DGH746" s="214"/>
      <c r="DGI746" s="214"/>
      <c r="DGJ746" s="214"/>
      <c r="DGK746" s="214"/>
      <c r="DGL746" s="214"/>
      <c r="DGM746" s="214"/>
      <c r="DGN746" s="214"/>
      <c r="DGO746" s="214"/>
      <c r="DGP746" s="214"/>
      <c r="DGQ746" s="214"/>
      <c r="DGR746" s="214"/>
      <c r="DGS746" s="214"/>
      <c r="DGT746" s="214"/>
      <c r="DGU746" s="214"/>
      <c r="DGV746" s="214"/>
      <c r="DGW746" s="214"/>
      <c r="DGX746" s="214"/>
      <c r="DGY746" s="214"/>
      <c r="DGZ746" s="214"/>
      <c r="DHA746" s="214"/>
      <c r="DHB746" s="214"/>
      <c r="DHC746" s="214"/>
      <c r="DHD746" s="214"/>
      <c r="DHE746" s="214"/>
      <c r="DHF746" s="214"/>
      <c r="DHG746" s="214"/>
      <c r="DHH746" s="214"/>
      <c r="DHI746" s="214"/>
      <c r="DHJ746" s="214"/>
      <c r="DHK746" s="214"/>
      <c r="DHL746" s="214"/>
      <c r="DHM746" s="214"/>
      <c r="DHN746" s="214"/>
      <c r="DHO746" s="214"/>
      <c r="DHP746" s="214"/>
      <c r="DHQ746" s="214"/>
      <c r="DHR746" s="214"/>
      <c r="DHS746" s="214"/>
      <c r="DHT746" s="214"/>
      <c r="DHU746" s="214"/>
      <c r="DHV746" s="214"/>
      <c r="DHW746" s="214"/>
      <c r="DHX746" s="214"/>
      <c r="DHY746" s="214"/>
      <c r="DHZ746" s="214"/>
      <c r="DIA746" s="214"/>
      <c r="DIB746" s="214"/>
      <c r="DIC746" s="214"/>
      <c r="DID746" s="214"/>
      <c r="DIE746" s="214"/>
      <c r="DIF746" s="214"/>
      <c r="DIG746" s="214"/>
      <c r="DIH746" s="214"/>
      <c r="DII746" s="214"/>
      <c r="DIJ746" s="214"/>
      <c r="DIK746" s="214"/>
      <c r="DIL746" s="214"/>
      <c r="DIM746" s="214"/>
      <c r="DIN746" s="214"/>
      <c r="DIO746" s="214"/>
      <c r="DIP746" s="214"/>
      <c r="DIQ746" s="214"/>
      <c r="DIR746" s="214"/>
      <c r="DIS746" s="214"/>
      <c r="DIT746" s="214"/>
      <c r="DIU746" s="214"/>
      <c r="DIV746" s="214"/>
      <c r="DIW746" s="214"/>
      <c r="DIX746" s="214"/>
      <c r="DIY746" s="214"/>
      <c r="DIZ746" s="214"/>
      <c r="DJA746" s="214"/>
      <c r="DJB746" s="214"/>
      <c r="DJC746" s="214"/>
      <c r="DJD746" s="214"/>
      <c r="DJE746" s="214"/>
      <c r="DJF746" s="214"/>
      <c r="DJG746" s="214"/>
      <c r="DJH746" s="214"/>
      <c r="DJI746" s="214"/>
      <c r="DJJ746" s="214"/>
      <c r="DJK746" s="214"/>
      <c r="DJL746" s="214"/>
      <c r="DJM746" s="214"/>
      <c r="DJN746" s="214"/>
      <c r="DJO746" s="214"/>
      <c r="DJP746" s="214"/>
      <c r="DJQ746" s="214"/>
      <c r="DJR746" s="214"/>
      <c r="DJS746" s="214"/>
      <c r="DJT746" s="214"/>
      <c r="DJU746" s="214"/>
      <c r="DJV746" s="214"/>
      <c r="DJW746" s="214"/>
      <c r="DJX746" s="214"/>
      <c r="DJY746" s="214"/>
      <c r="DJZ746" s="214"/>
      <c r="DKA746" s="214"/>
      <c r="DKB746" s="214"/>
      <c r="DKC746" s="214"/>
      <c r="DKD746" s="214"/>
      <c r="DKE746" s="214"/>
      <c r="DKF746" s="214"/>
      <c r="DKG746" s="214"/>
      <c r="DKH746" s="214"/>
      <c r="DKI746" s="214"/>
      <c r="DKJ746" s="214"/>
      <c r="DKK746" s="214"/>
      <c r="DKL746" s="214"/>
      <c r="DKM746" s="214"/>
      <c r="DKN746" s="214"/>
      <c r="DKO746" s="214"/>
      <c r="DKP746" s="214"/>
      <c r="DKQ746" s="214"/>
      <c r="DKR746" s="214"/>
      <c r="DKS746" s="214"/>
      <c r="DKT746" s="214"/>
      <c r="DKU746" s="214"/>
      <c r="DKV746" s="214"/>
      <c r="DKW746" s="214"/>
      <c r="DKX746" s="214"/>
      <c r="DKY746" s="214"/>
      <c r="DKZ746" s="214"/>
      <c r="DLA746" s="214"/>
      <c r="DLB746" s="214"/>
      <c r="DLC746" s="214"/>
      <c r="DLD746" s="214"/>
      <c r="DLE746" s="214"/>
      <c r="DLF746" s="214"/>
      <c r="DLG746" s="214"/>
      <c r="DLH746" s="214"/>
      <c r="DLI746" s="214"/>
      <c r="DLJ746" s="214"/>
      <c r="DLK746" s="214"/>
      <c r="DLL746" s="214"/>
      <c r="DLM746" s="214"/>
      <c r="DLN746" s="214"/>
      <c r="DLO746" s="214"/>
      <c r="DLP746" s="214"/>
      <c r="DLQ746" s="214"/>
      <c r="DLR746" s="214"/>
      <c r="DLS746" s="214"/>
      <c r="DLT746" s="214"/>
      <c r="DLU746" s="214"/>
      <c r="DLV746" s="214"/>
      <c r="DLW746" s="214"/>
      <c r="DLX746" s="214"/>
      <c r="DLY746" s="214"/>
      <c r="DLZ746" s="214"/>
      <c r="DMA746" s="214"/>
      <c r="DMB746" s="214"/>
      <c r="DMC746" s="214"/>
      <c r="DMD746" s="214"/>
      <c r="DME746" s="214"/>
      <c r="DMF746" s="214"/>
      <c r="DMG746" s="214"/>
      <c r="DMH746" s="214"/>
      <c r="DMI746" s="214"/>
      <c r="DMJ746" s="214"/>
      <c r="DMK746" s="214"/>
      <c r="DML746" s="214"/>
      <c r="DMM746" s="214"/>
      <c r="DMN746" s="214"/>
      <c r="DMO746" s="214"/>
      <c r="DMP746" s="214"/>
      <c r="DMQ746" s="214"/>
      <c r="DMR746" s="214"/>
      <c r="DMS746" s="214"/>
      <c r="DMT746" s="214"/>
      <c r="DMU746" s="214"/>
      <c r="DMV746" s="214"/>
      <c r="DMW746" s="214"/>
      <c r="DMX746" s="214"/>
      <c r="DMY746" s="214"/>
      <c r="DMZ746" s="214"/>
      <c r="DNA746" s="214"/>
      <c r="DNB746" s="214"/>
      <c r="DNC746" s="214"/>
      <c r="DND746" s="214"/>
      <c r="DNE746" s="214"/>
      <c r="DNF746" s="214"/>
      <c r="DNG746" s="214"/>
      <c r="DNH746" s="214"/>
      <c r="DNI746" s="214"/>
      <c r="DNJ746" s="214"/>
      <c r="DNK746" s="214"/>
      <c r="DNL746" s="214"/>
      <c r="DNM746" s="214"/>
      <c r="DNN746" s="214"/>
      <c r="DNO746" s="214"/>
      <c r="DNP746" s="214"/>
      <c r="DNQ746" s="214"/>
      <c r="DNR746" s="214"/>
      <c r="DNS746" s="214"/>
      <c r="DNT746" s="214"/>
      <c r="DNU746" s="214"/>
      <c r="DNV746" s="214"/>
      <c r="DNW746" s="214"/>
      <c r="DNX746" s="214"/>
      <c r="DNY746" s="214"/>
      <c r="DNZ746" s="214"/>
      <c r="DOA746" s="214"/>
      <c r="DOB746" s="214"/>
      <c r="DOC746" s="214"/>
      <c r="DOD746" s="214"/>
      <c r="DOE746" s="214"/>
      <c r="DOF746" s="214"/>
      <c r="DOG746" s="214"/>
      <c r="DOH746" s="214"/>
      <c r="DOI746" s="214"/>
      <c r="DOJ746" s="214"/>
      <c r="DOK746" s="214"/>
      <c r="DOL746" s="214"/>
      <c r="DOM746" s="214"/>
      <c r="DON746" s="214"/>
      <c r="DOO746" s="214"/>
      <c r="DOP746" s="214"/>
      <c r="DOQ746" s="214"/>
      <c r="DOR746" s="214"/>
      <c r="DOS746" s="214"/>
      <c r="DOT746" s="214"/>
      <c r="DOU746" s="214"/>
      <c r="DOV746" s="214"/>
      <c r="DOW746" s="214"/>
      <c r="DOX746" s="214"/>
      <c r="DOY746" s="214"/>
      <c r="DOZ746" s="214"/>
      <c r="DPA746" s="214"/>
      <c r="DPB746" s="214"/>
      <c r="DPC746" s="214"/>
      <c r="DPD746" s="214"/>
      <c r="DPE746" s="214"/>
      <c r="DPF746" s="214"/>
      <c r="DPG746" s="214"/>
      <c r="DPH746" s="214"/>
      <c r="DPI746" s="214"/>
      <c r="DPJ746" s="214"/>
      <c r="DPK746" s="214"/>
      <c r="DPL746" s="214"/>
      <c r="DPM746" s="214"/>
      <c r="DPN746" s="214"/>
      <c r="DPO746" s="214"/>
      <c r="DPP746" s="214"/>
      <c r="DPQ746" s="214"/>
      <c r="DPR746" s="214"/>
      <c r="DPS746" s="214"/>
      <c r="DPT746" s="214"/>
      <c r="DPU746" s="214"/>
      <c r="DPV746" s="214"/>
      <c r="DPW746" s="214"/>
      <c r="DPX746" s="214"/>
      <c r="DPY746" s="214"/>
      <c r="DPZ746" s="214"/>
      <c r="DQA746" s="214"/>
      <c r="DQB746" s="214"/>
      <c r="DQC746" s="214"/>
      <c r="DQD746" s="214"/>
      <c r="DQE746" s="214"/>
      <c r="DQF746" s="214"/>
      <c r="DQG746" s="214"/>
      <c r="DQH746" s="214"/>
      <c r="DQI746" s="214"/>
      <c r="DQJ746" s="214"/>
      <c r="DQK746" s="214"/>
      <c r="DQL746" s="214"/>
      <c r="DQM746" s="214"/>
      <c r="DQN746" s="214"/>
      <c r="DQO746" s="214"/>
      <c r="DQP746" s="214"/>
      <c r="DQQ746" s="214"/>
      <c r="DQR746" s="214"/>
      <c r="DQS746" s="214"/>
      <c r="DQT746" s="214"/>
      <c r="DQU746" s="214"/>
      <c r="DQV746" s="214"/>
      <c r="DQW746" s="214"/>
      <c r="DQX746" s="214"/>
      <c r="DQY746" s="214"/>
      <c r="DQZ746" s="214"/>
      <c r="DRA746" s="214"/>
      <c r="DRB746" s="214"/>
      <c r="DRC746" s="214"/>
      <c r="DRD746" s="214"/>
      <c r="DRE746" s="214"/>
      <c r="DRF746" s="214"/>
      <c r="DRG746" s="214"/>
      <c r="DRH746" s="214"/>
      <c r="DRI746" s="214"/>
      <c r="DRJ746" s="214"/>
      <c r="DRK746" s="214"/>
      <c r="DRL746" s="214"/>
      <c r="DRM746" s="214"/>
      <c r="DRN746" s="214"/>
      <c r="DRO746" s="214"/>
      <c r="DRP746" s="214"/>
      <c r="DRQ746" s="214"/>
      <c r="DRR746" s="214"/>
      <c r="DRS746" s="214"/>
      <c r="DRT746" s="214"/>
      <c r="DRU746" s="214"/>
      <c r="DRV746" s="214"/>
      <c r="DRW746" s="214"/>
      <c r="DRX746" s="214"/>
      <c r="DRY746" s="214"/>
      <c r="DRZ746" s="214"/>
      <c r="DSA746" s="214"/>
      <c r="DSB746" s="214"/>
      <c r="DSC746" s="214"/>
      <c r="DSD746" s="214"/>
      <c r="DSE746" s="214"/>
      <c r="DSF746" s="214"/>
      <c r="DSG746" s="214"/>
      <c r="DSH746" s="214"/>
      <c r="DSI746" s="214"/>
      <c r="DSJ746" s="214"/>
      <c r="DSK746" s="214"/>
      <c r="DSL746" s="214"/>
      <c r="DSM746" s="214"/>
      <c r="DSN746" s="214"/>
      <c r="DSO746" s="214"/>
      <c r="DSP746" s="214"/>
      <c r="DSQ746" s="214"/>
      <c r="DSR746" s="214"/>
      <c r="DSS746" s="214"/>
      <c r="DST746" s="214"/>
      <c r="DSU746" s="214"/>
      <c r="DSV746" s="214"/>
      <c r="DSW746" s="214"/>
      <c r="DSX746" s="214"/>
      <c r="DSY746" s="214"/>
      <c r="DSZ746" s="214"/>
      <c r="DTA746" s="214"/>
      <c r="DTB746" s="214"/>
      <c r="DTC746" s="214"/>
      <c r="DTD746" s="214"/>
      <c r="DTE746" s="214"/>
      <c r="DTF746" s="214"/>
      <c r="DTG746" s="214"/>
      <c r="DTH746" s="214"/>
      <c r="DTI746" s="214"/>
      <c r="DTJ746" s="214"/>
      <c r="DTK746" s="214"/>
      <c r="DTL746" s="214"/>
      <c r="DTM746" s="214"/>
      <c r="DTN746" s="214"/>
      <c r="DTO746" s="214"/>
      <c r="DTP746" s="214"/>
      <c r="DTQ746" s="214"/>
      <c r="DTR746" s="214"/>
      <c r="DTS746" s="214"/>
      <c r="DTT746" s="214"/>
      <c r="DTU746" s="214"/>
      <c r="DTV746" s="214"/>
      <c r="DTW746" s="214"/>
      <c r="DTX746" s="214"/>
      <c r="DTY746" s="214"/>
      <c r="DTZ746" s="214"/>
      <c r="DUA746" s="214"/>
      <c r="DUB746" s="214"/>
      <c r="DUC746" s="214"/>
      <c r="DUD746" s="214"/>
      <c r="DUE746" s="214"/>
      <c r="DUF746" s="214"/>
      <c r="DUG746" s="214"/>
      <c r="DUH746" s="214"/>
      <c r="DUI746" s="214"/>
      <c r="DUJ746" s="214"/>
      <c r="DUK746" s="214"/>
      <c r="DUL746" s="214"/>
      <c r="DUM746" s="214"/>
      <c r="DUN746" s="214"/>
      <c r="DUO746" s="214"/>
      <c r="DUP746" s="214"/>
      <c r="DUQ746" s="214"/>
      <c r="DUR746" s="214"/>
      <c r="DUS746" s="214"/>
      <c r="DUT746" s="214"/>
      <c r="DUU746" s="214"/>
      <c r="DUV746" s="214"/>
      <c r="DUW746" s="214"/>
      <c r="DUX746" s="214"/>
      <c r="DUY746" s="214"/>
      <c r="DUZ746" s="214"/>
      <c r="DVA746" s="214"/>
      <c r="DVB746" s="214"/>
      <c r="DVC746" s="214"/>
      <c r="DVD746" s="214"/>
      <c r="DVE746" s="214"/>
      <c r="DVF746" s="214"/>
      <c r="DVG746" s="214"/>
      <c r="DVH746" s="214"/>
      <c r="DVI746" s="214"/>
      <c r="DVJ746" s="214"/>
      <c r="DVK746" s="214"/>
      <c r="DVL746" s="214"/>
      <c r="DVM746" s="214"/>
      <c r="DVN746" s="214"/>
      <c r="DVO746" s="214"/>
      <c r="DVP746" s="214"/>
      <c r="DVQ746" s="214"/>
      <c r="DVR746" s="214"/>
      <c r="DVS746" s="214"/>
      <c r="DVT746" s="214"/>
      <c r="DVU746" s="214"/>
      <c r="DVV746" s="214"/>
      <c r="DVW746" s="214"/>
      <c r="DVX746" s="214"/>
      <c r="DVY746" s="214"/>
      <c r="DVZ746" s="214"/>
      <c r="DWA746" s="214"/>
      <c r="DWB746" s="214"/>
      <c r="DWC746" s="214"/>
      <c r="DWD746" s="214"/>
      <c r="DWE746" s="214"/>
      <c r="DWF746" s="214"/>
      <c r="DWG746" s="214"/>
      <c r="DWH746" s="214"/>
      <c r="DWI746" s="214"/>
      <c r="DWJ746" s="214"/>
      <c r="DWK746" s="214"/>
      <c r="DWL746" s="214"/>
      <c r="DWM746" s="214"/>
      <c r="DWN746" s="214"/>
      <c r="DWO746" s="214"/>
      <c r="DWP746" s="214"/>
      <c r="DWQ746" s="214"/>
      <c r="DWR746" s="214"/>
      <c r="DWS746" s="214"/>
      <c r="DWT746" s="214"/>
      <c r="DWU746" s="214"/>
      <c r="DWV746" s="214"/>
      <c r="DWW746" s="214"/>
      <c r="DWX746" s="214"/>
      <c r="DWY746" s="214"/>
      <c r="DWZ746" s="214"/>
      <c r="DXA746" s="214"/>
      <c r="DXB746" s="214"/>
      <c r="DXC746" s="214"/>
      <c r="DXD746" s="214"/>
      <c r="DXE746" s="214"/>
      <c r="DXF746" s="214"/>
      <c r="DXG746" s="214"/>
      <c r="DXH746" s="214"/>
      <c r="DXI746" s="214"/>
      <c r="DXJ746" s="214"/>
      <c r="DXK746" s="214"/>
      <c r="DXL746" s="214"/>
      <c r="DXM746" s="214"/>
      <c r="DXN746" s="214"/>
      <c r="DXO746" s="214"/>
      <c r="DXP746" s="214"/>
      <c r="DXQ746" s="214"/>
      <c r="DXR746" s="214"/>
      <c r="DXS746" s="214"/>
      <c r="DXT746" s="214"/>
      <c r="DXU746" s="214"/>
      <c r="DXV746" s="214"/>
      <c r="DXW746" s="214"/>
      <c r="DXX746" s="214"/>
      <c r="DXY746" s="214"/>
      <c r="DXZ746" s="214"/>
      <c r="DYA746" s="214"/>
      <c r="DYB746" s="214"/>
      <c r="DYC746" s="214"/>
      <c r="DYD746" s="214"/>
      <c r="DYE746" s="214"/>
      <c r="DYF746" s="214"/>
      <c r="DYG746" s="214"/>
      <c r="DYH746" s="214"/>
      <c r="DYI746" s="214"/>
      <c r="DYJ746" s="214"/>
      <c r="DYK746" s="214"/>
      <c r="DYL746" s="214"/>
      <c r="DYM746" s="214"/>
      <c r="DYN746" s="214"/>
      <c r="DYO746" s="214"/>
      <c r="DYP746" s="214"/>
      <c r="DYQ746" s="214"/>
      <c r="DYR746" s="214"/>
      <c r="DYS746" s="214"/>
      <c r="DYT746" s="214"/>
      <c r="DYU746" s="214"/>
      <c r="DYV746" s="214"/>
      <c r="DYW746" s="214"/>
      <c r="DYX746" s="214"/>
      <c r="DYY746" s="214"/>
      <c r="DYZ746" s="214"/>
      <c r="DZA746" s="214"/>
      <c r="DZB746" s="214"/>
      <c r="DZC746" s="214"/>
      <c r="DZD746" s="214"/>
      <c r="DZE746" s="214"/>
      <c r="DZF746" s="214"/>
      <c r="DZG746" s="214"/>
      <c r="DZH746" s="214"/>
      <c r="DZI746" s="214"/>
      <c r="DZJ746" s="214"/>
      <c r="DZK746" s="214"/>
      <c r="DZL746" s="214"/>
      <c r="DZM746" s="214"/>
      <c r="DZN746" s="214"/>
      <c r="DZO746" s="214"/>
      <c r="DZP746" s="214"/>
      <c r="DZQ746" s="214"/>
      <c r="DZR746" s="214"/>
      <c r="DZS746" s="214"/>
      <c r="DZT746" s="214"/>
      <c r="DZU746" s="214"/>
      <c r="DZV746" s="214"/>
      <c r="DZW746" s="214"/>
      <c r="DZX746" s="214"/>
      <c r="DZY746" s="214"/>
      <c r="DZZ746" s="214"/>
      <c r="EAA746" s="214"/>
      <c r="EAB746" s="214"/>
      <c r="EAC746" s="214"/>
      <c r="EAD746" s="214"/>
      <c r="EAE746" s="214"/>
      <c r="EAF746" s="214"/>
      <c r="EAG746" s="214"/>
      <c r="EAH746" s="214"/>
      <c r="EAI746" s="214"/>
      <c r="EAJ746" s="214"/>
      <c r="EAK746" s="214"/>
      <c r="EAL746" s="214"/>
      <c r="EAM746" s="214"/>
      <c r="EAN746" s="214"/>
      <c r="EAO746" s="214"/>
      <c r="EAP746" s="214"/>
      <c r="EAQ746" s="214"/>
      <c r="EAR746" s="214"/>
      <c r="EAS746" s="214"/>
      <c r="EAT746" s="214"/>
      <c r="EAU746" s="214"/>
      <c r="EAV746" s="214"/>
      <c r="EAW746" s="214"/>
      <c r="EAX746" s="214"/>
      <c r="EAY746" s="214"/>
      <c r="EAZ746" s="214"/>
      <c r="EBA746" s="214"/>
      <c r="EBB746" s="214"/>
      <c r="EBC746" s="214"/>
      <c r="EBD746" s="214"/>
      <c r="EBE746" s="214"/>
      <c r="EBF746" s="214"/>
      <c r="EBG746" s="214"/>
      <c r="EBH746" s="214"/>
      <c r="EBI746" s="214"/>
      <c r="EBJ746" s="214"/>
      <c r="EBK746" s="214"/>
      <c r="EBL746" s="214"/>
      <c r="EBM746" s="214"/>
      <c r="EBN746" s="214"/>
      <c r="EBO746" s="214"/>
      <c r="EBP746" s="214"/>
      <c r="EBQ746" s="214"/>
      <c r="EBR746" s="214"/>
      <c r="EBS746" s="214"/>
      <c r="EBT746" s="214"/>
      <c r="EBU746" s="214"/>
      <c r="EBV746" s="214"/>
      <c r="EBW746" s="214"/>
      <c r="EBX746" s="214"/>
      <c r="EBY746" s="214"/>
      <c r="EBZ746" s="214"/>
      <c r="ECA746" s="214"/>
      <c r="ECB746" s="214"/>
      <c r="ECC746" s="214"/>
      <c r="ECD746" s="214"/>
      <c r="ECE746" s="214"/>
      <c r="ECF746" s="214"/>
      <c r="ECG746" s="214"/>
      <c r="ECH746" s="214"/>
      <c r="ECI746" s="214"/>
      <c r="ECJ746" s="214"/>
      <c r="ECK746" s="214"/>
      <c r="ECL746" s="214"/>
      <c r="ECM746" s="214"/>
      <c r="ECN746" s="214"/>
      <c r="ECO746" s="214"/>
      <c r="ECP746" s="214"/>
      <c r="ECQ746" s="214"/>
      <c r="ECR746" s="214"/>
      <c r="ECS746" s="214"/>
      <c r="ECT746" s="214"/>
      <c r="ECU746" s="214"/>
      <c r="ECV746" s="214"/>
      <c r="ECW746" s="214"/>
      <c r="ECX746" s="214"/>
      <c r="ECY746" s="214"/>
      <c r="ECZ746" s="214"/>
      <c r="EDA746" s="214"/>
      <c r="EDB746" s="214"/>
      <c r="EDC746" s="214"/>
      <c r="EDD746" s="214"/>
      <c r="EDE746" s="214"/>
      <c r="EDF746" s="214"/>
      <c r="EDG746" s="214"/>
      <c r="EDH746" s="214"/>
      <c r="EDI746" s="214"/>
      <c r="EDJ746" s="214"/>
      <c r="EDK746" s="214"/>
      <c r="EDL746" s="214"/>
      <c r="EDM746" s="214"/>
      <c r="EDN746" s="214"/>
      <c r="EDO746" s="214"/>
      <c r="EDP746" s="214"/>
      <c r="EDQ746" s="214"/>
      <c r="EDR746" s="214"/>
      <c r="EDS746" s="214"/>
      <c r="EDT746" s="214"/>
      <c r="EDU746" s="214"/>
      <c r="EDV746" s="214"/>
      <c r="EDW746" s="214"/>
      <c r="EDX746" s="214"/>
      <c r="EDY746" s="214"/>
      <c r="EDZ746" s="214"/>
      <c r="EEA746" s="214"/>
      <c r="EEB746" s="214"/>
      <c r="EEC746" s="214"/>
      <c r="EED746" s="214"/>
      <c r="EEE746" s="214"/>
      <c r="EEF746" s="214"/>
      <c r="EEG746" s="214"/>
      <c r="EEH746" s="214"/>
      <c r="EEI746" s="214"/>
      <c r="EEJ746" s="214"/>
      <c r="EEK746" s="214"/>
      <c r="EEL746" s="214"/>
      <c r="EEM746" s="214"/>
      <c r="EEN746" s="214"/>
      <c r="EEO746" s="214"/>
      <c r="EEP746" s="214"/>
      <c r="EEQ746" s="214"/>
      <c r="EER746" s="214"/>
      <c r="EES746" s="214"/>
      <c r="EET746" s="214"/>
      <c r="EEU746" s="214"/>
      <c r="EEV746" s="214"/>
      <c r="EEW746" s="214"/>
      <c r="EEX746" s="214"/>
      <c r="EEY746" s="214"/>
      <c r="EEZ746" s="214"/>
      <c r="EFA746" s="214"/>
      <c r="EFB746" s="214"/>
      <c r="EFC746" s="214"/>
      <c r="EFD746" s="214"/>
      <c r="EFE746" s="214"/>
      <c r="EFF746" s="214"/>
      <c r="EFG746" s="214"/>
      <c r="EFH746" s="214"/>
      <c r="EFI746" s="214"/>
      <c r="EFJ746" s="214"/>
      <c r="EFK746" s="214"/>
      <c r="EFL746" s="214"/>
      <c r="EFM746" s="214"/>
      <c r="EFN746" s="214"/>
      <c r="EFO746" s="214"/>
      <c r="EFP746" s="214"/>
      <c r="EFQ746" s="214"/>
      <c r="EFR746" s="214"/>
      <c r="EFS746" s="214"/>
      <c r="EFT746" s="214"/>
      <c r="EFU746" s="214"/>
      <c r="EFV746" s="214"/>
      <c r="EFW746" s="214"/>
      <c r="EFX746" s="214"/>
      <c r="EFY746" s="214"/>
      <c r="EFZ746" s="214"/>
      <c r="EGA746" s="214"/>
      <c r="EGB746" s="214"/>
      <c r="EGC746" s="214"/>
      <c r="EGD746" s="214"/>
      <c r="EGE746" s="214"/>
      <c r="EGF746" s="214"/>
      <c r="EGG746" s="214"/>
      <c r="EGH746" s="214"/>
      <c r="EGI746" s="214"/>
      <c r="EGJ746" s="214"/>
      <c r="EGK746" s="214"/>
      <c r="EGL746" s="214"/>
      <c r="EGM746" s="214"/>
      <c r="EGN746" s="214"/>
      <c r="EGO746" s="214"/>
      <c r="EGP746" s="214"/>
      <c r="EGQ746" s="214"/>
      <c r="EGR746" s="214"/>
      <c r="EGS746" s="214"/>
      <c r="EGT746" s="214"/>
      <c r="EGU746" s="214"/>
      <c r="EGV746" s="214"/>
      <c r="EGW746" s="214"/>
      <c r="EGX746" s="214"/>
      <c r="EGY746" s="214"/>
      <c r="EGZ746" s="214"/>
      <c r="EHA746" s="214"/>
      <c r="EHB746" s="214"/>
      <c r="EHC746" s="214"/>
      <c r="EHD746" s="214"/>
      <c r="EHE746" s="214"/>
      <c r="EHF746" s="214"/>
      <c r="EHG746" s="214"/>
      <c r="EHH746" s="214"/>
      <c r="EHI746" s="214"/>
      <c r="EHJ746" s="214"/>
      <c r="EHK746" s="214"/>
      <c r="EHL746" s="214"/>
      <c r="EHM746" s="214"/>
      <c r="EHN746" s="214"/>
      <c r="EHO746" s="214"/>
      <c r="EHP746" s="214"/>
      <c r="EHQ746" s="214"/>
      <c r="EHR746" s="214"/>
      <c r="EHS746" s="214"/>
      <c r="EHT746" s="214"/>
      <c r="EHU746" s="214"/>
      <c r="EHV746" s="214"/>
      <c r="EHW746" s="214"/>
      <c r="EHX746" s="214"/>
      <c r="EHY746" s="214"/>
      <c r="EHZ746" s="214"/>
      <c r="EIA746" s="214"/>
      <c r="EIB746" s="214"/>
      <c r="EIC746" s="214"/>
      <c r="EID746" s="214"/>
      <c r="EIE746" s="214"/>
      <c r="EIF746" s="214"/>
      <c r="EIG746" s="214"/>
      <c r="EIH746" s="214"/>
      <c r="EII746" s="214"/>
      <c r="EIJ746" s="214"/>
      <c r="EIK746" s="214"/>
      <c r="EIL746" s="214"/>
      <c r="EIM746" s="214"/>
      <c r="EIN746" s="214"/>
      <c r="EIO746" s="214"/>
      <c r="EIP746" s="214"/>
      <c r="EIQ746" s="214"/>
      <c r="EIR746" s="214"/>
      <c r="EIS746" s="214"/>
      <c r="EIT746" s="214"/>
      <c r="EIU746" s="214"/>
      <c r="EIV746" s="214"/>
      <c r="EIW746" s="214"/>
      <c r="EIX746" s="214"/>
      <c r="EIY746" s="214"/>
      <c r="EIZ746" s="214"/>
      <c r="EJA746" s="214"/>
      <c r="EJB746" s="214"/>
      <c r="EJC746" s="214"/>
      <c r="EJD746" s="214"/>
      <c r="EJE746" s="214"/>
      <c r="EJF746" s="214"/>
      <c r="EJG746" s="214"/>
      <c r="EJH746" s="214"/>
      <c r="EJI746" s="214"/>
      <c r="EJJ746" s="214"/>
      <c r="EJK746" s="214"/>
      <c r="EJL746" s="214"/>
      <c r="EJM746" s="214"/>
      <c r="EJN746" s="214"/>
      <c r="EJO746" s="214"/>
      <c r="EJP746" s="214"/>
      <c r="EJQ746" s="214"/>
      <c r="EJR746" s="214"/>
      <c r="EJS746" s="214"/>
      <c r="EJT746" s="214"/>
      <c r="EJU746" s="214"/>
      <c r="EJV746" s="214"/>
      <c r="EJW746" s="214"/>
      <c r="EJX746" s="214"/>
      <c r="EJY746" s="214"/>
      <c r="EJZ746" s="214"/>
      <c r="EKA746" s="214"/>
      <c r="EKB746" s="214"/>
      <c r="EKC746" s="214"/>
      <c r="EKD746" s="214"/>
      <c r="EKE746" s="214"/>
      <c r="EKF746" s="214"/>
      <c r="EKG746" s="214"/>
      <c r="EKH746" s="214"/>
      <c r="EKI746" s="214"/>
      <c r="EKJ746" s="214"/>
      <c r="EKK746" s="214"/>
      <c r="EKL746" s="214"/>
      <c r="EKM746" s="214"/>
      <c r="EKN746" s="214"/>
      <c r="EKO746" s="214"/>
      <c r="EKP746" s="214"/>
      <c r="EKQ746" s="214"/>
      <c r="EKR746" s="214"/>
      <c r="EKS746" s="214"/>
      <c r="EKT746" s="214"/>
      <c r="EKU746" s="214"/>
      <c r="EKV746" s="214"/>
      <c r="EKW746" s="214"/>
      <c r="EKX746" s="214"/>
      <c r="EKY746" s="214"/>
      <c r="EKZ746" s="214"/>
      <c r="ELA746" s="214"/>
      <c r="ELB746" s="214"/>
      <c r="ELC746" s="214"/>
      <c r="ELD746" s="214"/>
      <c r="ELE746" s="214"/>
      <c r="ELF746" s="214"/>
      <c r="ELG746" s="214"/>
      <c r="ELH746" s="214"/>
      <c r="ELI746" s="214"/>
      <c r="ELJ746" s="214"/>
      <c r="ELK746" s="214"/>
      <c r="ELL746" s="214"/>
      <c r="ELM746" s="214"/>
      <c r="ELN746" s="214"/>
      <c r="ELO746" s="214"/>
      <c r="ELP746" s="214"/>
      <c r="ELQ746" s="214"/>
      <c r="ELR746" s="214"/>
      <c r="ELS746" s="214"/>
      <c r="ELT746" s="214"/>
      <c r="ELU746" s="214"/>
      <c r="ELV746" s="214"/>
      <c r="ELW746" s="214"/>
      <c r="ELX746" s="214"/>
      <c r="ELY746" s="214"/>
      <c r="ELZ746" s="214"/>
      <c r="EMA746" s="214"/>
      <c r="EMB746" s="214"/>
      <c r="EMC746" s="214"/>
      <c r="EMD746" s="214"/>
      <c r="EME746" s="214"/>
      <c r="EMF746" s="214"/>
      <c r="EMG746" s="214"/>
      <c r="EMH746" s="214"/>
      <c r="EMI746" s="214"/>
      <c r="EMJ746" s="214"/>
      <c r="EMK746" s="214"/>
      <c r="EML746" s="214"/>
      <c r="EMM746" s="214"/>
      <c r="EMN746" s="214"/>
      <c r="EMO746" s="214"/>
      <c r="EMP746" s="214"/>
      <c r="EMQ746" s="214"/>
      <c r="EMR746" s="214"/>
      <c r="EMS746" s="214"/>
      <c r="EMT746" s="214"/>
      <c r="EMU746" s="214"/>
      <c r="EMV746" s="214"/>
      <c r="EMW746" s="214"/>
      <c r="EMX746" s="214"/>
      <c r="EMY746" s="214"/>
      <c r="EMZ746" s="214"/>
      <c r="ENA746" s="214"/>
      <c r="ENB746" s="214"/>
      <c r="ENC746" s="214"/>
      <c r="END746" s="214"/>
      <c r="ENE746" s="214"/>
      <c r="ENF746" s="214"/>
      <c r="ENG746" s="214"/>
      <c r="ENH746" s="214"/>
      <c r="ENI746" s="214"/>
      <c r="ENJ746" s="214"/>
      <c r="ENK746" s="214"/>
      <c r="ENL746" s="214"/>
      <c r="ENM746" s="214"/>
      <c r="ENN746" s="214"/>
      <c r="ENO746" s="214"/>
      <c r="ENP746" s="214"/>
      <c r="ENQ746" s="214"/>
      <c r="ENR746" s="214"/>
      <c r="ENS746" s="214"/>
      <c r="ENT746" s="214"/>
      <c r="ENU746" s="214"/>
      <c r="ENV746" s="214"/>
      <c r="ENW746" s="214"/>
      <c r="ENX746" s="214"/>
      <c r="ENY746" s="214"/>
      <c r="ENZ746" s="214"/>
      <c r="EOA746" s="214"/>
      <c r="EOB746" s="214"/>
      <c r="EOC746" s="214"/>
      <c r="EOD746" s="214"/>
      <c r="EOE746" s="214"/>
      <c r="EOF746" s="214"/>
      <c r="EOG746" s="214"/>
      <c r="EOH746" s="214"/>
      <c r="EOI746" s="214"/>
      <c r="EOJ746" s="214"/>
      <c r="EOK746" s="214"/>
      <c r="EOL746" s="214"/>
      <c r="EOM746" s="214"/>
      <c r="EON746" s="214"/>
      <c r="EOO746" s="214"/>
      <c r="EOP746" s="214"/>
      <c r="EOQ746" s="214"/>
      <c r="EOR746" s="214"/>
      <c r="EOS746" s="214"/>
      <c r="EOT746" s="214"/>
      <c r="EOU746" s="214"/>
      <c r="EOV746" s="214"/>
      <c r="EOW746" s="214"/>
      <c r="EOX746" s="214"/>
      <c r="EOY746" s="214"/>
      <c r="EOZ746" s="214"/>
      <c r="EPA746" s="214"/>
      <c r="EPB746" s="214"/>
      <c r="EPC746" s="214"/>
      <c r="EPD746" s="214"/>
      <c r="EPE746" s="214"/>
      <c r="EPF746" s="214"/>
      <c r="EPG746" s="214"/>
      <c r="EPH746" s="214"/>
      <c r="EPI746" s="214"/>
      <c r="EPJ746" s="214"/>
      <c r="EPK746" s="214"/>
      <c r="EPL746" s="214"/>
      <c r="EPM746" s="214"/>
      <c r="EPN746" s="214"/>
      <c r="EPO746" s="214"/>
      <c r="EPP746" s="214"/>
      <c r="EPQ746" s="214"/>
      <c r="EPR746" s="214"/>
      <c r="EPS746" s="214"/>
      <c r="EPT746" s="214"/>
      <c r="EPU746" s="214"/>
      <c r="EPV746" s="214"/>
      <c r="EPW746" s="214"/>
      <c r="EPX746" s="214"/>
      <c r="EPY746" s="214"/>
      <c r="EPZ746" s="214"/>
      <c r="EQA746" s="214"/>
      <c r="EQB746" s="214"/>
      <c r="EQC746" s="214"/>
      <c r="EQD746" s="214"/>
      <c r="EQE746" s="214"/>
      <c r="EQF746" s="214"/>
      <c r="EQG746" s="214"/>
      <c r="EQH746" s="214"/>
      <c r="EQI746" s="214"/>
      <c r="EQJ746" s="214"/>
      <c r="EQK746" s="214"/>
      <c r="EQL746" s="214"/>
      <c r="EQM746" s="214"/>
      <c r="EQN746" s="214"/>
      <c r="EQO746" s="214"/>
      <c r="EQP746" s="214"/>
      <c r="EQQ746" s="214"/>
      <c r="EQR746" s="214"/>
      <c r="EQS746" s="214"/>
      <c r="EQT746" s="214"/>
      <c r="EQU746" s="214"/>
      <c r="EQV746" s="214"/>
      <c r="EQW746" s="214"/>
      <c r="EQX746" s="214"/>
      <c r="EQY746" s="214"/>
      <c r="EQZ746" s="214"/>
      <c r="ERA746" s="214"/>
      <c r="ERB746" s="214"/>
      <c r="ERC746" s="214"/>
      <c r="ERD746" s="214"/>
      <c r="ERE746" s="214"/>
      <c r="ERF746" s="214"/>
      <c r="ERG746" s="214"/>
      <c r="ERH746" s="214"/>
      <c r="ERI746" s="214"/>
      <c r="ERJ746" s="214"/>
      <c r="ERK746" s="214"/>
      <c r="ERL746" s="214"/>
      <c r="ERM746" s="214"/>
      <c r="ERN746" s="214"/>
      <c r="ERO746" s="214"/>
      <c r="ERP746" s="214"/>
      <c r="ERQ746" s="214"/>
      <c r="ERR746" s="214"/>
      <c r="ERS746" s="214"/>
      <c r="ERT746" s="214"/>
      <c r="ERU746" s="214"/>
      <c r="ERV746" s="214"/>
      <c r="ERW746" s="214"/>
      <c r="ERX746" s="214"/>
      <c r="ERY746" s="214"/>
      <c r="ERZ746" s="214"/>
      <c r="ESA746" s="214"/>
      <c r="ESB746" s="214"/>
      <c r="ESC746" s="214"/>
      <c r="ESD746" s="214"/>
      <c r="ESE746" s="214"/>
      <c r="ESF746" s="214"/>
      <c r="ESG746" s="214"/>
      <c r="ESH746" s="214"/>
      <c r="ESI746" s="214"/>
      <c r="ESJ746" s="214"/>
      <c r="ESK746" s="214"/>
      <c r="ESL746" s="214"/>
      <c r="ESM746" s="214"/>
      <c r="ESN746" s="214"/>
      <c r="ESO746" s="214"/>
      <c r="ESP746" s="214"/>
      <c r="ESQ746" s="214"/>
      <c r="ESR746" s="214"/>
      <c r="ESS746" s="214"/>
      <c r="EST746" s="214"/>
      <c r="ESU746" s="214"/>
      <c r="ESV746" s="214"/>
      <c r="ESW746" s="214"/>
      <c r="ESX746" s="214"/>
      <c r="ESY746" s="214"/>
      <c r="ESZ746" s="214"/>
      <c r="ETA746" s="214"/>
      <c r="ETB746" s="214"/>
      <c r="ETC746" s="214"/>
      <c r="ETD746" s="214"/>
      <c r="ETE746" s="214"/>
      <c r="ETF746" s="214"/>
      <c r="ETG746" s="214"/>
      <c r="ETH746" s="214"/>
      <c r="ETI746" s="214"/>
      <c r="ETJ746" s="214"/>
      <c r="ETK746" s="214"/>
      <c r="ETL746" s="214"/>
      <c r="ETM746" s="214"/>
      <c r="ETN746" s="214"/>
      <c r="ETO746" s="214"/>
      <c r="ETP746" s="214"/>
      <c r="ETQ746" s="214"/>
      <c r="ETR746" s="214"/>
      <c r="ETS746" s="214"/>
      <c r="ETT746" s="214"/>
      <c r="ETU746" s="214"/>
      <c r="ETV746" s="214"/>
      <c r="ETW746" s="214"/>
      <c r="ETX746" s="214"/>
      <c r="ETY746" s="214"/>
      <c r="ETZ746" s="214"/>
      <c r="EUA746" s="214"/>
      <c r="EUB746" s="214"/>
      <c r="EUC746" s="214"/>
      <c r="EUD746" s="214"/>
      <c r="EUE746" s="214"/>
      <c r="EUF746" s="214"/>
      <c r="EUG746" s="214"/>
      <c r="EUH746" s="214"/>
      <c r="EUI746" s="214"/>
      <c r="EUJ746" s="214"/>
      <c r="EUK746" s="214"/>
      <c r="EUL746" s="214"/>
      <c r="EUM746" s="214"/>
      <c r="EUN746" s="214"/>
      <c r="EUO746" s="214"/>
      <c r="EUP746" s="214"/>
      <c r="EUQ746" s="214"/>
      <c r="EUR746" s="214"/>
      <c r="EUS746" s="214"/>
      <c r="EUT746" s="214"/>
      <c r="EUU746" s="214"/>
      <c r="EUV746" s="214"/>
      <c r="EUW746" s="214"/>
      <c r="EUX746" s="214"/>
      <c r="EUY746" s="214"/>
      <c r="EUZ746" s="214"/>
      <c r="EVA746" s="214"/>
      <c r="EVB746" s="214"/>
      <c r="EVC746" s="214"/>
      <c r="EVD746" s="214"/>
      <c r="EVE746" s="214"/>
      <c r="EVF746" s="214"/>
      <c r="EVG746" s="214"/>
      <c r="EVH746" s="214"/>
      <c r="EVI746" s="214"/>
      <c r="EVJ746" s="214"/>
      <c r="EVK746" s="214"/>
      <c r="EVL746" s="214"/>
      <c r="EVM746" s="214"/>
      <c r="EVN746" s="214"/>
      <c r="EVO746" s="214"/>
      <c r="EVP746" s="214"/>
      <c r="EVQ746" s="214"/>
      <c r="EVR746" s="214"/>
      <c r="EVS746" s="214"/>
      <c r="EVT746" s="214"/>
      <c r="EVU746" s="214"/>
      <c r="EVV746" s="214"/>
      <c r="EVW746" s="214"/>
      <c r="EVX746" s="214"/>
      <c r="EVY746" s="214"/>
      <c r="EVZ746" s="214"/>
      <c r="EWA746" s="214"/>
      <c r="EWB746" s="214"/>
      <c r="EWC746" s="214"/>
      <c r="EWD746" s="214"/>
      <c r="EWE746" s="214"/>
      <c r="EWF746" s="214"/>
      <c r="EWG746" s="214"/>
      <c r="EWH746" s="214"/>
      <c r="EWI746" s="214"/>
      <c r="EWJ746" s="214"/>
      <c r="EWK746" s="214"/>
      <c r="EWL746" s="214"/>
      <c r="EWM746" s="214"/>
      <c r="EWN746" s="214"/>
      <c r="EWO746" s="214"/>
      <c r="EWP746" s="214"/>
      <c r="EWQ746" s="214"/>
      <c r="EWR746" s="214"/>
      <c r="EWS746" s="214"/>
      <c r="EWT746" s="214"/>
      <c r="EWU746" s="214"/>
      <c r="EWV746" s="214"/>
      <c r="EWW746" s="214"/>
      <c r="EWX746" s="214"/>
      <c r="EWY746" s="214"/>
      <c r="EWZ746" s="214"/>
      <c r="EXA746" s="214"/>
      <c r="EXB746" s="214"/>
      <c r="EXC746" s="214"/>
      <c r="EXD746" s="214"/>
      <c r="EXE746" s="214"/>
      <c r="EXF746" s="214"/>
      <c r="EXG746" s="214"/>
      <c r="EXH746" s="214"/>
      <c r="EXI746" s="214"/>
      <c r="EXJ746" s="214"/>
      <c r="EXK746" s="214"/>
      <c r="EXL746" s="214"/>
      <c r="EXM746" s="214"/>
      <c r="EXN746" s="214"/>
      <c r="EXO746" s="214"/>
      <c r="EXP746" s="214"/>
      <c r="EXQ746" s="214"/>
      <c r="EXR746" s="214"/>
      <c r="EXS746" s="214"/>
      <c r="EXT746" s="214"/>
      <c r="EXU746" s="214"/>
      <c r="EXV746" s="214"/>
      <c r="EXW746" s="214"/>
      <c r="EXX746" s="214"/>
      <c r="EXY746" s="214"/>
      <c r="EXZ746" s="214"/>
      <c r="EYA746" s="214"/>
      <c r="EYB746" s="214"/>
      <c r="EYC746" s="214"/>
      <c r="EYD746" s="214"/>
      <c r="EYE746" s="214"/>
      <c r="EYF746" s="214"/>
      <c r="EYG746" s="214"/>
      <c r="EYH746" s="214"/>
      <c r="EYI746" s="214"/>
      <c r="EYJ746" s="214"/>
      <c r="EYK746" s="214"/>
      <c r="EYL746" s="214"/>
      <c r="EYM746" s="214"/>
      <c r="EYN746" s="214"/>
      <c r="EYO746" s="214"/>
      <c r="EYP746" s="214"/>
      <c r="EYQ746" s="214"/>
      <c r="EYR746" s="214"/>
      <c r="EYS746" s="214"/>
      <c r="EYT746" s="214"/>
      <c r="EYU746" s="214"/>
      <c r="EYV746" s="214"/>
      <c r="EYW746" s="214"/>
      <c r="EYX746" s="214"/>
      <c r="EYY746" s="214"/>
      <c r="EYZ746" s="214"/>
      <c r="EZA746" s="214"/>
      <c r="EZB746" s="214"/>
      <c r="EZC746" s="214"/>
      <c r="EZD746" s="214"/>
      <c r="EZE746" s="214"/>
      <c r="EZF746" s="214"/>
      <c r="EZG746" s="214"/>
      <c r="EZH746" s="214"/>
      <c r="EZI746" s="214"/>
      <c r="EZJ746" s="214"/>
      <c r="EZK746" s="214"/>
      <c r="EZL746" s="214"/>
      <c r="EZM746" s="214"/>
      <c r="EZN746" s="214"/>
      <c r="EZO746" s="214"/>
      <c r="EZP746" s="214"/>
      <c r="EZQ746" s="214"/>
      <c r="EZR746" s="214"/>
      <c r="EZS746" s="214"/>
      <c r="EZT746" s="214"/>
      <c r="EZU746" s="214"/>
      <c r="EZV746" s="214"/>
      <c r="EZW746" s="214"/>
      <c r="EZX746" s="214"/>
      <c r="EZY746" s="214"/>
      <c r="EZZ746" s="214"/>
      <c r="FAA746" s="214"/>
      <c r="FAB746" s="214"/>
      <c r="FAC746" s="214"/>
      <c r="FAD746" s="214"/>
      <c r="FAE746" s="214"/>
      <c r="FAF746" s="214"/>
      <c r="FAG746" s="214"/>
      <c r="FAH746" s="214"/>
      <c r="FAI746" s="214"/>
      <c r="FAJ746" s="214"/>
      <c r="FAK746" s="214"/>
      <c r="FAL746" s="214"/>
      <c r="FAM746" s="214"/>
      <c r="FAN746" s="214"/>
      <c r="FAO746" s="214"/>
      <c r="FAP746" s="214"/>
      <c r="FAQ746" s="214"/>
      <c r="FAR746" s="214"/>
      <c r="FAS746" s="214"/>
      <c r="FAT746" s="214"/>
      <c r="FAU746" s="214"/>
      <c r="FAV746" s="214"/>
      <c r="FAW746" s="214"/>
      <c r="FAX746" s="214"/>
      <c r="FAY746" s="214"/>
      <c r="FAZ746" s="214"/>
      <c r="FBA746" s="214"/>
      <c r="FBB746" s="214"/>
      <c r="FBC746" s="214"/>
      <c r="FBD746" s="214"/>
      <c r="FBE746" s="214"/>
      <c r="FBF746" s="214"/>
      <c r="FBG746" s="214"/>
      <c r="FBH746" s="214"/>
      <c r="FBI746" s="214"/>
      <c r="FBJ746" s="214"/>
      <c r="FBK746" s="214"/>
      <c r="FBL746" s="214"/>
      <c r="FBM746" s="214"/>
      <c r="FBN746" s="214"/>
      <c r="FBO746" s="214"/>
      <c r="FBP746" s="214"/>
      <c r="FBQ746" s="214"/>
      <c r="FBR746" s="214"/>
      <c r="FBS746" s="214"/>
      <c r="FBT746" s="214"/>
      <c r="FBU746" s="214"/>
      <c r="FBV746" s="214"/>
      <c r="FBW746" s="214"/>
      <c r="FBX746" s="214"/>
      <c r="FBY746" s="214"/>
      <c r="FBZ746" s="214"/>
      <c r="FCA746" s="214"/>
      <c r="FCB746" s="214"/>
      <c r="FCC746" s="214"/>
      <c r="FCD746" s="214"/>
      <c r="FCE746" s="214"/>
      <c r="FCF746" s="214"/>
      <c r="FCG746" s="214"/>
      <c r="FCH746" s="214"/>
      <c r="FCI746" s="214"/>
      <c r="FCJ746" s="214"/>
      <c r="FCK746" s="214"/>
      <c r="FCL746" s="214"/>
      <c r="FCM746" s="214"/>
      <c r="FCN746" s="214"/>
      <c r="FCO746" s="214"/>
      <c r="FCP746" s="214"/>
      <c r="FCQ746" s="214"/>
      <c r="FCR746" s="214"/>
      <c r="FCS746" s="214"/>
      <c r="FCT746" s="214"/>
      <c r="FCU746" s="214"/>
      <c r="FCV746" s="214"/>
      <c r="FCW746" s="214"/>
      <c r="FCX746" s="214"/>
      <c r="FCY746" s="214"/>
      <c r="FCZ746" s="214"/>
      <c r="FDA746" s="214"/>
      <c r="FDB746" s="214"/>
      <c r="FDC746" s="214"/>
      <c r="FDD746" s="214"/>
      <c r="FDE746" s="214"/>
      <c r="FDF746" s="214"/>
      <c r="FDG746" s="214"/>
      <c r="FDH746" s="214"/>
      <c r="FDI746" s="214"/>
      <c r="FDJ746" s="214"/>
      <c r="FDK746" s="214"/>
      <c r="FDL746" s="214"/>
      <c r="FDM746" s="214"/>
      <c r="FDN746" s="214"/>
      <c r="FDO746" s="214"/>
      <c r="FDP746" s="214"/>
      <c r="FDQ746" s="214"/>
      <c r="FDR746" s="214"/>
      <c r="FDS746" s="214"/>
      <c r="FDT746" s="214"/>
      <c r="FDU746" s="214"/>
      <c r="FDV746" s="214"/>
      <c r="FDW746" s="214"/>
      <c r="FDX746" s="214"/>
      <c r="FDY746" s="214"/>
      <c r="FDZ746" s="214"/>
      <c r="FEA746" s="214"/>
      <c r="FEB746" s="214"/>
      <c r="FEC746" s="214"/>
      <c r="FED746" s="214"/>
      <c r="FEE746" s="214"/>
      <c r="FEF746" s="214"/>
      <c r="FEG746" s="214"/>
      <c r="FEH746" s="214"/>
      <c r="FEI746" s="214"/>
      <c r="FEJ746" s="214"/>
      <c r="FEK746" s="214"/>
      <c r="FEL746" s="214"/>
      <c r="FEM746" s="214"/>
      <c r="FEN746" s="214"/>
      <c r="FEO746" s="214"/>
      <c r="FEP746" s="214"/>
      <c r="FEQ746" s="214"/>
      <c r="FER746" s="214"/>
      <c r="FES746" s="214"/>
      <c r="FET746" s="214"/>
      <c r="FEU746" s="214"/>
      <c r="FEV746" s="214"/>
      <c r="FEW746" s="214"/>
      <c r="FEX746" s="214"/>
      <c r="FEY746" s="214"/>
      <c r="FEZ746" s="214"/>
      <c r="FFA746" s="214"/>
      <c r="FFB746" s="214"/>
      <c r="FFC746" s="214"/>
      <c r="FFD746" s="214"/>
      <c r="FFE746" s="214"/>
      <c r="FFF746" s="214"/>
      <c r="FFG746" s="214"/>
      <c r="FFH746" s="214"/>
      <c r="FFI746" s="214"/>
      <c r="FFJ746" s="214"/>
      <c r="FFK746" s="214"/>
      <c r="FFL746" s="214"/>
      <c r="FFM746" s="214"/>
      <c r="FFN746" s="214"/>
      <c r="FFO746" s="214"/>
      <c r="FFP746" s="214"/>
      <c r="FFQ746" s="214"/>
      <c r="FFR746" s="214"/>
      <c r="FFS746" s="214"/>
      <c r="FFT746" s="214"/>
      <c r="FFU746" s="214"/>
      <c r="FFV746" s="214"/>
      <c r="FFW746" s="214"/>
      <c r="FFX746" s="214"/>
      <c r="FFY746" s="214"/>
      <c r="FFZ746" s="214"/>
      <c r="FGA746" s="214"/>
      <c r="FGB746" s="214"/>
      <c r="FGC746" s="214"/>
      <c r="FGD746" s="214"/>
      <c r="FGE746" s="214"/>
      <c r="FGF746" s="214"/>
      <c r="FGG746" s="214"/>
      <c r="FGH746" s="214"/>
      <c r="FGI746" s="214"/>
      <c r="FGJ746" s="214"/>
      <c r="FGK746" s="214"/>
      <c r="FGL746" s="214"/>
      <c r="FGM746" s="214"/>
      <c r="FGN746" s="214"/>
      <c r="FGO746" s="214"/>
      <c r="FGP746" s="214"/>
      <c r="FGQ746" s="214"/>
      <c r="FGR746" s="214"/>
      <c r="FGS746" s="214"/>
      <c r="FGT746" s="214"/>
      <c r="FGU746" s="214"/>
      <c r="FGV746" s="214"/>
      <c r="FGW746" s="214"/>
      <c r="FGX746" s="214"/>
      <c r="FGY746" s="214"/>
      <c r="FGZ746" s="214"/>
      <c r="FHA746" s="214"/>
      <c r="FHB746" s="214"/>
      <c r="FHC746" s="214"/>
      <c r="FHD746" s="214"/>
      <c r="FHE746" s="214"/>
      <c r="FHF746" s="214"/>
      <c r="FHG746" s="214"/>
      <c r="FHH746" s="214"/>
      <c r="FHI746" s="214"/>
      <c r="FHJ746" s="214"/>
      <c r="FHK746" s="214"/>
      <c r="FHL746" s="214"/>
      <c r="FHM746" s="214"/>
      <c r="FHN746" s="214"/>
      <c r="FHO746" s="214"/>
      <c r="FHP746" s="214"/>
      <c r="FHQ746" s="214"/>
      <c r="FHR746" s="214"/>
      <c r="FHS746" s="214"/>
      <c r="FHT746" s="214"/>
      <c r="FHU746" s="214"/>
      <c r="FHV746" s="214"/>
      <c r="FHW746" s="214"/>
      <c r="FHX746" s="214"/>
      <c r="FHY746" s="214"/>
      <c r="FHZ746" s="214"/>
      <c r="FIA746" s="214"/>
      <c r="FIB746" s="214"/>
      <c r="FIC746" s="214"/>
      <c r="FID746" s="214"/>
      <c r="FIE746" s="214"/>
      <c r="FIF746" s="214"/>
      <c r="FIG746" s="214"/>
      <c r="FIH746" s="214"/>
      <c r="FII746" s="214"/>
      <c r="FIJ746" s="214"/>
      <c r="FIK746" s="214"/>
      <c r="FIL746" s="214"/>
      <c r="FIM746" s="214"/>
      <c r="FIN746" s="214"/>
      <c r="FIO746" s="214"/>
      <c r="FIP746" s="214"/>
      <c r="FIQ746" s="214"/>
      <c r="FIR746" s="214"/>
      <c r="FIS746" s="214"/>
      <c r="FIT746" s="214"/>
      <c r="FIU746" s="214"/>
      <c r="FIV746" s="214"/>
      <c r="FIW746" s="214"/>
      <c r="FIX746" s="214"/>
      <c r="FIY746" s="214"/>
      <c r="FIZ746" s="214"/>
      <c r="FJA746" s="214"/>
      <c r="FJB746" s="214"/>
      <c r="FJC746" s="214"/>
      <c r="FJD746" s="214"/>
      <c r="FJE746" s="214"/>
      <c r="FJF746" s="214"/>
      <c r="FJG746" s="214"/>
      <c r="FJH746" s="214"/>
      <c r="FJI746" s="214"/>
      <c r="FJJ746" s="214"/>
      <c r="FJK746" s="214"/>
      <c r="FJL746" s="214"/>
      <c r="FJM746" s="214"/>
      <c r="FJN746" s="214"/>
      <c r="FJO746" s="214"/>
      <c r="FJP746" s="214"/>
      <c r="FJQ746" s="214"/>
      <c r="FJR746" s="214"/>
      <c r="FJS746" s="214"/>
      <c r="FJT746" s="214"/>
      <c r="FJU746" s="214"/>
      <c r="FJV746" s="214"/>
      <c r="FJW746" s="214"/>
      <c r="FJX746" s="214"/>
      <c r="FJY746" s="214"/>
      <c r="FJZ746" s="214"/>
      <c r="FKA746" s="214"/>
      <c r="FKB746" s="214"/>
      <c r="FKC746" s="214"/>
      <c r="FKD746" s="214"/>
      <c r="FKE746" s="214"/>
      <c r="FKF746" s="214"/>
      <c r="FKG746" s="214"/>
      <c r="FKH746" s="214"/>
      <c r="FKI746" s="214"/>
      <c r="FKJ746" s="214"/>
      <c r="FKK746" s="214"/>
      <c r="FKL746" s="214"/>
      <c r="FKM746" s="214"/>
      <c r="FKN746" s="214"/>
      <c r="FKO746" s="214"/>
      <c r="FKP746" s="214"/>
      <c r="FKQ746" s="214"/>
      <c r="FKR746" s="214"/>
      <c r="FKS746" s="214"/>
      <c r="FKT746" s="214"/>
      <c r="FKU746" s="214"/>
      <c r="FKV746" s="214"/>
      <c r="FKW746" s="214"/>
      <c r="FKX746" s="214"/>
      <c r="FKY746" s="214"/>
      <c r="FKZ746" s="214"/>
      <c r="FLA746" s="214"/>
      <c r="FLB746" s="214"/>
      <c r="FLC746" s="214"/>
      <c r="FLD746" s="214"/>
      <c r="FLE746" s="214"/>
      <c r="FLF746" s="214"/>
      <c r="FLG746" s="214"/>
      <c r="FLH746" s="214"/>
      <c r="FLI746" s="214"/>
      <c r="FLJ746" s="214"/>
      <c r="FLK746" s="214"/>
      <c r="FLL746" s="214"/>
      <c r="FLM746" s="214"/>
      <c r="FLN746" s="214"/>
      <c r="FLO746" s="214"/>
      <c r="FLP746" s="214"/>
      <c r="FLQ746" s="214"/>
      <c r="FLR746" s="214"/>
      <c r="FLS746" s="214"/>
      <c r="FLT746" s="214"/>
      <c r="FLU746" s="214"/>
      <c r="FLV746" s="214"/>
      <c r="FLW746" s="214"/>
      <c r="FLX746" s="214"/>
      <c r="FLY746" s="214"/>
      <c r="FLZ746" s="214"/>
      <c r="FMA746" s="214"/>
      <c r="FMB746" s="214"/>
      <c r="FMC746" s="214"/>
      <c r="FMD746" s="214"/>
      <c r="FME746" s="214"/>
      <c r="FMF746" s="214"/>
      <c r="FMG746" s="214"/>
      <c r="FMH746" s="214"/>
      <c r="FMI746" s="214"/>
      <c r="FMJ746" s="214"/>
      <c r="FMK746" s="214"/>
      <c r="FML746" s="214"/>
      <c r="FMM746" s="214"/>
      <c r="FMN746" s="214"/>
      <c r="FMO746" s="214"/>
      <c r="FMP746" s="214"/>
      <c r="FMQ746" s="214"/>
      <c r="FMR746" s="214"/>
      <c r="FMS746" s="214"/>
      <c r="FMT746" s="214"/>
      <c r="FMU746" s="214"/>
      <c r="FMV746" s="214"/>
      <c r="FMW746" s="214"/>
      <c r="FMX746" s="214"/>
      <c r="FMY746" s="214"/>
      <c r="FMZ746" s="214"/>
      <c r="FNA746" s="214"/>
      <c r="FNB746" s="214"/>
      <c r="FNC746" s="214"/>
      <c r="FND746" s="214"/>
      <c r="FNE746" s="214"/>
      <c r="FNF746" s="214"/>
      <c r="FNG746" s="214"/>
      <c r="FNH746" s="214"/>
      <c r="FNI746" s="214"/>
      <c r="FNJ746" s="214"/>
      <c r="FNK746" s="214"/>
      <c r="FNL746" s="214"/>
      <c r="FNM746" s="214"/>
      <c r="FNN746" s="214"/>
      <c r="FNO746" s="214"/>
      <c r="FNP746" s="214"/>
      <c r="FNQ746" s="214"/>
      <c r="FNR746" s="214"/>
      <c r="FNS746" s="214"/>
      <c r="FNT746" s="214"/>
      <c r="FNU746" s="214"/>
      <c r="FNV746" s="214"/>
      <c r="FNW746" s="214"/>
      <c r="FNX746" s="214"/>
      <c r="FNY746" s="214"/>
      <c r="FNZ746" s="214"/>
      <c r="FOA746" s="214"/>
      <c r="FOB746" s="214"/>
      <c r="FOC746" s="214"/>
      <c r="FOD746" s="214"/>
      <c r="FOE746" s="214"/>
      <c r="FOF746" s="214"/>
      <c r="FOG746" s="214"/>
      <c r="FOH746" s="214"/>
      <c r="FOI746" s="214"/>
      <c r="FOJ746" s="214"/>
      <c r="FOK746" s="214"/>
      <c r="FOL746" s="214"/>
      <c r="FOM746" s="214"/>
      <c r="FON746" s="214"/>
      <c r="FOO746" s="214"/>
      <c r="FOP746" s="214"/>
      <c r="FOQ746" s="214"/>
      <c r="FOR746" s="214"/>
      <c r="FOS746" s="214"/>
      <c r="FOT746" s="214"/>
      <c r="FOU746" s="214"/>
      <c r="FOV746" s="214"/>
      <c r="FOW746" s="214"/>
      <c r="FOX746" s="214"/>
      <c r="FOY746" s="214"/>
      <c r="FOZ746" s="214"/>
      <c r="FPA746" s="214"/>
      <c r="FPB746" s="214"/>
      <c r="FPC746" s="214"/>
      <c r="FPD746" s="214"/>
      <c r="FPE746" s="214"/>
      <c r="FPF746" s="214"/>
      <c r="FPG746" s="214"/>
      <c r="FPH746" s="214"/>
      <c r="FPI746" s="214"/>
      <c r="FPJ746" s="214"/>
      <c r="FPK746" s="214"/>
      <c r="FPL746" s="214"/>
      <c r="FPM746" s="214"/>
      <c r="FPN746" s="214"/>
      <c r="FPO746" s="214"/>
      <c r="FPP746" s="214"/>
      <c r="FPQ746" s="214"/>
      <c r="FPR746" s="214"/>
      <c r="FPS746" s="214"/>
      <c r="FPT746" s="214"/>
      <c r="FPU746" s="214"/>
      <c r="FPV746" s="214"/>
      <c r="FPW746" s="214"/>
      <c r="FPX746" s="214"/>
      <c r="FPY746" s="214"/>
      <c r="FPZ746" s="214"/>
      <c r="FQA746" s="214"/>
      <c r="FQB746" s="214"/>
      <c r="FQC746" s="214"/>
      <c r="FQD746" s="214"/>
      <c r="FQE746" s="214"/>
      <c r="FQF746" s="214"/>
      <c r="FQG746" s="214"/>
      <c r="FQH746" s="214"/>
      <c r="FQI746" s="214"/>
      <c r="FQJ746" s="214"/>
      <c r="FQK746" s="214"/>
      <c r="FQL746" s="214"/>
      <c r="FQM746" s="214"/>
      <c r="FQN746" s="214"/>
      <c r="FQO746" s="214"/>
      <c r="FQP746" s="214"/>
      <c r="FQQ746" s="214"/>
      <c r="FQR746" s="214"/>
      <c r="FQS746" s="214"/>
      <c r="FQT746" s="214"/>
      <c r="FQU746" s="214"/>
      <c r="FQV746" s="214"/>
      <c r="FQW746" s="214"/>
      <c r="FQX746" s="214"/>
      <c r="FQY746" s="214"/>
      <c r="FQZ746" s="214"/>
      <c r="FRA746" s="214"/>
      <c r="FRB746" s="214"/>
      <c r="FRC746" s="214"/>
      <c r="FRD746" s="214"/>
      <c r="FRE746" s="214"/>
      <c r="FRF746" s="214"/>
      <c r="FRG746" s="214"/>
      <c r="FRH746" s="214"/>
      <c r="FRI746" s="214"/>
      <c r="FRJ746" s="214"/>
      <c r="FRK746" s="214"/>
      <c r="FRL746" s="214"/>
      <c r="FRM746" s="214"/>
      <c r="FRN746" s="214"/>
      <c r="FRO746" s="214"/>
      <c r="FRP746" s="214"/>
      <c r="FRQ746" s="214"/>
      <c r="FRR746" s="214"/>
      <c r="FRS746" s="214"/>
      <c r="FRT746" s="214"/>
      <c r="FRU746" s="214"/>
      <c r="FRV746" s="214"/>
      <c r="FRW746" s="214"/>
      <c r="FRX746" s="214"/>
      <c r="FRY746" s="214"/>
      <c r="FRZ746" s="214"/>
      <c r="FSA746" s="214"/>
      <c r="FSB746" s="214"/>
      <c r="FSC746" s="214"/>
      <c r="FSD746" s="214"/>
      <c r="FSE746" s="214"/>
      <c r="FSF746" s="214"/>
      <c r="FSG746" s="214"/>
      <c r="FSH746" s="214"/>
      <c r="FSI746" s="214"/>
      <c r="FSJ746" s="214"/>
      <c r="FSK746" s="214"/>
      <c r="FSL746" s="214"/>
      <c r="FSM746" s="214"/>
      <c r="FSN746" s="214"/>
      <c r="FSO746" s="214"/>
      <c r="FSP746" s="214"/>
      <c r="FSQ746" s="214"/>
      <c r="FSR746" s="214"/>
      <c r="FSS746" s="214"/>
      <c r="FST746" s="214"/>
      <c r="FSU746" s="214"/>
      <c r="FSV746" s="214"/>
      <c r="FSW746" s="214"/>
      <c r="FSX746" s="214"/>
      <c r="FSY746" s="214"/>
      <c r="FSZ746" s="214"/>
      <c r="FTA746" s="214"/>
      <c r="FTB746" s="214"/>
      <c r="FTC746" s="214"/>
      <c r="FTD746" s="214"/>
      <c r="FTE746" s="214"/>
      <c r="FTF746" s="214"/>
      <c r="FTG746" s="214"/>
      <c r="FTH746" s="214"/>
      <c r="FTI746" s="214"/>
      <c r="FTJ746" s="214"/>
      <c r="FTK746" s="214"/>
      <c r="FTL746" s="214"/>
      <c r="FTM746" s="214"/>
      <c r="FTN746" s="214"/>
      <c r="FTO746" s="214"/>
      <c r="FTP746" s="214"/>
      <c r="FTQ746" s="214"/>
      <c r="FTR746" s="214"/>
      <c r="FTS746" s="214"/>
      <c r="FTT746" s="214"/>
      <c r="FTU746" s="214"/>
      <c r="FTV746" s="214"/>
      <c r="FTW746" s="214"/>
      <c r="FTX746" s="214"/>
      <c r="FTY746" s="214"/>
      <c r="FTZ746" s="214"/>
      <c r="FUA746" s="214"/>
      <c r="FUB746" s="214"/>
      <c r="FUC746" s="214"/>
      <c r="FUD746" s="214"/>
      <c r="FUE746" s="214"/>
      <c r="FUF746" s="214"/>
      <c r="FUG746" s="214"/>
      <c r="FUH746" s="214"/>
      <c r="FUI746" s="214"/>
      <c r="FUJ746" s="214"/>
      <c r="FUK746" s="214"/>
      <c r="FUL746" s="214"/>
      <c r="FUM746" s="214"/>
      <c r="FUN746" s="214"/>
      <c r="FUO746" s="214"/>
      <c r="FUP746" s="214"/>
      <c r="FUQ746" s="214"/>
      <c r="FUR746" s="214"/>
      <c r="FUS746" s="214"/>
      <c r="FUT746" s="214"/>
      <c r="FUU746" s="214"/>
      <c r="FUV746" s="214"/>
      <c r="FUW746" s="214"/>
      <c r="FUX746" s="214"/>
      <c r="FUY746" s="214"/>
      <c r="FUZ746" s="214"/>
      <c r="FVA746" s="214"/>
      <c r="FVB746" s="214"/>
      <c r="FVC746" s="214"/>
      <c r="FVD746" s="214"/>
      <c r="FVE746" s="214"/>
      <c r="FVF746" s="214"/>
      <c r="FVG746" s="214"/>
      <c r="FVH746" s="214"/>
      <c r="FVI746" s="214"/>
      <c r="FVJ746" s="214"/>
      <c r="FVK746" s="214"/>
      <c r="FVL746" s="214"/>
      <c r="FVM746" s="214"/>
      <c r="FVN746" s="214"/>
      <c r="FVO746" s="214"/>
      <c r="FVP746" s="214"/>
      <c r="FVQ746" s="214"/>
      <c r="FVR746" s="214"/>
      <c r="FVS746" s="214"/>
      <c r="FVT746" s="214"/>
      <c r="FVU746" s="214"/>
      <c r="FVV746" s="214"/>
      <c r="FVW746" s="214"/>
      <c r="FVX746" s="214"/>
      <c r="FVY746" s="214"/>
      <c r="FVZ746" s="214"/>
      <c r="FWA746" s="214"/>
      <c r="FWB746" s="214"/>
      <c r="FWC746" s="214"/>
      <c r="FWD746" s="214"/>
      <c r="FWE746" s="214"/>
      <c r="FWF746" s="214"/>
      <c r="FWG746" s="214"/>
      <c r="FWH746" s="214"/>
      <c r="FWI746" s="214"/>
      <c r="FWJ746" s="214"/>
      <c r="FWK746" s="214"/>
      <c r="FWL746" s="214"/>
      <c r="FWM746" s="214"/>
      <c r="FWN746" s="214"/>
      <c r="FWO746" s="214"/>
      <c r="FWP746" s="214"/>
      <c r="FWQ746" s="214"/>
      <c r="FWR746" s="214"/>
      <c r="FWS746" s="214"/>
      <c r="FWT746" s="214"/>
      <c r="FWU746" s="214"/>
      <c r="FWV746" s="214"/>
      <c r="FWW746" s="214"/>
      <c r="FWX746" s="214"/>
      <c r="FWY746" s="214"/>
      <c r="FWZ746" s="214"/>
      <c r="FXA746" s="214"/>
      <c r="FXB746" s="214"/>
      <c r="FXC746" s="214"/>
      <c r="FXD746" s="214"/>
      <c r="FXE746" s="214"/>
      <c r="FXF746" s="214"/>
      <c r="FXG746" s="214"/>
      <c r="FXH746" s="214"/>
      <c r="FXI746" s="214"/>
      <c r="FXJ746" s="214"/>
      <c r="FXK746" s="214"/>
      <c r="FXL746" s="214"/>
      <c r="FXM746" s="214"/>
      <c r="FXN746" s="214"/>
      <c r="FXO746" s="214"/>
      <c r="FXP746" s="214"/>
      <c r="FXQ746" s="214"/>
      <c r="FXR746" s="214"/>
      <c r="FXS746" s="214"/>
      <c r="FXT746" s="214"/>
      <c r="FXU746" s="214"/>
      <c r="FXV746" s="214"/>
      <c r="FXW746" s="214"/>
      <c r="FXX746" s="214"/>
      <c r="FXY746" s="214"/>
      <c r="FXZ746" s="214"/>
      <c r="FYA746" s="214"/>
      <c r="FYB746" s="214"/>
      <c r="FYC746" s="214"/>
      <c r="FYD746" s="214"/>
      <c r="FYE746" s="214"/>
      <c r="FYF746" s="214"/>
      <c r="FYG746" s="214"/>
      <c r="FYH746" s="214"/>
      <c r="FYI746" s="214"/>
      <c r="FYJ746" s="214"/>
      <c r="FYK746" s="214"/>
      <c r="FYL746" s="214"/>
      <c r="FYM746" s="214"/>
      <c r="FYN746" s="214"/>
      <c r="FYO746" s="214"/>
      <c r="FYP746" s="214"/>
      <c r="FYQ746" s="214"/>
      <c r="FYR746" s="214"/>
      <c r="FYS746" s="214"/>
      <c r="FYT746" s="214"/>
      <c r="FYU746" s="214"/>
      <c r="FYV746" s="214"/>
      <c r="FYW746" s="214"/>
      <c r="FYX746" s="214"/>
      <c r="FYY746" s="214"/>
      <c r="FYZ746" s="214"/>
      <c r="FZA746" s="214"/>
      <c r="FZB746" s="214"/>
      <c r="FZC746" s="214"/>
      <c r="FZD746" s="214"/>
      <c r="FZE746" s="214"/>
      <c r="FZF746" s="214"/>
      <c r="FZG746" s="214"/>
      <c r="FZH746" s="214"/>
      <c r="FZI746" s="214"/>
      <c r="FZJ746" s="214"/>
      <c r="FZK746" s="214"/>
      <c r="FZL746" s="214"/>
      <c r="FZM746" s="214"/>
      <c r="FZN746" s="214"/>
      <c r="FZO746" s="214"/>
      <c r="FZP746" s="214"/>
      <c r="FZQ746" s="214"/>
      <c r="FZR746" s="214"/>
      <c r="FZS746" s="214"/>
      <c r="FZT746" s="214"/>
      <c r="FZU746" s="214"/>
      <c r="FZV746" s="214"/>
      <c r="FZW746" s="214"/>
      <c r="FZX746" s="214"/>
      <c r="FZY746" s="214"/>
      <c r="FZZ746" s="214"/>
      <c r="GAA746" s="214"/>
      <c r="GAB746" s="214"/>
      <c r="GAC746" s="214"/>
      <c r="GAD746" s="214"/>
      <c r="GAE746" s="214"/>
      <c r="GAF746" s="214"/>
      <c r="GAG746" s="214"/>
      <c r="GAH746" s="214"/>
      <c r="GAI746" s="214"/>
      <c r="GAJ746" s="214"/>
      <c r="GAK746" s="214"/>
      <c r="GAL746" s="214"/>
      <c r="GAM746" s="214"/>
      <c r="GAN746" s="214"/>
      <c r="GAO746" s="214"/>
      <c r="GAP746" s="214"/>
      <c r="GAQ746" s="214"/>
      <c r="GAR746" s="214"/>
      <c r="GAS746" s="214"/>
      <c r="GAT746" s="214"/>
      <c r="GAU746" s="214"/>
      <c r="GAV746" s="214"/>
      <c r="GAW746" s="214"/>
      <c r="GAX746" s="214"/>
      <c r="GAY746" s="214"/>
      <c r="GAZ746" s="214"/>
      <c r="GBA746" s="214"/>
      <c r="GBB746" s="214"/>
      <c r="GBC746" s="214"/>
      <c r="GBD746" s="214"/>
      <c r="GBE746" s="214"/>
      <c r="GBF746" s="214"/>
      <c r="GBG746" s="214"/>
      <c r="GBH746" s="214"/>
      <c r="GBI746" s="214"/>
      <c r="GBJ746" s="214"/>
      <c r="GBK746" s="214"/>
      <c r="GBL746" s="214"/>
      <c r="GBM746" s="214"/>
      <c r="GBN746" s="214"/>
      <c r="GBO746" s="214"/>
      <c r="GBP746" s="214"/>
      <c r="GBQ746" s="214"/>
      <c r="GBR746" s="214"/>
      <c r="GBS746" s="214"/>
      <c r="GBT746" s="214"/>
      <c r="GBU746" s="214"/>
      <c r="GBV746" s="214"/>
      <c r="GBW746" s="214"/>
      <c r="GBX746" s="214"/>
      <c r="GBY746" s="214"/>
      <c r="GBZ746" s="214"/>
      <c r="GCA746" s="214"/>
      <c r="GCB746" s="214"/>
      <c r="GCC746" s="214"/>
      <c r="GCD746" s="214"/>
      <c r="GCE746" s="214"/>
      <c r="GCF746" s="214"/>
      <c r="GCG746" s="214"/>
      <c r="GCH746" s="214"/>
      <c r="GCI746" s="214"/>
      <c r="GCJ746" s="214"/>
      <c r="GCK746" s="214"/>
      <c r="GCL746" s="214"/>
      <c r="GCM746" s="214"/>
      <c r="GCN746" s="214"/>
      <c r="GCO746" s="214"/>
      <c r="GCP746" s="214"/>
      <c r="GCQ746" s="214"/>
      <c r="GCR746" s="214"/>
      <c r="GCS746" s="214"/>
      <c r="GCT746" s="214"/>
      <c r="GCU746" s="214"/>
      <c r="GCV746" s="214"/>
      <c r="GCW746" s="214"/>
      <c r="GCX746" s="214"/>
      <c r="GCY746" s="214"/>
      <c r="GCZ746" s="214"/>
      <c r="GDA746" s="214"/>
      <c r="GDB746" s="214"/>
      <c r="GDC746" s="214"/>
      <c r="GDD746" s="214"/>
      <c r="GDE746" s="214"/>
      <c r="GDF746" s="214"/>
      <c r="GDG746" s="214"/>
      <c r="GDH746" s="214"/>
      <c r="GDI746" s="214"/>
      <c r="GDJ746" s="214"/>
      <c r="GDK746" s="214"/>
      <c r="GDL746" s="214"/>
      <c r="GDM746" s="214"/>
      <c r="GDN746" s="214"/>
      <c r="GDO746" s="214"/>
      <c r="GDP746" s="214"/>
      <c r="GDQ746" s="214"/>
      <c r="GDR746" s="214"/>
      <c r="GDS746" s="214"/>
      <c r="GDT746" s="214"/>
      <c r="GDU746" s="214"/>
      <c r="GDV746" s="214"/>
      <c r="GDW746" s="214"/>
      <c r="GDX746" s="214"/>
      <c r="GDY746" s="214"/>
      <c r="GDZ746" s="214"/>
      <c r="GEA746" s="214"/>
      <c r="GEB746" s="214"/>
      <c r="GEC746" s="214"/>
      <c r="GED746" s="214"/>
      <c r="GEE746" s="214"/>
      <c r="GEF746" s="214"/>
      <c r="GEG746" s="214"/>
      <c r="GEH746" s="214"/>
      <c r="GEI746" s="214"/>
      <c r="GEJ746" s="214"/>
      <c r="GEK746" s="214"/>
      <c r="GEL746" s="214"/>
      <c r="GEM746" s="214"/>
      <c r="GEN746" s="214"/>
      <c r="GEO746" s="214"/>
      <c r="GEP746" s="214"/>
      <c r="GEQ746" s="214"/>
      <c r="GER746" s="214"/>
      <c r="GES746" s="214"/>
      <c r="GET746" s="214"/>
      <c r="GEU746" s="214"/>
      <c r="GEV746" s="214"/>
      <c r="GEW746" s="214"/>
      <c r="GEX746" s="214"/>
      <c r="GEY746" s="214"/>
      <c r="GEZ746" s="214"/>
      <c r="GFA746" s="214"/>
      <c r="GFB746" s="214"/>
      <c r="GFC746" s="214"/>
      <c r="GFD746" s="214"/>
      <c r="GFE746" s="214"/>
      <c r="GFF746" s="214"/>
      <c r="GFG746" s="214"/>
      <c r="GFH746" s="214"/>
      <c r="GFI746" s="214"/>
      <c r="GFJ746" s="214"/>
      <c r="GFK746" s="214"/>
      <c r="GFL746" s="214"/>
      <c r="GFM746" s="214"/>
      <c r="GFN746" s="214"/>
      <c r="GFO746" s="214"/>
      <c r="GFP746" s="214"/>
      <c r="GFQ746" s="214"/>
      <c r="GFR746" s="214"/>
      <c r="GFS746" s="214"/>
      <c r="GFT746" s="214"/>
      <c r="GFU746" s="214"/>
      <c r="GFV746" s="214"/>
      <c r="GFW746" s="214"/>
      <c r="GFX746" s="214"/>
      <c r="GFY746" s="214"/>
      <c r="GFZ746" s="214"/>
      <c r="GGA746" s="214"/>
      <c r="GGB746" s="214"/>
      <c r="GGC746" s="214"/>
      <c r="GGD746" s="214"/>
      <c r="GGE746" s="214"/>
      <c r="GGF746" s="214"/>
      <c r="GGG746" s="214"/>
      <c r="GGH746" s="214"/>
      <c r="GGI746" s="214"/>
      <c r="GGJ746" s="214"/>
      <c r="GGK746" s="214"/>
      <c r="GGL746" s="214"/>
      <c r="GGM746" s="214"/>
      <c r="GGN746" s="214"/>
      <c r="GGO746" s="214"/>
      <c r="GGP746" s="214"/>
      <c r="GGQ746" s="214"/>
      <c r="GGR746" s="214"/>
      <c r="GGS746" s="214"/>
      <c r="GGT746" s="214"/>
      <c r="GGU746" s="214"/>
      <c r="GGV746" s="214"/>
      <c r="GGW746" s="214"/>
      <c r="GGX746" s="214"/>
      <c r="GGY746" s="214"/>
      <c r="GGZ746" s="214"/>
      <c r="GHA746" s="214"/>
      <c r="GHB746" s="214"/>
      <c r="GHC746" s="214"/>
      <c r="GHD746" s="214"/>
      <c r="GHE746" s="214"/>
      <c r="GHF746" s="214"/>
      <c r="GHG746" s="214"/>
      <c r="GHH746" s="214"/>
      <c r="GHI746" s="214"/>
      <c r="GHJ746" s="214"/>
      <c r="GHK746" s="214"/>
      <c r="GHL746" s="214"/>
      <c r="GHM746" s="214"/>
      <c r="GHN746" s="214"/>
      <c r="GHO746" s="214"/>
      <c r="GHP746" s="214"/>
      <c r="GHQ746" s="214"/>
      <c r="GHR746" s="214"/>
      <c r="GHS746" s="214"/>
      <c r="GHT746" s="214"/>
      <c r="GHU746" s="214"/>
      <c r="GHV746" s="214"/>
      <c r="GHW746" s="214"/>
      <c r="GHX746" s="214"/>
      <c r="GHY746" s="214"/>
      <c r="GHZ746" s="214"/>
      <c r="GIA746" s="214"/>
      <c r="GIB746" s="214"/>
      <c r="GIC746" s="214"/>
      <c r="GID746" s="214"/>
      <c r="GIE746" s="214"/>
      <c r="GIF746" s="214"/>
      <c r="GIG746" s="214"/>
      <c r="GIH746" s="214"/>
      <c r="GII746" s="214"/>
      <c r="GIJ746" s="214"/>
      <c r="GIK746" s="214"/>
      <c r="GIL746" s="214"/>
      <c r="GIM746" s="214"/>
      <c r="GIN746" s="214"/>
      <c r="GIO746" s="214"/>
      <c r="GIP746" s="214"/>
      <c r="GIQ746" s="214"/>
      <c r="GIR746" s="214"/>
      <c r="GIS746" s="214"/>
      <c r="GIT746" s="214"/>
      <c r="GIU746" s="214"/>
      <c r="GIV746" s="214"/>
      <c r="GIW746" s="214"/>
      <c r="GIX746" s="214"/>
      <c r="GIY746" s="214"/>
      <c r="GIZ746" s="214"/>
      <c r="GJA746" s="214"/>
      <c r="GJB746" s="214"/>
      <c r="GJC746" s="214"/>
      <c r="GJD746" s="214"/>
      <c r="GJE746" s="214"/>
      <c r="GJF746" s="214"/>
      <c r="GJG746" s="214"/>
      <c r="GJH746" s="214"/>
      <c r="GJI746" s="214"/>
      <c r="GJJ746" s="214"/>
      <c r="GJK746" s="214"/>
      <c r="GJL746" s="214"/>
      <c r="GJM746" s="214"/>
      <c r="GJN746" s="214"/>
      <c r="GJO746" s="214"/>
      <c r="GJP746" s="214"/>
      <c r="GJQ746" s="214"/>
      <c r="GJR746" s="214"/>
      <c r="GJS746" s="214"/>
      <c r="GJT746" s="214"/>
      <c r="GJU746" s="214"/>
      <c r="GJV746" s="214"/>
      <c r="GJW746" s="214"/>
      <c r="GJX746" s="214"/>
      <c r="GJY746" s="214"/>
      <c r="GJZ746" s="214"/>
      <c r="GKA746" s="214"/>
      <c r="GKB746" s="214"/>
      <c r="GKC746" s="214"/>
      <c r="GKD746" s="214"/>
      <c r="GKE746" s="214"/>
      <c r="GKF746" s="214"/>
      <c r="GKG746" s="214"/>
      <c r="GKH746" s="214"/>
      <c r="GKI746" s="214"/>
      <c r="GKJ746" s="214"/>
      <c r="GKK746" s="214"/>
      <c r="GKL746" s="214"/>
      <c r="GKM746" s="214"/>
      <c r="GKN746" s="214"/>
      <c r="GKO746" s="214"/>
      <c r="GKP746" s="214"/>
      <c r="GKQ746" s="214"/>
      <c r="GKR746" s="214"/>
      <c r="GKS746" s="214"/>
      <c r="GKT746" s="214"/>
      <c r="GKU746" s="214"/>
      <c r="GKV746" s="214"/>
      <c r="GKW746" s="214"/>
      <c r="GKX746" s="214"/>
      <c r="GKY746" s="214"/>
      <c r="GKZ746" s="214"/>
      <c r="GLA746" s="214"/>
      <c r="GLB746" s="214"/>
      <c r="GLC746" s="214"/>
      <c r="GLD746" s="214"/>
      <c r="GLE746" s="214"/>
      <c r="GLF746" s="214"/>
      <c r="GLG746" s="214"/>
      <c r="GLH746" s="214"/>
      <c r="GLI746" s="214"/>
      <c r="GLJ746" s="214"/>
      <c r="GLK746" s="214"/>
      <c r="GLL746" s="214"/>
      <c r="GLM746" s="214"/>
      <c r="GLN746" s="214"/>
      <c r="GLO746" s="214"/>
      <c r="GLP746" s="214"/>
      <c r="GLQ746" s="214"/>
      <c r="GLR746" s="214"/>
      <c r="GLS746" s="214"/>
      <c r="GLT746" s="214"/>
      <c r="GLU746" s="214"/>
      <c r="GLV746" s="214"/>
      <c r="GLW746" s="214"/>
      <c r="GLX746" s="214"/>
      <c r="GLY746" s="214"/>
      <c r="GLZ746" s="214"/>
      <c r="GMA746" s="214"/>
      <c r="GMB746" s="214"/>
      <c r="GMC746" s="214"/>
      <c r="GMD746" s="214"/>
      <c r="GME746" s="214"/>
      <c r="GMF746" s="214"/>
      <c r="GMG746" s="214"/>
      <c r="GMH746" s="214"/>
      <c r="GMI746" s="214"/>
      <c r="GMJ746" s="214"/>
      <c r="GMK746" s="214"/>
      <c r="GML746" s="214"/>
      <c r="GMM746" s="214"/>
      <c r="GMN746" s="214"/>
      <c r="GMO746" s="214"/>
      <c r="GMP746" s="214"/>
      <c r="GMQ746" s="214"/>
      <c r="GMR746" s="214"/>
      <c r="GMS746" s="214"/>
      <c r="GMT746" s="214"/>
      <c r="GMU746" s="214"/>
      <c r="GMV746" s="214"/>
      <c r="GMW746" s="214"/>
      <c r="GMX746" s="214"/>
      <c r="GMY746" s="214"/>
      <c r="GMZ746" s="214"/>
      <c r="GNA746" s="214"/>
      <c r="GNB746" s="214"/>
      <c r="GNC746" s="214"/>
      <c r="GND746" s="214"/>
      <c r="GNE746" s="214"/>
      <c r="GNF746" s="214"/>
      <c r="GNG746" s="214"/>
      <c r="GNH746" s="214"/>
      <c r="GNI746" s="214"/>
      <c r="GNJ746" s="214"/>
      <c r="GNK746" s="214"/>
      <c r="GNL746" s="214"/>
      <c r="GNM746" s="214"/>
      <c r="GNN746" s="214"/>
      <c r="GNO746" s="214"/>
      <c r="GNP746" s="214"/>
      <c r="GNQ746" s="214"/>
      <c r="GNR746" s="214"/>
      <c r="GNS746" s="214"/>
      <c r="GNT746" s="214"/>
      <c r="GNU746" s="214"/>
      <c r="GNV746" s="214"/>
      <c r="GNW746" s="214"/>
      <c r="GNX746" s="214"/>
      <c r="GNY746" s="214"/>
      <c r="GNZ746" s="214"/>
      <c r="GOA746" s="214"/>
      <c r="GOB746" s="214"/>
      <c r="GOC746" s="214"/>
      <c r="GOD746" s="214"/>
      <c r="GOE746" s="214"/>
      <c r="GOF746" s="214"/>
      <c r="GOG746" s="214"/>
      <c r="GOH746" s="214"/>
      <c r="GOI746" s="214"/>
      <c r="GOJ746" s="214"/>
      <c r="GOK746" s="214"/>
      <c r="GOL746" s="214"/>
      <c r="GOM746" s="214"/>
      <c r="GON746" s="214"/>
      <c r="GOO746" s="214"/>
      <c r="GOP746" s="214"/>
      <c r="GOQ746" s="214"/>
      <c r="GOR746" s="214"/>
      <c r="GOS746" s="214"/>
      <c r="GOT746" s="214"/>
      <c r="GOU746" s="214"/>
      <c r="GOV746" s="214"/>
      <c r="GOW746" s="214"/>
      <c r="GOX746" s="214"/>
      <c r="GOY746" s="214"/>
      <c r="GOZ746" s="214"/>
      <c r="GPA746" s="214"/>
      <c r="GPB746" s="214"/>
      <c r="GPC746" s="214"/>
      <c r="GPD746" s="214"/>
      <c r="GPE746" s="214"/>
      <c r="GPF746" s="214"/>
      <c r="GPG746" s="214"/>
      <c r="GPH746" s="214"/>
      <c r="GPI746" s="214"/>
      <c r="GPJ746" s="214"/>
      <c r="GPK746" s="214"/>
      <c r="GPL746" s="214"/>
      <c r="GPM746" s="214"/>
      <c r="GPN746" s="214"/>
      <c r="GPO746" s="214"/>
      <c r="GPP746" s="214"/>
      <c r="GPQ746" s="214"/>
      <c r="GPR746" s="214"/>
      <c r="GPS746" s="214"/>
      <c r="GPT746" s="214"/>
      <c r="GPU746" s="214"/>
      <c r="GPV746" s="214"/>
      <c r="GPW746" s="214"/>
      <c r="GPX746" s="214"/>
      <c r="GPY746" s="214"/>
      <c r="GPZ746" s="214"/>
      <c r="GQA746" s="214"/>
      <c r="GQB746" s="214"/>
      <c r="GQC746" s="214"/>
      <c r="GQD746" s="214"/>
      <c r="GQE746" s="214"/>
      <c r="GQF746" s="214"/>
      <c r="GQG746" s="214"/>
      <c r="GQH746" s="214"/>
      <c r="GQI746" s="214"/>
      <c r="GQJ746" s="214"/>
      <c r="GQK746" s="214"/>
      <c r="GQL746" s="214"/>
      <c r="GQM746" s="214"/>
      <c r="GQN746" s="214"/>
      <c r="GQO746" s="214"/>
      <c r="GQP746" s="214"/>
      <c r="GQQ746" s="214"/>
      <c r="GQR746" s="214"/>
      <c r="GQS746" s="214"/>
      <c r="GQT746" s="214"/>
      <c r="GQU746" s="214"/>
      <c r="GQV746" s="214"/>
      <c r="GQW746" s="214"/>
      <c r="GQX746" s="214"/>
      <c r="GQY746" s="214"/>
      <c r="GQZ746" s="214"/>
      <c r="GRA746" s="214"/>
      <c r="GRB746" s="214"/>
      <c r="GRC746" s="214"/>
      <c r="GRD746" s="214"/>
      <c r="GRE746" s="214"/>
      <c r="GRF746" s="214"/>
      <c r="GRG746" s="214"/>
      <c r="GRH746" s="214"/>
      <c r="GRI746" s="214"/>
      <c r="GRJ746" s="214"/>
      <c r="GRK746" s="214"/>
      <c r="GRL746" s="214"/>
      <c r="GRM746" s="214"/>
      <c r="GRN746" s="214"/>
      <c r="GRO746" s="214"/>
      <c r="GRP746" s="214"/>
      <c r="GRQ746" s="214"/>
      <c r="GRR746" s="214"/>
      <c r="GRS746" s="214"/>
      <c r="GRT746" s="214"/>
      <c r="GRU746" s="214"/>
      <c r="GRV746" s="214"/>
      <c r="GRW746" s="214"/>
      <c r="GRX746" s="214"/>
      <c r="GRY746" s="214"/>
      <c r="GRZ746" s="214"/>
      <c r="GSA746" s="214"/>
      <c r="GSB746" s="214"/>
      <c r="GSC746" s="214"/>
      <c r="GSD746" s="214"/>
      <c r="GSE746" s="214"/>
      <c r="GSF746" s="214"/>
      <c r="GSG746" s="214"/>
      <c r="GSH746" s="214"/>
      <c r="GSI746" s="214"/>
      <c r="GSJ746" s="214"/>
      <c r="GSK746" s="214"/>
      <c r="GSL746" s="214"/>
      <c r="GSM746" s="214"/>
      <c r="GSN746" s="214"/>
      <c r="GSO746" s="214"/>
      <c r="GSP746" s="214"/>
      <c r="GSQ746" s="214"/>
      <c r="GSR746" s="214"/>
      <c r="GSS746" s="214"/>
      <c r="GST746" s="214"/>
      <c r="GSU746" s="214"/>
      <c r="GSV746" s="214"/>
      <c r="GSW746" s="214"/>
      <c r="GSX746" s="214"/>
      <c r="GSY746" s="214"/>
      <c r="GSZ746" s="214"/>
      <c r="GTA746" s="214"/>
      <c r="GTB746" s="214"/>
      <c r="GTC746" s="214"/>
      <c r="GTD746" s="214"/>
      <c r="GTE746" s="214"/>
      <c r="GTF746" s="214"/>
      <c r="GTG746" s="214"/>
      <c r="GTH746" s="214"/>
      <c r="GTI746" s="214"/>
      <c r="GTJ746" s="214"/>
      <c r="GTK746" s="214"/>
      <c r="GTL746" s="214"/>
      <c r="GTM746" s="214"/>
      <c r="GTN746" s="214"/>
      <c r="GTO746" s="214"/>
      <c r="GTP746" s="214"/>
      <c r="GTQ746" s="214"/>
      <c r="GTR746" s="214"/>
      <c r="GTS746" s="214"/>
      <c r="GTT746" s="214"/>
      <c r="GTU746" s="214"/>
      <c r="GTV746" s="214"/>
      <c r="GTW746" s="214"/>
      <c r="GTX746" s="214"/>
      <c r="GTY746" s="214"/>
      <c r="GTZ746" s="214"/>
      <c r="GUA746" s="214"/>
      <c r="GUB746" s="214"/>
      <c r="GUC746" s="214"/>
      <c r="GUD746" s="214"/>
      <c r="GUE746" s="214"/>
      <c r="GUF746" s="214"/>
      <c r="GUG746" s="214"/>
      <c r="GUH746" s="214"/>
      <c r="GUI746" s="214"/>
      <c r="GUJ746" s="214"/>
      <c r="GUK746" s="214"/>
      <c r="GUL746" s="214"/>
      <c r="GUM746" s="214"/>
      <c r="GUN746" s="214"/>
      <c r="GUO746" s="214"/>
      <c r="GUP746" s="214"/>
      <c r="GUQ746" s="214"/>
      <c r="GUR746" s="214"/>
      <c r="GUS746" s="214"/>
      <c r="GUT746" s="214"/>
      <c r="GUU746" s="214"/>
      <c r="GUV746" s="214"/>
      <c r="GUW746" s="214"/>
      <c r="GUX746" s="214"/>
      <c r="GUY746" s="214"/>
      <c r="GUZ746" s="214"/>
      <c r="GVA746" s="214"/>
      <c r="GVB746" s="214"/>
      <c r="GVC746" s="214"/>
      <c r="GVD746" s="214"/>
      <c r="GVE746" s="214"/>
      <c r="GVF746" s="214"/>
      <c r="GVG746" s="214"/>
      <c r="GVH746" s="214"/>
      <c r="GVI746" s="214"/>
      <c r="GVJ746" s="214"/>
      <c r="GVK746" s="214"/>
      <c r="GVL746" s="214"/>
      <c r="GVM746" s="214"/>
      <c r="GVN746" s="214"/>
      <c r="GVO746" s="214"/>
      <c r="GVP746" s="214"/>
      <c r="GVQ746" s="214"/>
      <c r="GVR746" s="214"/>
      <c r="GVS746" s="214"/>
      <c r="GVT746" s="214"/>
      <c r="GVU746" s="214"/>
      <c r="GVV746" s="214"/>
      <c r="GVW746" s="214"/>
      <c r="GVX746" s="214"/>
      <c r="GVY746" s="214"/>
      <c r="GVZ746" s="214"/>
      <c r="GWA746" s="214"/>
      <c r="GWB746" s="214"/>
      <c r="GWC746" s="214"/>
      <c r="GWD746" s="214"/>
      <c r="GWE746" s="214"/>
      <c r="GWF746" s="214"/>
      <c r="GWG746" s="214"/>
      <c r="GWH746" s="214"/>
      <c r="GWI746" s="214"/>
      <c r="GWJ746" s="214"/>
      <c r="GWK746" s="214"/>
      <c r="GWL746" s="214"/>
      <c r="GWM746" s="214"/>
      <c r="GWN746" s="214"/>
      <c r="GWO746" s="214"/>
      <c r="GWP746" s="214"/>
      <c r="GWQ746" s="214"/>
      <c r="GWR746" s="214"/>
      <c r="GWS746" s="214"/>
      <c r="GWT746" s="214"/>
      <c r="GWU746" s="214"/>
      <c r="GWV746" s="214"/>
      <c r="GWW746" s="214"/>
      <c r="GWX746" s="214"/>
      <c r="GWY746" s="214"/>
      <c r="GWZ746" s="214"/>
      <c r="GXA746" s="214"/>
      <c r="GXB746" s="214"/>
      <c r="GXC746" s="214"/>
      <c r="GXD746" s="214"/>
      <c r="GXE746" s="214"/>
      <c r="GXF746" s="214"/>
      <c r="GXG746" s="214"/>
      <c r="GXH746" s="214"/>
      <c r="GXI746" s="214"/>
      <c r="GXJ746" s="214"/>
      <c r="GXK746" s="214"/>
      <c r="GXL746" s="214"/>
      <c r="GXM746" s="214"/>
      <c r="GXN746" s="214"/>
      <c r="GXO746" s="214"/>
      <c r="GXP746" s="214"/>
      <c r="GXQ746" s="214"/>
      <c r="GXR746" s="214"/>
      <c r="GXS746" s="214"/>
      <c r="GXT746" s="214"/>
      <c r="GXU746" s="214"/>
      <c r="GXV746" s="214"/>
      <c r="GXW746" s="214"/>
      <c r="GXX746" s="214"/>
      <c r="GXY746" s="214"/>
      <c r="GXZ746" s="214"/>
      <c r="GYA746" s="214"/>
      <c r="GYB746" s="214"/>
      <c r="GYC746" s="214"/>
      <c r="GYD746" s="214"/>
      <c r="GYE746" s="214"/>
      <c r="GYF746" s="214"/>
      <c r="GYG746" s="214"/>
      <c r="GYH746" s="214"/>
      <c r="GYI746" s="214"/>
      <c r="GYJ746" s="214"/>
      <c r="GYK746" s="214"/>
      <c r="GYL746" s="214"/>
      <c r="GYM746" s="214"/>
      <c r="GYN746" s="214"/>
      <c r="GYO746" s="214"/>
      <c r="GYP746" s="214"/>
      <c r="GYQ746" s="214"/>
      <c r="GYR746" s="214"/>
      <c r="GYS746" s="214"/>
      <c r="GYT746" s="214"/>
      <c r="GYU746" s="214"/>
      <c r="GYV746" s="214"/>
      <c r="GYW746" s="214"/>
      <c r="GYX746" s="214"/>
      <c r="GYY746" s="214"/>
      <c r="GYZ746" s="214"/>
      <c r="GZA746" s="214"/>
      <c r="GZB746" s="214"/>
      <c r="GZC746" s="214"/>
      <c r="GZD746" s="214"/>
      <c r="GZE746" s="214"/>
      <c r="GZF746" s="214"/>
      <c r="GZG746" s="214"/>
      <c r="GZH746" s="214"/>
      <c r="GZI746" s="214"/>
      <c r="GZJ746" s="214"/>
      <c r="GZK746" s="214"/>
      <c r="GZL746" s="214"/>
      <c r="GZM746" s="214"/>
      <c r="GZN746" s="214"/>
      <c r="GZO746" s="214"/>
      <c r="GZP746" s="214"/>
      <c r="GZQ746" s="214"/>
      <c r="GZR746" s="214"/>
      <c r="GZS746" s="214"/>
      <c r="GZT746" s="214"/>
      <c r="GZU746" s="214"/>
      <c r="GZV746" s="214"/>
      <c r="GZW746" s="214"/>
      <c r="GZX746" s="214"/>
      <c r="GZY746" s="214"/>
      <c r="GZZ746" s="214"/>
      <c r="HAA746" s="214"/>
      <c r="HAB746" s="214"/>
      <c r="HAC746" s="214"/>
      <c r="HAD746" s="214"/>
      <c r="HAE746" s="214"/>
      <c r="HAF746" s="214"/>
      <c r="HAG746" s="214"/>
      <c r="HAH746" s="214"/>
      <c r="HAI746" s="214"/>
      <c r="HAJ746" s="214"/>
      <c r="HAK746" s="214"/>
      <c r="HAL746" s="214"/>
      <c r="HAM746" s="214"/>
      <c r="HAN746" s="214"/>
      <c r="HAO746" s="214"/>
      <c r="HAP746" s="214"/>
      <c r="HAQ746" s="214"/>
      <c r="HAR746" s="214"/>
      <c r="HAS746" s="214"/>
      <c r="HAT746" s="214"/>
      <c r="HAU746" s="214"/>
      <c r="HAV746" s="214"/>
      <c r="HAW746" s="214"/>
      <c r="HAX746" s="214"/>
      <c r="HAY746" s="214"/>
      <c r="HAZ746" s="214"/>
      <c r="HBA746" s="214"/>
      <c r="HBB746" s="214"/>
      <c r="HBC746" s="214"/>
      <c r="HBD746" s="214"/>
      <c r="HBE746" s="214"/>
      <c r="HBF746" s="214"/>
      <c r="HBG746" s="214"/>
      <c r="HBH746" s="214"/>
      <c r="HBI746" s="214"/>
      <c r="HBJ746" s="214"/>
      <c r="HBK746" s="214"/>
      <c r="HBL746" s="214"/>
      <c r="HBM746" s="214"/>
      <c r="HBN746" s="214"/>
      <c r="HBO746" s="214"/>
      <c r="HBP746" s="214"/>
      <c r="HBQ746" s="214"/>
      <c r="HBR746" s="214"/>
      <c r="HBS746" s="214"/>
      <c r="HBT746" s="214"/>
      <c r="HBU746" s="214"/>
      <c r="HBV746" s="214"/>
      <c r="HBW746" s="214"/>
      <c r="HBX746" s="214"/>
      <c r="HBY746" s="214"/>
      <c r="HBZ746" s="214"/>
      <c r="HCA746" s="214"/>
      <c r="HCB746" s="214"/>
      <c r="HCC746" s="214"/>
      <c r="HCD746" s="214"/>
      <c r="HCE746" s="214"/>
      <c r="HCF746" s="214"/>
      <c r="HCG746" s="214"/>
      <c r="HCH746" s="214"/>
      <c r="HCI746" s="214"/>
      <c r="HCJ746" s="214"/>
      <c r="HCK746" s="214"/>
      <c r="HCL746" s="214"/>
      <c r="HCM746" s="214"/>
      <c r="HCN746" s="214"/>
      <c r="HCO746" s="214"/>
      <c r="HCP746" s="214"/>
      <c r="HCQ746" s="214"/>
      <c r="HCR746" s="214"/>
      <c r="HCS746" s="214"/>
      <c r="HCT746" s="214"/>
      <c r="HCU746" s="214"/>
      <c r="HCV746" s="214"/>
      <c r="HCW746" s="214"/>
      <c r="HCX746" s="214"/>
      <c r="HCY746" s="214"/>
      <c r="HCZ746" s="214"/>
      <c r="HDA746" s="214"/>
      <c r="HDB746" s="214"/>
      <c r="HDC746" s="214"/>
      <c r="HDD746" s="214"/>
      <c r="HDE746" s="214"/>
      <c r="HDF746" s="214"/>
      <c r="HDG746" s="214"/>
      <c r="HDH746" s="214"/>
      <c r="HDI746" s="214"/>
      <c r="HDJ746" s="214"/>
      <c r="HDK746" s="214"/>
      <c r="HDL746" s="214"/>
      <c r="HDM746" s="214"/>
      <c r="HDN746" s="214"/>
      <c r="HDO746" s="214"/>
      <c r="HDP746" s="214"/>
      <c r="HDQ746" s="214"/>
      <c r="HDR746" s="214"/>
      <c r="HDS746" s="214"/>
      <c r="HDT746" s="214"/>
      <c r="HDU746" s="214"/>
      <c r="HDV746" s="214"/>
      <c r="HDW746" s="214"/>
      <c r="HDX746" s="214"/>
      <c r="HDY746" s="214"/>
      <c r="HDZ746" s="214"/>
      <c r="HEA746" s="214"/>
      <c r="HEB746" s="214"/>
      <c r="HEC746" s="214"/>
      <c r="HED746" s="214"/>
      <c r="HEE746" s="214"/>
      <c r="HEF746" s="214"/>
      <c r="HEG746" s="214"/>
      <c r="HEH746" s="214"/>
      <c r="HEI746" s="214"/>
      <c r="HEJ746" s="214"/>
      <c r="HEK746" s="214"/>
      <c r="HEL746" s="214"/>
      <c r="HEM746" s="214"/>
      <c r="HEN746" s="214"/>
      <c r="HEO746" s="214"/>
      <c r="HEP746" s="214"/>
      <c r="HEQ746" s="214"/>
      <c r="HER746" s="214"/>
      <c r="HES746" s="214"/>
      <c r="HET746" s="214"/>
      <c r="HEU746" s="214"/>
      <c r="HEV746" s="214"/>
      <c r="HEW746" s="214"/>
      <c r="HEX746" s="214"/>
      <c r="HEY746" s="214"/>
      <c r="HEZ746" s="214"/>
      <c r="HFA746" s="214"/>
      <c r="HFB746" s="214"/>
      <c r="HFC746" s="214"/>
      <c r="HFD746" s="214"/>
      <c r="HFE746" s="214"/>
      <c r="HFF746" s="214"/>
      <c r="HFG746" s="214"/>
      <c r="HFH746" s="214"/>
      <c r="HFI746" s="214"/>
      <c r="HFJ746" s="214"/>
      <c r="HFK746" s="214"/>
      <c r="HFL746" s="214"/>
      <c r="HFM746" s="214"/>
      <c r="HFN746" s="214"/>
      <c r="HFO746" s="214"/>
      <c r="HFP746" s="214"/>
      <c r="HFQ746" s="214"/>
      <c r="HFR746" s="214"/>
      <c r="HFS746" s="214"/>
      <c r="HFT746" s="214"/>
      <c r="HFU746" s="214"/>
      <c r="HFV746" s="214"/>
      <c r="HFW746" s="214"/>
      <c r="HFX746" s="214"/>
      <c r="HFY746" s="214"/>
      <c r="HFZ746" s="214"/>
      <c r="HGA746" s="214"/>
      <c r="HGB746" s="214"/>
      <c r="HGC746" s="214"/>
      <c r="HGD746" s="214"/>
      <c r="HGE746" s="214"/>
      <c r="HGF746" s="214"/>
      <c r="HGG746" s="214"/>
      <c r="HGH746" s="214"/>
      <c r="HGI746" s="214"/>
      <c r="HGJ746" s="214"/>
      <c r="HGK746" s="214"/>
      <c r="HGL746" s="214"/>
      <c r="HGM746" s="214"/>
      <c r="HGN746" s="214"/>
      <c r="HGO746" s="214"/>
      <c r="HGP746" s="214"/>
      <c r="HGQ746" s="214"/>
      <c r="HGR746" s="214"/>
      <c r="HGS746" s="214"/>
      <c r="HGT746" s="214"/>
      <c r="HGU746" s="214"/>
      <c r="HGV746" s="214"/>
      <c r="HGW746" s="214"/>
      <c r="HGX746" s="214"/>
      <c r="HGY746" s="214"/>
      <c r="HGZ746" s="214"/>
      <c r="HHA746" s="214"/>
      <c r="HHB746" s="214"/>
      <c r="HHC746" s="214"/>
      <c r="HHD746" s="214"/>
      <c r="HHE746" s="214"/>
      <c r="HHF746" s="214"/>
      <c r="HHG746" s="214"/>
      <c r="HHH746" s="214"/>
      <c r="HHI746" s="214"/>
      <c r="HHJ746" s="214"/>
      <c r="HHK746" s="214"/>
      <c r="HHL746" s="214"/>
      <c r="HHM746" s="214"/>
      <c r="HHN746" s="214"/>
      <c r="HHO746" s="214"/>
      <c r="HHP746" s="214"/>
      <c r="HHQ746" s="214"/>
      <c r="HHR746" s="214"/>
      <c r="HHS746" s="214"/>
      <c r="HHT746" s="214"/>
      <c r="HHU746" s="214"/>
      <c r="HHV746" s="214"/>
      <c r="HHW746" s="214"/>
      <c r="HHX746" s="214"/>
      <c r="HHY746" s="214"/>
      <c r="HHZ746" s="214"/>
      <c r="HIA746" s="214"/>
      <c r="HIB746" s="214"/>
      <c r="HIC746" s="214"/>
      <c r="HID746" s="214"/>
      <c r="HIE746" s="214"/>
      <c r="HIF746" s="214"/>
      <c r="HIG746" s="214"/>
      <c r="HIH746" s="214"/>
      <c r="HII746" s="214"/>
      <c r="HIJ746" s="214"/>
      <c r="HIK746" s="214"/>
      <c r="HIL746" s="214"/>
      <c r="HIM746" s="214"/>
      <c r="HIN746" s="214"/>
      <c r="HIO746" s="214"/>
      <c r="HIP746" s="214"/>
      <c r="HIQ746" s="214"/>
      <c r="HIR746" s="214"/>
      <c r="HIS746" s="214"/>
      <c r="HIT746" s="214"/>
      <c r="HIU746" s="214"/>
      <c r="HIV746" s="214"/>
      <c r="HIW746" s="214"/>
      <c r="HIX746" s="214"/>
      <c r="HIY746" s="214"/>
      <c r="HIZ746" s="214"/>
      <c r="HJA746" s="214"/>
      <c r="HJB746" s="214"/>
      <c r="HJC746" s="214"/>
      <c r="HJD746" s="214"/>
      <c r="HJE746" s="214"/>
      <c r="HJF746" s="214"/>
      <c r="HJG746" s="214"/>
      <c r="HJH746" s="214"/>
      <c r="HJI746" s="214"/>
      <c r="HJJ746" s="214"/>
      <c r="HJK746" s="214"/>
      <c r="HJL746" s="214"/>
      <c r="HJM746" s="214"/>
      <c r="HJN746" s="214"/>
      <c r="HJO746" s="214"/>
      <c r="HJP746" s="214"/>
      <c r="HJQ746" s="214"/>
      <c r="HJR746" s="214"/>
      <c r="HJS746" s="214"/>
      <c r="HJT746" s="214"/>
      <c r="HJU746" s="214"/>
      <c r="HJV746" s="214"/>
      <c r="HJW746" s="214"/>
      <c r="HJX746" s="214"/>
      <c r="HJY746" s="214"/>
      <c r="HJZ746" s="214"/>
      <c r="HKA746" s="214"/>
      <c r="HKB746" s="214"/>
      <c r="HKC746" s="214"/>
      <c r="HKD746" s="214"/>
      <c r="HKE746" s="214"/>
      <c r="HKF746" s="214"/>
      <c r="HKG746" s="214"/>
      <c r="HKH746" s="214"/>
      <c r="HKI746" s="214"/>
      <c r="HKJ746" s="214"/>
      <c r="HKK746" s="214"/>
      <c r="HKL746" s="214"/>
      <c r="HKM746" s="214"/>
      <c r="HKN746" s="214"/>
      <c r="HKO746" s="214"/>
      <c r="HKP746" s="214"/>
      <c r="HKQ746" s="214"/>
      <c r="HKR746" s="214"/>
      <c r="HKS746" s="214"/>
      <c r="HKT746" s="214"/>
      <c r="HKU746" s="214"/>
      <c r="HKV746" s="214"/>
      <c r="HKW746" s="214"/>
      <c r="HKX746" s="214"/>
      <c r="HKY746" s="214"/>
      <c r="HKZ746" s="214"/>
      <c r="HLA746" s="214"/>
      <c r="HLB746" s="214"/>
      <c r="HLC746" s="214"/>
      <c r="HLD746" s="214"/>
      <c r="HLE746" s="214"/>
      <c r="HLF746" s="214"/>
      <c r="HLG746" s="214"/>
      <c r="HLH746" s="214"/>
      <c r="HLI746" s="214"/>
      <c r="HLJ746" s="214"/>
      <c r="HLK746" s="214"/>
      <c r="HLL746" s="214"/>
      <c r="HLM746" s="214"/>
      <c r="HLN746" s="214"/>
      <c r="HLO746" s="214"/>
      <c r="HLP746" s="214"/>
      <c r="HLQ746" s="214"/>
      <c r="HLR746" s="214"/>
      <c r="HLS746" s="214"/>
      <c r="HLT746" s="214"/>
      <c r="HLU746" s="214"/>
      <c r="HLV746" s="214"/>
      <c r="HLW746" s="214"/>
      <c r="HLX746" s="214"/>
      <c r="HLY746" s="214"/>
      <c r="HLZ746" s="214"/>
      <c r="HMA746" s="214"/>
      <c r="HMB746" s="214"/>
      <c r="HMC746" s="214"/>
      <c r="HMD746" s="214"/>
      <c r="HME746" s="214"/>
      <c r="HMF746" s="214"/>
      <c r="HMG746" s="214"/>
      <c r="HMH746" s="214"/>
      <c r="HMI746" s="214"/>
      <c r="HMJ746" s="214"/>
      <c r="HMK746" s="214"/>
      <c r="HML746" s="214"/>
      <c r="HMM746" s="214"/>
      <c r="HMN746" s="214"/>
      <c r="HMO746" s="214"/>
      <c r="HMP746" s="214"/>
      <c r="HMQ746" s="214"/>
      <c r="HMR746" s="214"/>
      <c r="HMS746" s="214"/>
      <c r="HMT746" s="214"/>
      <c r="HMU746" s="214"/>
      <c r="HMV746" s="214"/>
      <c r="HMW746" s="214"/>
      <c r="HMX746" s="214"/>
      <c r="HMY746" s="214"/>
      <c r="HMZ746" s="214"/>
      <c r="HNA746" s="214"/>
      <c r="HNB746" s="214"/>
      <c r="HNC746" s="214"/>
      <c r="HND746" s="214"/>
      <c r="HNE746" s="214"/>
      <c r="HNF746" s="214"/>
      <c r="HNG746" s="214"/>
      <c r="HNH746" s="214"/>
      <c r="HNI746" s="214"/>
      <c r="HNJ746" s="214"/>
      <c r="HNK746" s="214"/>
      <c r="HNL746" s="214"/>
      <c r="HNM746" s="214"/>
      <c r="HNN746" s="214"/>
      <c r="HNO746" s="214"/>
      <c r="HNP746" s="214"/>
      <c r="HNQ746" s="214"/>
      <c r="HNR746" s="214"/>
      <c r="HNS746" s="214"/>
      <c r="HNT746" s="214"/>
      <c r="HNU746" s="214"/>
      <c r="HNV746" s="214"/>
      <c r="HNW746" s="214"/>
      <c r="HNX746" s="214"/>
      <c r="HNY746" s="214"/>
      <c r="HNZ746" s="214"/>
      <c r="HOA746" s="214"/>
      <c r="HOB746" s="214"/>
      <c r="HOC746" s="214"/>
      <c r="HOD746" s="214"/>
      <c r="HOE746" s="214"/>
      <c r="HOF746" s="214"/>
      <c r="HOG746" s="214"/>
      <c r="HOH746" s="214"/>
      <c r="HOI746" s="214"/>
      <c r="HOJ746" s="214"/>
      <c r="HOK746" s="214"/>
      <c r="HOL746" s="214"/>
      <c r="HOM746" s="214"/>
      <c r="HON746" s="214"/>
      <c r="HOO746" s="214"/>
      <c r="HOP746" s="214"/>
      <c r="HOQ746" s="214"/>
      <c r="HOR746" s="214"/>
      <c r="HOS746" s="214"/>
      <c r="HOT746" s="214"/>
      <c r="HOU746" s="214"/>
      <c r="HOV746" s="214"/>
      <c r="HOW746" s="214"/>
      <c r="HOX746" s="214"/>
      <c r="HOY746" s="214"/>
      <c r="HOZ746" s="214"/>
      <c r="HPA746" s="214"/>
      <c r="HPB746" s="214"/>
      <c r="HPC746" s="214"/>
      <c r="HPD746" s="214"/>
      <c r="HPE746" s="214"/>
      <c r="HPF746" s="214"/>
      <c r="HPG746" s="214"/>
      <c r="HPH746" s="214"/>
      <c r="HPI746" s="214"/>
      <c r="HPJ746" s="214"/>
      <c r="HPK746" s="214"/>
      <c r="HPL746" s="214"/>
      <c r="HPM746" s="214"/>
      <c r="HPN746" s="214"/>
      <c r="HPO746" s="214"/>
      <c r="HPP746" s="214"/>
      <c r="HPQ746" s="214"/>
      <c r="HPR746" s="214"/>
      <c r="HPS746" s="214"/>
      <c r="HPT746" s="214"/>
      <c r="HPU746" s="214"/>
      <c r="HPV746" s="214"/>
      <c r="HPW746" s="214"/>
      <c r="HPX746" s="214"/>
      <c r="HPY746" s="214"/>
      <c r="HPZ746" s="214"/>
      <c r="HQA746" s="214"/>
      <c r="HQB746" s="214"/>
      <c r="HQC746" s="214"/>
      <c r="HQD746" s="214"/>
      <c r="HQE746" s="214"/>
      <c r="HQF746" s="214"/>
      <c r="HQG746" s="214"/>
      <c r="HQH746" s="214"/>
      <c r="HQI746" s="214"/>
      <c r="HQJ746" s="214"/>
      <c r="HQK746" s="214"/>
      <c r="HQL746" s="214"/>
      <c r="HQM746" s="214"/>
      <c r="HQN746" s="214"/>
      <c r="HQO746" s="214"/>
      <c r="HQP746" s="214"/>
      <c r="HQQ746" s="214"/>
      <c r="HQR746" s="214"/>
      <c r="HQS746" s="214"/>
      <c r="HQT746" s="214"/>
      <c r="HQU746" s="214"/>
      <c r="HQV746" s="214"/>
      <c r="HQW746" s="214"/>
      <c r="HQX746" s="214"/>
      <c r="HQY746" s="214"/>
      <c r="HQZ746" s="214"/>
      <c r="HRA746" s="214"/>
      <c r="HRB746" s="214"/>
      <c r="HRC746" s="214"/>
      <c r="HRD746" s="214"/>
      <c r="HRE746" s="214"/>
      <c r="HRF746" s="214"/>
      <c r="HRG746" s="214"/>
      <c r="HRH746" s="214"/>
      <c r="HRI746" s="214"/>
      <c r="HRJ746" s="214"/>
      <c r="HRK746" s="214"/>
      <c r="HRL746" s="214"/>
      <c r="HRM746" s="214"/>
      <c r="HRN746" s="214"/>
      <c r="HRO746" s="214"/>
      <c r="HRP746" s="214"/>
      <c r="HRQ746" s="214"/>
      <c r="HRR746" s="214"/>
      <c r="HRS746" s="214"/>
      <c r="HRT746" s="214"/>
      <c r="HRU746" s="214"/>
      <c r="HRV746" s="214"/>
      <c r="HRW746" s="214"/>
      <c r="HRX746" s="214"/>
      <c r="HRY746" s="214"/>
      <c r="HRZ746" s="214"/>
      <c r="HSA746" s="214"/>
      <c r="HSB746" s="214"/>
      <c r="HSC746" s="214"/>
      <c r="HSD746" s="214"/>
      <c r="HSE746" s="214"/>
      <c r="HSF746" s="214"/>
      <c r="HSG746" s="214"/>
      <c r="HSH746" s="214"/>
      <c r="HSI746" s="214"/>
      <c r="HSJ746" s="214"/>
      <c r="HSK746" s="214"/>
      <c r="HSL746" s="214"/>
      <c r="HSM746" s="214"/>
      <c r="HSN746" s="214"/>
      <c r="HSO746" s="214"/>
      <c r="HSP746" s="214"/>
      <c r="HSQ746" s="214"/>
      <c r="HSR746" s="214"/>
      <c r="HSS746" s="214"/>
      <c r="HST746" s="214"/>
      <c r="HSU746" s="214"/>
      <c r="HSV746" s="214"/>
      <c r="HSW746" s="214"/>
      <c r="HSX746" s="214"/>
      <c r="HSY746" s="214"/>
      <c r="HSZ746" s="214"/>
      <c r="HTA746" s="214"/>
      <c r="HTB746" s="214"/>
      <c r="HTC746" s="214"/>
      <c r="HTD746" s="214"/>
      <c r="HTE746" s="214"/>
      <c r="HTF746" s="214"/>
      <c r="HTG746" s="214"/>
      <c r="HTH746" s="214"/>
      <c r="HTI746" s="214"/>
      <c r="HTJ746" s="214"/>
      <c r="HTK746" s="214"/>
      <c r="HTL746" s="214"/>
      <c r="HTM746" s="214"/>
      <c r="HTN746" s="214"/>
      <c r="HTO746" s="214"/>
      <c r="HTP746" s="214"/>
      <c r="HTQ746" s="214"/>
      <c r="HTR746" s="214"/>
      <c r="HTS746" s="214"/>
      <c r="HTT746" s="214"/>
      <c r="HTU746" s="214"/>
      <c r="HTV746" s="214"/>
      <c r="HTW746" s="214"/>
      <c r="HTX746" s="214"/>
      <c r="HTY746" s="214"/>
      <c r="HTZ746" s="214"/>
      <c r="HUA746" s="214"/>
      <c r="HUB746" s="214"/>
      <c r="HUC746" s="214"/>
      <c r="HUD746" s="214"/>
      <c r="HUE746" s="214"/>
      <c r="HUF746" s="214"/>
      <c r="HUG746" s="214"/>
      <c r="HUH746" s="214"/>
      <c r="HUI746" s="214"/>
      <c r="HUJ746" s="214"/>
      <c r="HUK746" s="214"/>
      <c r="HUL746" s="214"/>
      <c r="HUM746" s="214"/>
      <c r="HUN746" s="214"/>
      <c r="HUO746" s="214"/>
      <c r="HUP746" s="214"/>
      <c r="HUQ746" s="214"/>
      <c r="HUR746" s="214"/>
      <c r="HUS746" s="214"/>
      <c r="HUT746" s="214"/>
      <c r="HUU746" s="214"/>
      <c r="HUV746" s="214"/>
      <c r="HUW746" s="214"/>
      <c r="HUX746" s="214"/>
      <c r="HUY746" s="214"/>
      <c r="HUZ746" s="214"/>
      <c r="HVA746" s="214"/>
      <c r="HVB746" s="214"/>
      <c r="HVC746" s="214"/>
      <c r="HVD746" s="214"/>
      <c r="HVE746" s="214"/>
      <c r="HVF746" s="214"/>
      <c r="HVG746" s="214"/>
      <c r="HVH746" s="214"/>
      <c r="HVI746" s="214"/>
      <c r="HVJ746" s="214"/>
      <c r="HVK746" s="214"/>
      <c r="HVL746" s="214"/>
      <c r="HVM746" s="214"/>
      <c r="HVN746" s="214"/>
      <c r="HVO746" s="214"/>
      <c r="HVP746" s="214"/>
      <c r="HVQ746" s="214"/>
      <c r="HVR746" s="214"/>
      <c r="HVS746" s="214"/>
      <c r="HVT746" s="214"/>
      <c r="HVU746" s="214"/>
      <c r="HVV746" s="214"/>
      <c r="HVW746" s="214"/>
      <c r="HVX746" s="214"/>
      <c r="HVY746" s="214"/>
      <c r="HVZ746" s="214"/>
      <c r="HWA746" s="214"/>
      <c r="HWB746" s="214"/>
      <c r="HWC746" s="214"/>
      <c r="HWD746" s="214"/>
      <c r="HWE746" s="214"/>
      <c r="HWF746" s="214"/>
      <c r="HWG746" s="214"/>
      <c r="HWH746" s="214"/>
      <c r="HWI746" s="214"/>
      <c r="HWJ746" s="214"/>
      <c r="HWK746" s="214"/>
      <c r="HWL746" s="214"/>
      <c r="HWM746" s="214"/>
      <c r="HWN746" s="214"/>
      <c r="HWO746" s="214"/>
      <c r="HWP746" s="214"/>
      <c r="HWQ746" s="214"/>
      <c r="HWR746" s="214"/>
      <c r="HWS746" s="214"/>
      <c r="HWT746" s="214"/>
      <c r="HWU746" s="214"/>
      <c r="HWV746" s="214"/>
      <c r="HWW746" s="214"/>
      <c r="HWX746" s="214"/>
      <c r="HWY746" s="214"/>
      <c r="HWZ746" s="214"/>
      <c r="HXA746" s="214"/>
      <c r="HXB746" s="214"/>
      <c r="HXC746" s="214"/>
      <c r="HXD746" s="214"/>
      <c r="HXE746" s="214"/>
      <c r="HXF746" s="214"/>
      <c r="HXG746" s="214"/>
      <c r="HXH746" s="214"/>
      <c r="HXI746" s="214"/>
      <c r="HXJ746" s="214"/>
      <c r="HXK746" s="214"/>
      <c r="HXL746" s="214"/>
      <c r="HXM746" s="214"/>
      <c r="HXN746" s="214"/>
      <c r="HXO746" s="214"/>
      <c r="HXP746" s="214"/>
      <c r="HXQ746" s="214"/>
      <c r="HXR746" s="214"/>
      <c r="HXS746" s="214"/>
      <c r="HXT746" s="214"/>
      <c r="HXU746" s="214"/>
      <c r="HXV746" s="214"/>
      <c r="HXW746" s="214"/>
      <c r="HXX746" s="214"/>
      <c r="HXY746" s="214"/>
      <c r="HXZ746" s="214"/>
      <c r="HYA746" s="214"/>
      <c r="HYB746" s="214"/>
      <c r="HYC746" s="214"/>
      <c r="HYD746" s="214"/>
      <c r="HYE746" s="214"/>
      <c r="HYF746" s="214"/>
      <c r="HYG746" s="214"/>
      <c r="HYH746" s="214"/>
      <c r="HYI746" s="214"/>
      <c r="HYJ746" s="214"/>
      <c r="HYK746" s="214"/>
      <c r="HYL746" s="214"/>
      <c r="HYM746" s="214"/>
      <c r="HYN746" s="214"/>
      <c r="HYO746" s="214"/>
      <c r="HYP746" s="214"/>
      <c r="HYQ746" s="214"/>
      <c r="HYR746" s="214"/>
      <c r="HYS746" s="214"/>
      <c r="HYT746" s="214"/>
      <c r="HYU746" s="214"/>
      <c r="HYV746" s="214"/>
      <c r="HYW746" s="214"/>
      <c r="HYX746" s="214"/>
      <c r="HYY746" s="214"/>
      <c r="HYZ746" s="214"/>
      <c r="HZA746" s="214"/>
      <c r="HZB746" s="214"/>
      <c r="HZC746" s="214"/>
      <c r="HZD746" s="214"/>
      <c r="HZE746" s="214"/>
      <c r="HZF746" s="214"/>
      <c r="HZG746" s="214"/>
      <c r="HZH746" s="214"/>
      <c r="HZI746" s="214"/>
      <c r="HZJ746" s="214"/>
      <c r="HZK746" s="214"/>
      <c r="HZL746" s="214"/>
      <c r="HZM746" s="214"/>
      <c r="HZN746" s="214"/>
      <c r="HZO746" s="214"/>
      <c r="HZP746" s="214"/>
      <c r="HZQ746" s="214"/>
      <c r="HZR746" s="214"/>
      <c r="HZS746" s="214"/>
      <c r="HZT746" s="214"/>
      <c r="HZU746" s="214"/>
      <c r="HZV746" s="214"/>
      <c r="HZW746" s="214"/>
      <c r="HZX746" s="214"/>
      <c r="HZY746" s="214"/>
      <c r="HZZ746" s="214"/>
      <c r="IAA746" s="214"/>
      <c r="IAB746" s="214"/>
      <c r="IAC746" s="214"/>
      <c r="IAD746" s="214"/>
      <c r="IAE746" s="214"/>
      <c r="IAF746" s="214"/>
      <c r="IAG746" s="214"/>
      <c r="IAH746" s="214"/>
      <c r="IAI746" s="214"/>
      <c r="IAJ746" s="214"/>
      <c r="IAK746" s="214"/>
      <c r="IAL746" s="214"/>
      <c r="IAM746" s="214"/>
      <c r="IAN746" s="214"/>
      <c r="IAO746" s="214"/>
      <c r="IAP746" s="214"/>
      <c r="IAQ746" s="214"/>
      <c r="IAR746" s="214"/>
      <c r="IAS746" s="214"/>
      <c r="IAT746" s="214"/>
      <c r="IAU746" s="214"/>
      <c r="IAV746" s="214"/>
      <c r="IAW746" s="214"/>
      <c r="IAX746" s="214"/>
      <c r="IAY746" s="214"/>
      <c r="IAZ746" s="214"/>
      <c r="IBA746" s="214"/>
      <c r="IBB746" s="214"/>
      <c r="IBC746" s="214"/>
      <c r="IBD746" s="214"/>
      <c r="IBE746" s="214"/>
      <c r="IBF746" s="214"/>
      <c r="IBG746" s="214"/>
      <c r="IBH746" s="214"/>
      <c r="IBI746" s="214"/>
      <c r="IBJ746" s="214"/>
      <c r="IBK746" s="214"/>
      <c r="IBL746" s="214"/>
      <c r="IBM746" s="214"/>
      <c r="IBN746" s="214"/>
      <c r="IBO746" s="214"/>
      <c r="IBP746" s="214"/>
      <c r="IBQ746" s="214"/>
      <c r="IBR746" s="214"/>
      <c r="IBS746" s="214"/>
      <c r="IBT746" s="214"/>
      <c r="IBU746" s="214"/>
      <c r="IBV746" s="214"/>
      <c r="IBW746" s="214"/>
      <c r="IBX746" s="214"/>
      <c r="IBY746" s="214"/>
      <c r="IBZ746" s="214"/>
      <c r="ICA746" s="214"/>
      <c r="ICB746" s="214"/>
      <c r="ICC746" s="214"/>
      <c r="ICD746" s="214"/>
      <c r="ICE746" s="214"/>
      <c r="ICF746" s="214"/>
      <c r="ICG746" s="214"/>
      <c r="ICH746" s="214"/>
      <c r="ICI746" s="214"/>
      <c r="ICJ746" s="214"/>
      <c r="ICK746" s="214"/>
      <c r="ICL746" s="214"/>
      <c r="ICM746" s="214"/>
      <c r="ICN746" s="214"/>
      <c r="ICO746" s="214"/>
      <c r="ICP746" s="214"/>
      <c r="ICQ746" s="214"/>
      <c r="ICR746" s="214"/>
      <c r="ICS746" s="214"/>
      <c r="ICT746" s="214"/>
      <c r="ICU746" s="214"/>
      <c r="ICV746" s="214"/>
      <c r="ICW746" s="214"/>
      <c r="ICX746" s="214"/>
      <c r="ICY746" s="214"/>
      <c r="ICZ746" s="214"/>
      <c r="IDA746" s="214"/>
      <c r="IDB746" s="214"/>
      <c r="IDC746" s="214"/>
      <c r="IDD746" s="214"/>
      <c r="IDE746" s="214"/>
      <c r="IDF746" s="214"/>
      <c r="IDG746" s="214"/>
      <c r="IDH746" s="214"/>
      <c r="IDI746" s="214"/>
      <c r="IDJ746" s="214"/>
      <c r="IDK746" s="214"/>
      <c r="IDL746" s="214"/>
      <c r="IDM746" s="214"/>
      <c r="IDN746" s="214"/>
      <c r="IDO746" s="214"/>
      <c r="IDP746" s="214"/>
      <c r="IDQ746" s="214"/>
      <c r="IDR746" s="214"/>
      <c r="IDS746" s="214"/>
      <c r="IDT746" s="214"/>
      <c r="IDU746" s="214"/>
      <c r="IDV746" s="214"/>
      <c r="IDW746" s="214"/>
      <c r="IDX746" s="214"/>
      <c r="IDY746" s="214"/>
      <c r="IDZ746" s="214"/>
      <c r="IEA746" s="214"/>
      <c r="IEB746" s="214"/>
      <c r="IEC746" s="214"/>
      <c r="IED746" s="214"/>
      <c r="IEE746" s="214"/>
      <c r="IEF746" s="214"/>
      <c r="IEG746" s="214"/>
      <c r="IEH746" s="214"/>
      <c r="IEI746" s="214"/>
      <c r="IEJ746" s="214"/>
      <c r="IEK746" s="214"/>
      <c r="IEL746" s="214"/>
      <c r="IEM746" s="214"/>
      <c r="IEN746" s="214"/>
      <c r="IEO746" s="214"/>
      <c r="IEP746" s="214"/>
      <c r="IEQ746" s="214"/>
      <c r="IER746" s="214"/>
      <c r="IES746" s="214"/>
      <c r="IET746" s="214"/>
      <c r="IEU746" s="214"/>
      <c r="IEV746" s="214"/>
      <c r="IEW746" s="214"/>
      <c r="IEX746" s="214"/>
      <c r="IEY746" s="214"/>
      <c r="IEZ746" s="214"/>
      <c r="IFA746" s="214"/>
      <c r="IFB746" s="214"/>
      <c r="IFC746" s="214"/>
      <c r="IFD746" s="214"/>
      <c r="IFE746" s="214"/>
      <c r="IFF746" s="214"/>
      <c r="IFG746" s="214"/>
      <c r="IFH746" s="214"/>
      <c r="IFI746" s="214"/>
      <c r="IFJ746" s="214"/>
      <c r="IFK746" s="214"/>
      <c r="IFL746" s="214"/>
      <c r="IFM746" s="214"/>
      <c r="IFN746" s="214"/>
      <c r="IFO746" s="214"/>
      <c r="IFP746" s="214"/>
      <c r="IFQ746" s="214"/>
      <c r="IFR746" s="214"/>
      <c r="IFS746" s="214"/>
      <c r="IFT746" s="214"/>
      <c r="IFU746" s="214"/>
      <c r="IFV746" s="214"/>
      <c r="IFW746" s="214"/>
      <c r="IFX746" s="214"/>
      <c r="IFY746" s="214"/>
      <c r="IFZ746" s="214"/>
      <c r="IGA746" s="214"/>
      <c r="IGB746" s="214"/>
      <c r="IGC746" s="214"/>
      <c r="IGD746" s="214"/>
      <c r="IGE746" s="214"/>
      <c r="IGF746" s="214"/>
      <c r="IGG746" s="214"/>
      <c r="IGH746" s="214"/>
      <c r="IGI746" s="214"/>
      <c r="IGJ746" s="214"/>
      <c r="IGK746" s="214"/>
      <c r="IGL746" s="214"/>
      <c r="IGM746" s="214"/>
      <c r="IGN746" s="214"/>
      <c r="IGO746" s="214"/>
      <c r="IGP746" s="214"/>
      <c r="IGQ746" s="214"/>
      <c r="IGR746" s="214"/>
      <c r="IGS746" s="214"/>
      <c r="IGT746" s="214"/>
      <c r="IGU746" s="214"/>
      <c r="IGV746" s="214"/>
      <c r="IGW746" s="214"/>
      <c r="IGX746" s="214"/>
      <c r="IGY746" s="214"/>
      <c r="IGZ746" s="214"/>
      <c r="IHA746" s="214"/>
      <c r="IHB746" s="214"/>
      <c r="IHC746" s="214"/>
      <c r="IHD746" s="214"/>
      <c r="IHE746" s="214"/>
      <c r="IHF746" s="214"/>
      <c r="IHG746" s="214"/>
      <c r="IHH746" s="214"/>
      <c r="IHI746" s="214"/>
      <c r="IHJ746" s="214"/>
      <c r="IHK746" s="214"/>
      <c r="IHL746" s="214"/>
      <c r="IHM746" s="214"/>
      <c r="IHN746" s="214"/>
      <c r="IHO746" s="214"/>
      <c r="IHP746" s="214"/>
      <c r="IHQ746" s="214"/>
      <c r="IHR746" s="214"/>
      <c r="IHS746" s="214"/>
      <c r="IHT746" s="214"/>
      <c r="IHU746" s="214"/>
      <c r="IHV746" s="214"/>
      <c r="IHW746" s="214"/>
      <c r="IHX746" s="214"/>
      <c r="IHY746" s="214"/>
      <c r="IHZ746" s="214"/>
      <c r="IIA746" s="214"/>
      <c r="IIB746" s="214"/>
      <c r="IIC746" s="214"/>
      <c r="IID746" s="214"/>
      <c r="IIE746" s="214"/>
      <c r="IIF746" s="214"/>
      <c r="IIG746" s="214"/>
      <c r="IIH746" s="214"/>
      <c r="III746" s="214"/>
      <c r="IIJ746" s="214"/>
      <c r="IIK746" s="214"/>
      <c r="IIL746" s="214"/>
      <c r="IIM746" s="214"/>
      <c r="IIN746" s="214"/>
      <c r="IIO746" s="214"/>
      <c r="IIP746" s="214"/>
      <c r="IIQ746" s="214"/>
      <c r="IIR746" s="214"/>
      <c r="IIS746" s="214"/>
      <c r="IIT746" s="214"/>
      <c r="IIU746" s="214"/>
      <c r="IIV746" s="214"/>
      <c r="IIW746" s="214"/>
      <c r="IIX746" s="214"/>
      <c r="IIY746" s="214"/>
      <c r="IIZ746" s="214"/>
      <c r="IJA746" s="214"/>
      <c r="IJB746" s="214"/>
      <c r="IJC746" s="214"/>
      <c r="IJD746" s="214"/>
      <c r="IJE746" s="214"/>
      <c r="IJF746" s="214"/>
      <c r="IJG746" s="214"/>
      <c r="IJH746" s="214"/>
      <c r="IJI746" s="214"/>
      <c r="IJJ746" s="214"/>
      <c r="IJK746" s="214"/>
      <c r="IJL746" s="214"/>
      <c r="IJM746" s="214"/>
      <c r="IJN746" s="214"/>
      <c r="IJO746" s="214"/>
      <c r="IJP746" s="214"/>
      <c r="IJQ746" s="214"/>
      <c r="IJR746" s="214"/>
      <c r="IJS746" s="214"/>
      <c r="IJT746" s="214"/>
      <c r="IJU746" s="214"/>
      <c r="IJV746" s="214"/>
      <c r="IJW746" s="214"/>
      <c r="IJX746" s="214"/>
      <c r="IJY746" s="214"/>
      <c r="IJZ746" s="214"/>
      <c r="IKA746" s="214"/>
      <c r="IKB746" s="214"/>
      <c r="IKC746" s="214"/>
      <c r="IKD746" s="214"/>
      <c r="IKE746" s="214"/>
      <c r="IKF746" s="214"/>
      <c r="IKG746" s="214"/>
      <c r="IKH746" s="214"/>
      <c r="IKI746" s="214"/>
      <c r="IKJ746" s="214"/>
      <c r="IKK746" s="214"/>
      <c r="IKL746" s="214"/>
      <c r="IKM746" s="214"/>
      <c r="IKN746" s="214"/>
      <c r="IKO746" s="214"/>
      <c r="IKP746" s="214"/>
      <c r="IKQ746" s="214"/>
      <c r="IKR746" s="214"/>
      <c r="IKS746" s="214"/>
      <c r="IKT746" s="214"/>
      <c r="IKU746" s="214"/>
      <c r="IKV746" s="214"/>
      <c r="IKW746" s="214"/>
      <c r="IKX746" s="214"/>
      <c r="IKY746" s="214"/>
      <c r="IKZ746" s="214"/>
      <c r="ILA746" s="214"/>
      <c r="ILB746" s="214"/>
      <c r="ILC746" s="214"/>
      <c r="ILD746" s="214"/>
      <c r="ILE746" s="214"/>
      <c r="ILF746" s="214"/>
      <c r="ILG746" s="214"/>
      <c r="ILH746" s="214"/>
      <c r="ILI746" s="214"/>
      <c r="ILJ746" s="214"/>
      <c r="ILK746" s="214"/>
      <c r="ILL746" s="214"/>
      <c r="ILM746" s="214"/>
      <c r="ILN746" s="214"/>
      <c r="ILO746" s="214"/>
      <c r="ILP746" s="214"/>
      <c r="ILQ746" s="214"/>
      <c r="ILR746" s="214"/>
      <c r="ILS746" s="214"/>
      <c r="ILT746" s="214"/>
      <c r="ILU746" s="214"/>
      <c r="ILV746" s="214"/>
      <c r="ILW746" s="214"/>
      <c r="ILX746" s="214"/>
      <c r="ILY746" s="214"/>
      <c r="ILZ746" s="214"/>
      <c r="IMA746" s="214"/>
      <c r="IMB746" s="214"/>
      <c r="IMC746" s="214"/>
      <c r="IMD746" s="214"/>
      <c r="IME746" s="214"/>
      <c r="IMF746" s="214"/>
      <c r="IMG746" s="214"/>
      <c r="IMH746" s="214"/>
      <c r="IMI746" s="214"/>
      <c r="IMJ746" s="214"/>
      <c r="IMK746" s="214"/>
      <c r="IML746" s="214"/>
      <c r="IMM746" s="214"/>
      <c r="IMN746" s="214"/>
      <c r="IMO746" s="214"/>
      <c r="IMP746" s="214"/>
      <c r="IMQ746" s="214"/>
      <c r="IMR746" s="214"/>
      <c r="IMS746" s="214"/>
      <c r="IMT746" s="214"/>
      <c r="IMU746" s="214"/>
      <c r="IMV746" s="214"/>
      <c r="IMW746" s="214"/>
      <c r="IMX746" s="214"/>
      <c r="IMY746" s="214"/>
      <c r="IMZ746" s="214"/>
      <c r="INA746" s="214"/>
      <c r="INB746" s="214"/>
      <c r="INC746" s="214"/>
      <c r="IND746" s="214"/>
      <c r="INE746" s="214"/>
      <c r="INF746" s="214"/>
      <c r="ING746" s="214"/>
      <c r="INH746" s="214"/>
      <c r="INI746" s="214"/>
      <c r="INJ746" s="214"/>
      <c r="INK746" s="214"/>
      <c r="INL746" s="214"/>
      <c r="INM746" s="214"/>
      <c r="INN746" s="214"/>
      <c r="INO746" s="214"/>
      <c r="INP746" s="214"/>
      <c r="INQ746" s="214"/>
      <c r="INR746" s="214"/>
      <c r="INS746" s="214"/>
      <c r="INT746" s="214"/>
      <c r="INU746" s="214"/>
      <c r="INV746" s="214"/>
      <c r="INW746" s="214"/>
      <c r="INX746" s="214"/>
      <c r="INY746" s="214"/>
      <c r="INZ746" s="214"/>
      <c r="IOA746" s="214"/>
      <c r="IOB746" s="214"/>
      <c r="IOC746" s="214"/>
      <c r="IOD746" s="214"/>
      <c r="IOE746" s="214"/>
      <c r="IOF746" s="214"/>
      <c r="IOG746" s="214"/>
      <c r="IOH746" s="214"/>
      <c r="IOI746" s="214"/>
      <c r="IOJ746" s="214"/>
      <c r="IOK746" s="214"/>
      <c r="IOL746" s="214"/>
      <c r="IOM746" s="214"/>
      <c r="ION746" s="214"/>
      <c r="IOO746" s="214"/>
      <c r="IOP746" s="214"/>
      <c r="IOQ746" s="214"/>
      <c r="IOR746" s="214"/>
      <c r="IOS746" s="214"/>
      <c r="IOT746" s="214"/>
      <c r="IOU746" s="214"/>
      <c r="IOV746" s="214"/>
      <c r="IOW746" s="214"/>
      <c r="IOX746" s="214"/>
      <c r="IOY746" s="214"/>
      <c r="IOZ746" s="214"/>
      <c r="IPA746" s="214"/>
      <c r="IPB746" s="214"/>
      <c r="IPC746" s="214"/>
      <c r="IPD746" s="214"/>
      <c r="IPE746" s="214"/>
      <c r="IPF746" s="214"/>
      <c r="IPG746" s="214"/>
      <c r="IPH746" s="214"/>
      <c r="IPI746" s="214"/>
      <c r="IPJ746" s="214"/>
      <c r="IPK746" s="214"/>
      <c r="IPL746" s="214"/>
      <c r="IPM746" s="214"/>
      <c r="IPN746" s="214"/>
      <c r="IPO746" s="214"/>
      <c r="IPP746" s="214"/>
      <c r="IPQ746" s="214"/>
      <c r="IPR746" s="214"/>
      <c r="IPS746" s="214"/>
      <c r="IPT746" s="214"/>
      <c r="IPU746" s="214"/>
      <c r="IPV746" s="214"/>
      <c r="IPW746" s="214"/>
      <c r="IPX746" s="214"/>
      <c r="IPY746" s="214"/>
      <c r="IPZ746" s="214"/>
      <c r="IQA746" s="214"/>
      <c r="IQB746" s="214"/>
      <c r="IQC746" s="214"/>
      <c r="IQD746" s="214"/>
      <c r="IQE746" s="214"/>
      <c r="IQF746" s="214"/>
      <c r="IQG746" s="214"/>
      <c r="IQH746" s="214"/>
      <c r="IQI746" s="214"/>
      <c r="IQJ746" s="214"/>
      <c r="IQK746" s="214"/>
      <c r="IQL746" s="214"/>
      <c r="IQM746" s="214"/>
      <c r="IQN746" s="214"/>
      <c r="IQO746" s="214"/>
      <c r="IQP746" s="214"/>
      <c r="IQQ746" s="214"/>
      <c r="IQR746" s="214"/>
      <c r="IQS746" s="214"/>
      <c r="IQT746" s="214"/>
      <c r="IQU746" s="214"/>
      <c r="IQV746" s="214"/>
      <c r="IQW746" s="214"/>
      <c r="IQX746" s="214"/>
      <c r="IQY746" s="214"/>
      <c r="IQZ746" s="214"/>
      <c r="IRA746" s="214"/>
      <c r="IRB746" s="214"/>
      <c r="IRC746" s="214"/>
      <c r="IRD746" s="214"/>
      <c r="IRE746" s="214"/>
      <c r="IRF746" s="214"/>
      <c r="IRG746" s="214"/>
      <c r="IRH746" s="214"/>
      <c r="IRI746" s="214"/>
      <c r="IRJ746" s="214"/>
      <c r="IRK746" s="214"/>
      <c r="IRL746" s="214"/>
      <c r="IRM746" s="214"/>
      <c r="IRN746" s="214"/>
      <c r="IRO746" s="214"/>
      <c r="IRP746" s="214"/>
      <c r="IRQ746" s="214"/>
      <c r="IRR746" s="214"/>
      <c r="IRS746" s="214"/>
      <c r="IRT746" s="214"/>
      <c r="IRU746" s="214"/>
      <c r="IRV746" s="214"/>
      <c r="IRW746" s="214"/>
      <c r="IRX746" s="214"/>
      <c r="IRY746" s="214"/>
      <c r="IRZ746" s="214"/>
      <c r="ISA746" s="214"/>
      <c r="ISB746" s="214"/>
      <c r="ISC746" s="214"/>
      <c r="ISD746" s="214"/>
      <c r="ISE746" s="214"/>
      <c r="ISF746" s="214"/>
      <c r="ISG746" s="214"/>
      <c r="ISH746" s="214"/>
      <c r="ISI746" s="214"/>
      <c r="ISJ746" s="214"/>
      <c r="ISK746" s="214"/>
      <c r="ISL746" s="214"/>
      <c r="ISM746" s="214"/>
      <c r="ISN746" s="214"/>
      <c r="ISO746" s="214"/>
      <c r="ISP746" s="214"/>
      <c r="ISQ746" s="214"/>
      <c r="ISR746" s="214"/>
      <c r="ISS746" s="214"/>
      <c r="IST746" s="214"/>
      <c r="ISU746" s="214"/>
      <c r="ISV746" s="214"/>
      <c r="ISW746" s="214"/>
      <c r="ISX746" s="214"/>
      <c r="ISY746" s="214"/>
      <c r="ISZ746" s="214"/>
      <c r="ITA746" s="214"/>
      <c r="ITB746" s="214"/>
      <c r="ITC746" s="214"/>
      <c r="ITD746" s="214"/>
      <c r="ITE746" s="214"/>
      <c r="ITF746" s="214"/>
      <c r="ITG746" s="214"/>
      <c r="ITH746" s="214"/>
      <c r="ITI746" s="214"/>
      <c r="ITJ746" s="214"/>
      <c r="ITK746" s="214"/>
      <c r="ITL746" s="214"/>
      <c r="ITM746" s="214"/>
      <c r="ITN746" s="214"/>
      <c r="ITO746" s="214"/>
      <c r="ITP746" s="214"/>
      <c r="ITQ746" s="214"/>
      <c r="ITR746" s="214"/>
      <c r="ITS746" s="214"/>
      <c r="ITT746" s="214"/>
      <c r="ITU746" s="214"/>
      <c r="ITV746" s="214"/>
      <c r="ITW746" s="214"/>
      <c r="ITX746" s="214"/>
      <c r="ITY746" s="214"/>
      <c r="ITZ746" s="214"/>
      <c r="IUA746" s="214"/>
      <c r="IUB746" s="214"/>
      <c r="IUC746" s="214"/>
      <c r="IUD746" s="214"/>
      <c r="IUE746" s="214"/>
      <c r="IUF746" s="214"/>
      <c r="IUG746" s="214"/>
      <c r="IUH746" s="214"/>
      <c r="IUI746" s="214"/>
      <c r="IUJ746" s="214"/>
      <c r="IUK746" s="214"/>
      <c r="IUL746" s="214"/>
      <c r="IUM746" s="214"/>
      <c r="IUN746" s="214"/>
      <c r="IUO746" s="214"/>
      <c r="IUP746" s="214"/>
      <c r="IUQ746" s="214"/>
      <c r="IUR746" s="214"/>
      <c r="IUS746" s="214"/>
      <c r="IUT746" s="214"/>
      <c r="IUU746" s="214"/>
      <c r="IUV746" s="214"/>
      <c r="IUW746" s="214"/>
      <c r="IUX746" s="214"/>
      <c r="IUY746" s="214"/>
      <c r="IUZ746" s="214"/>
      <c r="IVA746" s="214"/>
      <c r="IVB746" s="214"/>
      <c r="IVC746" s="214"/>
      <c r="IVD746" s="214"/>
      <c r="IVE746" s="214"/>
      <c r="IVF746" s="214"/>
      <c r="IVG746" s="214"/>
      <c r="IVH746" s="214"/>
      <c r="IVI746" s="214"/>
      <c r="IVJ746" s="214"/>
      <c r="IVK746" s="214"/>
      <c r="IVL746" s="214"/>
      <c r="IVM746" s="214"/>
      <c r="IVN746" s="214"/>
      <c r="IVO746" s="214"/>
      <c r="IVP746" s="214"/>
      <c r="IVQ746" s="214"/>
      <c r="IVR746" s="214"/>
      <c r="IVS746" s="214"/>
      <c r="IVT746" s="214"/>
      <c r="IVU746" s="214"/>
      <c r="IVV746" s="214"/>
      <c r="IVW746" s="214"/>
      <c r="IVX746" s="214"/>
      <c r="IVY746" s="214"/>
      <c r="IVZ746" s="214"/>
      <c r="IWA746" s="214"/>
      <c r="IWB746" s="214"/>
      <c r="IWC746" s="214"/>
      <c r="IWD746" s="214"/>
      <c r="IWE746" s="214"/>
      <c r="IWF746" s="214"/>
      <c r="IWG746" s="214"/>
      <c r="IWH746" s="214"/>
      <c r="IWI746" s="214"/>
      <c r="IWJ746" s="214"/>
      <c r="IWK746" s="214"/>
      <c r="IWL746" s="214"/>
      <c r="IWM746" s="214"/>
      <c r="IWN746" s="214"/>
      <c r="IWO746" s="214"/>
      <c r="IWP746" s="214"/>
      <c r="IWQ746" s="214"/>
      <c r="IWR746" s="214"/>
      <c r="IWS746" s="214"/>
      <c r="IWT746" s="214"/>
      <c r="IWU746" s="214"/>
      <c r="IWV746" s="214"/>
      <c r="IWW746" s="214"/>
      <c r="IWX746" s="214"/>
      <c r="IWY746" s="214"/>
      <c r="IWZ746" s="214"/>
      <c r="IXA746" s="214"/>
      <c r="IXB746" s="214"/>
      <c r="IXC746" s="214"/>
      <c r="IXD746" s="214"/>
      <c r="IXE746" s="214"/>
      <c r="IXF746" s="214"/>
      <c r="IXG746" s="214"/>
      <c r="IXH746" s="214"/>
      <c r="IXI746" s="214"/>
      <c r="IXJ746" s="214"/>
      <c r="IXK746" s="214"/>
      <c r="IXL746" s="214"/>
      <c r="IXM746" s="214"/>
      <c r="IXN746" s="214"/>
      <c r="IXO746" s="214"/>
      <c r="IXP746" s="214"/>
      <c r="IXQ746" s="214"/>
      <c r="IXR746" s="214"/>
      <c r="IXS746" s="214"/>
      <c r="IXT746" s="214"/>
      <c r="IXU746" s="214"/>
      <c r="IXV746" s="214"/>
      <c r="IXW746" s="214"/>
      <c r="IXX746" s="214"/>
      <c r="IXY746" s="214"/>
      <c r="IXZ746" s="214"/>
      <c r="IYA746" s="214"/>
      <c r="IYB746" s="214"/>
      <c r="IYC746" s="214"/>
      <c r="IYD746" s="214"/>
      <c r="IYE746" s="214"/>
      <c r="IYF746" s="214"/>
      <c r="IYG746" s="214"/>
      <c r="IYH746" s="214"/>
      <c r="IYI746" s="214"/>
      <c r="IYJ746" s="214"/>
      <c r="IYK746" s="214"/>
      <c r="IYL746" s="214"/>
      <c r="IYM746" s="214"/>
      <c r="IYN746" s="214"/>
      <c r="IYO746" s="214"/>
      <c r="IYP746" s="214"/>
      <c r="IYQ746" s="214"/>
      <c r="IYR746" s="214"/>
      <c r="IYS746" s="214"/>
      <c r="IYT746" s="214"/>
      <c r="IYU746" s="214"/>
      <c r="IYV746" s="214"/>
      <c r="IYW746" s="214"/>
      <c r="IYX746" s="214"/>
      <c r="IYY746" s="214"/>
      <c r="IYZ746" s="214"/>
      <c r="IZA746" s="214"/>
      <c r="IZB746" s="214"/>
      <c r="IZC746" s="214"/>
      <c r="IZD746" s="214"/>
      <c r="IZE746" s="214"/>
      <c r="IZF746" s="214"/>
      <c r="IZG746" s="214"/>
      <c r="IZH746" s="214"/>
      <c r="IZI746" s="214"/>
      <c r="IZJ746" s="214"/>
      <c r="IZK746" s="214"/>
      <c r="IZL746" s="214"/>
      <c r="IZM746" s="214"/>
      <c r="IZN746" s="214"/>
      <c r="IZO746" s="214"/>
      <c r="IZP746" s="214"/>
      <c r="IZQ746" s="214"/>
      <c r="IZR746" s="214"/>
      <c r="IZS746" s="214"/>
      <c r="IZT746" s="214"/>
      <c r="IZU746" s="214"/>
      <c r="IZV746" s="214"/>
      <c r="IZW746" s="214"/>
      <c r="IZX746" s="214"/>
      <c r="IZY746" s="214"/>
      <c r="IZZ746" s="214"/>
      <c r="JAA746" s="214"/>
      <c r="JAB746" s="214"/>
      <c r="JAC746" s="214"/>
      <c r="JAD746" s="214"/>
      <c r="JAE746" s="214"/>
      <c r="JAF746" s="214"/>
      <c r="JAG746" s="214"/>
      <c r="JAH746" s="214"/>
      <c r="JAI746" s="214"/>
      <c r="JAJ746" s="214"/>
      <c r="JAK746" s="214"/>
      <c r="JAL746" s="214"/>
      <c r="JAM746" s="214"/>
      <c r="JAN746" s="214"/>
      <c r="JAO746" s="214"/>
      <c r="JAP746" s="214"/>
      <c r="JAQ746" s="214"/>
      <c r="JAR746" s="214"/>
      <c r="JAS746" s="214"/>
      <c r="JAT746" s="214"/>
      <c r="JAU746" s="214"/>
      <c r="JAV746" s="214"/>
      <c r="JAW746" s="214"/>
      <c r="JAX746" s="214"/>
      <c r="JAY746" s="214"/>
      <c r="JAZ746" s="214"/>
      <c r="JBA746" s="214"/>
      <c r="JBB746" s="214"/>
      <c r="JBC746" s="214"/>
      <c r="JBD746" s="214"/>
      <c r="JBE746" s="214"/>
      <c r="JBF746" s="214"/>
      <c r="JBG746" s="214"/>
      <c r="JBH746" s="214"/>
      <c r="JBI746" s="214"/>
      <c r="JBJ746" s="214"/>
      <c r="JBK746" s="214"/>
      <c r="JBL746" s="214"/>
      <c r="JBM746" s="214"/>
      <c r="JBN746" s="214"/>
      <c r="JBO746" s="214"/>
      <c r="JBP746" s="214"/>
      <c r="JBQ746" s="214"/>
      <c r="JBR746" s="214"/>
      <c r="JBS746" s="214"/>
      <c r="JBT746" s="214"/>
      <c r="JBU746" s="214"/>
      <c r="JBV746" s="214"/>
      <c r="JBW746" s="214"/>
      <c r="JBX746" s="214"/>
      <c r="JBY746" s="214"/>
      <c r="JBZ746" s="214"/>
      <c r="JCA746" s="214"/>
      <c r="JCB746" s="214"/>
      <c r="JCC746" s="214"/>
      <c r="JCD746" s="214"/>
      <c r="JCE746" s="214"/>
      <c r="JCF746" s="214"/>
      <c r="JCG746" s="214"/>
      <c r="JCH746" s="214"/>
      <c r="JCI746" s="214"/>
      <c r="JCJ746" s="214"/>
      <c r="JCK746" s="214"/>
      <c r="JCL746" s="214"/>
      <c r="JCM746" s="214"/>
      <c r="JCN746" s="214"/>
      <c r="JCO746" s="214"/>
      <c r="JCP746" s="214"/>
      <c r="JCQ746" s="214"/>
      <c r="JCR746" s="214"/>
      <c r="JCS746" s="214"/>
      <c r="JCT746" s="214"/>
      <c r="JCU746" s="214"/>
      <c r="JCV746" s="214"/>
      <c r="JCW746" s="214"/>
      <c r="JCX746" s="214"/>
      <c r="JCY746" s="214"/>
      <c r="JCZ746" s="214"/>
      <c r="JDA746" s="214"/>
      <c r="JDB746" s="214"/>
      <c r="JDC746" s="214"/>
      <c r="JDD746" s="214"/>
      <c r="JDE746" s="214"/>
      <c r="JDF746" s="214"/>
      <c r="JDG746" s="214"/>
      <c r="JDH746" s="214"/>
      <c r="JDI746" s="214"/>
      <c r="JDJ746" s="214"/>
      <c r="JDK746" s="214"/>
      <c r="JDL746" s="214"/>
      <c r="JDM746" s="214"/>
      <c r="JDN746" s="214"/>
      <c r="JDO746" s="214"/>
      <c r="JDP746" s="214"/>
      <c r="JDQ746" s="214"/>
      <c r="JDR746" s="214"/>
      <c r="JDS746" s="214"/>
      <c r="JDT746" s="214"/>
      <c r="JDU746" s="214"/>
      <c r="JDV746" s="214"/>
      <c r="JDW746" s="214"/>
      <c r="JDX746" s="214"/>
      <c r="JDY746" s="214"/>
      <c r="JDZ746" s="214"/>
      <c r="JEA746" s="214"/>
      <c r="JEB746" s="214"/>
      <c r="JEC746" s="214"/>
      <c r="JED746" s="214"/>
      <c r="JEE746" s="214"/>
      <c r="JEF746" s="214"/>
      <c r="JEG746" s="214"/>
      <c r="JEH746" s="214"/>
      <c r="JEI746" s="214"/>
      <c r="JEJ746" s="214"/>
      <c r="JEK746" s="214"/>
      <c r="JEL746" s="214"/>
      <c r="JEM746" s="214"/>
      <c r="JEN746" s="214"/>
      <c r="JEO746" s="214"/>
      <c r="JEP746" s="214"/>
      <c r="JEQ746" s="214"/>
      <c r="JER746" s="214"/>
      <c r="JES746" s="214"/>
      <c r="JET746" s="214"/>
      <c r="JEU746" s="214"/>
      <c r="JEV746" s="214"/>
      <c r="JEW746" s="214"/>
      <c r="JEX746" s="214"/>
      <c r="JEY746" s="214"/>
      <c r="JEZ746" s="214"/>
      <c r="JFA746" s="214"/>
      <c r="JFB746" s="214"/>
      <c r="JFC746" s="214"/>
      <c r="JFD746" s="214"/>
      <c r="JFE746" s="214"/>
      <c r="JFF746" s="214"/>
      <c r="JFG746" s="214"/>
      <c r="JFH746" s="214"/>
      <c r="JFI746" s="214"/>
      <c r="JFJ746" s="214"/>
      <c r="JFK746" s="214"/>
      <c r="JFL746" s="214"/>
      <c r="JFM746" s="214"/>
      <c r="JFN746" s="214"/>
      <c r="JFO746" s="214"/>
      <c r="JFP746" s="214"/>
      <c r="JFQ746" s="214"/>
      <c r="JFR746" s="214"/>
      <c r="JFS746" s="214"/>
      <c r="JFT746" s="214"/>
      <c r="JFU746" s="214"/>
      <c r="JFV746" s="214"/>
      <c r="JFW746" s="214"/>
      <c r="JFX746" s="214"/>
      <c r="JFY746" s="214"/>
      <c r="JFZ746" s="214"/>
      <c r="JGA746" s="214"/>
      <c r="JGB746" s="214"/>
      <c r="JGC746" s="214"/>
      <c r="JGD746" s="214"/>
      <c r="JGE746" s="214"/>
      <c r="JGF746" s="214"/>
      <c r="JGG746" s="214"/>
      <c r="JGH746" s="214"/>
      <c r="JGI746" s="214"/>
      <c r="JGJ746" s="214"/>
      <c r="JGK746" s="214"/>
      <c r="JGL746" s="214"/>
      <c r="JGM746" s="214"/>
      <c r="JGN746" s="214"/>
      <c r="JGO746" s="214"/>
      <c r="JGP746" s="214"/>
      <c r="JGQ746" s="214"/>
      <c r="JGR746" s="214"/>
      <c r="JGS746" s="214"/>
      <c r="JGT746" s="214"/>
      <c r="JGU746" s="214"/>
      <c r="JGV746" s="214"/>
      <c r="JGW746" s="214"/>
      <c r="JGX746" s="214"/>
      <c r="JGY746" s="214"/>
      <c r="JGZ746" s="214"/>
      <c r="JHA746" s="214"/>
      <c r="JHB746" s="214"/>
      <c r="JHC746" s="214"/>
      <c r="JHD746" s="214"/>
      <c r="JHE746" s="214"/>
      <c r="JHF746" s="214"/>
      <c r="JHG746" s="214"/>
      <c r="JHH746" s="214"/>
      <c r="JHI746" s="214"/>
      <c r="JHJ746" s="214"/>
      <c r="JHK746" s="214"/>
      <c r="JHL746" s="214"/>
      <c r="JHM746" s="214"/>
      <c r="JHN746" s="214"/>
      <c r="JHO746" s="214"/>
      <c r="JHP746" s="214"/>
      <c r="JHQ746" s="214"/>
      <c r="JHR746" s="214"/>
      <c r="JHS746" s="214"/>
      <c r="JHT746" s="214"/>
      <c r="JHU746" s="214"/>
      <c r="JHV746" s="214"/>
      <c r="JHW746" s="214"/>
      <c r="JHX746" s="214"/>
      <c r="JHY746" s="214"/>
      <c r="JHZ746" s="214"/>
      <c r="JIA746" s="214"/>
      <c r="JIB746" s="214"/>
      <c r="JIC746" s="214"/>
      <c r="JID746" s="214"/>
      <c r="JIE746" s="214"/>
      <c r="JIF746" s="214"/>
      <c r="JIG746" s="214"/>
      <c r="JIH746" s="214"/>
      <c r="JII746" s="214"/>
      <c r="JIJ746" s="214"/>
      <c r="JIK746" s="214"/>
      <c r="JIL746" s="214"/>
      <c r="JIM746" s="214"/>
      <c r="JIN746" s="214"/>
      <c r="JIO746" s="214"/>
      <c r="JIP746" s="214"/>
      <c r="JIQ746" s="214"/>
      <c r="JIR746" s="214"/>
      <c r="JIS746" s="214"/>
      <c r="JIT746" s="214"/>
      <c r="JIU746" s="214"/>
      <c r="JIV746" s="214"/>
      <c r="JIW746" s="214"/>
      <c r="JIX746" s="214"/>
      <c r="JIY746" s="214"/>
      <c r="JIZ746" s="214"/>
      <c r="JJA746" s="214"/>
      <c r="JJB746" s="214"/>
      <c r="JJC746" s="214"/>
      <c r="JJD746" s="214"/>
      <c r="JJE746" s="214"/>
      <c r="JJF746" s="214"/>
      <c r="JJG746" s="214"/>
      <c r="JJH746" s="214"/>
      <c r="JJI746" s="214"/>
      <c r="JJJ746" s="214"/>
      <c r="JJK746" s="214"/>
      <c r="JJL746" s="214"/>
      <c r="JJM746" s="214"/>
      <c r="JJN746" s="214"/>
      <c r="JJO746" s="214"/>
      <c r="JJP746" s="214"/>
      <c r="JJQ746" s="214"/>
      <c r="JJR746" s="214"/>
      <c r="JJS746" s="214"/>
      <c r="JJT746" s="214"/>
      <c r="JJU746" s="214"/>
      <c r="JJV746" s="214"/>
      <c r="JJW746" s="214"/>
      <c r="JJX746" s="214"/>
      <c r="JJY746" s="214"/>
      <c r="JJZ746" s="214"/>
      <c r="JKA746" s="214"/>
      <c r="JKB746" s="214"/>
      <c r="JKC746" s="214"/>
      <c r="JKD746" s="214"/>
      <c r="JKE746" s="214"/>
      <c r="JKF746" s="214"/>
      <c r="JKG746" s="214"/>
      <c r="JKH746" s="214"/>
      <c r="JKI746" s="214"/>
      <c r="JKJ746" s="214"/>
      <c r="JKK746" s="214"/>
      <c r="JKL746" s="214"/>
      <c r="JKM746" s="214"/>
      <c r="JKN746" s="214"/>
      <c r="JKO746" s="214"/>
      <c r="JKP746" s="214"/>
      <c r="JKQ746" s="214"/>
      <c r="JKR746" s="214"/>
      <c r="JKS746" s="214"/>
      <c r="JKT746" s="214"/>
      <c r="JKU746" s="214"/>
      <c r="JKV746" s="214"/>
      <c r="JKW746" s="214"/>
      <c r="JKX746" s="214"/>
      <c r="JKY746" s="214"/>
      <c r="JKZ746" s="214"/>
      <c r="JLA746" s="214"/>
      <c r="JLB746" s="214"/>
      <c r="JLC746" s="214"/>
      <c r="JLD746" s="214"/>
      <c r="JLE746" s="214"/>
      <c r="JLF746" s="214"/>
      <c r="JLG746" s="214"/>
      <c r="JLH746" s="214"/>
      <c r="JLI746" s="214"/>
      <c r="JLJ746" s="214"/>
      <c r="JLK746" s="214"/>
      <c r="JLL746" s="214"/>
      <c r="JLM746" s="214"/>
      <c r="JLN746" s="214"/>
      <c r="JLO746" s="214"/>
      <c r="JLP746" s="214"/>
      <c r="JLQ746" s="214"/>
      <c r="JLR746" s="214"/>
      <c r="JLS746" s="214"/>
      <c r="JLT746" s="214"/>
      <c r="JLU746" s="214"/>
      <c r="JLV746" s="214"/>
      <c r="JLW746" s="214"/>
      <c r="JLX746" s="214"/>
      <c r="JLY746" s="214"/>
      <c r="JLZ746" s="214"/>
      <c r="JMA746" s="214"/>
      <c r="JMB746" s="214"/>
      <c r="JMC746" s="214"/>
      <c r="JMD746" s="214"/>
      <c r="JME746" s="214"/>
      <c r="JMF746" s="214"/>
      <c r="JMG746" s="214"/>
      <c r="JMH746" s="214"/>
      <c r="JMI746" s="214"/>
      <c r="JMJ746" s="214"/>
      <c r="JMK746" s="214"/>
      <c r="JML746" s="214"/>
      <c r="JMM746" s="214"/>
      <c r="JMN746" s="214"/>
      <c r="JMO746" s="214"/>
      <c r="JMP746" s="214"/>
      <c r="JMQ746" s="214"/>
      <c r="JMR746" s="214"/>
      <c r="JMS746" s="214"/>
      <c r="JMT746" s="214"/>
      <c r="JMU746" s="214"/>
      <c r="JMV746" s="214"/>
      <c r="JMW746" s="214"/>
      <c r="JMX746" s="214"/>
      <c r="JMY746" s="214"/>
      <c r="JMZ746" s="214"/>
      <c r="JNA746" s="214"/>
      <c r="JNB746" s="214"/>
      <c r="JNC746" s="214"/>
      <c r="JND746" s="214"/>
      <c r="JNE746" s="214"/>
      <c r="JNF746" s="214"/>
      <c r="JNG746" s="214"/>
      <c r="JNH746" s="214"/>
      <c r="JNI746" s="214"/>
      <c r="JNJ746" s="214"/>
      <c r="JNK746" s="214"/>
      <c r="JNL746" s="214"/>
      <c r="JNM746" s="214"/>
      <c r="JNN746" s="214"/>
      <c r="JNO746" s="214"/>
      <c r="JNP746" s="214"/>
      <c r="JNQ746" s="214"/>
      <c r="JNR746" s="214"/>
      <c r="JNS746" s="214"/>
      <c r="JNT746" s="214"/>
      <c r="JNU746" s="214"/>
      <c r="JNV746" s="214"/>
      <c r="JNW746" s="214"/>
      <c r="JNX746" s="214"/>
      <c r="JNY746" s="214"/>
      <c r="JNZ746" s="214"/>
      <c r="JOA746" s="214"/>
      <c r="JOB746" s="214"/>
      <c r="JOC746" s="214"/>
      <c r="JOD746" s="214"/>
      <c r="JOE746" s="214"/>
      <c r="JOF746" s="214"/>
      <c r="JOG746" s="214"/>
      <c r="JOH746" s="214"/>
      <c r="JOI746" s="214"/>
      <c r="JOJ746" s="214"/>
      <c r="JOK746" s="214"/>
      <c r="JOL746" s="214"/>
      <c r="JOM746" s="214"/>
      <c r="JON746" s="214"/>
      <c r="JOO746" s="214"/>
      <c r="JOP746" s="214"/>
      <c r="JOQ746" s="214"/>
      <c r="JOR746" s="214"/>
      <c r="JOS746" s="214"/>
      <c r="JOT746" s="214"/>
      <c r="JOU746" s="214"/>
      <c r="JOV746" s="214"/>
      <c r="JOW746" s="214"/>
      <c r="JOX746" s="214"/>
      <c r="JOY746" s="214"/>
      <c r="JOZ746" s="214"/>
      <c r="JPA746" s="214"/>
      <c r="JPB746" s="214"/>
      <c r="JPC746" s="214"/>
      <c r="JPD746" s="214"/>
      <c r="JPE746" s="214"/>
      <c r="JPF746" s="214"/>
      <c r="JPG746" s="214"/>
      <c r="JPH746" s="214"/>
      <c r="JPI746" s="214"/>
      <c r="JPJ746" s="214"/>
      <c r="JPK746" s="214"/>
      <c r="JPL746" s="214"/>
      <c r="JPM746" s="214"/>
      <c r="JPN746" s="214"/>
      <c r="JPO746" s="214"/>
      <c r="JPP746" s="214"/>
      <c r="JPQ746" s="214"/>
      <c r="JPR746" s="214"/>
      <c r="JPS746" s="214"/>
      <c r="JPT746" s="214"/>
      <c r="JPU746" s="214"/>
      <c r="JPV746" s="214"/>
      <c r="JPW746" s="214"/>
      <c r="JPX746" s="214"/>
      <c r="JPY746" s="214"/>
      <c r="JPZ746" s="214"/>
      <c r="JQA746" s="214"/>
      <c r="JQB746" s="214"/>
      <c r="JQC746" s="214"/>
      <c r="JQD746" s="214"/>
      <c r="JQE746" s="214"/>
      <c r="JQF746" s="214"/>
      <c r="JQG746" s="214"/>
      <c r="JQH746" s="214"/>
      <c r="JQI746" s="214"/>
      <c r="JQJ746" s="214"/>
      <c r="JQK746" s="214"/>
      <c r="JQL746" s="214"/>
      <c r="JQM746" s="214"/>
      <c r="JQN746" s="214"/>
      <c r="JQO746" s="214"/>
      <c r="JQP746" s="214"/>
      <c r="JQQ746" s="214"/>
      <c r="JQR746" s="214"/>
      <c r="JQS746" s="214"/>
      <c r="JQT746" s="214"/>
      <c r="JQU746" s="214"/>
      <c r="JQV746" s="214"/>
      <c r="JQW746" s="214"/>
      <c r="JQX746" s="214"/>
      <c r="JQY746" s="214"/>
      <c r="JQZ746" s="214"/>
      <c r="JRA746" s="214"/>
      <c r="JRB746" s="214"/>
      <c r="JRC746" s="214"/>
      <c r="JRD746" s="214"/>
      <c r="JRE746" s="214"/>
      <c r="JRF746" s="214"/>
      <c r="JRG746" s="214"/>
      <c r="JRH746" s="214"/>
      <c r="JRI746" s="214"/>
      <c r="JRJ746" s="214"/>
      <c r="JRK746" s="214"/>
      <c r="JRL746" s="214"/>
      <c r="JRM746" s="214"/>
      <c r="JRN746" s="214"/>
      <c r="JRO746" s="214"/>
      <c r="JRP746" s="214"/>
      <c r="JRQ746" s="214"/>
      <c r="JRR746" s="214"/>
      <c r="JRS746" s="214"/>
      <c r="JRT746" s="214"/>
      <c r="JRU746" s="214"/>
      <c r="JRV746" s="214"/>
      <c r="JRW746" s="214"/>
      <c r="JRX746" s="214"/>
      <c r="JRY746" s="214"/>
      <c r="JRZ746" s="214"/>
      <c r="JSA746" s="214"/>
      <c r="JSB746" s="214"/>
      <c r="JSC746" s="214"/>
      <c r="JSD746" s="214"/>
      <c r="JSE746" s="214"/>
      <c r="JSF746" s="214"/>
      <c r="JSG746" s="214"/>
      <c r="JSH746" s="214"/>
      <c r="JSI746" s="214"/>
      <c r="JSJ746" s="214"/>
      <c r="JSK746" s="214"/>
      <c r="JSL746" s="214"/>
      <c r="JSM746" s="214"/>
      <c r="JSN746" s="214"/>
      <c r="JSO746" s="214"/>
      <c r="JSP746" s="214"/>
      <c r="JSQ746" s="214"/>
      <c r="JSR746" s="214"/>
      <c r="JSS746" s="214"/>
      <c r="JST746" s="214"/>
      <c r="JSU746" s="214"/>
      <c r="JSV746" s="214"/>
      <c r="JSW746" s="214"/>
      <c r="JSX746" s="214"/>
      <c r="JSY746" s="214"/>
      <c r="JSZ746" s="214"/>
      <c r="JTA746" s="214"/>
      <c r="JTB746" s="214"/>
      <c r="JTC746" s="214"/>
      <c r="JTD746" s="214"/>
      <c r="JTE746" s="214"/>
      <c r="JTF746" s="214"/>
      <c r="JTG746" s="214"/>
      <c r="JTH746" s="214"/>
      <c r="JTI746" s="214"/>
      <c r="JTJ746" s="214"/>
      <c r="JTK746" s="214"/>
      <c r="JTL746" s="214"/>
      <c r="JTM746" s="214"/>
      <c r="JTN746" s="214"/>
      <c r="JTO746" s="214"/>
      <c r="JTP746" s="214"/>
      <c r="JTQ746" s="214"/>
      <c r="JTR746" s="214"/>
      <c r="JTS746" s="214"/>
      <c r="JTT746" s="214"/>
      <c r="JTU746" s="214"/>
      <c r="JTV746" s="214"/>
      <c r="JTW746" s="214"/>
      <c r="JTX746" s="214"/>
      <c r="JTY746" s="214"/>
      <c r="JTZ746" s="214"/>
      <c r="JUA746" s="214"/>
      <c r="JUB746" s="214"/>
      <c r="JUC746" s="214"/>
      <c r="JUD746" s="214"/>
      <c r="JUE746" s="214"/>
      <c r="JUF746" s="214"/>
      <c r="JUG746" s="214"/>
      <c r="JUH746" s="214"/>
      <c r="JUI746" s="214"/>
      <c r="JUJ746" s="214"/>
      <c r="JUK746" s="214"/>
      <c r="JUL746" s="214"/>
      <c r="JUM746" s="214"/>
      <c r="JUN746" s="214"/>
      <c r="JUO746" s="214"/>
      <c r="JUP746" s="214"/>
      <c r="JUQ746" s="214"/>
      <c r="JUR746" s="214"/>
      <c r="JUS746" s="214"/>
      <c r="JUT746" s="214"/>
      <c r="JUU746" s="214"/>
      <c r="JUV746" s="214"/>
      <c r="JUW746" s="214"/>
      <c r="JUX746" s="214"/>
      <c r="JUY746" s="214"/>
      <c r="JUZ746" s="214"/>
      <c r="JVA746" s="214"/>
      <c r="JVB746" s="214"/>
      <c r="JVC746" s="214"/>
      <c r="JVD746" s="214"/>
      <c r="JVE746" s="214"/>
      <c r="JVF746" s="214"/>
      <c r="JVG746" s="214"/>
      <c r="JVH746" s="214"/>
      <c r="JVI746" s="214"/>
      <c r="JVJ746" s="214"/>
      <c r="JVK746" s="214"/>
      <c r="JVL746" s="214"/>
      <c r="JVM746" s="214"/>
      <c r="JVN746" s="214"/>
      <c r="JVO746" s="214"/>
      <c r="JVP746" s="214"/>
      <c r="JVQ746" s="214"/>
      <c r="JVR746" s="214"/>
      <c r="JVS746" s="214"/>
      <c r="JVT746" s="214"/>
      <c r="JVU746" s="214"/>
      <c r="JVV746" s="214"/>
      <c r="JVW746" s="214"/>
      <c r="JVX746" s="214"/>
      <c r="JVY746" s="214"/>
      <c r="JVZ746" s="214"/>
      <c r="JWA746" s="214"/>
      <c r="JWB746" s="214"/>
      <c r="JWC746" s="214"/>
      <c r="JWD746" s="214"/>
      <c r="JWE746" s="214"/>
      <c r="JWF746" s="214"/>
      <c r="JWG746" s="214"/>
      <c r="JWH746" s="214"/>
      <c r="JWI746" s="214"/>
      <c r="JWJ746" s="214"/>
      <c r="JWK746" s="214"/>
      <c r="JWL746" s="214"/>
      <c r="JWM746" s="214"/>
      <c r="JWN746" s="214"/>
      <c r="JWO746" s="214"/>
      <c r="JWP746" s="214"/>
      <c r="JWQ746" s="214"/>
      <c r="JWR746" s="214"/>
      <c r="JWS746" s="214"/>
      <c r="JWT746" s="214"/>
      <c r="JWU746" s="214"/>
      <c r="JWV746" s="214"/>
      <c r="JWW746" s="214"/>
      <c r="JWX746" s="214"/>
      <c r="JWY746" s="214"/>
      <c r="JWZ746" s="214"/>
      <c r="JXA746" s="214"/>
      <c r="JXB746" s="214"/>
      <c r="JXC746" s="214"/>
      <c r="JXD746" s="214"/>
      <c r="JXE746" s="214"/>
      <c r="JXF746" s="214"/>
      <c r="JXG746" s="214"/>
      <c r="JXH746" s="214"/>
      <c r="JXI746" s="214"/>
      <c r="JXJ746" s="214"/>
      <c r="JXK746" s="214"/>
      <c r="JXL746" s="214"/>
      <c r="JXM746" s="214"/>
      <c r="JXN746" s="214"/>
      <c r="JXO746" s="214"/>
      <c r="JXP746" s="214"/>
      <c r="JXQ746" s="214"/>
      <c r="JXR746" s="214"/>
      <c r="JXS746" s="214"/>
      <c r="JXT746" s="214"/>
      <c r="JXU746" s="214"/>
      <c r="JXV746" s="214"/>
      <c r="JXW746" s="214"/>
      <c r="JXX746" s="214"/>
      <c r="JXY746" s="214"/>
      <c r="JXZ746" s="214"/>
      <c r="JYA746" s="214"/>
      <c r="JYB746" s="214"/>
      <c r="JYC746" s="214"/>
      <c r="JYD746" s="214"/>
      <c r="JYE746" s="214"/>
      <c r="JYF746" s="214"/>
      <c r="JYG746" s="214"/>
      <c r="JYH746" s="214"/>
      <c r="JYI746" s="214"/>
      <c r="JYJ746" s="214"/>
      <c r="JYK746" s="214"/>
      <c r="JYL746" s="214"/>
      <c r="JYM746" s="214"/>
      <c r="JYN746" s="214"/>
      <c r="JYO746" s="214"/>
      <c r="JYP746" s="214"/>
      <c r="JYQ746" s="214"/>
      <c r="JYR746" s="214"/>
      <c r="JYS746" s="214"/>
      <c r="JYT746" s="214"/>
      <c r="JYU746" s="214"/>
      <c r="JYV746" s="214"/>
      <c r="JYW746" s="214"/>
      <c r="JYX746" s="214"/>
      <c r="JYY746" s="214"/>
      <c r="JYZ746" s="214"/>
      <c r="JZA746" s="214"/>
      <c r="JZB746" s="214"/>
      <c r="JZC746" s="214"/>
      <c r="JZD746" s="214"/>
      <c r="JZE746" s="214"/>
      <c r="JZF746" s="214"/>
      <c r="JZG746" s="214"/>
      <c r="JZH746" s="214"/>
      <c r="JZI746" s="214"/>
      <c r="JZJ746" s="214"/>
      <c r="JZK746" s="214"/>
      <c r="JZL746" s="214"/>
      <c r="JZM746" s="214"/>
      <c r="JZN746" s="214"/>
      <c r="JZO746" s="214"/>
      <c r="JZP746" s="214"/>
      <c r="JZQ746" s="214"/>
      <c r="JZR746" s="214"/>
      <c r="JZS746" s="214"/>
      <c r="JZT746" s="214"/>
      <c r="JZU746" s="214"/>
      <c r="JZV746" s="214"/>
      <c r="JZW746" s="214"/>
      <c r="JZX746" s="214"/>
      <c r="JZY746" s="214"/>
      <c r="JZZ746" s="214"/>
      <c r="KAA746" s="214"/>
      <c r="KAB746" s="214"/>
      <c r="KAC746" s="214"/>
      <c r="KAD746" s="214"/>
      <c r="KAE746" s="214"/>
      <c r="KAF746" s="214"/>
      <c r="KAG746" s="214"/>
      <c r="KAH746" s="214"/>
      <c r="KAI746" s="214"/>
      <c r="KAJ746" s="214"/>
      <c r="KAK746" s="214"/>
      <c r="KAL746" s="214"/>
      <c r="KAM746" s="214"/>
      <c r="KAN746" s="214"/>
      <c r="KAO746" s="214"/>
      <c r="KAP746" s="214"/>
      <c r="KAQ746" s="214"/>
      <c r="KAR746" s="214"/>
      <c r="KAS746" s="214"/>
      <c r="KAT746" s="214"/>
      <c r="KAU746" s="214"/>
      <c r="KAV746" s="214"/>
      <c r="KAW746" s="214"/>
      <c r="KAX746" s="214"/>
      <c r="KAY746" s="214"/>
      <c r="KAZ746" s="214"/>
      <c r="KBA746" s="214"/>
      <c r="KBB746" s="214"/>
      <c r="KBC746" s="214"/>
      <c r="KBD746" s="214"/>
      <c r="KBE746" s="214"/>
      <c r="KBF746" s="214"/>
      <c r="KBG746" s="214"/>
      <c r="KBH746" s="214"/>
      <c r="KBI746" s="214"/>
      <c r="KBJ746" s="214"/>
      <c r="KBK746" s="214"/>
      <c r="KBL746" s="214"/>
      <c r="KBM746" s="214"/>
      <c r="KBN746" s="214"/>
      <c r="KBO746" s="214"/>
      <c r="KBP746" s="214"/>
      <c r="KBQ746" s="214"/>
      <c r="KBR746" s="214"/>
      <c r="KBS746" s="214"/>
      <c r="KBT746" s="214"/>
      <c r="KBU746" s="214"/>
      <c r="KBV746" s="214"/>
      <c r="KBW746" s="214"/>
      <c r="KBX746" s="214"/>
      <c r="KBY746" s="214"/>
      <c r="KBZ746" s="214"/>
      <c r="KCA746" s="214"/>
      <c r="KCB746" s="214"/>
      <c r="KCC746" s="214"/>
      <c r="KCD746" s="214"/>
      <c r="KCE746" s="214"/>
      <c r="KCF746" s="214"/>
      <c r="KCG746" s="214"/>
      <c r="KCH746" s="214"/>
      <c r="KCI746" s="214"/>
      <c r="KCJ746" s="214"/>
      <c r="KCK746" s="214"/>
      <c r="KCL746" s="214"/>
      <c r="KCM746" s="214"/>
      <c r="KCN746" s="214"/>
      <c r="KCO746" s="214"/>
      <c r="KCP746" s="214"/>
      <c r="KCQ746" s="214"/>
      <c r="KCR746" s="214"/>
      <c r="KCS746" s="214"/>
      <c r="KCT746" s="214"/>
      <c r="KCU746" s="214"/>
      <c r="KCV746" s="214"/>
      <c r="KCW746" s="214"/>
      <c r="KCX746" s="214"/>
      <c r="KCY746" s="214"/>
      <c r="KCZ746" s="214"/>
      <c r="KDA746" s="214"/>
      <c r="KDB746" s="214"/>
      <c r="KDC746" s="214"/>
      <c r="KDD746" s="214"/>
      <c r="KDE746" s="214"/>
      <c r="KDF746" s="214"/>
      <c r="KDG746" s="214"/>
      <c r="KDH746" s="214"/>
      <c r="KDI746" s="214"/>
      <c r="KDJ746" s="214"/>
      <c r="KDK746" s="214"/>
      <c r="KDL746" s="214"/>
      <c r="KDM746" s="214"/>
      <c r="KDN746" s="214"/>
      <c r="KDO746" s="214"/>
      <c r="KDP746" s="214"/>
      <c r="KDQ746" s="214"/>
      <c r="KDR746" s="214"/>
      <c r="KDS746" s="214"/>
      <c r="KDT746" s="214"/>
      <c r="KDU746" s="214"/>
      <c r="KDV746" s="214"/>
      <c r="KDW746" s="214"/>
      <c r="KDX746" s="214"/>
      <c r="KDY746" s="214"/>
      <c r="KDZ746" s="214"/>
      <c r="KEA746" s="214"/>
      <c r="KEB746" s="214"/>
      <c r="KEC746" s="214"/>
      <c r="KED746" s="214"/>
      <c r="KEE746" s="214"/>
      <c r="KEF746" s="214"/>
      <c r="KEG746" s="214"/>
      <c r="KEH746" s="214"/>
      <c r="KEI746" s="214"/>
      <c r="KEJ746" s="214"/>
      <c r="KEK746" s="214"/>
      <c r="KEL746" s="214"/>
      <c r="KEM746" s="214"/>
      <c r="KEN746" s="214"/>
      <c r="KEO746" s="214"/>
      <c r="KEP746" s="214"/>
      <c r="KEQ746" s="214"/>
      <c r="KER746" s="214"/>
      <c r="KES746" s="214"/>
      <c r="KET746" s="214"/>
      <c r="KEU746" s="214"/>
      <c r="KEV746" s="214"/>
      <c r="KEW746" s="214"/>
      <c r="KEX746" s="214"/>
      <c r="KEY746" s="214"/>
      <c r="KEZ746" s="214"/>
      <c r="KFA746" s="214"/>
      <c r="KFB746" s="214"/>
      <c r="KFC746" s="214"/>
      <c r="KFD746" s="214"/>
      <c r="KFE746" s="214"/>
      <c r="KFF746" s="214"/>
      <c r="KFG746" s="214"/>
      <c r="KFH746" s="214"/>
      <c r="KFI746" s="214"/>
      <c r="KFJ746" s="214"/>
      <c r="KFK746" s="214"/>
      <c r="KFL746" s="214"/>
      <c r="KFM746" s="214"/>
      <c r="KFN746" s="214"/>
      <c r="KFO746" s="214"/>
      <c r="KFP746" s="214"/>
      <c r="KFQ746" s="214"/>
      <c r="KFR746" s="214"/>
      <c r="KFS746" s="214"/>
      <c r="KFT746" s="214"/>
      <c r="KFU746" s="214"/>
      <c r="KFV746" s="214"/>
      <c r="KFW746" s="214"/>
      <c r="KFX746" s="214"/>
      <c r="KFY746" s="214"/>
      <c r="KFZ746" s="214"/>
      <c r="KGA746" s="214"/>
      <c r="KGB746" s="214"/>
      <c r="KGC746" s="214"/>
      <c r="KGD746" s="214"/>
      <c r="KGE746" s="214"/>
      <c r="KGF746" s="214"/>
      <c r="KGG746" s="214"/>
      <c r="KGH746" s="214"/>
      <c r="KGI746" s="214"/>
      <c r="KGJ746" s="214"/>
      <c r="KGK746" s="214"/>
      <c r="KGL746" s="214"/>
      <c r="KGM746" s="214"/>
      <c r="KGN746" s="214"/>
      <c r="KGO746" s="214"/>
      <c r="KGP746" s="214"/>
      <c r="KGQ746" s="214"/>
      <c r="KGR746" s="214"/>
      <c r="KGS746" s="214"/>
      <c r="KGT746" s="214"/>
      <c r="KGU746" s="214"/>
      <c r="KGV746" s="214"/>
      <c r="KGW746" s="214"/>
      <c r="KGX746" s="214"/>
      <c r="KGY746" s="214"/>
      <c r="KGZ746" s="214"/>
      <c r="KHA746" s="214"/>
      <c r="KHB746" s="214"/>
      <c r="KHC746" s="214"/>
      <c r="KHD746" s="214"/>
      <c r="KHE746" s="214"/>
      <c r="KHF746" s="214"/>
      <c r="KHG746" s="214"/>
      <c r="KHH746" s="214"/>
      <c r="KHI746" s="214"/>
      <c r="KHJ746" s="214"/>
      <c r="KHK746" s="214"/>
      <c r="KHL746" s="214"/>
      <c r="KHM746" s="214"/>
      <c r="KHN746" s="214"/>
      <c r="KHO746" s="214"/>
      <c r="KHP746" s="214"/>
      <c r="KHQ746" s="214"/>
      <c r="KHR746" s="214"/>
      <c r="KHS746" s="214"/>
      <c r="KHT746" s="214"/>
      <c r="KHU746" s="214"/>
      <c r="KHV746" s="214"/>
      <c r="KHW746" s="214"/>
      <c r="KHX746" s="214"/>
      <c r="KHY746" s="214"/>
      <c r="KHZ746" s="214"/>
      <c r="KIA746" s="214"/>
      <c r="KIB746" s="214"/>
      <c r="KIC746" s="214"/>
      <c r="KID746" s="214"/>
      <c r="KIE746" s="214"/>
      <c r="KIF746" s="214"/>
      <c r="KIG746" s="214"/>
      <c r="KIH746" s="214"/>
      <c r="KII746" s="214"/>
      <c r="KIJ746" s="214"/>
      <c r="KIK746" s="214"/>
      <c r="KIL746" s="214"/>
      <c r="KIM746" s="214"/>
      <c r="KIN746" s="214"/>
      <c r="KIO746" s="214"/>
      <c r="KIP746" s="214"/>
      <c r="KIQ746" s="214"/>
      <c r="KIR746" s="214"/>
      <c r="KIS746" s="214"/>
      <c r="KIT746" s="214"/>
      <c r="KIU746" s="214"/>
      <c r="KIV746" s="214"/>
      <c r="KIW746" s="214"/>
      <c r="KIX746" s="214"/>
      <c r="KIY746" s="214"/>
      <c r="KIZ746" s="214"/>
      <c r="KJA746" s="214"/>
      <c r="KJB746" s="214"/>
      <c r="KJC746" s="214"/>
      <c r="KJD746" s="214"/>
      <c r="KJE746" s="214"/>
      <c r="KJF746" s="214"/>
      <c r="KJG746" s="214"/>
      <c r="KJH746" s="214"/>
      <c r="KJI746" s="214"/>
      <c r="KJJ746" s="214"/>
      <c r="KJK746" s="214"/>
      <c r="KJL746" s="214"/>
      <c r="KJM746" s="214"/>
      <c r="KJN746" s="214"/>
      <c r="KJO746" s="214"/>
      <c r="KJP746" s="214"/>
      <c r="KJQ746" s="214"/>
      <c r="KJR746" s="214"/>
      <c r="KJS746" s="214"/>
      <c r="KJT746" s="214"/>
      <c r="KJU746" s="214"/>
      <c r="KJV746" s="214"/>
      <c r="KJW746" s="214"/>
      <c r="KJX746" s="214"/>
      <c r="KJY746" s="214"/>
      <c r="KJZ746" s="214"/>
      <c r="KKA746" s="214"/>
      <c r="KKB746" s="214"/>
      <c r="KKC746" s="214"/>
      <c r="KKD746" s="214"/>
      <c r="KKE746" s="214"/>
      <c r="KKF746" s="214"/>
      <c r="KKG746" s="214"/>
      <c r="KKH746" s="214"/>
      <c r="KKI746" s="214"/>
      <c r="KKJ746" s="214"/>
      <c r="KKK746" s="214"/>
      <c r="KKL746" s="214"/>
      <c r="KKM746" s="214"/>
      <c r="KKN746" s="214"/>
      <c r="KKO746" s="214"/>
      <c r="KKP746" s="214"/>
      <c r="KKQ746" s="214"/>
      <c r="KKR746" s="214"/>
      <c r="KKS746" s="214"/>
      <c r="KKT746" s="214"/>
      <c r="KKU746" s="214"/>
      <c r="KKV746" s="214"/>
      <c r="KKW746" s="214"/>
      <c r="KKX746" s="214"/>
      <c r="KKY746" s="214"/>
      <c r="KKZ746" s="214"/>
      <c r="KLA746" s="214"/>
      <c r="KLB746" s="214"/>
      <c r="KLC746" s="214"/>
      <c r="KLD746" s="214"/>
      <c r="KLE746" s="214"/>
      <c r="KLF746" s="214"/>
      <c r="KLG746" s="214"/>
      <c r="KLH746" s="214"/>
      <c r="KLI746" s="214"/>
      <c r="KLJ746" s="214"/>
      <c r="KLK746" s="214"/>
      <c r="KLL746" s="214"/>
      <c r="KLM746" s="214"/>
      <c r="KLN746" s="214"/>
      <c r="KLO746" s="214"/>
      <c r="KLP746" s="214"/>
      <c r="KLQ746" s="214"/>
      <c r="KLR746" s="214"/>
      <c r="KLS746" s="214"/>
      <c r="KLT746" s="214"/>
      <c r="KLU746" s="214"/>
      <c r="KLV746" s="214"/>
      <c r="KLW746" s="214"/>
      <c r="KLX746" s="214"/>
      <c r="KLY746" s="214"/>
      <c r="KLZ746" s="214"/>
      <c r="KMA746" s="214"/>
      <c r="KMB746" s="214"/>
      <c r="KMC746" s="214"/>
      <c r="KMD746" s="214"/>
      <c r="KME746" s="214"/>
      <c r="KMF746" s="214"/>
      <c r="KMG746" s="214"/>
      <c r="KMH746" s="214"/>
      <c r="KMI746" s="214"/>
      <c r="KMJ746" s="214"/>
      <c r="KMK746" s="214"/>
      <c r="KML746" s="214"/>
      <c r="KMM746" s="214"/>
      <c r="KMN746" s="214"/>
      <c r="KMO746" s="214"/>
      <c r="KMP746" s="214"/>
      <c r="KMQ746" s="214"/>
      <c r="KMR746" s="214"/>
      <c r="KMS746" s="214"/>
      <c r="KMT746" s="214"/>
      <c r="KMU746" s="214"/>
      <c r="KMV746" s="214"/>
      <c r="KMW746" s="214"/>
      <c r="KMX746" s="214"/>
      <c r="KMY746" s="214"/>
      <c r="KMZ746" s="214"/>
      <c r="KNA746" s="214"/>
      <c r="KNB746" s="214"/>
      <c r="KNC746" s="214"/>
      <c r="KND746" s="214"/>
      <c r="KNE746" s="214"/>
      <c r="KNF746" s="214"/>
      <c r="KNG746" s="214"/>
      <c r="KNH746" s="214"/>
      <c r="KNI746" s="214"/>
      <c r="KNJ746" s="214"/>
      <c r="KNK746" s="214"/>
      <c r="KNL746" s="214"/>
      <c r="KNM746" s="214"/>
      <c r="KNN746" s="214"/>
      <c r="KNO746" s="214"/>
      <c r="KNP746" s="214"/>
      <c r="KNQ746" s="214"/>
      <c r="KNR746" s="214"/>
      <c r="KNS746" s="214"/>
      <c r="KNT746" s="214"/>
      <c r="KNU746" s="214"/>
      <c r="KNV746" s="214"/>
      <c r="KNW746" s="214"/>
      <c r="KNX746" s="214"/>
      <c r="KNY746" s="214"/>
      <c r="KNZ746" s="214"/>
      <c r="KOA746" s="214"/>
      <c r="KOB746" s="214"/>
      <c r="KOC746" s="214"/>
      <c r="KOD746" s="214"/>
      <c r="KOE746" s="214"/>
      <c r="KOF746" s="214"/>
      <c r="KOG746" s="214"/>
      <c r="KOH746" s="214"/>
      <c r="KOI746" s="214"/>
      <c r="KOJ746" s="214"/>
      <c r="KOK746" s="214"/>
      <c r="KOL746" s="214"/>
      <c r="KOM746" s="214"/>
      <c r="KON746" s="214"/>
      <c r="KOO746" s="214"/>
      <c r="KOP746" s="214"/>
      <c r="KOQ746" s="214"/>
      <c r="KOR746" s="214"/>
      <c r="KOS746" s="214"/>
      <c r="KOT746" s="214"/>
      <c r="KOU746" s="214"/>
      <c r="KOV746" s="214"/>
      <c r="KOW746" s="214"/>
      <c r="KOX746" s="214"/>
      <c r="KOY746" s="214"/>
      <c r="KOZ746" s="214"/>
      <c r="KPA746" s="214"/>
      <c r="KPB746" s="214"/>
      <c r="KPC746" s="214"/>
      <c r="KPD746" s="214"/>
      <c r="KPE746" s="214"/>
      <c r="KPF746" s="214"/>
      <c r="KPG746" s="214"/>
      <c r="KPH746" s="214"/>
      <c r="KPI746" s="214"/>
      <c r="KPJ746" s="214"/>
      <c r="KPK746" s="214"/>
      <c r="KPL746" s="214"/>
      <c r="KPM746" s="214"/>
      <c r="KPN746" s="214"/>
      <c r="KPO746" s="214"/>
      <c r="KPP746" s="214"/>
      <c r="KPQ746" s="214"/>
      <c r="KPR746" s="214"/>
      <c r="KPS746" s="214"/>
      <c r="KPT746" s="214"/>
      <c r="KPU746" s="214"/>
      <c r="KPV746" s="214"/>
      <c r="KPW746" s="214"/>
      <c r="KPX746" s="214"/>
      <c r="KPY746" s="214"/>
      <c r="KPZ746" s="214"/>
      <c r="KQA746" s="214"/>
      <c r="KQB746" s="214"/>
      <c r="KQC746" s="214"/>
      <c r="KQD746" s="214"/>
      <c r="KQE746" s="214"/>
      <c r="KQF746" s="214"/>
      <c r="KQG746" s="214"/>
      <c r="KQH746" s="214"/>
      <c r="KQI746" s="214"/>
      <c r="KQJ746" s="214"/>
      <c r="KQK746" s="214"/>
      <c r="KQL746" s="214"/>
      <c r="KQM746" s="214"/>
      <c r="KQN746" s="214"/>
      <c r="KQO746" s="214"/>
      <c r="KQP746" s="214"/>
      <c r="KQQ746" s="214"/>
      <c r="KQR746" s="214"/>
      <c r="KQS746" s="214"/>
      <c r="KQT746" s="214"/>
      <c r="KQU746" s="214"/>
      <c r="KQV746" s="214"/>
      <c r="KQW746" s="214"/>
      <c r="KQX746" s="214"/>
      <c r="KQY746" s="214"/>
      <c r="KQZ746" s="214"/>
      <c r="KRA746" s="214"/>
      <c r="KRB746" s="214"/>
      <c r="KRC746" s="214"/>
      <c r="KRD746" s="214"/>
      <c r="KRE746" s="214"/>
      <c r="KRF746" s="214"/>
      <c r="KRG746" s="214"/>
      <c r="KRH746" s="214"/>
      <c r="KRI746" s="214"/>
      <c r="KRJ746" s="214"/>
      <c r="KRK746" s="214"/>
      <c r="KRL746" s="214"/>
      <c r="KRM746" s="214"/>
      <c r="KRN746" s="214"/>
      <c r="KRO746" s="214"/>
      <c r="KRP746" s="214"/>
      <c r="KRQ746" s="214"/>
      <c r="KRR746" s="214"/>
      <c r="KRS746" s="214"/>
      <c r="KRT746" s="214"/>
      <c r="KRU746" s="214"/>
      <c r="KRV746" s="214"/>
      <c r="KRW746" s="214"/>
      <c r="KRX746" s="214"/>
      <c r="KRY746" s="214"/>
      <c r="KRZ746" s="214"/>
      <c r="KSA746" s="214"/>
      <c r="KSB746" s="214"/>
      <c r="KSC746" s="214"/>
      <c r="KSD746" s="214"/>
      <c r="KSE746" s="214"/>
      <c r="KSF746" s="214"/>
      <c r="KSG746" s="214"/>
      <c r="KSH746" s="214"/>
      <c r="KSI746" s="214"/>
      <c r="KSJ746" s="214"/>
      <c r="KSK746" s="214"/>
      <c r="KSL746" s="214"/>
      <c r="KSM746" s="214"/>
      <c r="KSN746" s="214"/>
      <c r="KSO746" s="214"/>
      <c r="KSP746" s="214"/>
      <c r="KSQ746" s="214"/>
      <c r="KSR746" s="214"/>
      <c r="KSS746" s="214"/>
      <c r="KST746" s="214"/>
      <c r="KSU746" s="214"/>
      <c r="KSV746" s="214"/>
      <c r="KSW746" s="214"/>
      <c r="KSX746" s="214"/>
      <c r="KSY746" s="214"/>
      <c r="KSZ746" s="214"/>
      <c r="KTA746" s="214"/>
      <c r="KTB746" s="214"/>
      <c r="KTC746" s="214"/>
      <c r="KTD746" s="214"/>
      <c r="KTE746" s="214"/>
      <c r="KTF746" s="214"/>
      <c r="KTG746" s="214"/>
      <c r="KTH746" s="214"/>
      <c r="KTI746" s="214"/>
      <c r="KTJ746" s="214"/>
      <c r="KTK746" s="214"/>
      <c r="KTL746" s="214"/>
      <c r="KTM746" s="214"/>
      <c r="KTN746" s="214"/>
      <c r="KTO746" s="214"/>
      <c r="KTP746" s="214"/>
      <c r="KTQ746" s="214"/>
      <c r="KTR746" s="214"/>
      <c r="KTS746" s="214"/>
      <c r="KTT746" s="214"/>
      <c r="KTU746" s="214"/>
      <c r="KTV746" s="214"/>
      <c r="KTW746" s="214"/>
      <c r="KTX746" s="214"/>
      <c r="KTY746" s="214"/>
      <c r="KTZ746" s="214"/>
      <c r="KUA746" s="214"/>
      <c r="KUB746" s="214"/>
      <c r="KUC746" s="214"/>
      <c r="KUD746" s="214"/>
      <c r="KUE746" s="214"/>
      <c r="KUF746" s="214"/>
      <c r="KUG746" s="214"/>
      <c r="KUH746" s="214"/>
      <c r="KUI746" s="214"/>
      <c r="KUJ746" s="214"/>
      <c r="KUK746" s="214"/>
      <c r="KUL746" s="214"/>
      <c r="KUM746" s="214"/>
      <c r="KUN746" s="214"/>
      <c r="KUO746" s="214"/>
      <c r="KUP746" s="214"/>
      <c r="KUQ746" s="214"/>
      <c r="KUR746" s="214"/>
      <c r="KUS746" s="214"/>
      <c r="KUT746" s="214"/>
      <c r="KUU746" s="214"/>
      <c r="KUV746" s="214"/>
      <c r="KUW746" s="214"/>
      <c r="KUX746" s="214"/>
      <c r="KUY746" s="214"/>
      <c r="KUZ746" s="214"/>
      <c r="KVA746" s="214"/>
      <c r="KVB746" s="214"/>
      <c r="KVC746" s="214"/>
      <c r="KVD746" s="214"/>
      <c r="KVE746" s="214"/>
      <c r="KVF746" s="214"/>
      <c r="KVG746" s="214"/>
      <c r="KVH746" s="214"/>
      <c r="KVI746" s="214"/>
      <c r="KVJ746" s="214"/>
      <c r="KVK746" s="214"/>
      <c r="KVL746" s="214"/>
      <c r="KVM746" s="214"/>
      <c r="KVN746" s="214"/>
      <c r="KVO746" s="214"/>
      <c r="KVP746" s="214"/>
      <c r="KVQ746" s="214"/>
      <c r="KVR746" s="214"/>
      <c r="KVS746" s="214"/>
      <c r="KVT746" s="214"/>
      <c r="KVU746" s="214"/>
      <c r="KVV746" s="214"/>
      <c r="KVW746" s="214"/>
      <c r="KVX746" s="214"/>
      <c r="KVY746" s="214"/>
      <c r="KVZ746" s="214"/>
      <c r="KWA746" s="214"/>
      <c r="KWB746" s="214"/>
      <c r="KWC746" s="214"/>
      <c r="KWD746" s="214"/>
      <c r="KWE746" s="214"/>
      <c r="KWF746" s="214"/>
      <c r="KWG746" s="214"/>
      <c r="KWH746" s="214"/>
      <c r="KWI746" s="214"/>
      <c r="KWJ746" s="214"/>
      <c r="KWK746" s="214"/>
      <c r="KWL746" s="214"/>
      <c r="KWM746" s="214"/>
      <c r="KWN746" s="214"/>
      <c r="KWO746" s="214"/>
      <c r="KWP746" s="214"/>
      <c r="KWQ746" s="214"/>
      <c r="KWR746" s="214"/>
      <c r="KWS746" s="214"/>
      <c r="KWT746" s="214"/>
      <c r="KWU746" s="214"/>
      <c r="KWV746" s="214"/>
      <c r="KWW746" s="214"/>
      <c r="KWX746" s="214"/>
      <c r="KWY746" s="214"/>
      <c r="KWZ746" s="214"/>
      <c r="KXA746" s="214"/>
      <c r="KXB746" s="214"/>
      <c r="KXC746" s="214"/>
      <c r="KXD746" s="214"/>
      <c r="KXE746" s="214"/>
      <c r="KXF746" s="214"/>
      <c r="KXG746" s="214"/>
      <c r="KXH746" s="214"/>
      <c r="KXI746" s="214"/>
      <c r="KXJ746" s="214"/>
      <c r="KXK746" s="214"/>
      <c r="KXL746" s="214"/>
      <c r="KXM746" s="214"/>
      <c r="KXN746" s="214"/>
      <c r="KXO746" s="214"/>
      <c r="KXP746" s="214"/>
      <c r="KXQ746" s="214"/>
      <c r="KXR746" s="214"/>
      <c r="KXS746" s="214"/>
      <c r="KXT746" s="214"/>
      <c r="KXU746" s="214"/>
      <c r="KXV746" s="214"/>
      <c r="KXW746" s="214"/>
      <c r="KXX746" s="214"/>
      <c r="KXY746" s="214"/>
      <c r="KXZ746" s="214"/>
      <c r="KYA746" s="214"/>
      <c r="KYB746" s="214"/>
      <c r="KYC746" s="214"/>
      <c r="KYD746" s="214"/>
      <c r="KYE746" s="214"/>
      <c r="KYF746" s="214"/>
      <c r="KYG746" s="214"/>
      <c r="KYH746" s="214"/>
      <c r="KYI746" s="214"/>
      <c r="KYJ746" s="214"/>
      <c r="KYK746" s="214"/>
      <c r="KYL746" s="214"/>
      <c r="KYM746" s="214"/>
      <c r="KYN746" s="214"/>
      <c r="KYO746" s="214"/>
      <c r="KYP746" s="214"/>
      <c r="KYQ746" s="214"/>
      <c r="KYR746" s="214"/>
      <c r="KYS746" s="214"/>
      <c r="KYT746" s="214"/>
      <c r="KYU746" s="214"/>
      <c r="KYV746" s="214"/>
      <c r="KYW746" s="214"/>
      <c r="KYX746" s="214"/>
      <c r="KYY746" s="214"/>
      <c r="KYZ746" s="214"/>
      <c r="KZA746" s="214"/>
      <c r="KZB746" s="214"/>
      <c r="KZC746" s="214"/>
      <c r="KZD746" s="214"/>
      <c r="KZE746" s="214"/>
      <c r="KZF746" s="214"/>
      <c r="KZG746" s="214"/>
      <c r="KZH746" s="214"/>
      <c r="KZI746" s="214"/>
      <c r="KZJ746" s="214"/>
      <c r="KZK746" s="214"/>
      <c r="KZL746" s="214"/>
      <c r="KZM746" s="214"/>
      <c r="KZN746" s="214"/>
      <c r="KZO746" s="214"/>
      <c r="KZP746" s="214"/>
      <c r="KZQ746" s="214"/>
      <c r="KZR746" s="214"/>
      <c r="KZS746" s="214"/>
      <c r="KZT746" s="214"/>
      <c r="KZU746" s="214"/>
      <c r="KZV746" s="214"/>
      <c r="KZW746" s="214"/>
      <c r="KZX746" s="214"/>
      <c r="KZY746" s="214"/>
      <c r="KZZ746" s="214"/>
      <c r="LAA746" s="214"/>
      <c r="LAB746" s="214"/>
      <c r="LAC746" s="214"/>
      <c r="LAD746" s="214"/>
      <c r="LAE746" s="214"/>
      <c r="LAF746" s="214"/>
      <c r="LAG746" s="214"/>
      <c r="LAH746" s="214"/>
      <c r="LAI746" s="214"/>
      <c r="LAJ746" s="214"/>
      <c r="LAK746" s="214"/>
      <c r="LAL746" s="214"/>
      <c r="LAM746" s="214"/>
      <c r="LAN746" s="214"/>
      <c r="LAO746" s="214"/>
      <c r="LAP746" s="214"/>
      <c r="LAQ746" s="214"/>
      <c r="LAR746" s="214"/>
      <c r="LAS746" s="214"/>
      <c r="LAT746" s="214"/>
      <c r="LAU746" s="214"/>
      <c r="LAV746" s="214"/>
      <c r="LAW746" s="214"/>
      <c r="LAX746" s="214"/>
      <c r="LAY746" s="214"/>
      <c r="LAZ746" s="214"/>
      <c r="LBA746" s="214"/>
      <c r="LBB746" s="214"/>
      <c r="LBC746" s="214"/>
      <c r="LBD746" s="214"/>
      <c r="LBE746" s="214"/>
      <c r="LBF746" s="214"/>
      <c r="LBG746" s="214"/>
      <c r="LBH746" s="214"/>
      <c r="LBI746" s="214"/>
      <c r="LBJ746" s="214"/>
      <c r="LBK746" s="214"/>
      <c r="LBL746" s="214"/>
      <c r="LBM746" s="214"/>
      <c r="LBN746" s="214"/>
      <c r="LBO746" s="214"/>
      <c r="LBP746" s="214"/>
      <c r="LBQ746" s="214"/>
      <c r="LBR746" s="214"/>
      <c r="LBS746" s="214"/>
      <c r="LBT746" s="214"/>
      <c r="LBU746" s="214"/>
      <c r="LBV746" s="214"/>
      <c r="LBW746" s="214"/>
      <c r="LBX746" s="214"/>
      <c r="LBY746" s="214"/>
      <c r="LBZ746" s="214"/>
      <c r="LCA746" s="214"/>
      <c r="LCB746" s="214"/>
      <c r="LCC746" s="214"/>
      <c r="LCD746" s="214"/>
      <c r="LCE746" s="214"/>
      <c r="LCF746" s="214"/>
      <c r="LCG746" s="214"/>
      <c r="LCH746" s="214"/>
      <c r="LCI746" s="214"/>
      <c r="LCJ746" s="214"/>
      <c r="LCK746" s="214"/>
      <c r="LCL746" s="214"/>
      <c r="LCM746" s="214"/>
      <c r="LCN746" s="214"/>
      <c r="LCO746" s="214"/>
      <c r="LCP746" s="214"/>
      <c r="LCQ746" s="214"/>
      <c r="LCR746" s="214"/>
      <c r="LCS746" s="214"/>
      <c r="LCT746" s="214"/>
      <c r="LCU746" s="214"/>
      <c r="LCV746" s="214"/>
      <c r="LCW746" s="214"/>
      <c r="LCX746" s="214"/>
      <c r="LCY746" s="214"/>
      <c r="LCZ746" s="214"/>
      <c r="LDA746" s="214"/>
      <c r="LDB746" s="214"/>
      <c r="LDC746" s="214"/>
      <c r="LDD746" s="214"/>
      <c r="LDE746" s="214"/>
      <c r="LDF746" s="214"/>
      <c r="LDG746" s="214"/>
      <c r="LDH746" s="214"/>
      <c r="LDI746" s="214"/>
      <c r="LDJ746" s="214"/>
      <c r="LDK746" s="214"/>
      <c r="LDL746" s="214"/>
      <c r="LDM746" s="214"/>
      <c r="LDN746" s="214"/>
      <c r="LDO746" s="214"/>
      <c r="LDP746" s="214"/>
      <c r="LDQ746" s="214"/>
      <c r="LDR746" s="214"/>
      <c r="LDS746" s="214"/>
      <c r="LDT746" s="214"/>
      <c r="LDU746" s="214"/>
      <c r="LDV746" s="214"/>
      <c r="LDW746" s="214"/>
      <c r="LDX746" s="214"/>
      <c r="LDY746" s="214"/>
      <c r="LDZ746" s="214"/>
      <c r="LEA746" s="214"/>
      <c r="LEB746" s="214"/>
      <c r="LEC746" s="214"/>
      <c r="LED746" s="214"/>
      <c r="LEE746" s="214"/>
      <c r="LEF746" s="214"/>
      <c r="LEG746" s="214"/>
      <c r="LEH746" s="214"/>
      <c r="LEI746" s="214"/>
      <c r="LEJ746" s="214"/>
      <c r="LEK746" s="214"/>
      <c r="LEL746" s="214"/>
      <c r="LEM746" s="214"/>
      <c r="LEN746" s="214"/>
      <c r="LEO746" s="214"/>
      <c r="LEP746" s="214"/>
      <c r="LEQ746" s="214"/>
      <c r="LER746" s="214"/>
      <c r="LES746" s="214"/>
      <c r="LET746" s="214"/>
      <c r="LEU746" s="214"/>
      <c r="LEV746" s="214"/>
      <c r="LEW746" s="214"/>
      <c r="LEX746" s="214"/>
      <c r="LEY746" s="214"/>
      <c r="LEZ746" s="214"/>
      <c r="LFA746" s="214"/>
      <c r="LFB746" s="214"/>
      <c r="LFC746" s="214"/>
      <c r="LFD746" s="214"/>
      <c r="LFE746" s="214"/>
      <c r="LFF746" s="214"/>
      <c r="LFG746" s="214"/>
      <c r="LFH746" s="214"/>
      <c r="LFI746" s="214"/>
      <c r="LFJ746" s="214"/>
      <c r="LFK746" s="214"/>
      <c r="LFL746" s="214"/>
      <c r="LFM746" s="214"/>
      <c r="LFN746" s="214"/>
      <c r="LFO746" s="214"/>
      <c r="LFP746" s="214"/>
      <c r="LFQ746" s="214"/>
      <c r="LFR746" s="214"/>
      <c r="LFS746" s="214"/>
      <c r="LFT746" s="214"/>
      <c r="LFU746" s="214"/>
      <c r="LFV746" s="214"/>
      <c r="LFW746" s="214"/>
      <c r="LFX746" s="214"/>
      <c r="LFY746" s="214"/>
      <c r="LFZ746" s="214"/>
      <c r="LGA746" s="214"/>
      <c r="LGB746" s="214"/>
      <c r="LGC746" s="214"/>
      <c r="LGD746" s="214"/>
      <c r="LGE746" s="214"/>
      <c r="LGF746" s="214"/>
      <c r="LGG746" s="214"/>
      <c r="LGH746" s="214"/>
      <c r="LGI746" s="214"/>
      <c r="LGJ746" s="214"/>
      <c r="LGK746" s="214"/>
      <c r="LGL746" s="214"/>
      <c r="LGM746" s="214"/>
      <c r="LGN746" s="214"/>
      <c r="LGO746" s="214"/>
      <c r="LGP746" s="214"/>
      <c r="LGQ746" s="214"/>
      <c r="LGR746" s="214"/>
      <c r="LGS746" s="214"/>
      <c r="LGT746" s="214"/>
      <c r="LGU746" s="214"/>
      <c r="LGV746" s="214"/>
      <c r="LGW746" s="214"/>
      <c r="LGX746" s="214"/>
      <c r="LGY746" s="214"/>
      <c r="LGZ746" s="214"/>
      <c r="LHA746" s="214"/>
      <c r="LHB746" s="214"/>
      <c r="LHC746" s="214"/>
      <c r="LHD746" s="214"/>
      <c r="LHE746" s="214"/>
      <c r="LHF746" s="214"/>
      <c r="LHG746" s="214"/>
      <c r="LHH746" s="214"/>
      <c r="LHI746" s="214"/>
      <c r="LHJ746" s="214"/>
      <c r="LHK746" s="214"/>
      <c r="LHL746" s="214"/>
      <c r="LHM746" s="214"/>
      <c r="LHN746" s="214"/>
      <c r="LHO746" s="214"/>
      <c r="LHP746" s="214"/>
      <c r="LHQ746" s="214"/>
      <c r="LHR746" s="214"/>
      <c r="LHS746" s="214"/>
      <c r="LHT746" s="214"/>
      <c r="LHU746" s="214"/>
      <c r="LHV746" s="214"/>
      <c r="LHW746" s="214"/>
      <c r="LHX746" s="214"/>
      <c r="LHY746" s="214"/>
      <c r="LHZ746" s="214"/>
      <c r="LIA746" s="214"/>
      <c r="LIB746" s="214"/>
      <c r="LIC746" s="214"/>
      <c r="LID746" s="214"/>
      <c r="LIE746" s="214"/>
      <c r="LIF746" s="214"/>
      <c r="LIG746" s="214"/>
      <c r="LIH746" s="214"/>
      <c r="LII746" s="214"/>
      <c r="LIJ746" s="214"/>
      <c r="LIK746" s="214"/>
      <c r="LIL746" s="214"/>
      <c r="LIM746" s="214"/>
      <c r="LIN746" s="214"/>
      <c r="LIO746" s="214"/>
      <c r="LIP746" s="214"/>
      <c r="LIQ746" s="214"/>
      <c r="LIR746" s="214"/>
      <c r="LIS746" s="214"/>
      <c r="LIT746" s="214"/>
      <c r="LIU746" s="214"/>
      <c r="LIV746" s="214"/>
      <c r="LIW746" s="214"/>
      <c r="LIX746" s="214"/>
      <c r="LIY746" s="214"/>
      <c r="LIZ746" s="214"/>
      <c r="LJA746" s="214"/>
      <c r="LJB746" s="214"/>
      <c r="LJC746" s="214"/>
      <c r="LJD746" s="214"/>
      <c r="LJE746" s="214"/>
      <c r="LJF746" s="214"/>
      <c r="LJG746" s="214"/>
      <c r="LJH746" s="214"/>
      <c r="LJI746" s="214"/>
      <c r="LJJ746" s="214"/>
      <c r="LJK746" s="214"/>
      <c r="LJL746" s="214"/>
      <c r="LJM746" s="214"/>
      <c r="LJN746" s="214"/>
      <c r="LJO746" s="214"/>
      <c r="LJP746" s="214"/>
      <c r="LJQ746" s="214"/>
      <c r="LJR746" s="214"/>
      <c r="LJS746" s="214"/>
      <c r="LJT746" s="214"/>
      <c r="LJU746" s="214"/>
      <c r="LJV746" s="214"/>
      <c r="LJW746" s="214"/>
      <c r="LJX746" s="214"/>
      <c r="LJY746" s="214"/>
      <c r="LJZ746" s="214"/>
      <c r="LKA746" s="214"/>
      <c r="LKB746" s="214"/>
      <c r="LKC746" s="214"/>
      <c r="LKD746" s="214"/>
      <c r="LKE746" s="214"/>
      <c r="LKF746" s="214"/>
      <c r="LKG746" s="214"/>
      <c r="LKH746" s="214"/>
      <c r="LKI746" s="214"/>
      <c r="LKJ746" s="214"/>
      <c r="LKK746" s="214"/>
      <c r="LKL746" s="214"/>
      <c r="LKM746" s="214"/>
      <c r="LKN746" s="214"/>
      <c r="LKO746" s="214"/>
      <c r="LKP746" s="214"/>
      <c r="LKQ746" s="214"/>
      <c r="LKR746" s="214"/>
      <c r="LKS746" s="214"/>
      <c r="LKT746" s="214"/>
      <c r="LKU746" s="214"/>
      <c r="LKV746" s="214"/>
      <c r="LKW746" s="214"/>
      <c r="LKX746" s="214"/>
      <c r="LKY746" s="214"/>
      <c r="LKZ746" s="214"/>
      <c r="LLA746" s="214"/>
      <c r="LLB746" s="214"/>
      <c r="LLC746" s="214"/>
      <c r="LLD746" s="214"/>
      <c r="LLE746" s="214"/>
      <c r="LLF746" s="214"/>
      <c r="LLG746" s="214"/>
      <c r="LLH746" s="214"/>
      <c r="LLI746" s="214"/>
      <c r="LLJ746" s="214"/>
      <c r="LLK746" s="214"/>
      <c r="LLL746" s="214"/>
      <c r="LLM746" s="214"/>
      <c r="LLN746" s="214"/>
      <c r="LLO746" s="214"/>
      <c r="LLP746" s="214"/>
      <c r="LLQ746" s="214"/>
      <c r="LLR746" s="214"/>
      <c r="LLS746" s="214"/>
      <c r="LLT746" s="214"/>
      <c r="LLU746" s="214"/>
      <c r="LLV746" s="214"/>
      <c r="LLW746" s="214"/>
      <c r="LLX746" s="214"/>
      <c r="LLY746" s="214"/>
      <c r="LLZ746" s="214"/>
      <c r="LMA746" s="214"/>
      <c r="LMB746" s="214"/>
      <c r="LMC746" s="214"/>
      <c r="LMD746" s="214"/>
      <c r="LME746" s="214"/>
      <c r="LMF746" s="214"/>
      <c r="LMG746" s="214"/>
      <c r="LMH746" s="214"/>
      <c r="LMI746" s="214"/>
      <c r="LMJ746" s="214"/>
      <c r="LMK746" s="214"/>
      <c r="LML746" s="214"/>
      <c r="LMM746" s="214"/>
      <c r="LMN746" s="214"/>
      <c r="LMO746" s="214"/>
      <c r="LMP746" s="214"/>
      <c r="LMQ746" s="214"/>
      <c r="LMR746" s="214"/>
      <c r="LMS746" s="214"/>
      <c r="LMT746" s="214"/>
      <c r="LMU746" s="214"/>
      <c r="LMV746" s="214"/>
      <c r="LMW746" s="214"/>
      <c r="LMX746" s="214"/>
      <c r="LMY746" s="214"/>
      <c r="LMZ746" s="214"/>
      <c r="LNA746" s="214"/>
      <c r="LNB746" s="214"/>
      <c r="LNC746" s="214"/>
      <c r="LND746" s="214"/>
      <c r="LNE746" s="214"/>
      <c r="LNF746" s="214"/>
      <c r="LNG746" s="214"/>
      <c r="LNH746" s="214"/>
      <c r="LNI746" s="214"/>
      <c r="LNJ746" s="214"/>
      <c r="LNK746" s="214"/>
      <c r="LNL746" s="214"/>
      <c r="LNM746" s="214"/>
      <c r="LNN746" s="214"/>
      <c r="LNO746" s="214"/>
      <c r="LNP746" s="214"/>
      <c r="LNQ746" s="214"/>
      <c r="LNR746" s="214"/>
      <c r="LNS746" s="214"/>
      <c r="LNT746" s="214"/>
      <c r="LNU746" s="214"/>
      <c r="LNV746" s="214"/>
      <c r="LNW746" s="214"/>
      <c r="LNX746" s="214"/>
      <c r="LNY746" s="214"/>
      <c r="LNZ746" s="214"/>
      <c r="LOA746" s="214"/>
      <c r="LOB746" s="214"/>
      <c r="LOC746" s="214"/>
      <c r="LOD746" s="214"/>
      <c r="LOE746" s="214"/>
      <c r="LOF746" s="214"/>
      <c r="LOG746" s="214"/>
      <c r="LOH746" s="214"/>
      <c r="LOI746" s="214"/>
      <c r="LOJ746" s="214"/>
      <c r="LOK746" s="214"/>
      <c r="LOL746" s="214"/>
      <c r="LOM746" s="214"/>
      <c r="LON746" s="214"/>
      <c r="LOO746" s="214"/>
      <c r="LOP746" s="214"/>
      <c r="LOQ746" s="214"/>
      <c r="LOR746" s="214"/>
      <c r="LOS746" s="214"/>
      <c r="LOT746" s="214"/>
      <c r="LOU746" s="214"/>
      <c r="LOV746" s="214"/>
      <c r="LOW746" s="214"/>
      <c r="LOX746" s="214"/>
      <c r="LOY746" s="214"/>
      <c r="LOZ746" s="214"/>
      <c r="LPA746" s="214"/>
      <c r="LPB746" s="214"/>
      <c r="LPC746" s="214"/>
      <c r="LPD746" s="214"/>
      <c r="LPE746" s="214"/>
      <c r="LPF746" s="214"/>
      <c r="LPG746" s="214"/>
      <c r="LPH746" s="214"/>
      <c r="LPI746" s="214"/>
      <c r="LPJ746" s="214"/>
      <c r="LPK746" s="214"/>
      <c r="LPL746" s="214"/>
      <c r="LPM746" s="214"/>
      <c r="LPN746" s="214"/>
      <c r="LPO746" s="214"/>
      <c r="LPP746" s="214"/>
      <c r="LPQ746" s="214"/>
      <c r="LPR746" s="214"/>
      <c r="LPS746" s="214"/>
      <c r="LPT746" s="214"/>
      <c r="LPU746" s="214"/>
      <c r="LPV746" s="214"/>
      <c r="LPW746" s="214"/>
      <c r="LPX746" s="214"/>
      <c r="LPY746" s="214"/>
      <c r="LPZ746" s="214"/>
      <c r="LQA746" s="214"/>
      <c r="LQB746" s="214"/>
      <c r="LQC746" s="214"/>
      <c r="LQD746" s="214"/>
      <c r="LQE746" s="214"/>
      <c r="LQF746" s="214"/>
      <c r="LQG746" s="214"/>
      <c r="LQH746" s="214"/>
      <c r="LQI746" s="214"/>
      <c r="LQJ746" s="214"/>
      <c r="LQK746" s="214"/>
      <c r="LQL746" s="214"/>
      <c r="LQM746" s="214"/>
      <c r="LQN746" s="214"/>
      <c r="LQO746" s="214"/>
      <c r="LQP746" s="214"/>
      <c r="LQQ746" s="214"/>
      <c r="LQR746" s="214"/>
      <c r="LQS746" s="214"/>
      <c r="LQT746" s="214"/>
      <c r="LQU746" s="214"/>
      <c r="LQV746" s="214"/>
      <c r="LQW746" s="214"/>
      <c r="LQX746" s="214"/>
      <c r="LQY746" s="214"/>
      <c r="LQZ746" s="214"/>
      <c r="LRA746" s="214"/>
      <c r="LRB746" s="214"/>
      <c r="LRC746" s="214"/>
      <c r="LRD746" s="214"/>
      <c r="LRE746" s="214"/>
      <c r="LRF746" s="214"/>
      <c r="LRG746" s="214"/>
      <c r="LRH746" s="214"/>
      <c r="LRI746" s="214"/>
      <c r="LRJ746" s="214"/>
      <c r="LRK746" s="214"/>
      <c r="LRL746" s="214"/>
      <c r="LRM746" s="214"/>
      <c r="LRN746" s="214"/>
      <c r="LRO746" s="214"/>
      <c r="LRP746" s="214"/>
      <c r="LRQ746" s="214"/>
      <c r="LRR746" s="214"/>
      <c r="LRS746" s="214"/>
      <c r="LRT746" s="214"/>
      <c r="LRU746" s="214"/>
      <c r="LRV746" s="214"/>
      <c r="LRW746" s="214"/>
      <c r="LRX746" s="214"/>
      <c r="LRY746" s="214"/>
      <c r="LRZ746" s="214"/>
      <c r="LSA746" s="214"/>
      <c r="LSB746" s="214"/>
      <c r="LSC746" s="214"/>
      <c r="LSD746" s="214"/>
      <c r="LSE746" s="214"/>
      <c r="LSF746" s="214"/>
      <c r="LSG746" s="214"/>
      <c r="LSH746" s="214"/>
      <c r="LSI746" s="214"/>
      <c r="LSJ746" s="214"/>
      <c r="LSK746" s="214"/>
      <c r="LSL746" s="214"/>
      <c r="LSM746" s="214"/>
      <c r="LSN746" s="214"/>
      <c r="LSO746" s="214"/>
      <c r="LSP746" s="214"/>
      <c r="LSQ746" s="214"/>
      <c r="LSR746" s="214"/>
      <c r="LSS746" s="214"/>
      <c r="LST746" s="214"/>
      <c r="LSU746" s="214"/>
      <c r="LSV746" s="214"/>
      <c r="LSW746" s="214"/>
      <c r="LSX746" s="214"/>
      <c r="LSY746" s="214"/>
      <c r="LSZ746" s="214"/>
      <c r="LTA746" s="214"/>
      <c r="LTB746" s="214"/>
      <c r="LTC746" s="214"/>
      <c r="LTD746" s="214"/>
      <c r="LTE746" s="214"/>
      <c r="LTF746" s="214"/>
      <c r="LTG746" s="214"/>
      <c r="LTH746" s="214"/>
      <c r="LTI746" s="214"/>
      <c r="LTJ746" s="214"/>
      <c r="LTK746" s="214"/>
      <c r="LTL746" s="214"/>
      <c r="LTM746" s="214"/>
      <c r="LTN746" s="214"/>
      <c r="LTO746" s="214"/>
      <c r="LTP746" s="214"/>
      <c r="LTQ746" s="214"/>
      <c r="LTR746" s="214"/>
      <c r="LTS746" s="214"/>
      <c r="LTT746" s="214"/>
      <c r="LTU746" s="214"/>
      <c r="LTV746" s="214"/>
      <c r="LTW746" s="214"/>
      <c r="LTX746" s="214"/>
      <c r="LTY746" s="214"/>
      <c r="LTZ746" s="214"/>
      <c r="LUA746" s="214"/>
      <c r="LUB746" s="214"/>
      <c r="LUC746" s="214"/>
      <c r="LUD746" s="214"/>
      <c r="LUE746" s="214"/>
      <c r="LUF746" s="214"/>
      <c r="LUG746" s="214"/>
      <c r="LUH746" s="214"/>
      <c r="LUI746" s="214"/>
      <c r="LUJ746" s="214"/>
      <c r="LUK746" s="214"/>
      <c r="LUL746" s="214"/>
      <c r="LUM746" s="214"/>
      <c r="LUN746" s="214"/>
      <c r="LUO746" s="214"/>
      <c r="LUP746" s="214"/>
      <c r="LUQ746" s="214"/>
      <c r="LUR746" s="214"/>
      <c r="LUS746" s="214"/>
      <c r="LUT746" s="214"/>
      <c r="LUU746" s="214"/>
      <c r="LUV746" s="214"/>
      <c r="LUW746" s="214"/>
      <c r="LUX746" s="214"/>
      <c r="LUY746" s="214"/>
      <c r="LUZ746" s="214"/>
      <c r="LVA746" s="214"/>
      <c r="LVB746" s="214"/>
      <c r="LVC746" s="214"/>
      <c r="LVD746" s="214"/>
      <c r="LVE746" s="214"/>
      <c r="LVF746" s="214"/>
      <c r="LVG746" s="214"/>
      <c r="LVH746" s="214"/>
      <c r="LVI746" s="214"/>
      <c r="LVJ746" s="214"/>
      <c r="LVK746" s="214"/>
      <c r="LVL746" s="214"/>
      <c r="LVM746" s="214"/>
      <c r="LVN746" s="214"/>
      <c r="LVO746" s="214"/>
      <c r="LVP746" s="214"/>
      <c r="LVQ746" s="214"/>
      <c r="LVR746" s="214"/>
      <c r="LVS746" s="214"/>
      <c r="LVT746" s="214"/>
      <c r="LVU746" s="214"/>
      <c r="LVV746" s="214"/>
      <c r="LVW746" s="214"/>
      <c r="LVX746" s="214"/>
      <c r="LVY746" s="214"/>
      <c r="LVZ746" s="214"/>
      <c r="LWA746" s="214"/>
      <c r="LWB746" s="214"/>
      <c r="LWC746" s="214"/>
      <c r="LWD746" s="214"/>
      <c r="LWE746" s="214"/>
      <c r="LWF746" s="214"/>
      <c r="LWG746" s="214"/>
      <c r="LWH746" s="214"/>
      <c r="LWI746" s="214"/>
      <c r="LWJ746" s="214"/>
      <c r="LWK746" s="214"/>
      <c r="LWL746" s="214"/>
      <c r="LWM746" s="214"/>
      <c r="LWN746" s="214"/>
      <c r="LWO746" s="214"/>
      <c r="LWP746" s="214"/>
      <c r="LWQ746" s="214"/>
      <c r="LWR746" s="214"/>
      <c r="LWS746" s="214"/>
      <c r="LWT746" s="214"/>
      <c r="LWU746" s="214"/>
      <c r="LWV746" s="214"/>
      <c r="LWW746" s="214"/>
      <c r="LWX746" s="214"/>
      <c r="LWY746" s="214"/>
      <c r="LWZ746" s="214"/>
      <c r="LXA746" s="214"/>
      <c r="LXB746" s="214"/>
      <c r="LXC746" s="214"/>
      <c r="LXD746" s="214"/>
      <c r="LXE746" s="214"/>
      <c r="LXF746" s="214"/>
      <c r="LXG746" s="214"/>
      <c r="LXH746" s="214"/>
      <c r="LXI746" s="214"/>
      <c r="LXJ746" s="214"/>
      <c r="LXK746" s="214"/>
      <c r="LXL746" s="214"/>
      <c r="LXM746" s="214"/>
      <c r="LXN746" s="214"/>
      <c r="LXO746" s="214"/>
      <c r="LXP746" s="214"/>
      <c r="LXQ746" s="214"/>
      <c r="LXR746" s="214"/>
      <c r="LXS746" s="214"/>
      <c r="LXT746" s="214"/>
      <c r="LXU746" s="214"/>
      <c r="LXV746" s="214"/>
      <c r="LXW746" s="214"/>
      <c r="LXX746" s="214"/>
      <c r="LXY746" s="214"/>
      <c r="LXZ746" s="214"/>
      <c r="LYA746" s="214"/>
      <c r="LYB746" s="214"/>
      <c r="LYC746" s="214"/>
      <c r="LYD746" s="214"/>
      <c r="LYE746" s="214"/>
      <c r="LYF746" s="214"/>
      <c r="LYG746" s="214"/>
      <c r="LYH746" s="214"/>
      <c r="LYI746" s="214"/>
      <c r="LYJ746" s="214"/>
      <c r="LYK746" s="214"/>
      <c r="LYL746" s="214"/>
      <c r="LYM746" s="214"/>
      <c r="LYN746" s="214"/>
      <c r="LYO746" s="214"/>
      <c r="LYP746" s="214"/>
      <c r="LYQ746" s="214"/>
      <c r="LYR746" s="214"/>
      <c r="LYS746" s="214"/>
      <c r="LYT746" s="214"/>
      <c r="LYU746" s="214"/>
      <c r="LYV746" s="214"/>
      <c r="LYW746" s="214"/>
      <c r="LYX746" s="214"/>
      <c r="LYY746" s="214"/>
      <c r="LYZ746" s="214"/>
      <c r="LZA746" s="214"/>
      <c r="LZB746" s="214"/>
      <c r="LZC746" s="214"/>
      <c r="LZD746" s="214"/>
      <c r="LZE746" s="214"/>
      <c r="LZF746" s="214"/>
      <c r="LZG746" s="214"/>
      <c r="LZH746" s="214"/>
      <c r="LZI746" s="214"/>
      <c r="LZJ746" s="214"/>
      <c r="LZK746" s="214"/>
      <c r="LZL746" s="214"/>
      <c r="LZM746" s="214"/>
      <c r="LZN746" s="214"/>
      <c r="LZO746" s="214"/>
      <c r="LZP746" s="214"/>
      <c r="LZQ746" s="214"/>
      <c r="LZR746" s="214"/>
      <c r="LZS746" s="214"/>
      <c r="LZT746" s="214"/>
      <c r="LZU746" s="214"/>
      <c r="LZV746" s="214"/>
      <c r="LZW746" s="214"/>
      <c r="LZX746" s="214"/>
      <c r="LZY746" s="214"/>
      <c r="LZZ746" s="214"/>
      <c r="MAA746" s="214"/>
      <c r="MAB746" s="214"/>
      <c r="MAC746" s="214"/>
      <c r="MAD746" s="214"/>
      <c r="MAE746" s="214"/>
      <c r="MAF746" s="214"/>
      <c r="MAG746" s="214"/>
      <c r="MAH746" s="214"/>
      <c r="MAI746" s="214"/>
      <c r="MAJ746" s="214"/>
      <c r="MAK746" s="214"/>
      <c r="MAL746" s="214"/>
      <c r="MAM746" s="214"/>
      <c r="MAN746" s="214"/>
      <c r="MAO746" s="214"/>
      <c r="MAP746" s="214"/>
      <c r="MAQ746" s="214"/>
      <c r="MAR746" s="214"/>
      <c r="MAS746" s="214"/>
      <c r="MAT746" s="214"/>
      <c r="MAU746" s="214"/>
      <c r="MAV746" s="214"/>
      <c r="MAW746" s="214"/>
      <c r="MAX746" s="214"/>
      <c r="MAY746" s="214"/>
      <c r="MAZ746" s="214"/>
      <c r="MBA746" s="214"/>
      <c r="MBB746" s="214"/>
      <c r="MBC746" s="214"/>
      <c r="MBD746" s="214"/>
      <c r="MBE746" s="214"/>
      <c r="MBF746" s="214"/>
      <c r="MBG746" s="214"/>
      <c r="MBH746" s="214"/>
      <c r="MBI746" s="214"/>
      <c r="MBJ746" s="214"/>
      <c r="MBK746" s="214"/>
      <c r="MBL746" s="214"/>
      <c r="MBM746" s="214"/>
      <c r="MBN746" s="214"/>
      <c r="MBO746" s="214"/>
      <c r="MBP746" s="214"/>
      <c r="MBQ746" s="214"/>
      <c r="MBR746" s="214"/>
      <c r="MBS746" s="214"/>
      <c r="MBT746" s="214"/>
      <c r="MBU746" s="214"/>
      <c r="MBV746" s="214"/>
      <c r="MBW746" s="214"/>
      <c r="MBX746" s="214"/>
      <c r="MBY746" s="214"/>
      <c r="MBZ746" s="214"/>
      <c r="MCA746" s="214"/>
      <c r="MCB746" s="214"/>
      <c r="MCC746" s="214"/>
      <c r="MCD746" s="214"/>
      <c r="MCE746" s="214"/>
      <c r="MCF746" s="214"/>
      <c r="MCG746" s="214"/>
      <c r="MCH746" s="214"/>
      <c r="MCI746" s="214"/>
      <c r="MCJ746" s="214"/>
      <c r="MCK746" s="214"/>
      <c r="MCL746" s="214"/>
      <c r="MCM746" s="214"/>
      <c r="MCN746" s="214"/>
      <c r="MCO746" s="214"/>
      <c r="MCP746" s="214"/>
      <c r="MCQ746" s="214"/>
      <c r="MCR746" s="214"/>
      <c r="MCS746" s="214"/>
      <c r="MCT746" s="214"/>
      <c r="MCU746" s="214"/>
      <c r="MCV746" s="214"/>
      <c r="MCW746" s="214"/>
      <c r="MCX746" s="214"/>
      <c r="MCY746" s="214"/>
      <c r="MCZ746" s="214"/>
      <c r="MDA746" s="214"/>
      <c r="MDB746" s="214"/>
      <c r="MDC746" s="214"/>
      <c r="MDD746" s="214"/>
      <c r="MDE746" s="214"/>
      <c r="MDF746" s="214"/>
      <c r="MDG746" s="214"/>
      <c r="MDH746" s="214"/>
      <c r="MDI746" s="214"/>
      <c r="MDJ746" s="214"/>
      <c r="MDK746" s="214"/>
      <c r="MDL746" s="214"/>
      <c r="MDM746" s="214"/>
      <c r="MDN746" s="214"/>
      <c r="MDO746" s="214"/>
      <c r="MDP746" s="214"/>
      <c r="MDQ746" s="214"/>
      <c r="MDR746" s="214"/>
      <c r="MDS746" s="214"/>
      <c r="MDT746" s="214"/>
      <c r="MDU746" s="214"/>
      <c r="MDV746" s="214"/>
      <c r="MDW746" s="214"/>
      <c r="MDX746" s="214"/>
      <c r="MDY746" s="214"/>
      <c r="MDZ746" s="214"/>
      <c r="MEA746" s="214"/>
      <c r="MEB746" s="214"/>
      <c r="MEC746" s="214"/>
      <c r="MED746" s="214"/>
      <c r="MEE746" s="214"/>
      <c r="MEF746" s="214"/>
      <c r="MEG746" s="214"/>
      <c r="MEH746" s="214"/>
      <c r="MEI746" s="214"/>
      <c r="MEJ746" s="214"/>
      <c r="MEK746" s="214"/>
      <c r="MEL746" s="214"/>
      <c r="MEM746" s="214"/>
      <c r="MEN746" s="214"/>
      <c r="MEO746" s="214"/>
      <c r="MEP746" s="214"/>
      <c r="MEQ746" s="214"/>
      <c r="MER746" s="214"/>
      <c r="MES746" s="214"/>
      <c r="MET746" s="214"/>
      <c r="MEU746" s="214"/>
      <c r="MEV746" s="214"/>
      <c r="MEW746" s="214"/>
      <c r="MEX746" s="214"/>
      <c r="MEY746" s="214"/>
      <c r="MEZ746" s="214"/>
      <c r="MFA746" s="214"/>
      <c r="MFB746" s="214"/>
      <c r="MFC746" s="214"/>
      <c r="MFD746" s="214"/>
      <c r="MFE746" s="214"/>
      <c r="MFF746" s="214"/>
      <c r="MFG746" s="214"/>
      <c r="MFH746" s="214"/>
      <c r="MFI746" s="214"/>
      <c r="MFJ746" s="214"/>
      <c r="MFK746" s="214"/>
      <c r="MFL746" s="214"/>
      <c r="MFM746" s="214"/>
      <c r="MFN746" s="214"/>
      <c r="MFO746" s="214"/>
      <c r="MFP746" s="214"/>
      <c r="MFQ746" s="214"/>
      <c r="MFR746" s="214"/>
      <c r="MFS746" s="214"/>
      <c r="MFT746" s="214"/>
      <c r="MFU746" s="214"/>
      <c r="MFV746" s="214"/>
      <c r="MFW746" s="214"/>
      <c r="MFX746" s="214"/>
      <c r="MFY746" s="214"/>
      <c r="MFZ746" s="214"/>
      <c r="MGA746" s="214"/>
      <c r="MGB746" s="214"/>
      <c r="MGC746" s="214"/>
      <c r="MGD746" s="214"/>
      <c r="MGE746" s="214"/>
      <c r="MGF746" s="214"/>
      <c r="MGG746" s="214"/>
      <c r="MGH746" s="214"/>
      <c r="MGI746" s="214"/>
      <c r="MGJ746" s="214"/>
      <c r="MGK746" s="214"/>
      <c r="MGL746" s="214"/>
      <c r="MGM746" s="214"/>
      <c r="MGN746" s="214"/>
      <c r="MGO746" s="214"/>
      <c r="MGP746" s="214"/>
      <c r="MGQ746" s="214"/>
      <c r="MGR746" s="214"/>
      <c r="MGS746" s="214"/>
      <c r="MGT746" s="214"/>
      <c r="MGU746" s="214"/>
      <c r="MGV746" s="214"/>
      <c r="MGW746" s="214"/>
      <c r="MGX746" s="214"/>
      <c r="MGY746" s="214"/>
      <c r="MGZ746" s="214"/>
      <c r="MHA746" s="214"/>
      <c r="MHB746" s="214"/>
      <c r="MHC746" s="214"/>
      <c r="MHD746" s="214"/>
      <c r="MHE746" s="214"/>
      <c r="MHF746" s="214"/>
      <c r="MHG746" s="214"/>
      <c r="MHH746" s="214"/>
      <c r="MHI746" s="214"/>
      <c r="MHJ746" s="214"/>
      <c r="MHK746" s="214"/>
      <c r="MHL746" s="214"/>
      <c r="MHM746" s="214"/>
      <c r="MHN746" s="214"/>
      <c r="MHO746" s="214"/>
      <c r="MHP746" s="214"/>
      <c r="MHQ746" s="214"/>
      <c r="MHR746" s="214"/>
      <c r="MHS746" s="214"/>
      <c r="MHT746" s="214"/>
      <c r="MHU746" s="214"/>
      <c r="MHV746" s="214"/>
      <c r="MHW746" s="214"/>
      <c r="MHX746" s="214"/>
      <c r="MHY746" s="214"/>
      <c r="MHZ746" s="214"/>
      <c r="MIA746" s="214"/>
      <c r="MIB746" s="214"/>
      <c r="MIC746" s="214"/>
      <c r="MID746" s="214"/>
      <c r="MIE746" s="214"/>
      <c r="MIF746" s="214"/>
      <c r="MIG746" s="214"/>
      <c r="MIH746" s="214"/>
      <c r="MII746" s="214"/>
      <c r="MIJ746" s="214"/>
      <c r="MIK746" s="214"/>
      <c r="MIL746" s="214"/>
      <c r="MIM746" s="214"/>
      <c r="MIN746" s="214"/>
      <c r="MIO746" s="214"/>
      <c r="MIP746" s="214"/>
      <c r="MIQ746" s="214"/>
      <c r="MIR746" s="214"/>
      <c r="MIS746" s="214"/>
      <c r="MIT746" s="214"/>
      <c r="MIU746" s="214"/>
      <c r="MIV746" s="214"/>
      <c r="MIW746" s="214"/>
      <c r="MIX746" s="214"/>
      <c r="MIY746" s="214"/>
      <c r="MIZ746" s="214"/>
      <c r="MJA746" s="214"/>
      <c r="MJB746" s="214"/>
      <c r="MJC746" s="214"/>
      <c r="MJD746" s="214"/>
      <c r="MJE746" s="214"/>
      <c r="MJF746" s="214"/>
      <c r="MJG746" s="214"/>
      <c r="MJH746" s="214"/>
      <c r="MJI746" s="214"/>
      <c r="MJJ746" s="214"/>
      <c r="MJK746" s="214"/>
      <c r="MJL746" s="214"/>
      <c r="MJM746" s="214"/>
      <c r="MJN746" s="214"/>
      <c r="MJO746" s="214"/>
      <c r="MJP746" s="214"/>
      <c r="MJQ746" s="214"/>
      <c r="MJR746" s="214"/>
      <c r="MJS746" s="214"/>
      <c r="MJT746" s="214"/>
      <c r="MJU746" s="214"/>
      <c r="MJV746" s="214"/>
      <c r="MJW746" s="214"/>
      <c r="MJX746" s="214"/>
      <c r="MJY746" s="214"/>
      <c r="MJZ746" s="214"/>
      <c r="MKA746" s="214"/>
      <c r="MKB746" s="214"/>
      <c r="MKC746" s="214"/>
      <c r="MKD746" s="214"/>
      <c r="MKE746" s="214"/>
      <c r="MKF746" s="214"/>
      <c r="MKG746" s="214"/>
      <c r="MKH746" s="214"/>
      <c r="MKI746" s="214"/>
      <c r="MKJ746" s="214"/>
      <c r="MKK746" s="214"/>
      <c r="MKL746" s="214"/>
      <c r="MKM746" s="214"/>
      <c r="MKN746" s="214"/>
      <c r="MKO746" s="214"/>
      <c r="MKP746" s="214"/>
      <c r="MKQ746" s="214"/>
      <c r="MKR746" s="214"/>
      <c r="MKS746" s="214"/>
      <c r="MKT746" s="214"/>
      <c r="MKU746" s="214"/>
      <c r="MKV746" s="214"/>
      <c r="MKW746" s="214"/>
      <c r="MKX746" s="214"/>
      <c r="MKY746" s="214"/>
      <c r="MKZ746" s="214"/>
      <c r="MLA746" s="214"/>
      <c r="MLB746" s="214"/>
      <c r="MLC746" s="214"/>
      <c r="MLD746" s="214"/>
      <c r="MLE746" s="214"/>
      <c r="MLF746" s="214"/>
      <c r="MLG746" s="214"/>
      <c r="MLH746" s="214"/>
      <c r="MLI746" s="214"/>
      <c r="MLJ746" s="214"/>
      <c r="MLK746" s="214"/>
      <c r="MLL746" s="214"/>
      <c r="MLM746" s="214"/>
      <c r="MLN746" s="214"/>
      <c r="MLO746" s="214"/>
      <c r="MLP746" s="214"/>
      <c r="MLQ746" s="214"/>
      <c r="MLR746" s="214"/>
      <c r="MLS746" s="214"/>
      <c r="MLT746" s="214"/>
      <c r="MLU746" s="214"/>
      <c r="MLV746" s="214"/>
      <c r="MLW746" s="214"/>
      <c r="MLX746" s="214"/>
      <c r="MLY746" s="214"/>
      <c r="MLZ746" s="214"/>
      <c r="MMA746" s="214"/>
      <c r="MMB746" s="214"/>
      <c r="MMC746" s="214"/>
      <c r="MMD746" s="214"/>
      <c r="MME746" s="214"/>
      <c r="MMF746" s="214"/>
      <c r="MMG746" s="214"/>
      <c r="MMH746" s="214"/>
      <c r="MMI746" s="214"/>
      <c r="MMJ746" s="214"/>
      <c r="MMK746" s="214"/>
      <c r="MML746" s="214"/>
      <c r="MMM746" s="214"/>
      <c r="MMN746" s="214"/>
      <c r="MMO746" s="214"/>
      <c r="MMP746" s="214"/>
      <c r="MMQ746" s="214"/>
      <c r="MMR746" s="214"/>
      <c r="MMS746" s="214"/>
      <c r="MMT746" s="214"/>
      <c r="MMU746" s="214"/>
      <c r="MMV746" s="214"/>
      <c r="MMW746" s="214"/>
      <c r="MMX746" s="214"/>
      <c r="MMY746" s="214"/>
      <c r="MMZ746" s="214"/>
      <c r="MNA746" s="214"/>
      <c r="MNB746" s="214"/>
      <c r="MNC746" s="214"/>
      <c r="MND746" s="214"/>
      <c r="MNE746" s="214"/>
      <c r="MNF746" s="214"/>
      <c r="MNG746" s="214"/>
      <c r="MNH746" s="214"/>
      <c r="MNI746" s="214"/>
      <c r="MNJ746" s="214"/>
      <c r="MNK746" s="214"/>
      <c r="MNL746" s="214"/>
      <c r="MNM746" s="214"/>
      <c r="MNN746" s="214"/>
      <c r="MNO746" s="214"/>
      <c r="MNP746" s="214"/>
      <c r="MNQ746" s="214"/>
      <c r="MNR746" s="214"/>
      <c r="MNS746" s="214"/>
      <c r="MNT746" s="214"/>
      <c r="MNU746" s="214"/>
      <c r="MNV746" s="214"/>
      <c r="MNW746" s="214"/>
      <c r="MNX746" s="214"/>
      <c r="MNY746" s="214"/>
      <c r="MNZ746" s="214"/>
      <c r="MOA746" s="214"/>
      <c r="MOB746" s="214"/>
      <c r="MOC746" s="214"/>
      <c r="MOD746" s="214"/>
      <c r="MOE746" s="214"/>
      <c r="MOF746" s="214"/>
      <c r="MOG746" s="214"/>
      <c r="MOH746" s="214"/>
      <c r="MOI746" s="214"/>
      <c r="MOJ746" s="214"/>
      <c r="MOK746" s="214"/>
      <c r="MOL746" s="214"/>
      <c r="MOM746" s="214"/>
      <c r="MON746" s="214"/>
      <c r="MOO746" s="214"/>
      <c r="MOP746" s="214"/>
      <c r="MOQ746" s="214"/>
      <c r="MOR746" s="214"/>
      <c r="MOS746" s="214"/>
      <c r="MOT746" s="214"/>
      <c r="MOU746" s="214"/>
      <c r="MOV746" s="214"/>
      <c r="MOW746" s="214"/>
      <c r="MOX746" s="214"/>
      <c r="MOY746" s="214"/>
      <c r="MOZ746" s="214"/>
      <c r="MPA746" s="214"/>
      <c r="MPB746" s="214"/>
      <c r="MPC746" s="214"/>
      <c r="MPD746" s="214"/>
      <c r="MPE746" s="214"/>
      <c r="MPF746" s="214"/>
      <c r="MPG746" s="214"/>
      <c r="MPH746" s="214"/>
      <c r="MPI746" s="214"/>
      <c r="MPJ746" s="214"/>
      <c r="MPK746" s="214"/>
      <c r="MPL746" s="214"/>
      <c r="MPM746" s="214"/>
      <c r="MPN746" s="214"/>
      <c r="MPO746" s="214"/>
      <c r="MPP746" s="214"/>
      <c r="MPQ746" s="214"/>
      <c r="MPR746" s="214"/>
      <c r="MPS746" s="214"/>
      <c r="MPT746" s="214"/>
      <c r="MPU746" s="214"/>
      <c r="MPV746" s="214"/>
      <c r="MPW746" s="214"/>
      <c r="MPX746" s="214"/>
      <c r="MPY746" s="214"/>
      <c r="MPZ746" s="214"/>
      <c r="MQA746" s="214"/>
      <c r="MQB746" s="214"/>
      <c r="MQC746" s="214"/>
      <c r="MQD746" s="214"/>
      <c r="MQE746" s="214"/>
      <c r="MQF746" s="214"/>
      <c r="MQG746" s="214"/>
      <c r="MQH746" s="214"/>
      <c r="MQI746" s="214"/>
      <c r="MQJ746" s="214"/>
      <c r="MQK746" s="214"/>
      <c r="MQL746" s="214"/>
      <c r="MQM746" s="214"/>
      <c r="MQN746" s="214"/>
      <c r="MQO746" s="214"/>
      <c r="MQP746" s="214"/>
      <c r="MQQ746" s="214"/>
      <c r="MQR746" s="214"/>
      <c r="MQS746" s="214"/>
      <c r="MQT746" s="214"/>
      <c r="MQU746" s="214"/>
      <c r="MQV746" s="214"/>
      <c r="MQW746" s="214"/>
      <c r="MQX746" s="214"/>
      <c r="MQY746" s="214"/>
      <c r="MQZ746" s="214"/>
      <c r="MRA746" s="214"/>
      <c r="MRB746" s="214"/>
      <c r="MRC746" s="214"/>
      <c r="MRD746" s="214"/>
      <c r="MRE746" s="214"/>
      <c r="MRF746" s="214"/>
      <c r="MRG746" s="214"/>
      <c r="MRH746" s="214"/>
      <c r="MRI746" s="214"/>
      <c r="MRJ746" s="214"/>
      <c r="MRK746" s="214"/>
      <c r="MRL746" s="214"/>
      <c r="MRM746" s="214"/>
      <c r="MRN746" s="214"/>
      <c r="MRO746" s="214"/>
      <c r="MRP746" s="214"/>
      <c r="MRQ746" s="214"/>
      <c r="MRR746" s="214"/>
      <c r="MRS746" s="214"/>
      <c r="MRT746" s="214"/>
      <c r="MRU746" s="214"/>
      <c r="MRV746" s="214"/>
      <c r="MRW746" s="214"/>
      <c r="MRX746" s="214"/>
      <c r="MRY746" s="214"/>
      <c r="MRZ746" s="214"/>
      <c r="MSA746" s="214"/>
      <c r="MSB746" s="214"/>
      <c r="MSC746" s="214"/>
      <c r="MSD746" s="214"/>
      <c r="MSE746" s="214"/>
      <c r="MSF746" s="214"/>
      <c r="MSG746" s="214"/>
      <c r="MSH746" s="214"/>
      <c r="MSI746" s="214"/>
      <c r="MSJ746" s="214"/>
      <c r="MSK746" s="214"/>
      <c r="MSL746" s="214"/>
      <c r="MSM746" s="214"/>
      <c r="MSN746" s="214"/>
      <c r="MSO746" s="214"/>
      <c r="MSP746" s="214"/>
      <c r="MSQ746" s="214"/>
      <c r="MSR746" s="214"/>
      <c r="MSS746" s="214"/>
      <c r="MST746" s="214"/>
      <c r="MSU746" s="214"/>
      <c r="MSV746" s="214"/>
      <c r="MSW746" s="214"/>
      <c r="MSX746" s="214"/>
      <c r="MSY746" s="214"/>
      <c r="MSZ746" s="214"/>
      <c r="MTA746" s="214"/>
      <c r="MTB746" s="214"/>
      <c r="MTC746" s="214"/>
      <c r="MTD746" s="214"/>
      <c r="MTE746" s="214"/>
      <c r="MTF746" s="214"/>
      <c r="MTG746" s="214"/>
      <c r="MTH746" s="214"/>
      <c r="MTI746" s="214"/>
      <c r="MTJ746" s="214"/>
      <c r="MTK746" s="214"/>
      <c r="MTL746" s="214"/>
      <c r="MTM746" s="214"/>
      <c r="MTN746" s="214"/>
      <c r="MTO746" s="214"/>
      <c r="MTP746" s="214"/>
      <c r="MTQ746" s="214"/>
      <c r="MTR746" s="214"/>
      <c r="MTS746" s="214"/>
      <c r="MTT746" s="214"/>
      <c r="MTU746" s="214"/>
      <c r="MTV746" s="214"/>
      <c r="MTW746" s="214"/>
      <c r="MTX746" s="214"/>
      <c r="MTY746" s="214"/>
      <c r="MTZ746" s="214"/>
      <c r="MUA746" s="214"/>
      <c r="MUB746" s="214"/>
      <c r="MUC746" s="214"/>
      <c r="MUD746" s="214"/>
      <c r="MUE746" s="214"/>
      <c r="MUF746" s="214"/>
      <c r="MUG746" s="214"/>
      <c r="MUH746" s="214"/>
      <c r="MUI746" s="214"/>
      <c r="MUJ746" s="214"/>
      <c r="MUK746" s="214"/>
      <c r="MUL746" s="214"/>
      <c r="MUM746" s="214"/>
      <c r="MUN746" s="214"/>
      <c r="MUO746" s="214"/>
      <c r="MUP746" s="214"/>
      <c r="MUQ746" s="214"/>
      <c r="MUR746" s="214"/>
      <c r="MUS746" s="214"/>
      <c r="MUT746" s="214"/>
      <c r="MUU746" s="214"/>
      <c r="MUV746" s="214"/>
      <c r="MUW746" s="214"/>
      <c r="MUX746" s="214"/>
      <c r="MUY746" s="214"/>
      <c r="MUZ746" s="214"/>
      <c r="MVA746" s="214"/>
      <c r="MVB746" s="214"/>
      <c r="MVC746" s="214"/>
      <c r="MVD746" s="214"/>
      <c r="MVE746" s="214"/>
      <c r="MVF746" s="214"/>
      <c r="MVG746" s="214"/>
      <c r="MVH746" s="214"/>
      <c r="MVI746" s="214"/>
      <c r="MVJ746" s="214"/>
      <c r="MVK746" s="214"/>
      <c r="MVL746" s="214"/>
      <c r="MVM746" s="214"/>
      <c r="MVN746" s="214"/>
      <c r="MVO746" s="214"/>
      <c r="MVP746" s="214"/>
      <c r="MVQ746" s="214"/>
      <c r="MVR746" s="214"/>
      <c r="MVS746" s="214"/>
      <c r="MVT746" s="214"/>
      <c r="MVU746" s="214"/>
      <c r="MVV746" s="214"/>
      <c r="MVW746" s="214"/>
      <c r="MVX746" s="214"/>
      <c r="MVY746" s="214"/>
      <c r="MVZ746" s="214"/>
      <c r="MWA746" s="214"/>
      <c r="MWB746" s="214"/>
      <c r="MWC746" s="214"/>
      <c r="MWD746" s="214"/>
      <c r="MWE746" s="214"/>
      <c r="MWF746" s="214"/>
      <c r="MWG746" s="214"/>
      <c r="MWH746" s="214"/>
      <c r="MWI746" s="214"/>
      <c r="MWJ746" s="214"/>
      <c r="MWK746" s="214"/>
      <c r="MWL746" s="214"/>
      <c r="MWM746" s="214"/>
      <c r="MWN746" s="214"/>
      <c r="MWO746" s="214"/>
      <c r="MWP746" s="214"/>
      <c r="MWQ746" s="214"/>
      <c r="MWR746" s="214"/>
      <c r="MWS746" s="214"/>
      <c r="MWT746" s="214"/>
      <c r="MWU746" s="214"/>
      <c r="MWV746" s="214"/>
      <c r="MWW746" s="214"/>
      <c r="MWX746" s="214"/>
      <c r="MWY746" s="214"/>
      <c r="MWZ746" s="214"/>
      <c r="MXA746" s="214"/>
      <c r="MXB746" s="214"/>
      <c r="MXC746" s="214"/>
      <c r="MXD746" s="214"/>
      <c r="MXE746" s="214"/>
      <c r="MXF746" s="214"/>
      <c r="MXG746" s="214"/>
      <c r="MXH746" s="214"/>
      <c r="MXI746" s="214"/>
      <c r="MXJ746" s="214"/>
      <c r="MXK746" s="214"/>
      <c r="MXL746" s="214"/>
      <c r="MXM746" s="214"/>
      <c r="MXN746" s="214"/>
      <c r="MXO746" s="214"/>
      <c r="MXP746" s="214"/>
      <c r="MXQ746" s="214"/>
      <c r="MXR746" s="214"/>
      <c r="MXS746" s="214"/>
      <c r="MXT746" s="214"/>
      <c r="MXU746" s="214"/>
      <c r="MXV746" s="214"/>
      <c r="MXW746" s="214"/>
      <c r="MXX746" s="214"/>
      <c r="MXY746" s="214"/>
      <c r="MXZ746" s="214"/>
      <c r="MYA746" s="214"/>
      <c r="MYB746" s="214"/>
      <c r="MYC746" s="214"/>
      <c r="MYD746" s="214"/>
      <c r="MYE746" s="214"/>
      <c r="MYF746" s="214"/>
      <c r="MYG746" s="214"/>
      <c r="MYH746" s="214"/>
      <c r="MYI746" s="214"/>
      <c r="MYJ746" s="214"/>
      <c r="MYK746" s="214"/>
      <c r="MYL746" s="214"/>
      <c r="MYM746" s="214"/>
      <c r="MYN746" s="214"/>
      <c r="MYO746" s="214"/>
      <c r="MYP746" s="214"/>
      <c r="MYQ746" s="214"/>
      <c r="MYR746" s="214"/>
      <c r="MYS746" s="214"/>
      <c r="MYT746" s="214"/>
      <c r="MYU746" s="214"/>
      <c r="MYV746" s="214"/>
      <c r="MYW746" s="214"/>
      <c r="MYX746" s="214"/>
      <c r="MYY746" s="214"/>
      <c r="MYZ746" s="214"/>
      <c r="MZA746" s="214"/>
      <c r="MZB746" s="214"/>
      <c r="MZC746" s="214"/>
      <c r="MZD746" s="214"/>
      <c r="MZE746" s="214"/>
      <c r="MZF746" s="214"/>
      <c r="MZG746" s="214"/>
      <c r="MZH746" s="214"/>
      <c r="MZI746" s="214"/>
      <c r="MZJ746" s="214"/>
      <c r="MZK746" s="214"/>
      <c r="MZL746" s="214"/>
      <c r="MZM746" s="214"/>
      <c r="MZN746" s="214"/>
      <c r="MZO746" s="214"/>
      <c r="MZP746" s="214"/>
      <c r="MZQ746" s="214"/>
      <c r="MZR746" s="214"/>
      <c r="MZS746" s="214"/>
      <c r="MZT746" s="214"/>
      <c r="MZU746" s="214"/>
      <c r="MZV746" s="214"/>
      <c r="MZW746" s="214"/>
      <c r="MZX746" s="214"/>
      <c r="MZY746" s="214"/>
      <c r="MZZ746" s="214"/>
      <c r="NAA746" s="214"/>
      <c r="NAB746" s="214"/>
      <c r="NAC746" s="214"/>
      <c r="NAD746" s="214"/>
      <c r="NAE746" s="214"/>
      <c r="NAF746" s="214"/>
      <c r="NAG746" s="214"/>
      <c r="NAH746" s="214"/>
      <c r="NAI746" s="214"/>
      <c r="NAJ746" s="214"/>
      <c r="NAK746" s="214"/>
      <c r="NAL746" s="214"/>
      <c r="NAM746" s="214"/>
      <c r="NAN746" s="214"/>
      <c r="NAO746" s="214"/>
      <c r="NAP746" s="214"/>
      <c r="NAQ746" s="214"/>
      <c r="NAR746" s="214"/>
      <c r="NAS746" s="214"/>
      <c r="NAT746" s="214"/>
      <c r="NAU746" s="214"/>
      <c r="NAV746" s="214"/>
      <c r="NAW746" s="214"/>
      <c r="NAX746" s="214"/>
      <c r="NAY746" s="214"/>
      <c r="NAZ746" s="214"/>
      <c r="NBA746" s="214"/>
      <c r="NBB746" s="214"/>
      <c r="NBC746" s="214"/>
      <c r="NBD746" s="214"/>
      <c r="NBE746" s="214"/>
      <c r="NBF746" s="214"/>
      <c r="NBG746" s="214"/>
      <c r="NBH746" s="214"/>
      <c r="NBI746" s="214"/>
      <c r="NBJ746" s="214"/>
      <c r="NBK746" s="214"/>
      <c r="NBL746" s="214"/>
      <c r="NBM746" s="214"/>
      <c r="NBN746" s="214"/>
      <c r="NBO746" s="214"/>
      <c r="NBP746" s="214"/>
      <c r="NBQ746" s="214"/>
      <c r="NBR746" s="214"/>
      <c r="NBS746" s="214"/>
      <c r="NBT746" s="214"/>
      <c r="NBU746" s="214"/>
      <c r="NBV746" s="214"/>
      <c r="NBW746" s="214"/>
      <c r="NBX746" s="214"/>
      <c r="NBY746" s="214"/>
      <c r="NBZ746" s="214"/>
      <c r="NCA746" s="214"/>
      <c r="NCB746" s="214"/>
      <c r="NCC746" s="214"/>
      <c r="NCD746" s="214"/>
      <c r="NCE746" s="214"/>
      <c r="NCF746" s="214"/>
      <c r="NCG746" s="214"/>
      <c r="NCH746" s="214"/>
      <c r="NCI746" s="214"/>
      <c r="NCJ746" s="214"/>
      <c r="NCK746" s="214"/>
      <c r="NCL746" s="214"/>
      <c r="NCM746" s="214"/>
      <c r="NCN746" s="214"/>
      <c r="NCO746" s="214"/>
      <c r="NCP746" s="214"/>
      <c r="NCQ746" s="214"/>
      <c r="NCR746" s="214"/>
      <c r="NCS746" s="214"/>
      <c r="NCT746" s="214"/>
      <c r="NCU746" s="214"/>
      <c r="NCV746" s="214"/>
      <c r="NCW746" s="214"/>
      <c r="NCX746" s="214"/>
      <c r="NCY746" s="214"/>
      <c r="NCZ746" s="214"/>
      <c r="NDA746" s="214"/>
      <c r="NDB746" s="214"/>
      <c r="NDC746" s="214"/>
      <c r="NDD746" s="214"/>
      <c r="NDE746" s="214"/>
      <c r="NDF746" s="214"/>
      <c r="NDG746" s="214"/>
      <c r="NDH746" s="214"/>
      <c r="NDI746" s="214"/>
      <c r="NDJ746" s="214"/>
      <c r="NDK746" s="214"/>
      <c r="NDL746" s="214"/>
      <c r="NDM746" s="214"/>
      <c r="NDN746" s="214"/>
      <c r="NDO746" s="214"/>
      <c r="NDP746" s="214"/>
      <c r="NDQ746" s="214"/>
      <c r="NDR746" s="214"/>
      <c r="NDS746" s="214"/>
      <c r="NDT746" s="214"/>
      <c r="NDU746" s="214"/>
      <c r="NDV746" s="214"/>
      <c r="NDW746" s="214"/>
      <c r="NDX746" s="214"/>
      <c r="NDY746" s="214"/>
      <c r="NDZ746" s="214"/>
      <c r="NEA746" s="214"/>
      <c r="NEB746" s="214"/>
      <c r="NEC746" s="214"/>
      <c r="NED746" s="214"/>
      <c r="NEE746" s="214"/>
      <c r="NEF746" s="214"/>
      <c r="NEG746" s="214"/>
      <c r="NEH746" s="214"/>
      <c r="NEI746" s="214"/>
      <c r="NEJ746" s="214"/>
      <c r="NEK746" s="214"/>
      <c r="NEL746" s="214"/>
      <c r="NEM746" s="214"/>
      <c r="NEN746" s="214"/>
      <c r="NEO746" s="214"/>
      <c r="NEP746" s="214"/>
      <c r="NEQ746" s="214"/>
      <c r="NER746" s="214"/>
      <c r="NES746" s="214"/>
      <c r="NET746" s="214"/>
      <c r="NEU746" s="214"/>
      <c r="NEV746" s="214"/>
      <c r="NEW746" s="214"/>
      <c r="NEX746" s="214"/>
      <c r="NEY746" s="214"/>
      <c r="NEZ746" s="214"/>
      <c r="NFA746" s="214"/>
      <c r="NFB746" s="214"/>
      <c r="NFC746" s="214"/>
      <c r="NFD746" s="214"/>
      <c r="NFE746" s="214"/>
      <c r="NFF746" s="214"/>
      <c r="NFG746" s="214"/>
      <c r="NFH746" s="214"/>
      <c r="NFI746" s="214"/>
      <c r="NFJ746" s="214"/>
      <c r="NFK746" s="214"/>
      <c r="NFL746" s="214"/>
      <c r="NFM746" s="214"/>
      <c r="NFN746" s="214"/>
      <c r="NFO746" s="214"/>
      <c r="NFP746" s="214"/>
      <c r="NFQ746" s="214"/>
      <c r="NFR746" s="214"/>
      <c r="NFS746" s="214"/>
      <c r="NFT746" s="214"/>
      <c r="NFU746" s="214"/>
      <c r="NFV746" s="214"/>
      <c r="NFW746" s="214"/>
      <c r="NFX746" s="214"/>
      <c r="NFY746" s="214"/>
      <c r="NFZ746" s="214"/>
      <c r="NGA746" s="214"/>
      <c r="NGB746" s="214"/>
      <c r="NGC746" s="214"/>
      <c r="NGD746" s="214"/>
      <c r="NGE746" s="214"/>
      <c r="NGF746" s="214"/>
      <c r="NGG746" s="214"/>
      <c r="NGH746" s="214"/>
      <c r="NGI746" s="214"/>
      <c r="NGJ746" s="214"/>
      <c r="NGK746" s="214"/>
      <c r="NGL746" s="214"/>
      <c r="NGM746" s="214"/>
      <c r="NGN746" s="214"/>
      <c r="NGO746" s="214"/>
      <c r="NGP746" s="214"/>
      <c r="NGQ746" s="214"/>
      <c r="NGR746" s="214"/>
      <c r="NGS746" s="214"/>
      <c r="NGT746" s="214"/>
      <c r="NGU746" s="214"/>
      <c r="NGV746" s="214"/>
      <c r="NGW746" s="214"/>
      <c r="NGX746" s="214"/>
      <c r="NGY746" s="214"/>
      <c r="NGZ746" s="214"/>
      <c r="NHA746" s="214"/>
      <c r="NHB746" s="214"/>
      <c r="NHC746" s="214"/>
      <c r="NHD746" s="214"/>
      <c r="NHE746" s="214"/>
      <c r="NHF746" s="214"/>
      <c r="NHG746" s="214"/>
      <c r="NHH746" s="214"/>
      <c r="NHI746" s="214"/>
      <c r="NHJ746" s="214"/>
      <c r="NHK746" s="214"/>
      <c r="NHL746" s="214"/>
      <c r="NHM746" s="214"/>
      <c r="NHN746" s="214"/>
      <c r="NHO746" s="214"/>
      <c r="NHP746" s="214"/>
      <c r="NHQ746" s="214"/>
      <c r="NHR746" s="214"/>
      <c r="NHS746" s="214"/>
      <c r="NHT746" s="214"/>
      <c r="NHU746" s="214"/>
      <c r="NHV746" s="214"/>
      <c r="NHW746" s="214"/>
      <c r="NHX746" s="214"/>
      <c r="NHY746" s="214"/>
      <c r="NHZ746" s="214"/>
      <c r="NIA746" s="214"/>
      <c r="NIB746" s="214"/>
      <c r="NIC746" s="214"/>
      <c r="NID746" s="214"/>
      <c r="NIE746" s="214"/>
      <c r="NIF746" s="214"/>
      <c r="NIG746" s="214"/>
      <c r="NIH746" s="214"/>
      <c r="NII746" s="214"/>
      <c r="NIJ746" s="214"/>
      <c r="NIK746" s="214"/>
      <c r="NIL746" s="214"/>
      <c r="NIM746" s="214"/>
      <c r="NIN746" s="214"/>
      <c r="NIO746" s="214"/>
      <c r="NIP746" s="214"/>
      <c r="NIQ746" s="214"/>
      <c r="NIR746" s="214"/>
      <c r="NIS746" s="214"/>
      <c r="NIT746" s="214"/>
      <c r="NIU746" s="214"/>
      <c r="NIV746" s="214"/>
      <c r="NIW746" s="214"/>
      <c r="NIX746" s="214"/>
      <c r="NIY746" s="214"/>
      <c r="NIZ746" s="214"/>
      <c r="NJA746" s="214"/>
      <c r="NJB746" s="214"/>
      <c r="NJC746" s="214"/>
      <c r="NJD746" s="214"/>
      <c r="NJE746" s="214"/>
      <c r="NJF746" s="214"/>
      <c r="NJG746" s="214"/>
      <c r="NJH746" s="214"/>
      <c r="NJI746" s="214"/>
      <c r="NJJ746" s="214"/>
      <c r="NJK746" s="214"/>
      <c r="NJL746" s="214"/>
      <c r="NJM746" s="214"/>
      <c r="NJN746" s="214"/>
      <c r="NJO746" s="214"/>
      <c r="NJP746" s="214"/>
      <c r="NJQ746" s="214"/>
      <c r="NJR746" s="214"/>
      <c r="NJS746" s="214"/>
      <c r="NJT746" s="214"/>
      <c r="NJU746" s="214"/>
      <c r="NJV746" s="214"/>
      <c r="NJW746" s="214"/>
      <c r="NJX746" s="214"/>
      <c r="NJY746" s="214"/>
      <c r="NJZ746" s="214"/>
      <c r="NKA746" s="214"/>
      <c r="NKB746" s="214"/>
      <c r="NKC746" s="214"/>
      <c r="NKD746" s="214"/>
      <c r="NKE746" s="214"/>
      <c r="NKF746" s="214"/>
      <c r="NKG746" s="214"/>
      <c r="NKH746" s="214"/>
      <c r="NKI746" s="214"/>
      <c r="NKJ746" s="214"/>
      <c r="NKK746" s="214"/>
      <c r="NKL746" s="214"/>
      <c r="NKM746" s="214"/>
      <c r="NKN746" s="214"/>
      <c r="NKO746" s="214"/>
      <c r="NKP746" s="214"/>
      <c r="NKQ746" s="214"/>
      <c r="NKR746" s="214"/>
      <c r="NKS746" s="214"/>
      <c r="NKT746" s="214"/>
      <c r="NKU746" s="214"/>
      <c r="NKV746" s="214"/>
      <c r="NKW746" s="214"/>
      <c r="NKX746" s="214"/>
      <c r="NKY746" s="214"/>
      <c r="NKZ746" s="214"/>
      <c r="NLA746" s="214"/>
      <c r="NLB746" s="214"/>
      <c r="NLC746" s="214"/>
      <c r="NLD746" s="214"/>
      <c r="NLE746" s="214"/>
      <c r="NLF746" s="214"/>
      <c r="NLG746" s="214"/>
      <c r="NLH746" s="214"/>
      <c r="NLI746" s="214"/>
      <c r="NLJ746" s="214"/>
      <c r="NLK746" s="214"/>
      <c r="NLL746" s="214"/>
      <c r="NLM746" s="214"/>
      <c r="NLN746" s="214"/>
      <c r="NLO746" s="214"/>
      <c r="NLP746" s="214"/>
      <c r="NLQ746" s="214"/>
      <c r="NLR746" s="214"/>
      <c r="NLS746" s="214"/>
      <c r="NLT746" s="214"/>
      <c r="NLU746" s="214"/>
      <c r="NLV746" s="214"/>
      <c r="NLW746" s="214"/>
      <c r="NLX746" s="214"/>
      <c r="NLY746" s="214"/>
      <c r="NLZ746" s="214"/>
      <c r="NMA746" s="214"/>
      <c r="NMB746" s="214"/>
      <c r="NMC746" s="214"/>
      <c r="NMD746" s="214"/>
      <c r="NME746" s="214"/>
      <c r="NMF746" s="214"/>
      <c r="NMG746" s="214"/>
      <c r="NMH746" s="214"/>
      <c r="NMI746" s="214"/>
      <c r="NMJ746" s="214"/>
      <c r="NMK746" s="214"/>
      <c r="NML746" s="214"/>
      <c r="NMM746" s="214"/>
      <c r="NMN746" s="214"/>
      <c r="NMO746" s="214"/>
      <c r="NMP746" s="214"/>
      <c r="NMQ746" s="214"/>
      <c r="NMR746" s="214"/>
      <c r="NMS746" s="214"/>
      <c r="NMT746" s="214"/>
      <c r="NMU746" s="214"/>
      <c r="NMV746" s="214"/>
      <c r="NMW746" s="214"/>
      <c r="NMX746" s="214"/>
      <c r="NMY746" s="214"/>
      <c r="NMZ746" s="214"/>
      <c r="NNA746" s="214"/>
      <c r="NNB746" s="214"/>
      <c r="NNC746" s="214"/>
      <c r="NND746" s="214"/>
      <c r="NNE746" s="214"/>
      <c r="NNF746" s="214"/>
      <c r="NNG746" s="214"/>
      <c r="NNH746" s="214"/>
      <c r="NNI746" s="214"/>
      <c r="NNJ746" s="214"/>
      <c r="NNK746" s="214"/>
      <c r="NNL746" s="214"/>
      <c r="NNM746" s="214"/>
      <c r="NNN746" s="214"/>
      <c r="NNO746" s="214"/>
      <c r="NNP746" s="214"/>
      <c r="NNQ746" s="214"/>
      <c r="NNR746" s="214"/>
      <c r="NNS746" s="214"/>
      <c r="NNT746" s="214"/>
      <c r="NNU746" s="214"/>
      <c r="NNV746" s="214"/>
      <c r="NNW746" s="214"/>
      <c r="NNX746" s="214"/>
      <c r="NNY746" s="214"/>
      <c r="NNZ746" s="214"/>
      <c r="NOA746" s="214"/>
      <c r="NOB746" s="214"/>
      <c r="NOC746" s="214"/>
      <c r="NOD746" s="214"/>
      <c r="NOE746" s="214"/>
      <c r="NOF746" s="214"/>
      <c r="NOG746" s="214"/>
      <c r="NOH746" s="214"/>
      <c r="NOI746" s="214"/>
      <c r="NOJ746" s="214"/>
      <c r="NOK746" s="214"/>
      <c r="NOL746" s="214"/>
      <c r="NOM746" s="214"/>
      <c r="NON746" s="214"/>
      <c r="NOO746" s="214"/>
      <c r="NOP746" s="214"/>
      <c r="NOQ746" s="214"/>
      <c r="NOR746" s="214"/>
      <c r="NOS746" s="214"/>
      <c r="NOT746" s="214"/>
      <c r="NOU746" s="214"/>
      <c r="NOV746" s="214"/>
      <c r="NOW746" s="214"/>
      <c r="NOX746" s="214"/>
      <c r="NOY746" s="214"/>
      <c r="NOZ746" s="214"/>
      <c r="NPA746" s="214"/>
      <c r="NPB746" s="214"/>
      <c r="NPC746" s="214"/>
      <c r="NPD746" s="214"/>
      <c r="NPE746" s="214"/>
      <c r="NPF746" s="214"/>
      <c r="NPG746" s="214"/>
      <c r="NPH746" s="214"/>
      <c r="NPI746" s="214"/>
      <c r="NPJ746" s="214"/>
      <c r="NPK746" s="214"/>
      <c r="NPL746" s="214"/>
      <c r="NPM746" s="214"/>
      <c r="NPN746" s="214"/>
      <c r="NPO746" s="214"/>
      <c r="NPP746" s="214"/>
      <c r="NPQ746" s="214"/>
      <c r="NPR746" s="214"/>
      <c r="NPS746" s="214"/>
      <c r="NPT746" s="214"/>
      <c r="NPU746" s="214"/>
      <c r="NPV746" s="214"/>
      <c r="NPW746" s="214"/>
      <c r="NPX746" s="214"/>
      <c r="NPY746" s="214"/>
      <c r="NPZ746" s="214"/>
      <c r="NQA746" s="214"/>
      <c r="NQB746" s="214"/>
      <c r="NQC746" s="214"/>
      <c r="NQD746" s="214"/>
      <c r="NQE746" s="214"/>
      <c r="NQF746" s="214"/>
      <c r="NQG746" s="214"/>
      <c r="NQH746" s="214"/>
      <c r="NQI746" s="214"/>
      <c r="NQJ746" s="214"/>
      <c r="NQK746" s="214"/>
      <c r="NQL746" s="214"/>
      <c r="NQM746" s="214"/>
      <c r="NQN746" s="214"/>
      <c r="NQO746" s="214"/>
      <c r="NQP746" s="214"/>
      <c r="NQQ746" s="214"/>
      <c r="NQR746" s="214"/>
      <c r="NQS746" s="214"/>
      <c r="NQT746" s="214"/>
      <c r="NQU746" s="214"/>
      <c r="NQV746" s="214"/>
      <c r="NQW746" s="214"/>
      <c r="NQX746" s="214"/>
      <c r="NQY746" s="214"/>
      <c r="NQZ746" s="214"/>
      <c r="NRA746" s="214"/>
      <c r="NRB746" s="214"/>
      <c r="NRC746" s="214"/>
      <c r="NRD746" s="214"/>
      <c r="NRE746" s="214"/>
      <c r="NRF746" s="214"/>
      <c r="NRG746" s="214"/>
      <c r="NRH746" s="214"/>
      <c r="NRI746" s="214"/>
      <c r="NRJ746" s="214"/>
      <c r="NRK746" s="214"/>
      <c r="NRL746" s="214"/>
      <c r="NRM746" s="214"/>
      <c r="NRN746" s="214"/>
      <c r="NRO746" s="214"/>
      <c r="NRP746" s="214"/>
      <c r="NRQ746" s="214"/>
      <c r="NRR746" s="214"/>
      <c r="NRS746" s="214"/>
      <c r="NRT746" s="214"/>
      <c r="NRU746" s="214"/>
      <c r="NRV746" s="214"/>
      <c r="NRW746" s="214"/>
      <c r="NRX746" s="214"/>
      <c r="NRY746" s="214"/>
      <c r="NRZ746" s="214"/>
      <c r="NSA746" s="214"/>
      <c r="NSB746" s="214"/>
      <c r="NSC746" s="214"/>
      <c r="NSD746" s="214"/>
      <c r="NSE746" s="214"/>
      <c r="NSF746" s="214"/>
      <c r="NSG746" s="214"/>
      <c r="NSH746" s="214"/>
      <c r="NSI746" s="214"/>
      <c r="NSJ746" s="214"/>
      <c r="NSK746" s="214"/>
      <c r="NSL746" s="214"/>
      <c r="NSM746" s="214"/>
      <c r="NSN746" s="214"/>
      <c r="NSO746" s="214"/>
      <c r="NSP746" s="214"/>
      <c r="NSQ746" s="214"/>
      <c r="NSR746" s="214"/>
      <c r="NSS746" s="214"/>
      <c r="NST746" s="214"/>
      <c r="NSU746" s="214"/>
      <c r="NSV746" s="214"/>
      <c r="NSW746" s="214"/>
      <c r="NSX746" s="214"/>
      <c r="NSY746" s="214"/>
      <c r="NSZ746" s="214"/>
      <c r="NTA746" s="214"/>
      <c r="NTB746" s="214"/>
      <c r="NTC746" s="214"/>
      <c r="NTD746" s="214"/>
      <c r="NTE746" s="214"/>
      <c r="NTF746" s="214"/>
      <c r="NTG746" s="214"/>
      <c r="NTH746" s="214"/>
      <c r="NTI746" s="214"/>
      <c r="NTJ746" s="214"/>
      <c r="NTK746" s="214"/>
      <c r="NTL746" s="214"/>
      <c r="NTM746" s="214"/>
      <c r="NTN746" s="214"/>
      <c r="NTO746" s="214"/>
      <c r="NTP746" s="214"/>
      <c r="NTQ746" s="214"/>
      <c r="NTR746" s="214"/>
      <c r="NTS746" s="214"/>
      <c r="NTT746" s="214"/>
      <c r="NTU746" s="214"/>
      <c r="NTV746" s="214"/>
      <c r="NTW746" s="214"/>
      <c r="NTX746" s="214"/>
      <c r="NTY746" s="214"/>
      <c r="NTZ746" s="214"/>
      <c r="NUA746" s="214"/>
      <c r="NUB746" s="214"/>
      <c r="NUC746" s="214"/>
      <c r="NUD746" s="214"/>
      <c r="NUE746" s="214"/>
      <c r="NUF746" s="214"/>
      <c r="NUG746" s="214"/>
      <c r="NUH746" s="214"/>
      <c r="NUI746" s="214"/>
      <c r="NUJ746" s="214"/>
      <c r="NUK746" s="214"/>
      <c r="NUL746" s="214"/>
      <c r="NUM746" s="214"/>
      <c r="NUN746" s="214"/>
      <c r="NUO746" s="214"/>
      <c r="NUP746" s="214"/>
      <c r="NUQ746" s="214"/>
      <c r="NUR746" s="214"/>
      <c r="NUS746" s="214"/>
      <c r="NUT746" s="214"/>
      <c r="NUU746" s="214"/>
      <c r="NUV746" s="214"/>
      <c r="NUW746" s="214"/>
      <c r="NUX746" s="214"/>
      <c r="NUY746" s="214"/>
      <c r="NUZ746" s="214"/>
      <c r="NVA746" s="214"/>
      <c r="NVB746" s="214"/>
      <c r="NVC746" s="214"/>
      <c r="NVD746" s="214"/>
      <c r="NVE746" s="214"/>
      <c r="NVF746" s="214"/>
      <c r="NVG746" s="214"/>
      <c r="NVH746" s="214"/>
      <c r="NVI746" s="214"/>
      <c r="NVJ746" s="214"/>
      <c r="NVK746" s="214"/>
      <c r="NVL746" s="214"/>
      <c r="NVM746" s="214"/>
      <c r="NVN746" s="214"/>
      <c r="NVO746" s="214"/>
      <c r="NVP746" s="214"/>
      <c r="NVQ746" s="214"/>
      <c r="NVR746" s="214"/>
      <c r="NVS746" s="214"/>
      <c r="NVT746" s="214"/>
      <c r="NVU746" s="214"/>
      <c r="NVV746" s="214"/>
      <c r="NVW746" s="214"/>
      <c r="NVX746" s="214"/>
      <c r="NVY746" s="214"/>
      <c r="NVZ746" s="214"/>
      <c r="NWA746" s="214"/>
      <c r="NWB746" s="214"/>
      <c r="NWC746" s="214"/>
      <c r="NWD746" s="214"/>
      <c r="NWE746" s="214"/>
      <c r="NWF746" s="214"/>
      <c r="NWG746" s="214"/>
      <c r="NWH746" s="214"/>
      <c r="NWI746" s="214"/>
      <c r="NWJ746" s="214"/>
      <c r="NWK746" s="214"/>
      <c r="NWL746" s="214"/>
      <c r="NWM746" s="214"/>
      <c r="NWN746" s="214"/>
      <c r="NWO746" s="214"/>
      <c r="NWP746" s="214"/>
      <c r="NWQ746" s="214"/>
      <c r="NWR746" s="214"/>
      <c r="NWS746" s="214"/>
      <c r="NWT746" s="214"/>
      <c r="NWU746" s="214"/>
      <c r="NWV746" s="214"/>
      <c r="NWW746" s="214"/>
      <c r="NWX746" s="214"/>
      <c r="NWY746" s="214"/>
      <c r="NWZ746" s="214"/>
      <c r="NXA746" s="214"/>
      <c r="NXB746" s="214"/>
      <c r="NXC746" s="214"/>
      <c r="NXD746" s="214"/>
      <c r="NXE746" s="214"/>
      <c r="NXF746" s="214"/>
      <c r="NXG746" s="214"/>
      <c r="NXH746" s="214"/>
      <c r="NXI746" s="214"/>
      <c r="NXJ746" s="214"/>
      <c r="NXK746" s="214"/>
      <c r="NXL746" s="214"/>
      <c r="NXM746" s="214"/>
      <c r="NXN746" s="214"/>
      <c r="NXO746" s="214"/>
      <c r="NXP746" s="214"/>
      <c r="NXQ746" s="214"/>
      <c r="NXR746" s="214"/>
      <c r="NXS746" s="214"/>
      <c r="NXT746" s="214"/>
      <c r="NXU746" s="214"/>
      <c r="NXV746" s="214"/>
      <c r="NXW746" s="214"/>
      <c r="NXX746" s="214"/>
      <c r="NXY746" s="214"/>
      <c r="NXZ746" s="214"/>
      <c r="NYA746" s="214"/>
      <c r="NYB746" s="214"/>
      <c r="NYC746" s="214"/>
      <c r="NYD746" s="214"/>
      <c r="NYE746" s="214"/>
      <c r="NYF746" s="214"/>
      <c r="NYG746" s="214"/>
      <c r="NYH746" s="214"/>
      <c r="NYI746" s="214"/>
      <c r="NYJ746" s="214"/>
      <c r="NYK746" s="214"/>
      <c r="NYL746" s="214"/>
      <c r="NYM746" s="214"/>
      <c r="NYN746" s="214"/>
      <c r="NYO746" s="214"/>
      <c r="NYP746" s="214"/>
      <c r="NYQ746" s="214"/>
      <c r="NYR746" s="214"/>
      <c r="NYS746" s="214"/>
      <c r="NYT746" s="214"/>
      <c r="NYU746" s="214"/>
      <c r="NYV746" s="214"/>
      <c r="NYW746" s="214"/>
      <c r="NYX746" s="214"/>
      <c r="NYY746" s="214"/>
      <c r="NYZ746" s="214"/>
      <c r="NZA746" s="214"/>
      <c r="NZB746" s="214"/>
      <c r="NZC746" s="214"/>
      <c r="NZD746" s="214"/>
      <c r="NZE746" s="214"/>
      <c r="NZF746" s="214"/>
      <c r="NZG746" s="214"/>
      <c r="NZH746" s="214"/>
      <c r="NZI746" s="214"/>
      <c r="NZJ746" s="214"/>
      <c r="NZK746" s="214"/>
      <c r="NZL746" s="214"/>
      <c r="NZM746" s="214"/>
      <c r="NZN746" s="214"/>
      <c r="NZO746" s="214"/>
      <c r="NZP746" s="214"/>
      <c r="NZQ746" s="214"/>
      <c r="NZR746" s="214"/>
      <c r="NZS746" s="214"/>
      <c r="NZT746" s="214"/>
      <c r="NZU746" s="214"/>
      <c r="NZV746" s="214"/>
      <c r="NZW746" s="214"/>
      <c r="NZX746" s="214"/>
      <c r="NZY746" s="214"/>
      <c r="NZZ746" s="214"/>
      <c r="OAA746" s="214"/>
      <c r="OAB746" s="214"/>
      <c r="OAC746" s="214"/>
      <c r="OAD746" s="214"/>
      <c r="OAE746" s="214"/>
      <c r="OAF746" s="214"/>
      <c r="OAG746" s="214"/>
      <c r="OAH746" s="214"/>
      <c r="OAI746" s="214"/>
      <c r="OAJ746" s="214"/>
      <c r="OAK746" s="214"/>
      <c r="OAL746" s="214"/>
      <c r="OAM746" s="214"/>
      <c r="OAN746" s="214"/>
      <c r="OAO746" s="214"/>
      <c r="OAP746" s="214"/>
      <c r="OAQ746" s="214"/>
      <c r="OAR746" s="214"/>
      <c r="OAS746" s="214"/>
      <c r="OAT746" s="214"/>
      <c r="OAU746" s="214"/>
      <c r="OAV746" s="214"/>
      <c r="OAW746" s="214"/>
      <c r="OAX746" s="214"/>
      <c r="OAY746" s="214"/>
      <c r="OAZ746" s="214"/>
      <c r="OBA746" s="214"/>
      <c r="OBB746" s="214"/>
      <c r="OBC746" s="214"/>
      <c r="OBD746" s="214"/>
      <c r="OBE746" s="214"/>
      <c r="OBF746" s="214"/>
      <c r="OBG746" s="214"/>
      <c r="OBH746" s="214"/>
      <c r="OBI746" s="214"/>
      <c r="OBJ746" s="214"/>
      <c r="OBK746" s="214"/>
      <c r="OBL746" s="214"/>
      <c r="OBM746" s="214"/>
      <c r="OBN746" s="214"/>
      <c r="OBO746" s="214"/>
      <c r="OBP746" s="214"/>
      <c r="OBQ746" s="214"/>
      <c r="OBR746" s="214"/>
      <c r="OBS746" s="214"/>
      <c r="OBT746" s="214"/>
      <c r="OBU746" s="214"/>
      <c r="OBV746" s="214"/>
      <c r="OBW746" s="214"/>
      <c r="OBX746" s="214"/>
      <c r="OBY746" s="214"/>
      <c r="OBZ746" s="214"/>
      <c r="OCA746" s="214"/>
      <c r="OCB746" s="214"/>
      <c r="OCC746" s="214"/>
      <c r="OCD746" s="214"/>
      <c r="OCE746" s="214"/>
      <c r="OCF746" s="214"/>
      <c r="OCG746" s="214"/>
      <c r="OCH746" s="214"/>
      <c r="OCI746" s="214"/>
      <c r="OCJ746" s="214"/>
      <c r="OCK746" s="214"/>
      <c r="OCL746" s="214"/>
      <c r="OCM746" s="214"/>
      <c r="OCN746" s="214"/>
      <c r="OCO746" s="214"/>
      <c r="OCP746" s="214"/>
      <c r="OCQ746" s="214"/>
      <c r="OCR746" s="214"/>
      <c r="OCS746" s="214"/>
      <c r="OCT746" s="214"/>
      <c r="OCU746" s="214"/>
      <c r="OCV746" s="214"/>
      <c r="OCW746" s="214"/>
      <c r="OCX746" s="214"/>
      <c r="OCY746" s="214"/>
      <c r="OCZ746" s="214"/>
      <c r="ODA746" s="214"/>
      <c r="ODB746" s="214"/>
      <c r="ODC746" s="214"/>
      <c r="ODD746" s="214"/>
      <c r="ODE746" s="214"/>
      <c r="ODF746" s="214"/>
      <c r="ODG746" s="214"/>
      <c r="ODH746" s="214"/>
      <c r="ODI746" s="214"/>
      <c r="ODJ746" s="214"/>
      <c r="ODK746" s="214"/>
      <c r="ODL746" s="214"/>
      <c r="ODM746" s="214"/>
      <c r="ODN746" s="214"/>
      <c r="ODO746" s="214"/>
      <c r="ODP746" s="214"/>
      <c r="ODQ746" s="214"/>
      <c r="ODR746" s="214"/>
      <c r="ODS746" s="214"/>
      <c r="ODT746" s="214"/>
      <c r="ODU746" s="214"/>
      <c r="ODV746" s="214"/>
      <c r="ODW746" s="214"/>
      <c r="ODX746" s="214"/>
      <c r="ODY746" s="214"/>
      <c r="ODZ746" s="214"/>
      <c r="OEA746" s="214"/>
      <c r="OEB746" s="214"/>
      <c r="OEC746" s="214"/>
      <c r="OED746" s="214"/>
      <c r="OEE746" s="214"/>
      <c r="OEF746" s="214"/>
      <c r="OEG746" s="214"/>
      <c r="OEH746" s="214"/>
      <c r="OEI746" s="214"/>
      <c r="OEJ746" s="214"/>
      <c r="OEK746" s="214"/>
      <c r="OEL746" s="214"/>
      <c r="OEM746" s="214"/>
      <c r="OEN746" s="214"/>
      <c r="OEO746" s="214"/>
      <c r="OEP746" s="214"/>
      <c r="OEQ746" s="214"/>
      <c r="OER746" s="214"/>
      <c r="OES746" s="214"/>
      <c r="OET746" s="214"/>
      <c r="OEU746" s="214"/>
      <c r="OEV746" s="214"/>
      <c r="OEW746" s="214"/>
      <c r="OEX746" s="214"/>
      <c r="OEY746" s="214"/>
      <c r="OEZ746" s="214"/>
      <c r="OFA746" s="214"/>
      <c r="OFB746" s="214"/>
      <c r="OFC746" s="214"/>
      <c r="OFD746" s="214"/>
      <c r="OFE746" s="214"/>
      <c r="OFF746" s="214"/>
      <c r="OFG746" s="214"/>
      <c r="OFH746" s="214"/>
      <c r="OFI746" s="214"/>
      <c r="OFJ746" s="214"/>
      <c r="OFK746" s="214"/>
      <c r="OFL746" s="214"/>
      <c r="OFM746" s="214"/>
      <c r="OFN746" s="214"/>
      <c r="OFO746" s="214"/>
      <c r="OFP746" s="214"/>
      <c r="OFQ746" s="214"/>
      <c r="OFR746" s="214"/>
      <c r="OFS746" s="214"/>
      <c r="OFT746" s="214"/>
      <c r="OFU746" s="214"/>
      <c r="OFV746" s="214"/>
      <c r="OFW746" s="214"/>
      <c r="OFX746" s="214"/>
      <c r="OFY746" s="214"/>
      <c r="OFZ746" s="214"/>
      <c r="OGA746" s="214"/>
      <c r="OGB746" s="214"/>
      <c r="OGC746" s="214"/>
      <c r="OGD746" s="214"/>
      <c r="OGE746" s="214"/>
      <c r="OGF746" s="214"/>
      <c r="OGG746" s="214"/>
      <c r="OGH746" s="214"/>
      <c r="OGI746" s="214"/>
      <c r="OGJ746" s="214"/>
      <c r="OGK746" s="214"/>
      <c r="OGL746" s="214"/>
      <c r="OGM746" s="214"/>
      <c r="OGN746" s="214"/>
      <c r="OGO746" s="214"/>
      <c r="OGP746" s="214"/>
      <c r="OGQ746" s="214"/>
      <c r="OGR746" s="214"/>
      <c r="OGS746" s="214"/>
      <c r="OGT746" s="214"/>
      <c r="OGU746" s="214"/>
      <c r="OGV746" s="214"/>
      <c r="OGW746" s="214"/>
      <c r="OGX746" s="214"/>
      <c r="OGY746" s="214"/>
      <c r="OGZ746" s="214"/>
      <c r="OHA746" s="214"/>
      <c r="OHB746" s="214"/>
      <c r="OHC746" s="214"/>
      <c r="OHD746" s="214"/>
      <c r="OHE746" s="214"/>
      <c r="OHF746" s="214"/>
      <c r="OHG746" s="214"/>
      <c r="OHH746" s="214"/>
      <c r="OHI746" s="214"/>
      <c r="OHJ746" s="214"/>
      <c r="OHK746" s="214"/>
      <c r="OHL746" s="214"/>
      <c r="OHM746" s="214"/>
      <c r="OHN746" s="214"/>
      <c r="OHO746" s="214"/>
      <c r="OHP746" s="214"/>
      <c r="OHQ746" s="214"/>
      <c r="OHR746" s="214"/>
      <c r="OHS746" s="214"/>
      <c r="OHT746" s="214"/>
      <c r="OHU746" s="214"/>
      <c r="OHV746" s="214"/>
      <c r="OHW746" s="214"/>
      <c r="OHX746" s="214"/>
      <c r="OHY746" s="214"/>
      <c r="OHZ746" s="214"/>
      <c r="OIA746" s="214"/>
      <c r="OIB746" s="214"/>
      <c r="OIC746" s="214"/>
      <c r="OID746" s="214"/>
      <c r="OIE746" s="214"/>
      <c r="OIF746" s="214"/>
      <c r="OIG746" s="214"/>
      <c r="OIH746" s="214"/>
      <c r="OII746" s="214"/>
      <c r="OIJ746" s="214"/>
      <c r="OIK746" s="214"/>
      <c r="OIL746" s="214"/>
      <c r="OIM746" s="214"/>
      <c r="OIN746" s="214"/>
      <c r="OIO746" s="214"/>
      <c r="OIP746" s="214"/>
      <c r="OIQ746" s="214"/>
      <c r="OIR746" s="214"/>
      <c r="OIS746" s="214"/>
      <c r="OIT746" s="214"/>
      <c r="OIU746" s="214"/>
      <c r="OIV746" s="214"/>
      <c r="OIW746" s="214"/>
      <c r="OIX746" s="214"/>
      <c r="OIY746" s="214"/>
      <c r="OIZ746" s="214"/>
      <c r="OJA746" s="214"/>
      <c r="OJB746" s="214"/>
      <c r="OJC746" s="214"/>
      <c r="OJD746" s="214"/>
      <c r="OJE746" s="214"/>
      <c r="OJF746" s="214"/>
      <c r="OJG746" s="214"/>
      <c r="OJH746" s="214"/>
      <c r="OJI746" s="214"/>
      <c r="OJJ746" s="214"/>
      <c r="OJK746" s="214"/>
      <c r="OJL746" s="214"/>
      <c r="OJM746" s="214"/>
      <c r="OJN746" s="214"/>
      <c r="OJO746" s="214"/>
      <c r="OJP746" s="214"/>
      <c r="OJQ746" s="214"/>
      <c r="OJR746" s="214"/>
      <c r="OJS746" s="214"/>
      <c r="OJT746" s="214"/>
      <c r="OJU746" s="214"/>
      <c r="OJV746" s="214"/>
      <c r="OJW746" s="214"/>
      <c r="OJX746" s="214"/>
      <c r="OJY746" s="214"/>
      <c r="OJZ746" s="214"/>
      <c r="OKA746" s="214"/>
      <c r="OKB746" s="214"/>
      <c r="OKC746" s="214"/>
      <c r="OKD746" s="214"/>
      <c r="OKE746" s="214"/>
      <c r="OKF746" s="214"/>
      <c r="OKG746" s="214"/>
      <c r="OKH746" s="214"/>
      <c r="OKI746" s="214"/>
      <c r="OKJ746" s="214"/>
      <c r="OKK746" s="214"/>
      <c r="OKL746" s="214"/>
      <c r="OKM746" s="214"/>
      <c r="OKN746" s="214"/>
      <c r="OKO746" s="214"/>
      <c r="OKP746" s="214"/>
      <c r="OKQ746" s="214"/>
      <c r="OKR746" s="214"/>
      <c r="OKS746" s="214"/>
      <c r="OKT746" s="214"/>
      <c r="OKU746" s="214"/>
      <c r="OKV746" s="214"/>
      <c r="OKW746" s="214"/>
      <c r="OKX746" s="214"/>
      <c r="OKY746" s="214"/>
      <c r="OKZ746" s="214"/>
      <c r="OLA746" s="214"/>
      <c r="OLB746" s="214"/>
      <c r="OLC746" s="214"/>
      <c r="OLD746" s="214"/>
      <c r="OLE746" s="214"/>
      <c r="OLF746" s="214"/>
      <c r="OLG746" s="214"/>
      <c r="OLH746" s="214"/>
      <c r="OLI746" s="214"/>
      <c r="OLJ746" s="214"/>
      <c r="OLK746" s="214"/>
      <c r="OLL746" s="214"/>
      <c r="OLM746" s="214"/>
      <c r="OLN746" s="214"/>
      <c r="OLO746" s="214"/>
      <c r="OLP746" s="214"/>
      <c r="OLQ746" s="214"/>
      <c r="OLR746" s="214"/>
      <c r="OLS746" s="214"/>
      <c r="OLT746" s="214"/>
      <c r="OLU746" s="214"/>
      <c r="OLV746" s="214"/>
      <c r="OLW746" s="214"/>
      <c r="OLX746" s="214"/>
      <c r="OLY746" s="214"/>
      <c r="OLZ746" s="214"/>
      <c r="OMA746" s="214"/>
      <c r="OMB746" s="214"/>
      <c r="OMC746" s="214"/>
      <c r="OMD746" s="214"/>
      <c r="OME746" s="214"/>
      <c r="OMF746" s="214"/>
      <c r="OMG746" s="214"/>
      <c r="OMH746" s="214"/>
      <c r="OMI746" s="214"/>
      <c r="OMJ746" s="214"/>
      <c r="OMK746" s="214"/>
      <c r="OML746" s="214"/>
      <c r="OMM746" s="214"/>
      <c r="OMN746" s="214"/>
      <c r="OMO746" s="214"/>
      <c r="OMP746" s="214"/>
      <c r="OMQ746" s="214"/>
      <c r="OMR746" s="214"/>
      <c r="OMS746" s="214"/>
      <c r="OMT746" s="214"/>
      <c r="OMU746" s="214"/>
      <c r="OMV746" s="214"/>
      <c r="OMW746" s="214"/>
      <c r="OMX746" s="214"/>
      <c r="OMY746" s="214"/>
      <c r="OMZ746" s="214"/>
      <c r="ONA746" s="214"/>
      <c r="ONB746" s="214"/>
      <c r="ONC746" s="214"/>
      <c r="OND746" s="214"/>
      <c r="ONE746" s="214"/>
      <c r="ONF746" s="214"/>
      <c r="ONG746" s="214"/>
      <c r="ONH746" s="214"/>
      <c r="ONI746" s="214"/>
      <c r="ONJ746" s="214"/>
      <c r="ONK746" s="214"/>
      <c r="ONL746" s="214"/>
      <c r="ONM746" s="214"/>
      <c r="ONN746" s="214"/>
      <c r="ONO746" s="214"/>
      <c r="ONP746" s="214"/>
      <c r="ONQ746" s="214"/>
      <c r="ONR746" s="214"/>
      <c r="ONS746" s="214"/>
      <c r="ONT746" s="214"/>
      <c r="ONU746" s="214"/>
      <c r="ONV746" s="214"/>
      <c r="ONW746" s="214"/>
      <c r="ONX746" s="214"/>
      <c r="ONY746" s="214"/>
      <c r="ONZ746" s="214"/>
      <c r="OOA746" s="214"/>
      <c r="OOB746" s="214"/>
      <c r="OOC746" s="214"/>
      <c r="OOD746" s="214"/>
      <c r="OOE746" s="214"/>
      <c r="OOF746" s="214"/>
      <c r="OOG746" s="214"/>
      <c r="OOH746" s="214"/>
      <c r="OOI746" s="214"/>
      <c r="OOJ746" s="214"/>
      <c r="OOK746" s="214"/>
      <c r="OOL746" s="214"/>
      <c r="OOM746" s="214"/>
      <c r="OON746" s="214"/>
      <c r="OOO746" s="214"/>
      <c r="OOP746" s="214"/>
      <c r="OOQ746" s="214"/>
      <c r="OOR746" s="214"/>
      <c r="OOS746" s="214"/>
      <c r="OOT746" s="214"/>
      <c r="OOU746" s="214"/>
      <c r="OOV746" s="214"/>
      <c r="OOW746" s="214"/>
      <c r="OOX746" s="214"/>
      <c r="OOY746" s="214"/>
      <c r="OOZ746" s="214"/>
      <c r="OPA746" s="214"/>
      <c r="OPB746" s="214"/>
      <c r="OPC746" s="214"/>
      <c r="OPD746" s="214"/>
      <c r="OPE746" s="214"/>
      <c r="OPF746" s="214"/>
      <c r="OPG746" s="214"/>
      <c r="OPH746" s="214"/>
      <c r="OPI746" s="214"/>
      <c r="OPJ746" s="214"/>
      <c r="OPK746" s="214"/>
      <c r="OPL746" s="214"/>
      <c r="OPM746" s="214"/>
      <c r="OPN746" s="214"/>
      <c r="OPO746" s="214"/>
      <c r="OPP746" s="214"/>
      <c r="OPQ746" s="214"/>
      <c r="OPR746" s="214"/>
      <c r="OPS746" s="214"/>
      <c r="OPT746" s="214"/>
      <c r="OPU746" s="214"/>
      <c r="OPV746" s="214"/>
      <c r="OPW746" s="214"/>
      <c r="OPX746" s="214"/>
      <c r="OPY746" s="214"/>
      <c r="OPZ746" s="214"/>
      <c r="OQA746" s="214"/>
      <c r="OQB746" s="214"/>
      <c r="OQC746" s="214"/>
      <c r="OQD746" s="214"/>
      <c r="OQE746" s="214"/>
      <c r="OQF746" s="214"/>
      <c r="OQG746" s="214"/>
      <c r="OQH746" s="214"/>
      <c r="OQI746" s="214"/>
      <c r="OQJ746" s="214"/>
      <c r="OQK746" s="214"/>
      <c r="OQL746" s="214"/>
      <c r="OQM746" s="214"/>
      <c r="OQN746" s="214"/>
      <c r="OQO746" s="214"/>
      <c r="OQP746" s="214"/>
      <c r="OQQ746" s="214"/>
      <c r="OQR746" s="214"/>
      <c r="OQS746" s="214"/>
      <c r="OQT746" s="214"/>
      <c r="OQU746" s="214"/>
      <c r="OQV746" s="214"/>
      <c r="OQW746" s="214"/>
      <c r="OQX746" s="214"/>
      <c r="OQY746" s="214"/>
      <c r="OQZ746" s="214"/>
      <c r="ORA746" s="214"/>
      <c r="ORB746" s="214"/>
      <c r="ORC746" s="214"/>
      <c r="ORD746" s="214"/>
      <c r="ORE746" s="214"/>
      <c r="ORF746" s="214"/>
      <c r="ORG746" s="214"/>
      <c r="ORH746" s="214"/>
      <c r="ORI746" s="214"/>
      <c r="ORJ746" s="214"/>
      <c r="ORK746" s="214"/>
      <c r="ORL746" s="214"/>
      <c r="ORM746" s="214"/>
      <c r="ORN746" s="214"/>
      <c r="ORO746" s="214"/>
      <c r="ORP746" s="214"/>
      <c r="ORQ746" s="214"/>
      <c r="ORR746" s="214"/>
      <c r="ORS746" s="214"/>
      <c r="ORT746" s="214"/>
      <c r="ORU746" s="214"/>
      <c r="ORV746" s="214"/>
      <c r="ORW746" s="214"/>
      <c r="ORX746" s="214"/>
      <c r="ORY746" s="214"/>
      <c r="ORZ746" s="214"/>
      <c r="OSA746" s="214"/>
      <c r="OSB746" s="214"/>
      <c r="OSC746" s="214"/>
      <c r="OSD746" s="214"/>
      <c r="OSE746" s="214"/>
      <c r="OSF746" s="214"/>
      <c r="OSG746" s="214"/>
      <c r="OSH746" s="214"/>
      <c r="OSI746" s="214"/>
      <c r="OSJ746" s="214"/>
      <c r="OSK746" s="214"/>
      <c r="OSL746" s="214"/>
      <c r="OSM746" s="214"/>
      <c r="OSN746" s="214"/>
      <c r="OSO746" s="214"/>
      <c r="OSP746" s="214"/>
      <c r="OSQ746" s="214"/>
      <c r="OSR746" s="214"/>
      <c r="OSS746" s="214"/>
      <c r="OST746" s="214"/>
      <c r="OSU746" s="214"/>
      <c r="OSV746" s="214"/>
      <c r="OSW746" s="214"/>
      <c r="OSX746" s="214"/>
      <c r="OSY746" s="214"/>
      <c r="OSZ746" s="214"/>
      <c r="OTA746" s="214"/>
      <c r="OTB746" s="214"/>
      <c r="OTC746" s="214"/>
      <c r="OTD746" s="214"/>
      <c r="OTE746" s="214"/>
      <c r="OTF746" s="214"/>
      <c r="OTG746" s="214"/>
      <c r="OTH746" s="214"/>
      <c r="OTI746" s="214"/>
      <c r="OTJ746" s="214"/>
      <c r="OTK746" s="214"/>
      <c r="OTL746" s="214"/>
      <c r="OTM746" s="214"/>
      <c r="OTN746" s="214"/>
      <c r="OTO746" s="214"/>
      <c r="OTP746" s="214"/>
      <c r="OTQ746" s="214"/>
      <c r="OTR746" s="214"/>
      <c r="OTS746" s="214"/>
      <c r="OTT746" s="214"/>
      <c r="OTU746" s="214"/>
      <c r="OTV746" s="214"/>
      <c r="OTW746" s="214"/>
      <c r="OTX746" s="214"/>
      <c r="OTY746" s="214"/>
      <c r="OTZ746" s="214"/>
      <c r="OUA746" s="214"/>
      <c r="OUB746" s="214"/>
      <c r="OUC746" s="214"/>
      <c r="OUD746" s="214"/>
      <c r="OUE746" s="214"/>
      <c r="OUF746" s="214"/>
      <c r="OUG746" s="214"/>
      <c r="OUH746" s="214"/>
      <c r="OUI746" s="214"/>
      <c r="OUJ746" s="214"/>
      <c r="OUK746" s="214"/>
      <c r="OUL746" s="214"/>
      <c r="OUM746" s="214"/>
      <c r="OUN746" s="214"/>
      <c r="OUO746" s="214"/>
      <c r="OUP746" s="214"/>
      <c r="OUQ746" s="214"/>
      <c r="OUR746" s="214"/>
      <c r="OUS746" s="214"/>
      <c r="OUT746" s="214"/>
      <c r="OUU746" s="214"/>
      <c r="OUV746" s="214"/>
      <c r="OUW746" s="214"/>
      <c r="OUX746" s="214"/>
      <c r="OUY746" s="214"/>
      <c r="OUZ746" s="214"/>
      <c r="OVA746" s="214"/>
      <c r="OVB746" s="214"/>
      <c r="OVC746" s="214"/>
      <c r="OVD746" s="214"/>
      <c r="OVE746" s="214"/>
      <c r="OVF746" s="214"/>
      <c r="OVG746" s="214"/>
      <c r="OVH746" s="214"/>
      <c r="OVI746" s="214"/>
      <c r="OVJ746" s="214"/>
      <c r="OVK746" s="214"/>
      <c r="OVL746" s="214"/>
      <c r="OVM746" s="214"/>
      <c r="OVN746" s="214"/>
      <c r="OVO746" s="214"/>
      <c r="OVP746" s="214"/>
      <c r="OVQ746" s="214"/>
      <c r="OVR746" s="214"/>
      <c r="OVS746" s="214"/>
      <c r="OVT746" s="214"/>
      <c r="OVU746" s="214"/>
      <c r="OVV746" s="214"/>
      <c r="OVW746" s="214"/>
      <c r="OVX746" s="214"/>
      <c r="OVY746" s="214"/>
      <c r="OVZ746" s="214"/>
      <c r="OWA746" s="214"/>
      <c r="OWB746" s="214"/>
      <c r="OWC746" s="214"/>
      <c r="OWD746" s="214"/>
      <c r="OWE746" s="214"/>
      <c r="OWF746" s="214"/>
      <c r="OWG746" s="214"/>
      <c r="OWH746" s="214"/>
      <c r="OWI746" s="214"/>
      <c r="OWJ746" s="214"/>
      <c r="OWK746" s="214"/>
      <c r="OWL746" s="214"/>
      <c r="OWM746" s="214"/>
      <c r="OWN746" s="214"/>
      <c r="OWO746" s="214"/>
      <c r="OWP746" s="214"/>
      <c r="OWQ746" s="214"/>
      <c r="OWR746" s="214"/>
      <c r="OWS746" s="214"/>
      <c r="OWT746" s="214"/>
      <c r="OWU746" s="214"/>
      <c r="OWV746" s="214"/>
      <c r="OWW746" s="214"/>
      <c r="OWX746" s="214"/>
      <c r="OWY746" s="214"/>
      <c r="OWZ746" s="214"/>
      <c r="OXA746" s="214"/>
      <c r="OXB746" s="214"/>
      <c r="OXC746" s="214"/>
      <c r="OXD746" s="214"/>
      <c r="OXE746" s="214"/>
      <c r="OXF746" s="214"/>
      <c r="OXG746" s="214"/>
      <c r="OXH746" s="214"/>
      <c r="OXI746" s="214"/>
      <c r="OXJ746" s="214"/>
      <c r="OXK746" s="214"/>
      <c r="OXL746" s="214"/>
      <c r="OXM746" s="214"/>
      <c r="OXN746" s="214"/>
      <c r="OXO746" s="214"/>
      <c r="OXP746" s="214"/>
      <c r="OXQ746" s="214"/>
      <c r="OXR746" s="214"/>
      <c r="OXS746" s="214"/>
      <c r="OXT746" s="214"/>
      <c r="OXU746" s="214"/>
      <c r="OXV746" s="214"/>
      <c r="OXW746" s="214"/>
      <c r="OXX746" s="214"/>
      <c r="OXY746" s="214"/>
      <c r="OXZ746" s="214"/>
      <c r="OYA746" s="214"/>
      <c r="OYB746" s="214"/>
      <c r="OYC746" s="214"/>
      <c r="OYD746" s="214"/>
      <c r="OYE746" s="214"/>
      <c r="OYF746" s="214"/>
      <c r="OYG746" s="214"/>
      <c r="OYH746" s="214"/>
      <c r="OYI746" s="214"/>
      <c r="OYJ746" s="214"/>
      <c r="OYK746" s="214"/>
      <c r="OYL746" s="214"/>
      <c r="OYM746" s="214"/>
      <c r="OYN746" s="214"/>
      <c r="OYO746" s="214"/>
      <c r="OYP746" s="214"/>
      <c r="OYQ746" s="214"/>
      <c r="OYR746" s="214"/>
      <c r="OYS746" s="214"/>
      <c r="OYT746" s="214"/>
      <c r="OYU746" s="214"/>
      <c r="OYV746" s="214"/>
      <c r="OYW746" s="214"/>
      <c r="OYX746" s="214"/>
      <c r="OYY746" s="214"/>
      <c r="OYZ746" s="214"/>
      <c r="OZA746" s="214"/>
      <c r="OZB746" s="214"/>
      <c r="OZC746" s="214"/>
      <c r="OZD746" s="214"/>
      <c r="OZE746" s="214"/>
      <c r="OZF746" s="214"/>
      <c r="OZG746" s="214"/>
      <c r="OZH746" s="214"/>
      <c r="OZI746" s="214"/>
      <c r="OZJ746" s="214"/>
      <c r="OZK746" s="214"/>
      <c r="OZL746" s="214"/>
      <c r="OZM746" s="214"/>
      <c r="OZN746" s="214"/>
      <c r="OZO746" s="214"/>
      <c r="OZP746" s="214"/>
      <c r="OZQ746" s="214"/>
      <c r="OZR746" s="214"/>
      <c r="OZS746" s="214"/>
      <c r="OZT746" s="214"/>
      <c r="OZU746" s="214"/>
      <c r="OZV746" s="214"/>
      <c r="OZW746" s="214"/>
      <c r="OZX746" s="214"/>
      <c r="OZY746" s="214"/>
      <c r="OZZ746" s="214"/>
      <c r="PAA746" s="214"/>
      <c r="PAB746" s="214"/>
      <c r="PAC746" s="214"/>
      <c r="PAD746" s="214"/>
      <c r="PAE746" s="214"/>
      <c r="PAF746" s="214"/>
      <c r="PAG746" s="214"/>
      <c r="PAH746" s="214"/>
      <c r="PAI746" s="214"/>
      <c r="PAJ746" s="214"/>
      <c r="PAK746" s="214"/>
      <c r="PAL746" s="214"/>
      <c r="PAM746" s="214"/>
      <c r="PAN746" s="214"/>
      <c r="PAO746" s="214"/>
      <c r="PAP746" s="214"/>
      <c r="PAQ746" s="214"/>
      <c r="PAR746" s="214"/>
      <c r="PAS746" s="214"/>
      <c r="PAT746" s="214"/>
      <c r="PAU746" s="214"/>
      <c r="PAV746" s="214"/>
      <c r="PAW746" s="214"/>
      <c r="PAX746" s="214"/>
      <c r="PAY746" s="214"/>
      <c r="PAZ746" s="214"/>
      <c r="PBA746" s="214"/>
      <c r="PBB746" s="214"/>
      <c r="PBC746" s="214"/>
      <c r="PBD746" s="214"/>
      <c r="PBE746" s="214"/>
      <c r="PBF746" s="214"/>
      <c r="PBG746" s="214"/>
      <c r="PBH746" s="214"/>
      <c r="PBI746" s="214"/>
      <c r="PBJ746" s="214"/>
      <c r="PBK746" s="214"/>
      <c r="PBL746" s="214"/>
      <c r="PBM746" s="214"/>
      <c r="PBN746" s="214"/>
      <c r="PBO746" s="214"/>
      <c r="PBP746" s="214"/>
      <c r="PBQ746" s="214"/>
      <c r="PBR746" s="214"/>
      <c r="PBS746" s="214"/>
      <c r="PBT746" s="214"/>
      <c r="PBU746" s="214"/>
      <c r="PBV746" s="214"/>
      <c r="PBW746" s="214"/>
      <c r="PBX746" s="214"/>
      <c r="PBY746" s="214"/>
      <c r="PBZ746" s="214"/>
      <c r="PCA746" s="214"/>
      <c r="PCB746" s="214"/>
      <c r="PCC746" s="214"/>
      <c r="PCD746" s="214"/>
      <c r="PCE746" s="214"/>
      <c r="PCF746" s="214"/>
      <c r="PCG746" s="214"/>
      <c r="PCH746" s="214"/>
      <c r="PCI746" s="214"/>
      <c r="PCJ746" s="214"/>
      <c r="PCK746" s="214"/>
      <c r="PCL746" s="214"/>
      <c r="PCM746" s="214"/>
      <c r="PCN746" s="214"/>
      <c r="PCO746" s="214"/>
      <c r="PCP746" s="214"/>
      <c r="PCQ746" s="214"/>
      <c r="PCR746" s="214"/>
      <c r="PCS746" s="214"/>
      <c r="PCT746" s="214"/>
      <c r="PCU746" s="214"/>
      <c r="PCV746" s="214"/>
      <c r="PCW746" s="214"/>
      <c r="PCX746" s="214"/>
      <c r="PCY746" s="214"/>
      <c r="PCZ746" s="214"/>
      <c r="PDA746" s="214"/>
      <c r="PDB746" s="214"/>
      <c r="PDC746" s="214"/>
      <c r="PDD746" s="214"/>
      <c r="PDE746" s="214"/>
      <c r="PDF746" s="214"/>
      <c r="PDG746" s="214"/>
      <c r="PDH746" s="214"/>
      <c r="PDI746" s="214"/>
      <c r="PDJ746" s="214"/>
      <c r="PDK746" s="214"/>
      <c r="PDL746" s="214"/>
      <c r="PDM746" s="214"/>
      <c r="PDN746" s="214"/>
      <c r="PDO746" s="214"/>
      <c r="PDP746" s="214"/>
      <c r="PDQ746" s="214"/>
      <c r="PDR746" s="214"/>
      <c r="PDS746" s="214"/>
      <c r="PDT746" s="214"/>
      <c r="PDU746" s="214"/>
      <c r="PDV746" s="214"/>
      <c r="PDW746" s="214"/>
      <c r="PDX746" s="214"/>
      <c r="PDY746" s="214"/>
      <c r="PDZ746" s="214"/>
      <c r="PEA746" s="214"/>
      <c r="PEB746" s="214"/>
      <c r="PEC746" s="214"/>
      <c r="PED746" s="214"/>
      <c r="PEE746" s="214"/>
      <c r="PEF746" s="214"/>
      <c r="PEG746" s="214"/>
      <c r="PEH746" s="214"/>
      <c r="PEI746" s="214"/>
      <c r="PEJ746" s="214"/>
      <c r="PEK746" s="214"/>
      <c r="PEL746" s="214"/>
      <c r="PEM746" s="214"/>
      <c r="PEN746" s="214"/>
      <c r="PEO746" s="214"/>
      <c r="PEP746" s="214"/>
      <c r="PEQ746" s="214"/>
      <c r="PER746" s="214"/>
      <c r="PES746" s="214"/>
      <c r="PET746" s="214"/>
      <c r="PEU746" s="214"/>
      <c r="PEV746" s="214"/>
      <c r="PEW746" s="214"/>
      <c r="PEX746" s="214"/>
      <c r="PEY746" s="214"/>
      <c r="PEZ746" s="214"/>
      <c r="PFA746" s="214"/>
      <c r="PFB746" s="214"/>
      <c r="PFC746" s="214"/>
      <c r="PFD746" s="214"/>
      <c r="PFE746" s="214"/>
      <c r="PFF746" s="214"/>
      <c r="PFG746" s="214"/>
      <c r="PFH746" s="214"/>
      <c r="PFI746" s="214"/>
      <c r="PFJ746" s="214"/>
      <c r="PFK746" s="214"/>
      <c r="PFL746" s="214"/>
      <c r="PFM746" s="214"/>
      <c r="PFN746" s="214"/>
      <c r="PFO746" s="214"/>
      <c r="PFP746" s="214"/>
      <c r="PFQ746" s="214"/>
      <c r="PFR746" s="214"/>
      <c r="PFS746" s="214"/>
      <c r="PFT746" s="214"/>
      <c r="PFU746" s="214"/>
      <c r="PFV746" s="214"/>
      <c r="PFW746" s="214"/>
      <c r="PFX746" s="214"/>
      <c r="PFY746" s="214"/>
      <c r="PFZ746" s="214"/>
      <c r="PGA746" s="214"/>
      <c r="PGB746" s="214"/>
      <c r="PGC746" s="214"/>
      <c r="PGD746" s="214"/>
      <c r="PGE746" s="214"/>
      <c r="PGF746" s="214"/>
      <c r="PGG746" s="214"/>
      <c r="PGH746" s="214"/>
      <c r="PGI746" s="214"/>
      <c r="PGJ746" s="214"/>
      <c r="PGK746" s="214"/>
      <c r="PGL746" s="214"/>
      <c r="PGM746" s="214"/>
      <c r="PGN746" s="214"/>
      <c r="PGO746" s="214"/>
      <c r="PGP746" s="214"/>
      <c r="PGQ746" s="214"/>
      <c r="PGR746" s="214"/>
      <c r="PGS746" s="214"/>
      <c r="PGT746" s="214"/>
      <c r="PGU746" s="214"/>
      <c r="PGV746" s="214"/>
      <c r="PGW746" s="214"/>
      <c r="PGX746" s="214"/>
      <c r="PGY746" s="214"/>
      <c r="PGZ746" s="214"/>
      <c r="PHA746" s="214"/>
      <c r="PHB746" s="214"/>
      <c r="PHC746" s="214"/>
      <c r="PHD746" s="214"/>
      <c r="PHE746" s="214"/>
      <c r="PHF746" s="214"/>
      <c r="PHG746" s="214"/>
      <c r="PHH746" s="214"/>
      <c r="PHI746" s="214"/>
      <c r="PHJ746" s="214"/>
      <c r="PHK746" s="214"/>
      <c r="PHL746" s="214"/>
      <c r="PHM746" s="214"/>
      <c r="PHN746" s="214"/>
      <c r="PHO746" s="214"/>
      <c r="PHP746" s="214"/>
      <c r="PHQ746" s="214"/>
      <c r="PHR746" s="214"/>
      <c r="PHS746" s="214"/>
      <c r="PHT746" s="214"/>
      <c r="PHU746" s="214"/>
      <c r="PHV746" s="214"/>
      <c r="PHW746" s="214"/>
      <c r="PHX746" s="214"/>
      <c r="PHY746" s="214"/>
      <c r="PHZ746" s="214"/>
      <c r="PIA746" s="214"/>
      <c r="PIB746" s="214"/>
      <c r="PIC746" s="214"/>
      <c r="PID746" s="214"/>
      <c r="PIE746" s="214"/>
      <c r="PIF746" s="214"/>
      <c r="PIG746" s="214"/>
      <c r="PIH746" s="214"/>
      <c r="PII746" s="214"/>
      <c r="PIJ746" s="214"/>
      <c r="PIK746" s="214"/>
      <c r="PIL746" s="214"/>
      <c r="PIM746" s="214"/>
      <c r="PIN746" s="214"/>
      <c r="PIO746" s="214"/>
      <c r="PIP746" s="214"/>
      <c r="PIQ746" s="214"/>
      <c r="PIR746" s="214"/>
      <c r="PIS746" s="214"/>
      <c r="PIT746" s="214"/>
      <c r="PIU746" s="214"/>
      <c r="PIV746" s="214"/>
      <c r="PIW746" s="214"/>
      <c r="PIX746" s="214"/>
      <c r="PIY746" s="214"/>
      <c r="PIZ746" s="214"/>
      <c r="PJA746" s="214"/>
      <c r="PJB746" s="214"/>
      <c r="PJC746" s="214"/>
      <c r="PJD746" s="214"/>
      <c r="PJE746" s="214"/>
      <c r="PJF746" s="214"/>
      <c r="PJG746" s="214"/>
      <c r="PJH746" s="214"/>
      <c r="PJI746" s="214"/>
      <c r="PJJ746" s="214"/>
      <c r="PJK746" s="214"/>
      <c r="PJL746" s="214"/>
      <c r="PJM746" s="214"/>
      <c r="PJN746" s="214"/>
      <c r="PJO746" s="214"/>
      <c r="PJP746" s="214"/>
      <c r="PJQ746" s="214"/>
      <c r="PJR746" s="214"/>
      <c r="PJS746" s="214"/>
      <c r="PJT746" s="214"/>
      <c r="PJU746" s="214"/>
      <c r="PJV746" s="214"/>
      <c r="PJW746" s="214"/>
      <c r="PJX746" s="214"/>
      <c r="PJY746" s="214"/>
      <c r="PJZ746" s="214"/>
      <c r="PKA746" s="214"/>
      <c r="PKB746" s="214"/>
      <c r="PKC746" s="214"/>
      <c r="PKD746" s="214"/>
      <c r="PKE746" s="214"/>
      <c r="PKF746" s="214"/>
      <c r="PKG746" s="214"/>
      <c r="PKH746" s="214"/>
      <c r="PKI746" s="214"/>
      <c r="PKJ746" s="214"/>
      <c r="PKK746" s="214"/>
      <c r="PKL746" s="214"/>
      <c r="PKM746" s="214"/>
      <c r="PKN746" s="214"/>
      <c r="PKO746" s="214"/>
      <c r="PKP746" s="214"/>
      <c r="PKQ746" s="214"/>
      <c r="PKR746" s="214"/>
      <c r="PKS746" s="214"/>
      <c r="PKT746" s="214"/>
      <c r="PKU746" s="214"/>
      <c r="PKV746" s="214"/>
      <c r="PKW746" s="214"/>
      <c r="PKX746" s="214"/>
      <c r="PKY746" s="214"/>
      <c r="PKZ746" s="214"/>
      <c r="PLA746" s="214"/>
      <c r="PLB746" s="214"/>
      <c r="PLC746" s="214"/>
      <c r="PLD746" s="214"/>
      <c r="PLE746" s="214"/>
      <c r="PLF746" s="214"/>
      <c r="PLG746" s="214"/>
      <c r="PLH746" s="214"/>
      <c r="PLI746" s="214"/>
      <c r="PLJ746" s="214"/>
      <c r="PLK746" s="214"/>
      <c r="PLL746" s="214"/>
      <c r="PLM746" s="214"/>
      <c r="PLN746" s="214"/>
      <c r="PLO746" s="214"/>
      <c r="PLP746" s="214"/>
      <c r="PLQ746" s="214"/>
      <c r="PLR746" s="214"/>
      <c r="PLS746" s="214"/>
      <c r="PLT746" s="214"/>
      <c r="PLU746" s="214"/>
      <c r="PLV746" s="214"/>
      <c r="PLW746" s="214"/>
      <c r="PLX746" s="214"/>
      <c r="PLY746" s="214"/>
      <c r="PLZ746" s="214"/>
      <c r="PMA746" s="214"/>
      <c r="PMB746" s="214"/>
      <c r="PMC746" s="214"/>
      <c r="PMD746" s="214"/>
      <c r="PME746" s="214"/>
      <c r="PMF746" s="214"/>
      <c r="PMG746" s="214"/>
      <c r="PMH746" s="214"/>
      <c r="PMI746" s="214"/>
      <c r="PMJ746" s="214"/>
      <c r="PMK746" s="214"/>
      <c r="PML746" s="214"/>
      <c r="PMM746" s="214"/>
      <c r="PMN746" s="214"/>
      <c r="PMO746" s="214"/>
      <c r="PMP746" s="214"/>
      <c r="PMQ746" s="214"/>
      <c r="PMR746" s="214"/>
      <c r="PMS746" s="214"/>
      <c r="PMT746" s="214"/>
      <c r="PMU746" s="214"/>
      <c r="PMV746" s="214"/>
      <c r="PMW746" s="214"/>
      <c r="PMX746" s="214"/>
      <c r="PMY746" s="214"/>
      <c r="PMZ746" s="214"/>
      <c r="PNA746" s="214"/>
      <c r="PNB746" s="214"/>
      <c r="PNC746" s="214"/>
      <c r="PND746" s="214"/>
      <c r="PNE746" s="214"/>
      <c r="PNF746" s="214"/>
      <c r="PNG746" s="214"/>
      <c r="PNH746" s="214"/>
      <c r="PNI746" s="214"/>
      <c r="PNJ746" s="214"/>
      <c r="PNK746" s="214"/>
      <c r="PNL746" s="214"/>
      <c r="PNM746" s="214"/>
      <c r="PNN746" s="214"/>
      <c r="PNO746" s="214"/>
      <c r="PNP746" s="214"/>
      <c r="PNQ746" s="214"/>
      <c r="PNR746" s="214"/>
      <c r="PNS746" s="214"/>
      <c r="PNT746" s="214"/>
      <c r="PNU746" s="214"/>
      <c r="PNV746" s="214"/>
      <c r="PNW746" s="214"/>
      <c r="PNX746" s="214"/>
      <c r="PNY746" s="214"/>
      <c r="PNZ746" s="214"/>
      <c r="POA746" s="214"/>
      <c r="POB746" s="214"/>
      <c r="POC746" s="214"/>
      <c r="POD746" s="214"/>
      <c r="POE746" s="214"/>
      <c r="POF746" s="214"/>
      <c r="POG746" s="214"/>
      <c r="POH746" s="214"/>
      <c r="POI746" s="214"/>
      <c r="POJ746" s="214"/>
      <c r="POK746" s="214"/>
      <c r="POL746" s="214"/>
      <c r="POM746" s="214"/>
      <c r="PON746" s="214"/>
      <c r="POO746" s="214"/>
      <c r="POP746" s="214"/>
      <c r="POQ746" s="214"/>
      <c r="POR746" s="214"/>
      <c r="POS746" s="214"/>
      <c r="POT746" s="214"/>
      <c r="POU746" s="214"/>
      <c r="POV746" s="214"/>
      <c r="POW746" s="214"/>
      <c r="POX746" s="214"/>
      <c r="POY746" s="214"/>
      <c r="POZ746" s="214"/>
      <c r="PPA746" s="214"/>
      <c r="PPB746" s="214"/>
      <c r="PPC746" s="214"/>
      <c r="PPD746" s="214"/>
      <c r="PPE746" s="214"/>
      <c r="PPF746" s="214"/>
      <c r="PPG746" s="214"/>
      <c r="PPH746" s="214"/>
      <c r="PPI746" s="214"/>
      <c r="PPJ746" s="214"/>
      <c r="PPK746" s="214"/>
      <c r="PPL746" s="214"/>
      <c r="PPM746" s="214"/>
      <c r="PPN746" s="214"/>
      <c r="PPO746" s="214"/>
      <c r="PPP746" s="214"/>
      <c r="PPQ746" s="214"/>
      <c r="PPR746" s="214"/>
      <c r="PPS746" s="214"/>
      <c r="PPT746" s="214"/>
      <c r="PPU746" s="214"/>
      <c r="PPV746" s="214"/>
      <c r="PPW746" s="214"/>
      <c r="PPX746" s="214"/>
      <c r="PPY746" s="214"/>
      <c r="PPZ746" s="214"/>
      <c r="PQA746" s="214"/>
      <c r="PQB746" s="214"/>
      <c r="PQC746" s="214"/>
      <c r="PQD746" s="214"/>
      <c r="PQE746" s="214"/>
      <c r="PQF746" s="214"/>
      <c r="PQG746" s="214"/>
      <c r="PQH746" s="214"/>
      <c r="PQI746" s="214"/>
      <c r="PQJ746" s="214"/>
      <c r="PQK746" s="214"/>
      <c r="PQL746" s="214"/>
      <c r="PQM746" s="214"/>
      <c r="PQN746" s="214"/>
      <c r="PQO746" s="214"/>
      <c r="PQP746" s="214"/>
      <c r="PQQ746" s="214"/>
      <c r="PQR746" s="214"/>
      <c r="PQS746" s="214"/>
      <c r="PQT746" s="214"/>
      <c r="PQU746" s="214"/>
      <c r="PQV746" s="214"/>
      <c r="PQW746" s="214"/>
      <c r="PQX746" s="214"/>
      <c r="PQY746" s="214"/>
      <c r="PQZ746" s="214"/>
      <c r="PRA746" s="214"/>
      <c r="PRB746" s="214"/>
      <c r="PRC746" s="214"/>
      <c r="PRD746" s="214"/>
      <c r="PRE746" s="214"/>
      <c r="PRF746" s="214"/>
      <c r="PRG746" s="214"/>
      <c r="PRH746" s="214"/>
      <c r="PRI746" s="214"/>
      <c r="PRJ746" s="214"/>
      <c r="PRK746" s="214"/>
      <c r="PRL746" s="214"/>
      <c r="PRM746" s="214"/>
      <c r="PRN746" s="214"/>
      <c r="PRO746" s="214"/>
      <c r="PRP746" s="214"/>
      <c r="PRQ746" s="214"/>
      <c r="PRR746" s="214"/>
      <c r="PRS746" s="214"/>
      <c r="PRT746" s="214"/>
      <c r="PRU746" s="214"/>
      <c r="PRV746" s="214"/>
      <c r="PRW746" s="214"/>
      <c r="PRX746" s="214"/>
      <c r="PRY746" s="214"/>
      <c r="PRZ746" s="214"/>
      <c r="PSA746" s="214"/>
      <c r="PSB746" s="214"/>
      <c r="PSC746" s="214"/>
      <c r="PSD746" s="214"/>
      <c r="PSE746" s="214"/>
      <c r="PSF746" s="214"/>
      <c r="PSG746" s="214"/>
      <c r="PSH746" s="214"/>
      <c r="PSI746" s="214"/>
      <c r="PSJ746" s="214"/>
      <c r="PSK746" s="214"/>
      <c r="PSL746" s="214"/>
      <c r="PSM746" s="214"/>
      <c r="PSN746" s="214"/>
      <c r="PSO746" s="214"/>
      <c r="PSP746" s="214"/>
      <c r="PSQ746" s="214"/>
      <c r="PSR746" s="214"/>
      <c r="PSS746" s="214"/>
      <c r="PST746" s="214"/>
      <c r="PSU746" s="214"/>
      <c r="PSV746" s="214"/>
      <c r="PSW746" s="214"/>
      <c r="PSX746" s="214"/>
      <c r="PSY746" s="214"/>
      <c r="PSZ746" s="214"/>
      <c r="PTA746" s="214"/>
      <c r="PTB746" s="214"/>
      <c r="PTC746" s="214"/>
      <c r="PTD746" s="214"/>
      <c r="PTE746" s="214"/>
      <c r="PTF746" s="214"/>
      <c r="PTG746" s="214"/>
      <c r="PTH746" s="214"/>
      <c r="PTI746" s="214"/>
      <c r="PTJ746" s="214"/>
      <c r="PTK746" s="214"/>
      <c r="PTL746" s="214"/>
      <c r="PTM746" s="214"/>
      <c r="PTN746" s="214"/>
      <c r="PTO746" s="214"/>
      <c r="PTP746" s="214"/>
      <c r="PTQ746" s="214"/>
      <c r="PTR746" s="214"/>
      <c r="PTS746" s="214"/>
      <c r="PTT746" s="214"/>
      <c r="PTU746" s="214"/>
      <c r="PTV746" s="214"/>
      <c r="PTW746" s="214"/>
      <c r="PTX746" s="214"/>
      <c r="PTY746" s="214"/>
      <c r="PTZ746" s="214"/>
      <c r="PUA746" s="214"/>
      <c r="PUB746" s="214"/>
      <c r="PUC746" s="214"/>
      <c r="PUD746" s="214"/>
      <c r="PUE746" s="214"/>
      <c r="PUF746" s="214"/>
      <c r="PUG746" s="214"/>
      <c r="PUH746" s="214"/>
      <c r="PUI746" s="214"/>
      <c r="PUJ746" s="214"/>
      <c r="PUK746" s="214"/>
      <c r="PUL746" s="214"/>
      <c r="PUM746" s="214"/>
      <c r="PUN746" s="214"/>
      <c r="PUO746" s="214"/>
      <c r="PUP746" s="214"/>
      <c r="PUQ746" s="214"/>
      <c r="PUR746" s="214"/>
      <c r="PUS746" s="214"/>
      <c r="PUT746" s="214"/>
      <c r="PUU746" s="214"/>
      <c r="PUV746" s="214"/>
      <c r="PUW746" s="214"/>
      <c r="PUX746" s="214"/>
      <c r="PUY746" s="214"/>
      <c r="PUZ746" s="214"/>
      <c r="PVA746" s="214"/>
      <c r="PVB746" s="214"/>
      <c r="PVC746" s="214"/>
      <c r="PVD746" s="214"/>
      <c r="PVE746" s="214"/>
      <c r="PVF746" s="214"/>
      <c r="PVG746" s="214"/>
      <c r="PVH746" s="214"/>
      <c r="PVI746" s="214"/>
      <c r="PVJ746" s="214"/>
      <c r="PVK746" s="214"/>
      <c r="PVL746" s="214"/>
      <c r="PVM746" s="214"/>
      <c r="PVN746" s="214"/>
      <c r="PVO746" s="214"/>
      <c r="PVP746" s="214"/>
      <c r="PVQ746" s="214"/>
      <c r="PVR746" s="214"/>
      <c r="PVS746" s="214"/>
      <c r="PVT746" s="214"/>
      <c r="PVU746" s="214"/>
      <c r="PVV746" s="214"/>
      <c r="PVW746" s="214"/>
      <c r="PVX746" s="214"/>
      <c r="PVY746" s="214"/>
      <c r="PVZ746" s="214"/>
      <c r="PWA746" s="214"/>
      <c r="PWB746" s="214"/>
      <c r="PWC746" s="214"/>
      <c r="PWD746" s="214"/>
      <c r="PWE746" s="214"/>
      <c r="PWF746" s="214"/>
      <c r="PWG746" s="214"/>
      <c r="PWH746" s="214"/>
      <c r="PWI746" s="214"/>
      <c r="PWJ746" s="214"/>
      <c r="PWK746" s="214"/>
      <c r="PWL746" s="214"/>
      <c r="PWM746" s="214"/>
      <c r="PWN746" s="214"/>
      <c r="PWO746" s="214"/>
      <c r="PWP746" s="214"/>
      <c r="PWQ746" s="214"/>
      <c r="PWR746" s="214"/>
      <c r="PWS746" s="214"/>
      <c r="PWT746" s="214"/>
      <c r="PWU746" s="214"/>
      <c r="PWV746" s="214"/>
      <c r="PWW746" s="214"/>
      <c r="PWX746" s="214"/>
      <c r="PWY746" s="214"/>
      <c r="PWZ746" s="214"/>
      <c r="PXA746" s="214"/>
      <c r="PXB746" s="214"/>
      <c r="PXC746" s="214"/>
      <c r="PXD746" s="214"/>
      <c r="PXE746" s="214"/>
      <c r="PXF746" s="214"/>
      <c r="PXG746" s="214"/>
      <c r="PXH746" s="214"/>
      <c r="PXI746" s="214"/>
      <c r="PXJ746" s="214"/>
      <c r="PXK746" s="214"/>
      <c r="PXL746" s="214"/>
      <c r="PXM746" s="214"/>
      <c r="PXN746" s="214"/>
      <c r="PXO746" s="214"/>
      <c r="PXP746" s="214"/>
      <c r="PXQ746" s="214"/>
      <c r="PXR746" s="214"/>
      <c r="PXS746" s="214"/>
      <c r="PXT746" s="214"/>
      <c r="PXU746" s="214"/>
      <c r="PXV746" s="214"/>
      <c r="PXW746" s="214"/>
      <c r="PXX746" s="214"/>
      <c r="PXY746" s="214"/>
      <c r="PXZ746" s="214"/>
      <c r="PYA746" s="214"/>
      <c r="PYB746" s="214"/>
      <c r="PYC746" s="214"/>
      <c r="PYD746" s="214"/>
      <c r="PYE746" s="214"/>
      <c r="PYF746" s="214"/>
      <c r="PYG746" s="214"/>
      <c r="PYH746" s="214"/>
      <c r="PYI746" s="214"/>
      <c r="PYJ746" s="214"/>
      <c r="PYK746" s="214"/>
      <c r="PYL746" s="214"/>
      <c r="PYM746" s="214"/>
      <c r="PYN746" s="214"/>
      <c r="PYO746" s="214"/>
      <c r="PYP746" s="214"/>
      <c r="PYQ746" s="214"/>
      <c r="PYR746" s="214"/>
      <c r="PYS746" s="214"/>
      <c r="PYT746" s="214"/>
      <c r="PYU746" s="214"/>
      <c r="PYV746" s="214"/>
      <c r="PYW746" s="214"/>
      <c r="PYX746" s="214"/>
      <c r="PYY746" s="214"/>
      <c r="PYZ746" s="214"/>
      <c r="PZA746" s="214"/>
      <c r="PZB746" s="214"/>
      <c r="PZC746" s="214"/>
      <c r="PZD746" s="214"/>
      <c r="PZE746" s="214"/>
      <c r="PZF746" s="214"/>
      <c r="PZG746" s="214"/>
      <c r="PZH746" s="214"/>
      <c r="PZI746" s="214"/>
      <c r="PZJ746" s="214"/>
      <c r="PZK746" s="214"/>
      <c r="PZL746" s="214"/>
      <c r="PZM746" s="214"/>
      <c r="PZN746" s="214"/>
      <c r="PZO746" s="214"/>
      <c r="PZP746" s="214"/>
      <c r="PZQ746" s="214"/>
      <c r="PZR746" s="214"/>
      <c r="PZS746" s="214"/>
      <c r="PZT746" s="214"/>
      <c r="PZU746" s="214"/>
      <c r="PZV746" s="214"/>
      <c r="PZW746" s="214"/>
      <c r="PZX746" s="214"/>
      <c r="PZY746" s="214"/>
      <c r="PZZ746" s="214"/>
      <c r="QAA746" s="214"/>
      <c r="QAB746" s="214"/>
      <c r="QAC746" s="214"/>
      <c r="QAD746" s="214"/>
      <c r="QAE746" s="214"/>
      <c r="QAF746" s="214"/>
      <c r="QAG746" s="214"/>
      <c r="QAH746" s="214"/>
      <c r="QAI746" s="214"/>
      <c r="QAJ746" s="214"/>
      <c r="QAK746" s="214"/>
      <c r="QAL746" s="214"/>
      <c r="QAM746" s="214"/>
      <c r="QAN746" s="214"/>
      <c r="QAO746" s="214"/>
      <c r="QAP746" s="214"/>
      <c r="QAQ746" s="214"/>
      <c r="QAR746" s="214"/>
      <c r="QAS746" s="214"/>
      <c r="QAT746" s="214"/>
      <c r="QAU746" s="214"/>
      <c r="QAV746" s="214"/>
      <c r="QAW746" s="214"/>
      <c r="QAX746" s="214"/>
      <c r="QAY746" s="214"/>
      <c r="QAZ746" s="214"/>
      <c r="QBA746" s="214"/>
      <c r="QBB746" s="214"/>
      <c r="QBC746" s="214"/>
      <c r="QBD746" s="214"/>
      <c r="QBE746" s="214"/>
      <c r="QBF746" s="214"/>
      <c r="QBG746" s="214"/>
      <c r="QBH746" s="214"/>
      <c r="QBI746" s="214"/>
      <c r="QBJ746" s="214"/>
      <c r="QBK746" s="214"/>
      <c r="QBL746" s="214"/>
      <c r="QBM746" s="214"/>
      <c r="QBN746" s="214"/>
      <c r="QBO746" s="214"/>
      <c r="QBP746" s="214"/>
      <c r="QBQ746" s="214"/>
      <c r="QBR746" s="214"/>
      <c r="QBS746" s="214"/>
      <c r="QBT746" s="214"/>
      <c r="QBU746" s="214"/>
      <c r="QBV746" s="214"/>
      <c r="QBW746" s="214"/>
      <c r="QBX746" s="214"/>
      <c r="QBY746" s="214"/>
      <c r="QBZ746" s="214"/>
      <c r="QCA746" s="214"/>
      <c r="QCB746" s="214"/>
      <c r="QCC746" s="214"/>
      <c r="QCD746" s="214"/>
      <c r="QCE746" s="214"/>
      <c r="QCF746" s="214"/>
      <c r="QCG746" s="214"/>
      <c r="QCH746" s="214"/>
      <c r="QCI746" s="214"/>
      <c r="QCJ746" s="214"/>
      <c r="QCK746" s="214"/>
      <c r="QCL746" s="214"/>
      <c r="QCM746" s="214"/>
      <c r="QCN746" s="214"/>
      <c r="QCO746" s="214"/>
      <c r="QCP746" s="214"/>
      <c r="QCQ746" s="214"/>
      <c r="QCR746" s="214"/>
      <c r="QCS746" s="214"/>
      <c r="QCT746" s="214"/>
      <c r="QCU746" s="214"/>
      <c r="QCV746" s="214"/>
      <c r="QCW746" s="214"/>
      <c r="QCX746" s="214"/>
      <c r="QCY746" s="214"/>
      <c r="QCZ746" s="214"/>
      <c r="QDA746" s="214"/>
      <c r="QDB746" s="214"/>
      <c r="QDC746" s="214"/>
      <c r="QDD746" s="214"/>
      <c r="QDE746" s="214"/>
      <c r="QDF746" s="214"/>
      <c r="QDG746" s="214"/>
      <c r="QDH746" s="214"/>
      <c r="QDI746" s="214"/>
      <c r="QDJ746" s="214"/>
      <c r="QDK746" s="214"/>
      <c r="QDL746" s="214"/>
      <c r="QDM746" s="214"/>
      <c r="QDN746" s="214"/>
      <c r="QDO746" s="214"/>
      <c r="QDP746" s="214"/>
      <c r="QDQ746" s="214"/>
      <c r="QDR746" s="214"/>
      <c r="QDS746" s="214"/>
      <c r="QDT746" s="214"/>
      <c r="QDU746" s="214"/>
      <c r="QDV746" s="214"/>
      <c r="QDW746" s="214"/>
      <c r="QDX746" s="214"/>
      <c r="QDY746" s="214"/>
      <c r="QDZ746" s="214"/>
      <c r="QEA746" s="214"/>
      <c r="QEB746" s="214"/>
      <c r="QEC746" s="214"/>
      <c r="QED746" s="214"/>
      <c r="QEE746" s="214"/>
      <c r="QEF746" s="214"/>
      <c r="QEG746" s="214"/>
      <c r="QEH746" s="214"/>
      <c r="QEI746" s="214"/>
      <c r="QEJ746" s="214"/>
      <c r="QEK746" s="214"/>
      <c r="QEL746" s="214"/>
      <c r="QEM746" s="214"/>
      <c r="QEN746" s="214"/>
      <c r="QEO746" s="214"/>
      <c r="QEP746" s="214"/>
      <c r="QEQ746" s="214"/>
      <c r="QER746" s="214"/>
      <c r="QES746" s="214"/>
      <c r="QET746" s="214"/>
      <c r="QEU746" s="214"/>
      <c r="QEV746" s="214"/>
      <c r="QEW746" s="214"/>
      <c r="QEX746" s="214"/>
      <c r="QEY746" s="214"/>
      <c r="QEZ746" s="214"/>
      <c r="QFA746" s="214"/>
      <c r="QFB746" s="214"/>
      <c r="QFC746" s="214"/>
      <c r="QFD746" s="214"/>
      <c r="QFE746" s="214"/>
      <c r="QFF746" s="214"/>
      <c r="QFG746" s="214"/>
      <c r="QFH746" s="214"/>
      <c r="QFI746" s="214"/>
      <c r="QFJ746" s="214"/>
      <c r="QFK746" s="214"/>
      <c r="QFL746" s="214"/>
      <c r="QFM746" s="214"/>
      <c r="QFN746" s="214"/>
      <c r="QFO746" s="214"/>
      <c r="QFP746" s="214"/>
      <c r="QFQ746" s="214"/>
      <c r="QFR746" s="214"/>
      <c r="QFS746" s="214"/>
      <c r="QFT746" s="214"/>
      <c r="QFU746" s="214"/>
      <c r="QFV746" s="214"/>
      <c r="QFW746" s="214"/>
      <c r="QFX746" s="214"/>
      <c r="QFY746" s="214"/>
      <c r="QFZ746" s="214"/>
      <c r="QGA746" s="214"/>
      <c r="QGB746" s="214"/>
      <c r="QGC746" s="214"/>
      <c r="QGD746" s="214"/>
      <c r="QGE746" s="214"/>
      <c r="QGF746" s="214"/>
      <c r="QGG746" s="214"/>
      <c r="QGH746" s="214"/>
      <c r="QGI746" s="214"/>
      <c r="QGJ746" s="214"/>
      <c r="QGK746" s="214"/>
      <c r="QGL746" s="214"/>
      <c r="QGM746" s="214"/>
      <c r="QGN746" s="214"/>
      <c r="QGO746" s="214"/>
      <c r="QGP746" s="214"/>
      <c r="QGQ746" s="214"/>
      <c r="QGR746" s="214"/>
      <c r="QGS746" s="214"/>
      <c r="QGT746" s="214"/>
      <c r="QGU746" s="214"/>
      <c r="QGV746" s="214"/>
      <c r="QGW746" s="214"/>
      <c r="QGX746" s="214"/>
      <c r="QGY746" s="214"/>
      <c r="QGZ746" s="214"/>
      <c r="QHA746" s="214"/>
      <c r="QHB746" s="214"/>
      <c r="QHC746" s="214"/>
      <c r="QHD746" s="214"/>
      <c r="QHE746" s="214"/>
      <c r="QHF746" s="214"/>
      <c r="QHG746" s="214"/>
      <c r="QHH746" s="214"/>
      <c r="QHI746" s="214"/>
      <c r="QHJ746" s="214"/>
      <c r="QHK746" s="214"/>
      <c r="QHL746" s="214"/>
      <c r="QHM746" s="214"/>
      <c r="QHN746" s="214"/>
      <c r="QHO746" s="214"/>
      <c r="QHP746" s="214"/>
      <c r="QHQ746" s="214"/>
      <c r="QHR746" s="214"/>
      <c r="QHS746" s="214"/>
      <c r="QHT746" s="214"/>
      <c r="QHU746" s="214"/>
      <c r="QHV746" s="214"/>
      <c r="QHW746" s="214"/>
      <c r="QHX746" s="214"/>
      <c r="QHY746" s="214"/>
      <c r="QHZ746" s="214"/>
      <c r="QIA746" s="214"/>
      <c r="QIB746" s="214"/>
      <c r="QIC746" s="214"/>
      <c r="QID746" s="214"/>
      <c r="QIE746" s="214"/>
      <c r="QIF746" s="214"/>
      <c r="QIG746" s="214"/>
      <c r="QIH746" s="214"/>
      <c r="QII746" s="214"/>
      <c r="QIJ746" s="214"/>
      <c r="QIK746" s="214"/>
      <c r="QIL746" s="214"/>
      <c r="QIM746" s="214"/>
      <c r="QIN746" s="214"/>
      <c r="QIO746" s="214"/>
      <c r="QIP746" s="214"/>
      <c r="QIQ746" s="214"/>
      <c r="QIR746" s="214"/>
      <c r="QIS746" s="214"/>
      <c r="QIT746" s="214"/>
      <c r="QIU746" s="214"/>
      <c r="QIV746" s="214"/>
      <c r="QIW746" s="214"/>
      <c r="QIX746" s="214"/>
      <c r="QIY746" s="214"/>
      <c r="QIZ746" s="214"/>
      <c r="QJA746" s="214"/>
      <c r="QJB746" s="214"/>
      <c r="QJC746" s="214"/>
      <c r="QJD746" s="214"/>
      <c r="QJE746" s="214"/>
      <c r="QJF746" s="214"/>
      <c r="QJG746" s="214"/>
      <c r="QJH746" s="214"/>
      <c r="QJI746" s="214"/>
      <c r="QJJ746" s="214"/>
      <c r="QJK746" s="214"/>
      <c r="QJL746" s="214"/>
      <c r="QJM746" s="214"/>
      <c r="QJN746" s="214"/>
      <c r="QJO746" s="214"/>
      <c r="QJP746" s="214"/>
      <c r="QJQ746" s="214"/>
      <c r="QJR746" s="214"/>
      <c r="QJS746" s="214"/>
      <c r="QJT746" s="214"/>
      <c r="QJU746" s="214"/>
      <c r="QJV746" s="214"/>
      <c r="QJW746" s="214"/>
      <c r="QJX746" s="214"/>
      <c r="QJY746" s="214"/>
      <c r="QJZ746" s="214"/>
      <c r="QKA746" s="214"/>
      <c r="QKB746" s="214"/>
      <c r="QKC746" s="214"/>
      <c r="QKD746" s="214"/>
      <c r="QKE746" s="214"/>
      <c r="QKF746" s="214"/>
      <c r="QKG746" s="214"/>
      <c r="QKH746" s="214"/>
      <c r="QKI746" s="214"/>
      <c r="QKJ746" s="214"/>
      <c r="QKK746" s="214"/>
      <c r="QKL746" s="214"/>
      <c r="QKM746" s="214"/>
      <c r="QKN746" s="214"/>
      <c r="QKO746" s="214"/>
      <c r="QKP746" s="214"/>
      <c r="QKQ746" s="214"/>
      <c r="QKR746" s="214"/>
      <c r="QKS746" s="214"/>
      <c r="QKT746" s="214"/>
      <c r="QKU746" s="214"/>
      <c r="QKV746" s="214"/>
      <c r="QKW746" s="214"/>
      <c r="QKX746" s="214"/>
      <c r="QKY746" s="214"/>
      <c r="QKZ746" s="214"/>
      <c r="QLA746" s="214"/>
      <c r="QLB746" s="214"/>
      <c r="QLC746" s="214"/>
      <c r="QLD746" s="214"/>
      <c r="QLE746" s="214"/>
      <c r="QLF746" s="214"/>
      <c r="QLG746" s="214"/>
      <c r="QLH746" s="214"/>
      <c r="QLI746" s="214"/>
      <c r="QLJ746" s="214"/>
      <c r="QLK746" s="214"/>
      <c r="QLL746" s="214"/>
      <c r="QLM746" s="214"/>
      <c r="QLN746" s="214"/>
      <c r="QLO746" s="214"/>
      <c r="QLP746" s="214"/>
      <c r="QLQ746" s="214"/>
      <c r="QLR746" s="214"/>
      <c r="QLS746" s="214"/>
      <c r="QLT746" s="214"/>
      <c r="QLU746" s="214"/>
      <c r="QLV746" s="214"/>
      <c r="QLW746" s="214"/>
      <c r="QLX746" s="214"/>
      <c r="QLY746" s="214"/>
      <c r="QLZ746" s="214"/>
      <c r="QMA746" s="214"/>
      <c r="QMB746" s="214"/>
      <c r="QMC746" s="214"/>
      <c r="QMD746" s="214"/>
      <c r="QME746" s="214"/>
      <c r="QMF746" s="214"/>
      <c r="QMG746" s="214"/>
      <c r="QMH746" s="214"/>
      <c r="QMI746" s="214"/>
      <c r="QMJ746" s="214"/>
      <c r="QMK746" s="214"/>
      <c r="QML746" s="214"/>
      <c r="QMM746" s="214"/>
      <c r="QMN746" s="214"/>
      <c r="QMO746" s="214"/>
      <c r="QMP746" s="214"/>
      <c r="QMQ746" s="214"/>
      <c r="QMR746" s="214"/>
      <c r="QMS746" s="214"/>
      <c r="QMT746" s="214"/>
      <c r="QMU746" s="214"/>
      <c r="QMV746" s="214"/>
      <c r="QMW746" s="214"/>
      <c r="QMX746" s="214"/>
      <c r="QMY746" s="214"/>
      <c r="QMZ746" s="214"/>
      <c r="QNA746" s="214"/>
      <c r="QNB746" s="214"/>
      <c r="QNC746" s="214"/>
      <c r="QND746" s="214"/>
      <c r="QNE746" s="214"/>
      <c r="QNF746" s="214"/>
      <c r="QNG746" s="214"/>
      <c r="QNH746" s="214"/>
      <c r="QNI746" s="214"/>
      <c r="QNJ746" s="214"/>
      <c r="QNK746" s="214"/>
      <c r="QNL746" s="214"/>
      <c r="QNM746" s="214"/>
      <c r="QNN746" s="214"/>
      <c r="QNO746" s="214"/>
      <c r="QNP746" s="214"/>
      <c r="QNQ746" s="214"/>
      <c r="QNR746" s="214"/>
      <c r="QNS746" s="214"/>
      <c r="QNT746" s="214"/>
      <c r="QNU746" s="214"/>
      <c r="QNV746" s="214"/>
      <c r="QNW746" s="214"/>
      <c r="QNX746" s="214"/>
      <c r="QNY746" s="214"/>
      <c r="QNZ746" s="214"/>
      <c r="QOA746" s="214"/>
      <c r="QOB746" s="214"/>
      <c r="QOC746" s="214"/>
      <c r="QOD746" s="214"/>
      <c r="QOE746" s="214"/>
      <c r="QOF746" s="214"/>
      <c r="QOG746" s="214"/>
      <c r="QOH746" s="214"/>
      <c r="QOI746" s="214"/>
      <c r="QOJ746" s="214"/>
      <c r="QOK746" s="214"/>
      <c r="QOL746" s="214"/>
      <c r="QOM746" s="214"/>
      <c r="QON746" s="214"/>
      <c r="QOO746" s="214"/>
      <c r="QOP746" s="214"/>
      <c r="QOQ746" s="214"/>
      <c r="QOR746" s="214"/>
      <c r="QOS746" s="214"/>
      <c r="QOT746" s="214"/>
      <c r="QOU746" s="214"/>
      <c r="QOV746" s="214"/>
      <c r="QOW746" s="214"/>
      <c r="QOX746" s="214"/>
      <c r="QOY746" s="214"/>
      <c r="QOZ746" s="214"/>
      <c r="QPA746" s="214"/>
      <c r="QPB746" s="214"/>
      <c r="QPC746" s="214"/>
      <c r="QPD746" s="214"/>
      <c r="QPE746" s="214"/>
      <c r="QPF746" s="214"/>
      <c r="QPG746" s="214"/>
      <c r="QPH746" s="214"/>
      <c r="QPI746" s="214"/>
      <c r="QPJ746" s="214"/>
      <c r="QPK746" s="214"/>
      <c r="QPL746" s="214"/>
      <c r="QPM746" s="214"/>
      <c r="QPN746" s="214"/>
      <c r="QPO746" s="214"/>
      <c r="QPP746" s="214"/>
      <c r="QPQ746" s="214"/>
      <c r="QPR746" s="214"/>
      <c r="QPS746" s="214"/>
      <c r="QPT746" s="214"/>
      <c r="QPU746" s="214"/>
      <c r="QPV746" s="214"/>
      <c r="QPW746" s="214"/>
      <c r="QPX746" s="214"/>
      <c r="QPY746" s="214"/>
      <c r="QPZ746" s="214"/>
      <c r="QQA746" s="214"/>
      <c r="QQB746" s="214"/>
      <c r="QQC746" s="214"/>
      <c r="QQD746" s="214"/>
      <c r="QQE746" s="214"/>
      <c r="QQF746" s="214"/>
      <c r="QQG746" s="214"/>
      <c r="QQH746" s="214"/>
      <c r="QQI746" s="214"/>
      <c r="QQJ746" s="214"/>
      <c r="QQK746" s="214"/>
      <c r="QQL746" s="214"/>
      <c r="QQM746" s="214"/>
      <c r="QQN746" s="214"/>
      <c r="QQO746" s="214"/>
      <c r="QQP746" s="214"/>
      <c r="QQQ746" s="214"/>
      <c r="QQR746" s="214"/>
      <c r="QQS746" s="214"/>
      <c r="QQT746" s="214"/>
      <c r="QQU746" s="214"/>
      <c r="QQV746" s="214"/>
      <c r="QQW746" s="214"/>
      <c r="QQX746" s="214"/>
      <c r="QQY746" s="214"/>
      <c r="QQZ746" s="214"/>
      <c r="QRA746" s="214"/>
      <c r="QRB746" s="214"/>
      <c r="QRC746" s="214"/>
      <c r="QRD746" s="214"/>
      <c r="QRE746" s="214"/>
      <c r="QRF746" s="214"/>
      <c r="QRG746" s="214"/>
      <c r="QRH746" s="214"/>
      <c r="QRI746" s="214"/>
      <c r="QRJ746" s="214"/>
      <c r="QRK746" s="214"/>
      <c r="QRL746" s="214"/>
      <c r="QRM746" s="214"/>
      <c r="QRN746" s="214"/>
      <c r="QRO746" s="214"/>
      <c r="QRP746" s="214"/>
      <c r="QRQ746" s="214"/>
      <c r="QRR746" s="214"/>
      <c r="QRS746" s="214"/>
      <c r="QRT746" s="214"/>
      <c r="QRU746" s="214"/>
      <c r="QRV746" s="214"/>
      <c r="QRW746" s="214"/>
      <c r="QRX746" s="214"/>
      <c r="QRY746" s="214"/>
      <c r="QRZ746" s="214"/>
      <c r="QSA746" s="214"/>
      <c r="QSB746" s="214"/>
      <c r="QSC746" s="214"/>
      <c r="QSD746" s="214"/>
      <c r="QSE746" s="214"/>
      <c r="QSF746" s="214"/>
      <c r="QSG746" s="214"/>
      <c r="QSH746" s="214"/>
      <c r="QSI746" s="214"/>
      <c r="QSJ746" s="214"/>
      <c r="QSK746" s="214"/>
      <c r="QSL746" s="214"/>
      <c r="QSM746" s="214"/>
      <c r="QSN746" s="214"/>
      <c r="QSO746" s="214"/>
      <c r="QSP746" s="214"/>
      <c r="QSQ746" s="214"/>
      <c r="QSR746" s="214"/>
      <c r="QSS746" s="214"/>
      <c r="QST746" s="214"/>
      <c r="QSU746" s="214"/>
      <c r="QSV746" s="214"/>
      <c r="QSW746" s="214"/>
      <c r="QSX746" s="214"/>
      <c r="QSY746" s="214"/>
      <c r="QSZ746" s="214"/>
      <c r="QTA746" s="214"/>
      <c r="QTB746" s="214"/>
      <c r="QTC746" s="214"/>
      <c r="QTD746" s="214"/>
      <c r="QTE746" s="214"/>
      <c r="QTF746" s="214"/>
      <c r="QTG746" s="214"/>
      <c r="QTH746" s="214"/>
      <c r="QTI746" s="214"/>
      <c r="QTJ746" s="214"/>
      <c r="QTK746" s="214"/>
      <c r="QTL746" s="214"/>
      <c r="QTM746" s="214"/>
      <c r="QTN746" s="214"/>
      <c r="QTO746" s="214"/>
      <c r="QTP746" s="214"/>
      <c r="QTQ746" s="214"/>
      <c r="QTR746" s="214"/>
      <c r="QTS746" s="214"/>
      <c r="QTT746" s="214"/>
      <c r="QTU746" s="214"/>
      <c r="QTV746" s="214"/>
      <c r="QTW746" s="214"/>
      <c r="QTX746" s="214"/>
      <c r="QTY746" s="214"/>
      <c r="QTZ746" s="214"/>
      <c r="QUA746" s="214"/>
      <c r="QUB746" s="214"/>
      <c r="QUC746" s="214"/>
      <c r="QUD746" s="214"/>
      <c r="QUE746" s="214"/>
      <c r="QUF746" s="214"/>
      <c r="QUG746" s="214"/>
      <c r="QUH746" s="214"/>
      <c r="QUI746" s="214"/>
      <c r="QUJ746" s="214"/>
      <c r="QUK746" s="214"/>
      <c r="QUL746" s="214"/>
      <c r="QUM746" s="214"/>
      <c r="QUN746" s="214"/>
      <c r="QUO746" s="214"/>
      <c r="QUP746" s="214"/>
      <c r="QUQ746" s="214"/>
      <c r="QUR746" s="214"/>
      <c r="QUS746" s="214"/>
      <c r="QUT746" s="214"/>
      <c r="QUU746" s="214"/>
      <c r="QUV746" s="214"/>
      <c r="QUW746" s="214"/>
      <c r="QUX746" s="214"/>
      <c r="QUY746" s="214"/>
      <c r="QUZ746" s="214"/>
      <c r="QVA746" s="214"/>
      <c r="QVB746" s="214"/>
      <c r="QVC746" s="214"/>
      <c r="QVD746" s="214"/>
      <c r="QVE746" s="214"/>
      <c r="QVF746" s="214"/>
      <c r="QVG746" s="214"/>
      <c r="QVH746" s="214"/>
      <c r="QVI746" s="214"/>
      <c r="QVJ746" s="214"/>
      <c r="QVK746" s="214"/>
      <c r="QVL746" s="214"/>
      <c r="QVM746" s="214"/>
      <c r="QVN746" s="214"/>
      <c r="QVO746" s="214"/>
      <c r="QVP746" s="214"/>
      <c r="QVQ746" s="214"/>
      <c r="QVR746" s="214"/>
      <c r="QVS746" s="214"/>
      <c r="QVT746" s="214"/>
      <c r="QVU746" s="214"/>
      <c r="QVV746" s="214"/>
      <c r="QVW746" s="214"/>
      <c r="QVX746" s="214"/>
      <c r="QVY746" s="214"/>
      <c r="QVZ746" s="214"/>
      <c r="QWA746" s="214"/>
      <c r="QWB746" s="214"/>
      <c r="QWC746" s="214"/>
      <c r="QWD746" s="214"/>
      <c r="QWE746" s="214"/>
      <c r="QWF746" s="214"/>
      <c r="QWG746" s="214"/>
      <c r="QWH746" s="214"/>
      <c r="QWI746" s="214"/>
      <c r="QWJ746" s="214"/>
      <c r="QWK746" s="214"/>
      <c r="QWL746" s="214"/>
      <c r="QWM746" s="214"/>
      <c r="QWN746" s="214"/>
      <c r="QWO746" s="214"/>
      <c r="QWP746" s="214"/>
      <c r="QWQ746" s="214"/>
      <c r="QWR746" s="214"/>
      <c r="QWS746" s="214"/>
      <c r="QWT746" s="214"/>
      <c r="QWU746" s="214"/>
      <c r="QWV746" s="214"/>
      <c r="QWW746" s="214"/>
      <c r="QWX746" s="214"/>
      <c r="QWY746" s="214"/>
      <c r="QWZ746" s="214"/>
      <c r="QXA746" s="214"/>
      <c r="QXB746" s="214"/>
      <c r="QXC746" s="214"/>
      <c r="QXD746" s="214"/>
      <c r="QXE746" s="214"/>
      <c r="QXF746" s="214"/>
      <c r="QXG746" s="214"/>
      <c r="QXH746" s="214"/>
      <c r="QXI746" s="214"/>
      <c r="QXJ746" s="214"/>
      <c r="QXK746" s="214"/>
      <c r="QXL746" s="214"/>
      <c r="QXM746" s="214"/>
      <c r="QXN746" s="214"/>
      <c r="QXO746" s="214"/>
      <c r="QXP746" s="214"/>
      <c r="QXQ746" s="214"/>
      <c r="QXR746" s="214"/>
      <c r="QXS746" s="214"/>
      <c r="QXT746" s="214"/>
      <c r="QXU746" s="214"/>
      <c r="QXV746" s="214"/>
      <c r="QXW746" s="214"/>
      <c r="QXX746" s="214"/>
      <c r="QXY746" s="214"/>
      <c r="QXZ746" s="214"/>
      <c r="QYA746" s="214"/>
      <c r="QYB746" s="214"/>
      <c r="QYC746" s="214"/>
      <c r="QYD746" s="214"/>
      <c r="QYE746" s="214"/>
      <c r="QYF746" s="214"/>
      <c r="QYG746" s="214"/>
      <c r="QYH746" s="214"/>
      <c r="QYI746" s="214"/>
      <c r="QYJ746" s="214"/>
      <c r="QYK746" s="214"/>
      <c r="QYL746" s="214"/>
      <c r="QYM746" s="214"/>
      <c r="QYN746" s="214"/>
      <c r="QYO746" s="214"/>
      <c r="QYP746" s="214"/>
      <c r="QYQ746" s="214"/>
      <c r="QYR746" s="214"/>
      <c r="QYS746" s="214"/>
      <c r="QYT746" s="214"/>
      <c r="QYU746" s="214"/>
      <c r="QYV746" s="214"/>
      <c r="QYW746" s="214"/>
      <c r="QYX746" s="214"/>
      <c r="QYY746" s="214"/>
      <c r="QYZ746" s="214"/>
      <c r="QZA746" s="214"/>
      <c r="QZB746" s="214"/>
      <c r="QZC746" s="214"/>
      <c r="QZD746" s="214"/>
      <c r="QZE746" s="214"/>
      <c r="QZF746" s="214"/>
      <c r="QZG746" s="214"/>
      <c r="QZH746" s="214"/>
      <c r="QZI746" s="214"/>
      <c r="QZJ746" s="214"/>
      <c r="QZK746" s="214"/>
      <c r="QZL746" s="214"/>
      <c r="QZM746" s="214"/>
      <c r="QZN746" s="214"/>
      <c r="QZO746" s="214"/>
      <c r="QZP746" s="214"/>
      <c r="QZQ746" s="214"/>
      <c r="QZR746" s="214"/>
      <c r="QZS746" s="214"/>
      <c r="QZT746" s="214"/>
      <c r="QZU746" s="214"/>
      <c r="QZV746" s="214"/>
      <c r="QZW746" s="214"/>
      <c r="QZX746" s="214"/>
      <c r="QZY746" s="214"/>
      <c r="QZZ746" s="214"/>
      <c r="RAA746" s="214"/>
      <c r="RAB746" s="214"/>
      <c r="RAC746" s="214"/>
      <c r="RAD746" s="214"/>
      <c r="RAE746" s="214"/>
      <c r="RAF746" s="214"/>
      <c r="RAG746" s="214"/>
      <c r="RAH746" s="214"/>
      <c r="RAI746" s="214"/>
      <c r="RAJ746" s="214"/>
      <c r="RAK746" s="214"/>
      <c r="RAL746" s="214"/>
      <c r="RAM746" s="214"/>
      <c r="RAN746" s="214"/>
      <c r="RAO746" s="214"/>
      <c r="RAP746" s="214"/>
      <c r="RAQ746" s="214"/>
      <c r="RAR746" s="214"/>
      <c r="RAS746" s="214"/>
      <c r="RAT746" s="214"/>
      <c r="RAU746" s="214"/>
      <c r="RAV746" s="214"/>
      <c r="RAW746" s="214"/>
      <c r="RAX746" s="214"/>
      <c r="RAY746" s="214"/>
      <c r="RAZ746" s="214"/>
      <c r="RBA746" s="214"/>
      <c r="RBB746" s="214"/>
      <c r="RBC746" s="214"/>
      <c r="RBD746" s="214"/>
      <c r="RBE746" s="214"/>
      <c r="RBF746" s="214"/>
      <c r="RBG746" s="214"/>
      <c r="RBH746" s="214"/>
      <c r="RBI746" s="214"/>
      <c r="RBJ746" s="214"/>
      <c r="RBK746" s="214"/>
      <c r="RBL746" s="214"/>
      <c r="RBM746" s="214"/>
      <c r="RBN746" s="214"/>
      <c r="RBO746" s="214"/>
      <c r="RBP746" s="214"/>
      <c r="RBQ746" s="214"/>
      <c r="RBR746" s="214"/>
      <c r="RBS746" s="214"/>
      <c r="RBT746" s="214"/>
      <c r="RBU746" s="214"/>
      <c r="RBV746" s="214"/>
      <c r="RBW746" s="214"/>
      <c r="RBX746" s="214"/>
      <c r="RBY746" s="214"/>
      <c r="RBZ746" s="214"/>
      <c r="RCA746" s="214"/>
      <c r="RCB746" s="214"/>
      <c r="RCC746" s="214"/>
      <c r="RCD746" s="214"/>
      <c r="RCE746" s="214"/>
      <c r="RCF746" s="214"/>
      <c r="RCG746" s="214"/>
      <c r="RCH746" s="214"/>
      <c r="RCI746" s="214"/>
      <c r="RCJ746" s="214"/>
      <c r="RCK746" s="214"/>
      <c r="RCL746" s="214"/>
      <c r="RCM746" s="214"/>
      <c r="RCN746" s="214"/>
      <c r="RCO746" s="214"/>
      <c r="RCP746" s="214"/>
      <c r="RCQ746" s="214"/>
      <c r="RCR746" s="214"/>
      <c r="RCS746" s="214"/>
      <c r="RCT746" s="214"/>
      <c r="RCU746" s="214"/>
      <c r="RCV746" s="214"/>
      <c r="RCW746" s="214"/>
      <c r="RCX746" s="214"/>
      <c r="RCY746" s="214"/>
      <c r="RCZ746" s="214"/>
      <c r="RDA746" s="214"/>
      <c r="RDB746" s="214"/>
      <c r="RDC746" s="214"/>
      <c r="RDD746" s="214"/>
      <c r="RDE746" s="214"/>
      <c r="RDF746" s="214"/>
      <c r="RDG746" s="214"/>
      <c r="RDH746" s="214"/>
      <c r="RDI746" s="214"/>
      <c r="RDJ746" s="214"/>
      <c r="RDK746" s="214"/>
      <c r="RDL746" s="214"/>
      <c r="RDM746" s="214"/>
      <c r="RDN746" s="214"/>
      <c r="RDO746" s="214"/>
      <c r="RDP746" s="214"/>
      <c r="RDQ746" s="214"/>
      <c r="RDR746" s="214"/>
      <c r="RDS746" s="214"/>
      <c r="RDT746" s="214"/>
      <c r="RDU746" s="214"/>
      <c r="RDV746" s="214"/>
      <c r="RDW746" s="214"/>
      <c r="RDX746" s="214"/>
      <c r="RDY746" s="214"/>
      <c r="RDZ746" s="214"/>
      <c r="REA746" s="214"/>
      <c r="REB746" s="214"/>
      <c r="REC746" s="214"/>
      <c r="RED746" s="214"/>
      <c r="REE746" s="214"/>
      <c r="REF746" s="214"/>
      <c r="REG746" s="214"/>
      <c r="REH746" s="214"/>
      <c r="REI746" s="214"/>
      <c r="REJ746" s="214"/>
      <c r="REK746" s="214"/>
      <c r="REL746" s="214"/>
      <c r="REM746" s="214"/>
      <c r="REN746" s="214"/>
      <c r="REO746" s="214"/>
      <c r="REP746" s="214"/>
      <c r="REQ746" s="214"/>
      <c r="RER746" s="214"/>
      <c r="RES746" s="214"/>
      <c r="RET746" s="214"/>
      <c r="REU746" s="214"/>
      <c r="REV746" s="214"/>
      <c r="REW746" s="214"/>
      <c r="REX746" s="214"/>
      <c r="REY746" s="214"/>
      <c r="REZ746" s="214"/>
      <c r="RFA746" s="214"/>
      <c r="RFB746" s="214"/>
      <c r="RFC746" s="214"/>
      <c r="RFD746" s="214"/>
      <c r="RFE746" s="214"/>
      <c r="RFF746" s="214"/>
      <c r="RFG746" s="214"/>
      <c r="RFH746" s="214"/>
      <c r="RFI746" s="214"/>
      <c r="RFJ746" s="214"/>
      <c r="RFK746" s="214"/>
      <c r="RFL746" s="214"/>
      <c r="RFM746" s="214"/>
      <c r="RFN746" s="214"/>
      <c r="RFO746" s="214"/>
      <c r="RFP746" s="214"/>
      <c r="RFQ746" s="214"/>
      <c r="RFR746" s="214"/>
      <c r="RFS746" s="214"/>
      <c r="RFT746" s="214"/>
      <c r="RFU746" s="214"/>
      <c r="RFV746" s="214"/>
      <c r="RFW746" s="214"/>
      <c r="RFX746" s="214"/>
      <c r="RFY746" s="214"/>
      <c r="RFZ746" s="214"/>
      <c r="RGA746" s="214"/>
      <c r="RGB746" s="214"/>
      <c r="RGC746" s="214"/>
      <c r="RGD746" s="214"/>
      <c r="RGE746" s="214"/>
      <c r="RGF746" s="214"/>
      <c r="RGG746" s="214"/>
      <c r="RGH746" s="214"/>
      <c r="RGI746" s="214"/>
      <c r="RGJ746" s="214"/>
      <c r="RGK746" s="214"/>
      <c r="RGL746" s="214"/>
      <c r="RGM746" s="214"/>
      <c r="RGN746" s="214"/>
      <c r="RGO746" s="214"/>
      <c r="RGP746" s="214"/>
      <c r="RGQ746" s="214"/>
      <c r="RGR746" s="214"/>
      <c r="RGS746" s="214"/>
      <c r="RGT746" s="214"/>
      <c r="RGU746" s="214"/>
      <c r="RGV746" s="214"/>
      <c r="RGW746" s="214"/>
      <c r="RGX746" s="214"/>
      <c r="RGY746" s="214"/>
      <c r="RGZ746" s="214"/>
      <c r="RHA746" s="214"/>
      <c r="RHB746" s="214"/>
      <c r="RHC746" s="214"/>
      <c r="RHD746" s="214"/>
      <c r="RHE746" s="214"/>
      <c r="RHF746" s="214"/>
      <c r="RHG746" s="214"/>
      <c r="RHH746" s="214"/>
      <c r="RHI746" s="214"/>
      <c r="RHJ746" s="214"/>
      <c r="RHK746" s="214"/>
      <c r="RHL746" s="214"/>
      <c r="RHM746" s="214"/>
      <c r="RHN746" s="214"/>
      <c r="RHO746" s="214"/>
      <c r="RHP746" s="214"/>
      <c r="RHQ746" s="214"/>
      <c r="RHR746" s="214"/>
      <c r="RHS746" s="214"/>
      <c r="RHT746" s="214"/>
      <c r="RHU746" s="214"/>
      <c r="RHV746" s="214"/>
      <c r="RHW746" s="214"/>
      <c r="RHX746" s="214"/>
      <c r="RHY746" s="214"/>
      <c r="RHZ746" s="214"/>
      <c r="RIA746" s="214"/>
      <c r="RIB746" s="214"/>
      <c r="RIC746" s="214"/>
      <c r="RID746" s="214"/>
      <c r="RIE746" s="214"/>
      <c r="RIF746" s="214"/>
      <c r="RIG746" s="214"/>
      <c r="RIH746" s="214"/>
      <c r="RII746" s="214"/>
      <c r="RIJ746" s="214"/>
      <c r="RIK746" s="214"/>
      <c r="RIL746" s="214"/>
      <c r="RIM746" s="214"/>
      <c r="RIN746" s="214"/>
      <c r="RIO746" s="214"/>
      <c r="RIP746" s="214"/>
      <c r="RIQ746" s="214"/>
      <c r="RIR746" s="214"/>
      <c r="RIS746" s="214"/>
      <c r="RIT746" s="214"/>
      <c r="RIU746" s="214"/>
      <c r="RIV746" s="214"/>
      <c r="RIW746" s="214"/>
      <c r="RIX746" s="214"/>
      <c r="RIY746" s="214"/>
      <c r="RIZ746" s="214"/>
      <c r="RJA746" s="214"/>
      <c r="RJB746" s="214"/>
      <c r="RJC746" s="214"/>
      <c r="RJD746" s="214"/>
      <c r="RJE746" s="214"/>
      <c r="RJF746" s="214"/>
      <c r="RJG746" s="214"/>
      <c r="RJH746" s="214"/>
      <c r="RJI746" s="214"/>
      <c r="RJJ746" s="214"/>
      <c r="RJK746" s="214"/>
      <c r="RJL746" s="214"/>
      <c r="RJM746" s="214"/>
      <c r="RJN746" s="214"/>
      <c r="RJO746" s="214"/>
      <c r="RJP746" s="214"/>
      <c r="RJQ746" s="214"/>
      <c r="RJR746" s="214"/>
      <c r="RJS746" s="214"/>
      <c r="RJT746" s="214"/>
      <c r="RJU746" s="214"/>
      <c r="RJV746" s="214"/>
      <c r="RJW746" s="214"/>
      <c r="RJX746" s="214"/>
      <c r="RJY746" s="214"/>
      <c r="RJZ746" s="214"/>
      <c r="RKA746" s="214"/>
      <c r="RKB746" s="214"/>
      <c r="RKC746" s="214"/>
      <c r="RKD746" s="214"/>
      <c r="RKE746" s="214"/>
      <c r="RKF746" s="214"/>
      <c r="RKG746" s="214"/>
      <c r="RKH746" s="214"/>
      <c r="RKI746" s="214"/>
      <c r="RKJ746" s="214"/>
      <c r="RKK746" s="214"/>
      <c r="RKL746" s="214"/>
      <c r="RKM746" s="214"/>
      <c r="RKN746" s="214"/>
      <c r="RKO746" s="214"/>
      <c r="RKP746" s="214"/>
      <c r="RKQ746" s="214"/>
      <c r="RKR746" s="214"/>
      <c r="RKS746" s="214"/>
      <c r="RKT746" s="214"/>
      <c r="RKU746" s="214"/>
      <c r="RKV746" s="214"/>
      <c r="RKW746" s="214"/>
      <c r="RKX746" s="214"/>
      <c r="RKY746" s="214"/>
      <c r="RKZ746" s="214"/>
      <c r="RLA746" s="214"/>
      <c r="RLB746" s="214"/>
      <c r="RLC746" s="214"/>
      <c r="RLD746" s="214"/>
      <c r="RLE746" s="214"/>
      <c r="RLF746" s="214"/>
      <c r="RLG746" s="214"/>
      <c r="RLH746" s="214"/>
      <c r="RLI746" s="214"/>
      <c r="RLJ746" s="214"/>
      <c r="RLK746" s="214"/>
      <c r="RLL746" s="214"/>
      <c r="RLM746" s="214"/>
      <c r="RLN746" s="214"/>
      <c r="RLO746" s="214"/>
      <c r="RLP746" s="214"/>
      <c r="RLQ746" s="214"/>
      <c r="RLR746" s="214"/>
      <c r="RLS746" s="214"/>
      <c r="RLT746" s="214"/>
      <c r="RLU746" s="214"/>
      <c r="RLV746" s="214"/>
      <c r="RLW746" s="214"/>
      <c r="RLX746" s="214"/>
      <c r="RLY746" s="214"/>
      <c r="RLZ746" s="214"/>
      <c r="RMA746" s="214"/>
      <c r="RMB746" s="214"/>
      <c r="RMC746" s="214"/>
      <c r="RMD746" s="214"/>
      <c r="RME746" s="214"/>
      <c r="RMF746" s="214"/>
      <c r="RMG746" s="214"/>
      <c r="RMH746" s="214"/>
      <c r="RMI746" s="214"/>
      <c r="RMJ746" s="214"/>
      <c r="RMK746" s="214"/>
      <c r="RML746" s="214"/>
      <c r="RMM746" s="214"/>
      <c r="RMN746" s="214"/>
      <c r="RMO746" s="214"/>
      <c r="RMP746" s="214"/>
      <c r="RMQ746" s="214"/>
      <c r="RMR746" s="214"/>
      <c r="RMS746" s="214"/>
      <c r="RMT746" s="214"/>
      <c r="RMU746" s="214"/>
      <c r="RMV746" s="214"/>
      <c r="RMW746" s="214"/>
      <c r="RMX746" s="214"/>
      <c r="RMY746" s="214"/>
      <c r="RMZ746" s="214"/>
      <c r="RNA746" s="214"/>
      <c r="RNB746" s="214"/>
      <c r="RNC746" s="214"/>
      <c r="RND746" s="214"/>
      <c r="RNE746" s="214"/>
      <c r="RNF746" s="214"/>
      <c r="RNG746" s="214"/>
      <c r="RNH746" s="214"/>
      <c r="RNI746" s="214"/>
      <c r="RNJ746" s="214"/>
      <c r="RNK746" s="214"/>
      <c r="RNL746" s="214"/>
      <c r="RNM746" s="214"/>
      <c r="RNN746" s="214"/>
      <c r="RNO746" s="214"/>
      <c r="RNP746" s="214"/>
      <c r="RNQ746" s="214"/>
      <c r="RNR746" s="214"/>
      <c r="RNS746" s="214"/>
      <c r="RNT746" s="214"/>
      <c r="RNU746" s="214"/>
      <c r="RNV746" s="214"/>
      <c r="RNW746" s="214"/>
      <c r="RNX746" s="214"/>
      <c r="RNY746" s="214"/>
      <c r="RNZ746" s="214"/>
      <c r="ROA746" s="214"/>
      <c r="ROB746" s="214"/>
      <c r="ROC746" s="214"/>
      <c r="ROD746" s="214"/>
      <c r="ROE746" s="214"/>
      <c r="ROF746" s="214"/>
      <c r="ROG746" s="214"/>
      <c r="ROH746" s="214"/>
      <c r="ROI746" s="214"/>
      <c r="ROJ746" s="214"/>
      <c r="ROK746" s="214"/>
      <c r="ROL746" s="214"/>
      <c r="ROM746" s="214"/>
      <c r="RON746" s="214"/>
      <c r="ROO746" s="214"/>
      <c r="ROP746" s="214"/>
      <c r="ROQ746" s="214"/>
      <c r="ROR746" s="214"/>
      <c r="ROS746" s="214"/>
      <c r="ROT746" s="214"/>
      <c r="ROU746" s="214"/>
      <c r="ROV746" s="214"/>
      <c r="ROW746" s="214"/>
      <c r="ROX746" s="214"/>
      <c r="ROY746" s="214"/>
      <c r="ROZ746" s="214"/>
      <c r="RPA746" s="214"/>
      <c r="RPB746" s="214"/>
      <c r="RPC746" s="214"/>
      <c r="RPD746" s="214"/>
      <c r="RPE746" s="214"/>
      <c r="RPF746" s="214"/>
      <c r="RPG746" s="214"/>
      <c r="RPH746" s="214"/>
      <c r="RPI746" s="214"/>
      <c r="RPJ746" s="214"/>
      <c r="RPK746" s="214"/>
      <c r="RPL746" s="214"/>
      <c r="RPM746" s="214"/>
      <c r="RPN746" s="214"/>
      <c r="RPO746" s="214"/>
      <c r="RPP746" s="214"/>
      <c r="RPQ746" s="214"/>
      <c r="RPR746" s="214"/>
      <c r="RPS746" s="214"/>
      <c r="RPT746" s="214"/>
      <c r="RPU746" s="214"/>
      <c r="RPV746" s="214"/>
      <c r="RPW746" s="214"/>
      <c r="RPX746" s="214"/>
      <c r="RPY746" s="214"/>
      <c r="RPZ746" s="214"/>
      <c r="RQA746" s="214"/>
      <c r="RQB746" s="214"/>
      <c r="RQC746" s="214"/>
      <c r="RQD746" s="214"/>
      <c r="RQE746" s="214"/>
      <c r="RQF746" s="214"/>
      <c r="RQG746" s="214"/>
      <c r="RQH746" s="214"/>
      <c r="RQI746" s="214"/>
      <c r="RQJ746" s="214"/>
      <c r="RQK746" s="214"/>
      <c r="RQL746" s="214"/>
      <c r="RQM746" s="214"/>
      <c r="RQN746" s="214"/>
      <c r="RQO746" s="214"/>
      <c r="RQP746" s="214"/>
      <c r="RQQ746" s="214"/>
      <c r="RQR746" s="214"/>
      <c r="RQS746" s="214"/>
      <c r="RQT746" s="214"/>
      <c r="RQU746" s="214"/>
      <c r="RQV746" s="214"/>
      <c r="RQW746" s="214"/>
      <c r="RQX746" s="214"/>
      <c r="RQY746" s="214"/>
      <c r="RQZ746" s="214"/>
      <c r="RRA746" s="214"/>
      <c r="RRB746" s="214"/>
      <c r="RRC746" s="214"/>
      <c r="RRD746" s="214"/>
      <c r="RRE746" s="214"/>
      <c r="RRF746" s="214"/>
      <c r="RRG746" s="214"/>
      <c r="RRH746" s="214"/>
      <c r="RRI746" s="214"/>
      <c r="RRJ746" s="214"/>
      <c r="RRK746" s="214"/>
      <c r="RRL746" s="214"/>
      <c r="RRM746" s="214"/>
      <c r="RRN746" s="214"/>
      <c r="RRO746" s="214"/>
      <c r="RRP746" s="214"/>
      <c r="RRQ746" s="214"/>
      <c r="RRR746" s="214"/>
      <c r="RRS746" s="214"/>
      <c r="RRT746" s="214"/>
      <c r="RRU746" s="214"/>
      <c r="RRV746" s="214"/>
      <c r="RRW746" s="214"/>
      <c r="RRX746" s="214"/>
      <c r="RRY746" s="214"/>
      <c r="RRZ746" s="214"/>
      <c r="RSA746" s="214"/>
      <c r="RSB746" s="214"/>
      <c r="RSC746" s="214"/>
      <c r="RSD746" s="214"/>
      <c r="RSE746" s="214"/>
      <c r="RSF746" s="214"/>
      <c r="RSG746" s="214"/>
      <c r="RSH746" s="214"/>
      <c r="RSI746" s="214"/>
      <c r="RSJ746" s="214"/>
      <c r="RSK746" s="214"/>
      <c r="RSL746" s="214"/>
      <c r="RSM746" s="214"/>
      <c r="RSN746" s="214"/>
      <c r="RSO746" s="214"/>
      <c r="RSP746" s="214"/>
      <c r="RSQ746" s="214"/>
      <c r="RSR746" s="214"/>
      <c r="RSS746" s="214"/>
      <c r="RST746" s="214"/>
      <c r="RSU746" s="214"/>
      <c r="RSV746" s="214"/>
      <c r="RSW746" s="214"/>
      <c r="RSX746" s="214"/>
      <c r="RSY746" s="214"/>
      <c r="RSZ746" s="214"/>
      <c r="RTA746" s="214"/>
      <c r="RTB746" s="214"/>
      <c r="RTC746" s="214"/>
      <c r="RTD746" s="214"/>
      <c r="RTE746" s="214"/>
      <c r="RTF746" s="214"/>
      <c r="RTG746" s="214"/>
      <c r="RTH746" s="214"/>
      <c r="RTI746" s="214"/>
      <c r="RTJ746" s="214"/>
      <c r="RTK746" s="214"/>
      <c r="RTL746" s="214"/>
      <c r="RTM746" s="214"/>
      <c r="RTN746" s="214"/>
      <c r="RTO746" s="214"/>
      <c r="RTP746" s="214"/>
      <c r="RTQ746" s="214"/>
      <c r="RTR746" s="214"/>
      <c r="RTS746" s="214"/>
      <c r="RTT746" s="214"/>
      <c r="RTU746" s="214"/>
      <c r="RTV746" s="214"/>
      <c r="RTW746" s="214"/>
      <c r="RTX746" s="214"/>
      <c r="RTY746" s="214"/>
      <c r="RTZ746" s="214"/>
      <c r="RUA746" s="214"/>
      <c r="RUB746" s="214"/>
      <c r="RUC746" s="214"/>
      <c r="RUD746" s="214"/>
      <c r="RUE746" s="214"/>
      <c r="RUF746" s="214"/>
      <c r="RUG746" s="214"/>
      <c r="RUH746" s="214"/>
      <c r="RUI746" s="214"/>
      <c r="RUJ746" s="214"/>
      <c r="RUK746" s="214"/>
      <c r="RUL746" s="214"/>
      <c r="RUM746" s="214"/>
      <c r="RUN746" s="214"/>
      <c r="RUO746" s="214"/>
      <c r="RUP746" s="214"/>
      <c r="RUQ746" s="214"/>
      <c r="RUR746" s="214"/>
      <c r="RUS746" s="214"/>
      <c r="RUT746" s="214"/>
      <c r="RUU746" s="214"/>
      <c r="RUV746" s="214"/>
      <c r="RUW746" s="214"/>
      <c r="RUX746" s="214"/>
      <c r="RUY746" s="214"/>
      <c r="RUZ746" s="214"/>
      <c r="RVA746" s="214"/>
      <c r="RVB746" s="214"/>
      <c r="RVC746" s="214"/>
      <c r="RVD746" s="214"/>
      <c r="RVE746" s="214"/>
      <c r="RVF746" s="214"/>
      <c r="RVG746" s="214"/>
      <c r="RVH746" s="214"/>
      <c r="RVI746" s="214"/>
      <c r="RVJ746" s="214"/>
      <c r="RVK746" s="214"/>
      <c r="RVL746" s="214"/>
      <c r="RVM746" s="214"/>
      <c r="RVN746" s="214"/>
      <c r="RVO746" s="214"/>
      <c r="RVP746" s="214"/>
      <c r="RVQ746" s="214"/>
      <c r="RVR746" s="214"/>
      <c r="RVS746" s="214"/>
      <c r="RVT746" s="214"/>
      <c r="RVU746" s="214"/>
      <c r="RVV746" s="214"/>
      <c r="RVW746" s="214"/>
      <c r="RVX746" s="214"/>
      <c r="RVY746" s="214"/>
      <c r="RVZ746" s="214"/>
      <c r="RWA746" s="214"/>
      <c r="RWB746" s="214"/>
      <c r="RWC746" s="214"/>
      <c r="RWD746" s="214"/>
      <c r="RWE746" s="214"/>
      <c r="RWF746" s="214"/>
      <c r="RWG746" s="214"/>
      <c r="RWH746" s="214"/>
      <c r="RWI746" s="214"/>
      <c r="RWJ746" s="214"/>
      <c r="RWK746" s="214"/>
      <c r="RWL746" s="214"/>
      <c r="RWM746" s="214"/>
      <c r="RWN746" s="214"/>
      <c r="RWO746" s="214"/>
      <c r="RWP746" s="214"/>
      <c r="RWQ746" s="214"/>
      <c r="RWR746" s="214"/>
      <c r="RWS746" s="214"/>
      <c r="RWT746" s="214"/>
      <c r="RWU746" s="214"/>
      <c r="RWV746" s="214"/>
      <c r="RWW746" s="214"/>
      <c r="RWX746" s="214"/>
      <c r="RWY746" s="214"/>
      <c r="RWZ746" s="214"/>
      <c r="RXA746" s="214"/>
      <c r="RXB746" s="214"/>
      <c r="RXC746" s="214"/>
      <c r="RXD746" s="214"/>
      <c r="RXE746" s="214"/>
      <c r="RXF746" s="214"/>
      <c r="RXG746" s="214"/>
      <c r="RXH746" s="214"/>
      <c r="RXI746" s="214"/>
      <c r="RXJ746" s="214"/>
      <c r="RXK746" s="214"/>
      <c r="RXL746" s="214"/>
      <c r="RXM746" s="214"/>
      <c r="RXN746" s="214"/>
      <c r="RXO746" s="214"/>
      <c r="RXP746" s="214"/>
      <c r="RXQ746" s="214"/>
      <c r="RXR746" s="214"/>
      <c r="RXS746" s="214"/>
      <c r="RXT746" s="214"/>
      <c r="RXU746" s="214"/>
      <c r="RXV746" s="214"/>
      <c r="RXW746" s="214"/>
      <c r="RXX746" s="214"/>
      <c r="RXY746" s="214"/>
      <c r="RXZ746" s="214"/>
      <c r="RYA746" s="214"/>
      <c r="RYB746" s="214"/>
      <c r="RYC746" s="214"/>
      <c r="RYD746" s="214"/>
      <c r="RYE746" s="214"/>
      <c r="RYF746" s="214"/>
      <c r="RYG746" s="214"/>
      <c r="RYH746" s="214"/>
      <c r="RYI746" s="214"/>
      <c r="RYJ746" s="214"/>
      <c r="RYK746" s="214"/>
      <c r="RYL746" s="214"/>
      <c r="RYM746" s="214"/>
      <c r="RYN746" s="214"/>
      <c r="RYO746" s="214"/>
      <c r="RYP746" s="214"/>
      <c r="RYQ746" s="214"/>
      <c r="RYR746" s="214"/>
      <c r="RYS746" s="214"/>
      <c r="RYT746" s="214"/>
      <c r="RYU746" s="214"/>
      <c r="RYV746" s="214"/>
      <c r="RYW746" s="214"/>
      <c r="RYX746" s="214"/>
      <c r="RYY746" s="214"/>
      <c r="RYZ746" s="214"/>
      <c r="RZA746" s="214"/>
      <c r="RZB746" s="214"/>
      <c r="RZC746" s="214"/>
      <c r="RZD746" s="214"/>
      <c r="RZE746" s="214"/>
      <c r="RZF746" s="214"/>
      <c r="RZG746" s="214"/>
      <c r="RZH746" s="214"/>
      <c r="RZI746" s="214"/>
      <c r="RZJ746" s="214"/>
      <c r="RZK746" s="214"/>
      <c r="RZL746" s="214"/>
      <c r="RZM746" s="214"/>
      <c r="RZN746" s="214"/>
      <c r="RZO746" s="214"/>
      <c r="RZP746" s="214"/>
      <c r="RZQ746" s="214"/>
      <c r="RZR746" s="214"/>
      <c r="RZS746" s="214"/>
      <c r="RZT746" s="214"/>
      <c r="RZU746" s="214"/>
      <c r="RZV746" s="214"/>
      <c r="RZW746" s="214"/>
      <c r="RZX746" s="214"/>
      <c r="RZY746" s="214"/>
      <c r="RZZ746" s="214"/>
      <c r="SAA746" s="214"/>
      <c r="SAB746" s="214"/>
      <c r="SAC746" s="214"/>
      <c r="SAD746" s="214"/>
      <c r="SAE746" s="214"/>
      <c r="SAF746" s="214"/>
      <c r="SAG746" s="214"/>
      <c r="SAH746" s="214"/>
      <c r="SAI746" s="214"/>
      <c r="SAJ746" s="214"/>
      <c r="SAK746" s="214"/>
      <c r="SAL746" s="214"/>
      <c r="SAM746" s="214"/>
      <c r="SAN746" s="214"/>
      <c r="SAO746" s="214"/>
      <c r="SAP746" s="214"/>
      <c r="SAQ746" s="214"/>
      <c r="SAR746" s="214"/>
      <c r="SAS746" s="214"/>
      <c r="SAT746" s="214"/>
      <c r="SAU746" s="214"/>
      <c r="SAV746" s="214"/>
      <c r="SAW746" s="214"/>
      <c r="SAX746" s="214"/>
      <c r="SAY746" s="214"/>
      <c r="SAZ746" s="214"/>
      <c r="SBA746" s="214"/>
      <c r="SBB746" s="214"/>
      <c r="SBC746" s="214"/>
      <c r="SBD746" s="214"/>
      <c r="SBE746" s="214"/>
      <c r="SBF746" s="214"/>
      <c r="SBG746" s="214"/>
      <c r="SBH746" s="214"/>
      <c r="SBI746" s="214"/>
      <c r="SBJ746" s="214"/>
      <c r="SBK746" s="214"/>
      <c r="SBL746" s="214"/>
      <c r="SBM746" s="214"/>
      <c r="SBN746" s="214"/>
      <c r="SBO746" s="214"/>
      <c r="SBP746" s="214"/>
      <c r="SBQ746" s="214"/>
      <c r="SBR746" s="214"/>
      <c r="SBS746" s="214"/>
      <c r="SBT746" s="214"/>
      <c r="SBU746" s="214"/>
      <c r="SBV746" s="214"/>
      <c r="SBW746" s="214"/>
      <c r="SBX746" s="214"/>
      <c r="SBY746" s="214"/>
      <c r="SBZ746" s="214"/>
      <c r="SCA746" s="214"/>
      <c r="SCB746" s="214"/>
      <c r="SCC746" s="214"/>
      <c r="SCD746" s="214"/>
      <c r="SCE746" s="214"/>
      <c r="SCF746" s="214"/>
      <c r="SCG746" s="214"/>
      <c r="SCH746" s="214"/>
      <c r="SCI746" s="214"/>
      <c r="SCJ746" s="214"/>
      <c r="SCK746" s="214"/>
      <c r="SCL746" s="214"/>
      <c r="SCM746" s="214"/>
      <c r="SCN746" s="214"/>
      <c r="SCO746" s="214"/>
      <c r="SCP746" s="214"/>
      <c r="SCQ746" s="214"/>
      <c r="SCR746" s="214"/>
      <c r="SCS746" s="214"/>
      <c r="SCT746" s="214"/>
      <c r="SCU746" s="214"/>
      <c r="SCV746" s="214"/>
      <c r="SCW746" s="214"/>
      <c r="SCX746" s="214"/>
      <c r="SCY746" s="214"/>
      <c r="SCZ746" s="214"/>
      <c r="SDA746" s="214"/>
      <c r="SDB746" s="214"/>
      <c r="SDC746" s="214"/>
      <c r="SDD746" s="214"/>
      <c r="SDE746" s="214"/>
      <c r="SDF746" s="214"/>
      <c r="SDG746" s="214"/>
      <c r="SDH746" s="214"/>
      <c r="SDI746" s="214"/>
      <c r="SDJ746" s="214"/>
      <c r="SDK746" s="214"/>
      <c r="SDL746" s="214"/>
      <c r="SDM746" s="214"/>
      <c r="SDN746" s="214"/>
      <c r="SDO746" s="214"/>
      <c r="SDP746" s="214"/>
      <c r="SDQ746" s="214"/>
      <c r="SDR746" s="214"/>
      <c r="SDS746" s="214"/>
      <c r="SDT746" s="214"/>
      <c r="SDU746" s="214"/>
      <c r="SDV746" s="214"/>
      <c r="SDW746" s="214"/>
      <c r="SDX746" s="214"/>
      <c r="SDY746" s="214"/>
      <c r="SDZ746" s="214"/>
      <c r="SEA746" s="214"/>
      <c r="SEB746" s="214"/>
      <c r="SEC746" s="214"/>
      <c r="SED746" s="214"/>
      <c r="SEE746" s="214"/>
      <c r="SEF746" s="214"/>
      <c r="SEG746" s="214"/>
      <c r="SEH746" s="214"/>
      <c r="SEI746" s="214"/>
      <c r="SEJ746" s="214"/>
      <c r="SEK746" s="214"/>
      <c r="SEL746" s="214"/>
      <c r="SEM746" s="214"/>
      <c r="SEN746" s="214"/>
      <c r="SEO746" s="214"/>
      <c r="SEP746" s="214"/>
      <c r="SEQ746" s="214"/>
      <c r="SER746" s="214"/>
      <c r="SES746" s="214"/>
      <c r="SET746" s="214"/>
      <c r="SEU746" s="214"/>
      <c r="SEV746" s="214"/>
      <c r="SEW746" s="214"/>
      <c r="SEX746" s="214"/>
      <c r="SEY746" s="214"/>
      <c r="SEZ746" s="214"/>
      <c r="SFA746" s="214"/>
      <c r="SFB746" s="214"/>
      <c r="SFC746" s="214"/>
      <c r="SFD746" s="214"/>
      <c r="SFE746" s="214"/>
      <c r="SFF746" s="214"/>
      <c r="SFG746" s="214"/>
      <c r="SFH746" s="214"/>
      <c r="SFI746" s="214"/>
      <c r="SFJ746" s="214"/>
      <c r="SFK746" s="214"/>
      <c r="SFL746" s="214"/>
      <c r="SFM746" s="214"/>
      <c r="SFN746" s="214"/>
      <c r="SFO746" s="214"/>
      <c r="SFP746" s="214"/>
      <c r="SFQ746" s="214"/>
      <c r="SFR746" s="214"/>
      <c r="SFS746" s="214"/>
      <c r="SFT746" s="214"/>
      <c r="SFU746" s="214"/>
      <c r="SFV746" s="214"/>
      <c r="SFW746" s="214"/>
      <c r="SFX746" s="214"/>
      <c r="SFY746" s="214"/>
      <c r="SFZ746" s="214"/>
      <c r="SGA746" s="214"/>
      <c r="SGB746" s="214"/>
      <c r="SGC746" s="214"/>
      <c r="SGD746" s="214"/>
      <c r="SGE746" s="214"/>
      <c r="SGF746" s="214"/>
      <c r="SGG746" s="214"/>
      <c r="SGH746" s="214"/>
      <c r="SGI746" s="214"/>
      <c r="SGJ746" s="214"/>
      <c r="SGK746" s="214"/>
      <c r="SGL746" s="214"/>
      <c r="SGM746" s="214"/>
      <c r="SGN746" s="214"/>
      <c r="SGO746" s="214"/>
      <c r="SGP746" s="214"/>
      <c r="SGQ746" s="214"/>
      <c r="SGR746" s="214"/>
      <c r="SGS746" s="214"/>
      <c r="SGT746" s="214"/>
      <c r="SGU746" s="214"/>
      <c r="SGV746" s="214"/>
      <c r="SGW746" s="214"/>
      <c r="SGX746" s="214"/>
      <c r="SGY746" s="214"/>
      <c r="SGZ746" s="214"/>
      <c r="SHA746" s="214"/>
      <c r="SHB746" s="214"/>
      <c r="SHC746" s="214"/>
      <c r="SHD746" s="214"/>
      <c r="SHE746" s="214"/>
      <c r="SHF746" s="214"/>
      <c r="SHG746" s="214"/>
      <c r="SHH746" s="214"/>
      <c r="SHI746" s="214"/>
      <c r="SHJ746" s="214"/>
      <c r="SHK746" s="214"/>
      <c r="SHL746" s="214"/>
      <c r="SHM746" s="214"/>
      <c r="SHN746" s="214"/>
      <c r="SHO746" s="214"/>
      <c r="SHP746" s="214"/>
      <c r="SHQ746" s="214"/>
      <c r="SHR746" s="214"/>
      <c r="SHS746" s="214"/>
      <c r="SHT746" s="214"/>
      <c r="SHU746" s="214"/>
      <c r="SHV746" s="214"/>
      <c r="SHW746" s="214"/>
      <c r="SHX746" s="214"/>
      <c r="SHY746" s="214"/>
      <c r="SHZ746" s="214"/>
      <c r="SIA746" s="214"/>
      <c r="SIB746" s="214"/>
      <c r="SIC746" s="214"/>
      <c r="SID746" s="214"/>
      <c r="SIE746" s="214"/>
      <c r="SIF746" s="214"/>
      <c r="SIG746" s="214"/>
      <c r="SIH746" s="214"/>
      <c r="SII746" s="214"/>
      <c r="SIJ746" s="214"/>
      <c r="SIK746" s="214"/>
      <c r="SIL746" s="214"/>
      <c r="SIM746" s="214"/>
      <c r="SIN746" s="214"/>
      <c r="SIO746" s="214"/>
      <c r="SIP746" s="214"/>
      <c r="SIQ746" s="214"/>
      <c r="SIR746" s="214"/>
      <c r="SIS746" s="214"/>
      <c r="SIT746" s="214"/>
      <c r="SIU746" s="214"/>
      <c r="SIV746" s="214"/>
      <c r="SIW746" s="214"/>
      <c r="SIX746" s="214"/>
      <c r="SIY746" s="214"/>
      <c r="SIZ746" s="214"/>
      <c r="SJA746" s="214"/>
      <c r="SJB746" s="214"/>
      <c r="SJC746" s="214"/>
      <c r="SJD746" s="214"/>
      <c r="SJE746" s="214"/>
      <c r="SJF746" s="214"/>
      <c r="SJG746" s="214"/>
      <c r="SJH746" s="214"/>
      <c r="SJI746" s="214"/>
      <c r="SJJ746" s="214"/>
      <c r="SJK746" s="214"/>
      <c r="SJL746" s="214"/>
      <c r="SJM746" s="214"/>
      <c r="SJN746" s="214"/>
      <c r="SJO746" s="214"/>
      <c r="SJP746" s="214"/>
      <c r="SJQ746" s="214"/>
      <c r="SJR746" s="214"/>
      <c r="SJS746" s="214"/>
      <c r="SJT746" s="214"/>
      <c r="SJU746" s="214"/>
      <c r="SJV746" s="214"/>
      <c r="SJW746" s="214"/>
      <c r="SJX746" s="214"/>
      <c r="SJY746" s="214"/>
      <c r="SJZ746" s="214"/>
      <c r="SKA746" s="214"/>
      <c r="SKB746" s="214"/>
      <c r="SKC746" s="214"/>
      <c r="SKD746" s="214"/>
      <c r="SKE746" s="214"/>
      <c r="SKF746" s="214"/>
      <c r="SKG746" s="214"/>
      <c r="SKH746" s="214"/>
      <c r="SKI746" s="214"/>
      <c r="SKJ746" s="214"/>
      <c r="SKK746" s="214"/>
      <c r="SKL746" s="214"/>
      <c r="SKM746" s="214"/>
      <c r="SKN746" s="214"/>
      <c r="SKO746" s="214"/>
      <c r="SKP746" s="214"/>
      <c r="SKQ746" s="214"/>
      <c r="SKR746" s="214"/>
      <c r="SKS746" s="214"/>
      <c r="SKT746" s="214"/>
      <c r="SKU746" s="214"/>
      <c r="SKV746" s="214"/>
      <c r="SKW746" s="214"/>
      <c r="SKX746" s="214"/>
      <c r="SKY746" s="214"/>
      <c r="SKZ746" s="214"/>
      <c r="SLA746" s="214"/>
      <c r="SLB746" s="214"/>
      <c r="SLC746" s="214"/>
      <c r="SLD746" s="214"/>
      <c r="SLE746" s="214"/>
      <c r="SLF746" s="214"/>
      <c r="SLG746" s="214"/>
      <c r="SLH746" s="214"/>
      <c r="SLI746" s="214"/>
      <c r="SLJ746" s="214"/>
      <c r="SLK746" s="214"/>
      <c r="SLL746" s="214"/>
      <c r="SLM746" s="214"/>
      <c r="SLN746" s="214"/>
      <c r="SLO746" s="214"/>
      <c r="SLP746" s="214"/>
      <c r="SLQ746" s="214"/>
      <c r="SLR746" s="214"/>
      <c r="SLS746" s="214"/>
      <c r="SLT746" s="214"/>
      <c r="SLU746" s="214"/>
      <c r="SLV746" s="214"/>
      <c r="SLW746" s="214"/>
      <c r="SLX746" s="214"/>
      <c r="SLY746" s="214"/>
      <c r="SLZ746" s="214"/>
      <c r="SMA746" s="214"/>
      <c r="SMB746" s="214"/>
      <c r="SMC746" s="214"/>
      <c r="SMD746" s="214"/>
      <c r="SME746" s="214"/>
      <c r="SMF746" s="214"/>
      <c r="SMG746" s="214"/>
      <c r="SMH746" s="214"/>
      <c r="SMI746" s="214"/>
      <c r="SMJ746" s="214"/>
      <c r="SMK746" s="214"/>
      <c r="SML746" s="214"/>
      <c r="SMM746" s="214"/>
      <c r="SMN746" s="214"/>
      <c r="SMO746" s="214"/>
      <c r="SMP746" s="214"/>
      <c r="SMQ746" s="214"/>
      <c r="SMR746" s="214"/>
      <c r="SMS746" s="214"/>
      <c r="SMT746" s="214"/>
      <c r="SMU746" s="214"/>
      <c r="SMV746" s="214"/>
      <c r="SMW746" s="214"/>
      <c r="SMX746" s="214"/>
      <c r="SMY746" s="214"/>
      <c r="SMZ746" s="214"/>
      <c r="SNA746" s="214"/>
      <c r="SNB746" s="214"/>
      <c r="SNC746" s="214"/>
      <c r="SND746" s="214"/>
      <c r="SNE746" s="214"/>
      <c r="SNF746" s="214"/>
      <c r="SNG746" s="214"/>
      <c r="SNH746" s="214"/>
      <c r="SNI746" s="214"/>
      <c r="SNJ746" s="214"/>
      <c r="SNK746" s="214"/>
      <c r="SNL746" s="214"/>
      <c r="SNM746" s="214"/>
      <c r="SNN746" s="214"/>
      <c r="SNO746" s="214"/>
      <c r="SNP746" s="214"/>
      <c r="SNQ746" s="214"/>
      <c r="SNR746" s="214"/>
      <c r="SNS746" s="214"/>
      <c r="SNT746" s="214"/>
      <c r="SNU746" s="214"/>
      <c r="SNV746" s="214"/>
      <c r="SNW746" s="214"/>
      <c r="SNX746" s="214"/>
      <c r="SNY746" s="214"/>
      <c r="SNZ746" s="214"/>
      <c r="SOA746" s="214"/>
      <c r="SOB746" s="214"/>
      <c r="SOC746" s="214"/>
      <c r="SOD746" s="214"/>
      <c r="SOE746" s="214"/>
      <c r="SOF746" s="214"/>
      <c r="SOG746" s="214"/>
      <c r="SOH746" s="214"/>
      <c r="SOI746" s="214"/>
      <c r="SOJ746" s="214"/>
      <c r="SOK746" s="214"/>
      <c r="SOL746" s="214"/>
      <c r="SOM746" s="214"/>
      <c r="SON746" s="214"/>
      <c r="SOO746" s="214"/>
      <c r="SOP746" s="214"/>
      <c r="SOQ746" s="214"/>
      <c r="SOR746" s="214"/>
      <c r="SOS746" s="214"/>
      <c r="SOT746" s="214"/>
      <c r="SOU746" s="214"/>
      <c r="SOV746" s="214"/>
      <c r="SOW746" s="214"/>
      <c r="SOX746" s="214"/>
      <c r="SOY746" s="214"/>
      <c r="SOZ746" s="214"/>
      <c r="SPA746" s="214"/>
      <c r="SPB746" s="214"/>
      <c r="SPC746" s="214"/>
      <c r="SPD746" s="214"/>
      <c r="SPE746" s="214"/>
      <c r="SPF746" s="214"/>
      <c r="SPG746" s="214"/>
      <c r="SPH746" s="214"/>
      <c r="SPI746" s="214"/>
      <c r="SPJ746" s="214"/>
      <c r="SPK746" s="214"/>
      <c r="SPL746" s="214"/>
      <c r="SPM746" s="214"/>
      <c r="SPN746" s="214"/>
      <c r="SPO746" s="214"/>
      <c r="SPP746" s="214"/>
      <c r="SPQ746" s="214"/>
      <c r="SPR746" s="214"/>
      <c r="SPS746" s="214"/>
      <c r="SPT746" s="214"/>
      <c r="SPU746" s="214"/>
      <c r="SPV746" s="214"/>
      <c r="SPW746" s="214"/>
      <c r="SPX746" s="214"/>
      <c r="SPY746" s="214"/>
      <c r="SPZ746" s="214"/>
      <c r="SQA746" s="214"/>
      <c r="SQB746" s="214"/>
      <c r="SQC746" s="214"/>
      <c r="SQD746" s="214"/>
      <c r="SQE746" s="214"/>
      <c r="SQF746" s="214"/>
      <c r="SQG746" s="214"/>
      <c r="SQH746" s="214"/>
      <c r="SQI746" s="214"/>
      <c r="SQJ746" s="214"/>
      <c r="SQK746" s="214"/>
      <c r="SQL746" s="214"/>
      <c r="SQM746" s="214"/>
      <c r="SQN746" s="214"/>
      <c r="SQO746" s="214"/>
      <c r="SQP746" s="214"/>
      <c r="SQQ746" s="214"/>
      <c r="SQR746" s="214"/>
      <c r="SQS746" s="214"/>
      <c r="SQT746" s="214"/>
      <c r="SQU746" s="214"/>
      <c r="SQV746" s="214"/>
      <c r="SQW746" s="214"/>
      <c r="SQX746" s="214"/>
      <c r="SQY746" s="214"/>
      <c r="SQZ746" s="214"/>
      <c r="SRA746" s="214"/>
      <c r="SRB746" s="214"/>
      <c r="SRC746" s="214"/>
      <c r="SRD746" s="214"/>
      <c r="SRE746" s="214"/>
      <c r="SRF746" s="214"/>
      <c r="SRG746" s="214"/>
      <c r="SRH746" s="214"/>
      <c r="SRI746" s="214"/>
      <c r="SRJ746" s="214"/>
      <c r="SRK746" s="214"/>
      <c r="SRL746" s="214"/>
      <c r="SRM746" s="214"/>
      <c r="SRN746" s="214"/>
      <c r="SRO746" s="214"/>
      <c r="SRP746" s="214"/>
      <c r="SRQ746" s="214"/>
      <c r="SRR746" s="214"/>
      <c r="SRS746" s="214"/>
      <c r="SRT746" s="214"/>
      <c r="SRU746" s="214"/>
      <c r="SRV746" s="214"/>
      <c r="SRW746" s="214"/>
      <c r="SRX746" s="214"/>
      <c r="SRY746" s="214"/>
      <c r="SRZ746" s="214"/>
      <c r="SSA746" s="214"/>
      <c r="SSB746" s="214"/>
      <c r="SSC746" s="214"/>
      <c r="SSD746" s="214"/>
      <c r="SSE746" s="214"/>
      <c r="SSF746" s="214"/>
      <c r="SSG746" s="214"/>
      <c r="SSH746" s="214"/>
      <c r="SSI746" s="214"/>
      <c r="SSJ746" s="214"/>
      <c r="SSK746" s="214"/>
      <c r="SSL746" s="214"/>
      <c r="SSM746" s="214"/>
      <c r="SSN746" s="214"/>
      <c r="SSO746" s="214"/>
      <c r="SSP746" s="214"/>
      <c r="SSQ746" s="214"/>
      <c r="SSR746" s="214"/>
      <c r="SSS746" s="214"/>
      <c r="SST746" s="214"/>
      <c r="SSU746" s="214"/>
      <c r="SSV746" s="214"/>
      <c r="SSW746" s="214"/>
      <c r="SSX746" s="214"/>
      <c r="SSY746" s="214"/>
      <c r="SSZ746" s="214"/>
      <c r="STA746" s="214"/>
      <c r="STB746" s="214"/>
      <c r="STC746" s="214"/>
      <c r="STD746" s="214"/>
      <c r="STE746" s="214"/>
      <c r="STF746" s="214"/>
      <c r="STG746" s="214"/>
      <c r="STH746" s="214"/>
      <c r="STI746" s="214"/>
      <c r="STJ746" s="214"/>
      <c r="STK746" s="214"/>
      <c r="STL746" s="214"/>
      <c r="STM746" s="214"/>
      <c r="STN746" s="214"/>
      <c r="STO746" s="214"/>
      <c r="STP746" s="214"/>
      <c r="STQ746" s="214"/>
      <c r="STR746" s="214"/>
      <c r="STS746" s="214"/>
      <c r="STT746" s="214"/>
      <c r="STU746" s="214"/>
      <c r="STV746" s="214"/>
      <c r="STW746" s="214"/>
      <c r="STX746" s="214"/>
      <c r="STY746" s="214"/>
      <c r="STZ746" s="214"/>
      <c r="SUA746" s="214"/>
      <c r="SUB746" s="214"/>
      <c r="SUC746" s="214"/>
      <c r="SUD746" s="214"/>
      <c r="SUE746" s="214"/>
      <c r="SUF746" s="214"/>
      <c r="SUG746" s="214"/>
      <c r="SUH746" s="214"/>
      <c r="SUI746" s="214"/>
      <c r="SUJ746" s="214"/>
      <c r="SUK746" s="214"/>
      <c r="SUL746" s="214"/>
      <c r="SUM746" s="214"/>
      <c r="SUN746" s="214"/>
      <c r="SUO746" s="214"/>
      <c r="SUP746" s="214"/>
      <c r="SUQ746" s="214"/>
      <c r="SUR746" s="214"/>
      <c r="SUS746" s="214"/>
      <c r="SUT746" s="214"/>
      <c r="SUU746" s="214"/>
      <c r="SUV746" s="214"/>
      <c r="SUW746" s="214"/>
      <c r="SUX746" s="214"/>
      <c r="SUY746" s="214"/>
      <c r="SUZ746" s="214"/>
      <c r="SVA746" s="214"/>
      <c r="SVB746" s="214"/>
      <c r="SVC746" s="214"/>
      <c r="SVD746" s="214"/>
      <c r="SVE746" s="214"/>
      <c r="SVF746" s="214"/>
      <c r="SVG746" s="214"/>
      <c r="SVH746" s="214"/>
      <c r="SVI746" s="214"/>
      <c r="SVJ746" s="214"/>
      <c r="SVK746" s="214"/>
      <c r="SVL746" s="214"/>
      <c r="SVM746" s="214"/>
      <c r="SVN746" s="214"/>
      <c r="SVO746" s="214"/>
      <c r="SVP746" s="214"/>
      <c r="SVQ746" s="214"/>
      <c r="SVR746" s="214"/>
      <c r="SVS746" s="214"/>
      <c r="SVT746" s="214"/>
      <c r="SVU746" s="214"/>
      <c r="SVV746" s="214"/>
      <c r="SVW746" s="214"/>
      <c r="SVX746" s="214"/>
      <c r="SVY746" s="214"/>
      <c r="SVZ746" s="214"/>
      <c r="SWA746" s="214"/>
      <c r="SWB746" s="214"/>
      <c r="SWC746" s="214"/>
      <c r="SWD746" s="214"/>
      <c r="SWE746" s="214"/>
      <c r="SWF746" s="214"/>
      <c r="SWG746" s="214"/>
      <c r="SWH746" s="214"/>
      <c r="SWI746" s="214"/>
      <c r="SWJ746" s="214"/>
      <c r="SWK746" s="214"/>
      <c r="SWL746" s="214"/>
      <c r="SWM746" s="214"/>
      <c r="SWN746" s="214"/>
      <c r="SWO746" s="214"/>
      <c r="SWP746" s="214"/>
      <c r="SWQ746" s="214"/>
      <c r="SWR746" s="214"/>
      <c r="SWS746" s="214"/>
      <c r="SWT746" s="214"/>
      <c r="SWU746" s="214"/>
      <c r="SWV746" s="214"/>
      <c r="SWW746" s="214"/>
      <c r="SWX746" s="214"/>
      <c r="SWY746" s="214"/>
      <c r="SWZ746" s="214"/>
      <c r="SXA746" s="214"/>
      <c r="SXB746" s="214"/>
      <c r="SXC746" s="214"/>
      <c r="SXD746" s="214"/>
      <c r="SXE746" s="214"/>
      <c r="SXF746" s="214"/>
      <c r="SXG746" s="214"/>
      <c r="SXH746" s="214"/>
      <c r="SXI746" s="214"/>
      <c r="SXJ746" s="214"/>
      <c r="SXK746" s="214"/>
      <c r="SXL746" s="214"/>
      <c r="SXM746" s="214"/>
      <c r="SXN746" s="214"/>
      <c r="SXO746" s="214"/>
      <c r="SXP746" s="214"/>
      <c r="SXQ746" s="214"/>
      <c r="SXR746" s="214"/>
      <c r="SXS746" s="214"/>
      <c r="SXT746" s="214"/>
      <c r="SXU746" s="214"/>
      <c r="SXV746" s="214"/>
      <c r="SXW746" s="214"/>
      <c r="SXX746" s="214"/>
      <c r="SXY746" s="214"/>
      <c r="SXZ746" s="214"/>
      <c r="SYA746" s="214"/>
      <c r="SYB746" s="214"/>
      <c r="SYC746" s="214"/>
      <c r="SYD746" s="214"/>
      <c r="SYE746" s="214"/>
      <c r="SYF746" s="214"/>
      <c r="SYG746" s="214"/>
      <c r="SYH746" s="214"/>
      <c r="SYI746" s="214"/>
      <c r="SYJ746" s="214"/>
      <c r="SYK746" s="214"/>
      <c r="SYL746" s="214"/>
      <c r="SYM746" s="214"/>
      <c r="SYN746" s="214"/>
      <c r="SYO746" s="214"/>
      <c r="SYP746" s="214"/>
      <c r="SYQ746" s="214"/>
      <c r="SYR746" s="214"/>
      <c r="SYS746" s="214"/>
      <c r="SYT746" s="214"/>
      <c r="SYU746" s="214"/>
      <c r="SYV746" s="214"/>
      <c r="SYW746" s="214"/>
      <c r="SYX746" s="214"/>
      <c r="SYY746" s="214"/>
      <c r="SYZ746" s="214"/>
      <c r="SZA746" s="214"/>
      <c r="SZB746" s="214"/>
      <c r="SZC746" s="214"/>
      <c r="SZD746" s="214"/>
      <c r="SZE746" s="214"/>
      <c r="SZF746" s="214"/>
      <c r="SZG746" s="214"/>
      <c r="SZH746" s="214"/>
      <c r="SZI746" s="214"/>
      <c r="SZJ746" s="214"/>
      <c r="SZK746" s="214"/>
      <c r="SZL746" s="214"/>
      <c r="SZM746" s="214"/>
      <c r="SZN746" s="214"/>
      <c r="SZO746" s="214"/>
      <c r="SZP746" s="214"/>
      <c r="SZQ746" s="214"/>
      <c r="SZR746" s="214"/>
      <c r="SZS746" s="214"/>
      <c r="SZT746" s="214"/>
      <c r="SZU746" s="214"/>
      <c r="SZV746" s="214"/>
      <c r="SZW746" s="214"/>
      <c r="SZX746" s="214"/>
      <c r="SZY746" s="214"/>
      <c r="SZZ746" s="214"/>
      <c r="TAA746" s="214"/>
      <c r="TAB746" s="214"/>
      <c r="TAC746" s="214"/>
      <c r="TAD746" s="214"/>
      <c r="TAE746" s="214"/>
      <c r="TAF746" s="214"/>
      <c r="TAG746" s="214"/>
      <c r="TAH746" s="214"/>
      <c r="TAI746" s="214"/>
      <c r="TAJ746" s="214"/>
      <c r="TAK746" s="214"/>
      <c r="TAL746" s="214"/>
      <c r="TAM746" s="214"/>
      <c r="TAN746" s="214"/>
      <c r="TAO746" s="214"/>
      <c r="TAP746" s="214"/>
      <c r="TAQ746" s="214"/>
      <c r="TAR746" s="214"/>
      <c r="TAS746" s="214"/>
      <c r="TAT746" s="214"/>
      <c r="TAU746" s="214"/>
      <c r="TAV746" s="214"/>
      <c r="TAW746" s="214"/>
      <c r="TAX746" s="214"/>
      <c r="TAY746" s="214"/>
      <c r="TAZ746" s="214"/>
      <c r="TBA746" s="214"/>
      <c r="TBB746" s="214"/>
      <c r="TBC746" s="214"/>
      <c r="TBD746" s="214"/>
      <c r="TBE746" s="214"/>
      <c r="TBF746" s="214"/>
      <c r="TBG746" s="214"/>
      <c r="TBH746" s="214"/>
      <c r="TBI746" s="214"/>
      <c r="TBJ746" s="214"/>
      <c r="TBK746" s="214"/>
      <c r="TBL746" s="214"/>
      <c r="TBM746" s="214"/>
      <c r="TBN746" s="214"/>
      <c r="TBO746" s="214"/>
      <c r="TBP746" s="214"/>
      <c r="TBQ746" s="214"/>
      <c r="TBR746" s="214"/>
      <c r="TBS746" s="214"/>
      <c r="TBT746" s="214"/>
      <c r="TBU746" s="214"/>
      <c r="TBV746" s="214"/>
      <c r="TBW746" s="214"/>
      <c r="TBX746" s="214"/>
      <c r="TBY746" s="214"/>
      <c r="TBZ746" s="214"/>
      <c r="TCA746" s="214"/>
      <c r="TCB746" s="214"/>
      <c r="TCC746" s="214"/>
      <c r="TCD746" s="214"/>
      <c r="TCE746" s="214"/>
      <c r="TCF746" s="214"/>
      <c r="TCG746" s="214"/>
      <c r="TCH746" s="214"/>
      <c r="TCI746" s="214"/>
      <c r="TCJ746" s="214"/>
      <c r="TCK746" s="214"/>
      <c r="TCL746" s="214"/>
      <c r="TCM746" s="214"/>
      <c r="TCN746" s="214"/>
      <c r="TCO746" s="214"/>
      <c r="TCP746" s="214"/>
      <c r="TCQ746" s="214"/>
      <c r="TCR746" s="214"/>
      <c r="TCS746" s="214"/>
      <c r="TCT746" s="214"/>
      <c r="TCU746" s="214"/>
      <c r="TCV746" s="214"/>
      <c r="TCW746" s="214"/>
      <c r="TCX746" s="214"/>
      <c r="TCY746" s="214"/>
      <c r="TCZ746" s="214"/>
      <c r="TDA746" s="214"/>
      <c r="TDB746" s="214"/>
      <c r="TDC746" s="214"/>
      <c r="TDD746" s="214"/>
      <c r="TDE746" s="214"/>
      <c r="TDF746" s="214"/>
      <c r="TDG746" s="214"/>
      <c r="TDH746" s="214"/>
      <c r="TDI746" s="214"/>
      <c r="TDJ746" s="214"/>
      <c r="TDK746" s="214"/>
      <c r="TDL746" s="214"/>
      <c r="TDM746" s="214"/>
      <c r="TDN746" s="214"/>
      <c r="TDO746" s="214"/>
      <c r="TDP746" s="214"/>
      <c r="TDQ746" s="214"/>
      <c r="TDR746" s="214"/>
      <c r="TDS746" s="214"/>
      <c r="TDT746" s="214"/>
      <c r="TDU746" s="214"/>
      <c r="TDV746" s="214"/>
      <c r="TDW746" s="214"/>
      <c r="TDX746" s="214"/>
      <c r="TDY746" s="214"/>
      <c r="TDZ746" s="214"/>
      <c r="TEA746" s="214"/>
      <c r="TEB746" s="214"/>
      <c r="TEC746" s="214"/>
      <c r="TED746" s="214"/>
      <c r="TEE746" s="214"/>
      <c r="TEF746" s="214"/>
      <c r="TEG746" s="214"/>
      <c r="TEH746" s="214"/>
      <c r="TEI746" s="214"/>
      <c r="TEJ746" s="214"/>
      <c r="TEK746" s="214"/>
      <c r="TEL746" s="214"/>
      <c r="TEM746" s="214"/>
      <c r="TEN746" s="214"/>
      <c r="TEO746" s="214"/>
      <c r="TEP746" s="214"/>
      <c r="TEQ746" s="214"/>
      <c r="TER746" s="214"/>
      <c r="TES746" s="214"/>
      <c r="TET746" s="214"/>
      <c r="TEU746" s="214"/>
      <c r="TEV746" s="214"/>
      <c r="TEW746" s="214"/>
      <c r="TEX746" s="214"/>
      <c r="TEY746" s="214"/>
      <c r="TEZ746" s="214"/>
      <c r="TFA746" s="214"/>
      <c r="TFB746" s="214"/>
      <c r="TFC746" s="214"/>
      <c r="TFD746" s="214"/>
      <c r="TFE746" s="214"/>
      <c r="TFF746" s="214"/>
      <c r="TFG746" s="214"/>
      <c r="TFH746" s="214"/>
      <c r="TFI746" s="214"/>
      <c r="TFJ746" s="214"/>
      <c r="TFK746" s="214"/>
      <c r="TFL746" s="214"/>
      <c r="TFM746" s="214"/>
      <c r="TFN746" s="214"/>
      <c r="TFO746" s="214"/>
      <c r="TFP746" s="214"/>
      <c r="TFQ746" s="214"/>
      <c r="TFR746" s="214"/>
      <c r="TFS746" s="214"/>
      <c r="TFT746" s="214"/>
      <c r="TFU746" s="214"/>
      <c r="TFV746" s="214"/>
      <c r="TFW746" s="214"/>
      <c r="TFX746" s="214"/>
      <c r="TFY746" s="214"/>
      <c r="TFZ746" s="214"/>
      <c r="TGA746" s="214"/>
      <c r="TGB746" s="214"/>
      <c r="TGC746" s="214"/>
      <c r="TGD746" s="214"/>
      <c r="TGE746" s="214"/>
      <c r="TGF746" s="214"/>
      <c r="TGG746" s="214"/>
      <c r="TGH746" s="214"/>
      <c r="TGI746" s="214"/>
      <c r="TGJ746" s="214"/>
      <c r="TGK746" s="214"/>
      <c r="TGL746" s="214"/>
      <c r="TGM746" s="214"/>
      <c r="TGN746" s="214"/>
      <c r="TGO746" s="214"/>
      <c r="TGP746" s="214"/>
      <c r="TGQ746" s="214"/>
      <c r="TGR746" s="214"/>
      <c r="TGS746" s="214"/>
      <c r="TGT746" s="214"/>
      <c r="TGU746" s="214"/>
      <c r="TGV746" s="214"/>
      <c r="TGW746" s="214"/>
      <c r="TGX746" s="214"/>
      <c r="TGY746" s="214"/>
      <c r="TGZ746" s="214"/>
      <c r="THA746" s="214"/>
      <c r="THB746" s="214"/>
      <c r="THC746" s="214"/>
      <c r="THD746" s="214"/>
      <c r="THE746" s="214"/>
      <c r="THF746" s="214"/>
      <c r="THG746" s="214"/>
      <c r="THH746" s="214"/>
      <c r="THI746" s="214"/>
      <c r="THJ746" s="214"/>
      <c r="THK746" s="214"/>
      <c r="THL746" s="214"/>
      <c r="THM746" s="214"/>
      <c r="THN746" s="214"/>
      <c r="THO746" s="214"/>
      <c r="THP746" s="214"/>
      <c r="THQ746" s="214"/>
      <c r="THR746" s="214"/>
      <c r="THS746" s="214"/>
      <c r="THT746" s="214"/>
      <c r="THU746" s="214"/>
      <c r="THV746" s="214"/>
      <c r="THW746" s="214"/>
      <c r="THX746" s="214"/>
      <c r="THY746" s="214"/>
      <c r="THZ746" s="214"/>
      <c r="TIA746" s="214"/>
      <c r="TIB746" s="214"/>
      <c r="TIC746" s="214"/>
      <c r="TID746" s="214"/>
      <c r="TIE746" s="214"/>
      <c r="TIF746" s="214"/>
      <c r="TIG746" s="214"/>
      <c r="TIH746" s="214"/>
      <c r="TII746" s="214"/>
      <c r="TIJ746" s="214"/>
      <c r="TIK746" s="214"/>
      <c r="TIL746" s="214"/>
      <c r="TIM746" s="214"/>
      <c r="TIN746" s="214"/>
      <c r="TIO746" s="214"/>
      <c r="TIP746" s="214"/>
      <c r="TIQ746" s="214"/>
      <c r="TIR746" s="214"/>
      <c r="TIS746" s="214"/>
      <c r="TIT746" s="214"/>
      <c r="TIU746" s="214"/>
      <c r="TIV746" s="214"/>
      <c r="TIW746" s="214"/>
      <c r="TIX746" s="214"/>
      <c r="TIY746" s="214"/>
      <c r="TIZ746" s="214"/>
      <c r="TJA746" s="214"/>
      <c r="TJB746" s="214"/>
      <c r="TJC746" s="214"/>
      <c r="TJD746" s="214"/>
      <c r="TJE746" s="214"/>
      <c r="TJF746" s="214"/>
      <c r="TJG746" s="214"/>
      <c r="TJH746" s="214"/>
      <c r="TJI746" s="214"/>
      <c r="TJJ746" s="214"/>
      <c r="TJK746" s="214"/>
      <c r="TJL746" s="214"/>
      <c r="TJM746" s="214"/>
      <c r="TJN746" s="214"/>
      <c r="TJO746" s="214"/>
      <c r="TJP746" s="214"/>
      <c r="TJQ746" s="214"/>
      <c r="TJR746" s="214"/>
      <c r="TJS746" s="214"/>
      <c r="TJT746" s="214"/>
      <c r="TJU746" s="214"/>
      <c r="TJV746" s="214"/>
      <c r="TJW746" s="214"/>
      <c r="TJX746" s="214"/>
      <c r="TJY746" s="214"/>
      <c r="TJZ746" s="214"/>
      <c r="TKA746" s="214"/>
      <c r="TKB746" s="214"/>
      <c r="TKC746" s="214"/>
      <c r="TKD746" s="214"/>
      <c r="TKE746" s="214"/>
      <c r="TKF746" s="214"/>
      <c r="TKG746" s="214"/>
      <c r="TKH746" s="214"/>
      <c r="TKI746" s="214"/>
      <c r="TKJ746" s="214"/>
      <c r="TKK746" s="214"/>
      <c r="TKL746" s="214"/>
      <c r="TKM746" s="214"/>
      <c r="TKN746" s="214"/>
      <c r="TKO746" s="214"/>
      <c r="TKP746" s="214"/>
      <c r="TKQ746" s="214"/>
      <c r="TKR746" s="214"/>
      <c r="TKS746" s="214"/>
      <c r="TKT746" s="214"/>
      <c r="TKU746" s="214"/>
      <c r="TKV746" s="214"/>
      <c r="TKW746" s="214"/>
      <c r="TKX746" s="214"/>
      <c r="TKY746" s="214"/>
      <c r="TKZ746" s="214"/>
      <c r="TLA746" s="214"/>
      <c r="TLB746" s="214"/>
      <c r="TLC746" s="214"/>
      <c r="TLD746" s="214"/>
      <c r="TLE746" s="214"/>
      <c r="TLF746" s="214"/>
      <c r="TLG746" s="214"/>
      <c r="TLH746" s="214"/>
      <c r="TLI746" s="214"/>
      <c r="TLJ746" s="214"/>
      <c r="TLK746" s="214"/>
      <c r="TLL746" s="214"/>
      <c r="TLM746" s="214"/>
      <c r="TLN746" s="214"/>
      <c r="TLO746" s="214"/>
      <c r="TLP746" s="214"/>
      <c r="TLQ746" s="214"/>
      <c r="TLR746" s="214"/>
      <c r="TLS746" s="214"/>
      <c r="TLT746" s="214"/>
      <c r="TLU746" s="214"/>
      <c r="TLV746" s="214"/>
      <c r="TLW746" s="214"/>
      <c r="TLX746" s="214"/>
      <c r="TLY746" s="214"/>
      <c r="TLZ746" s="214"/>
      <c r="TMA746" s="214"/>
      <c r="TMB746" s="214"/>
      <c r="TMC746" s="214"/>
      <c r="TMD746" s="214"/>
      <c r="TME746" s="214"/>
      <c r="TMF746" s="214"/>
      <c r="TMG746" s="214"/>
      <c r="TMH746" s="214"/>
      <c r="TMI746" s="214"/>
      <c r="TMJ746" s="214"/>
      <c r="TMK746" s="214"/>
      <c r="TML746" s="214"/>
      <c r="TMM746" s="214"/>
      <c r="TMN746" s="214"/>
      <c r="TMO746" s="214"/>
      <c r="TMP746" s="214"/>
      <c r="TMQ746" s="214"/>
      <c r="TMR746" s="214"/>
      <c r="TMS746" s="214"/>
      <c r="TMT746" s="214"/>
      <c r="TMU746" s="214"/>
      <c r="TMV746" s="214"/>
      <c r="TMW746" s="214"/>
      <c r="TMX746" s="214"/>
      <c r="TMY746" s="214"/>
      <c r="TMZ746" s="214"/>
      <c r="TNA746" s="214"/>
      <c r="TNB746" s="214"/>
      <c r="TNC746" s="214"/>
      <c r="TND746" s="214"/>
      <c r="TNE746" s="214"/>
      <c r="TNF746" s="214"/>
      <c r="TNG746" s="214"/>
      <c r="TNH746" s="214"/>
      <c r="TNI746" s="214"/>
      <c r="TNJ746" s="214"/>
      <c r="TNK746" s="214"/>
      <c r="TNL746" s="214"/>
      <c r="TNM746" s="214"/>
      <c r="TNN746" s="214"/>
      <c r="TNO746" s="214"/>
      <c r="TNP746" s="214"/>
      <c r="TNQ746" s="214"/>
      <c r="TNR746" s="214"/>
      <c r="TNS746" s="214"/>
      <c r="TNT746" s="214"/>
      <c r="TNU746" s="214"/>
      <c r="TNV746" s="214"/>
      <c r="TNW746" s="214"/>
      <c r="TNX746" s="214"/>
      <c r="TNY746" s="214"/>
      <c r="TNZ746" s="214"/>
      <c r="TOA746" s="214"/>
      <c r="TOB746" s="214"/>
      <c r="TOC746" s="214"/>
      <c r="TOD746" s="214"/>
      <c r="TOE746" s="214"/>
      <c r="TOF746" s="214"/>
      <c r="TOG746" s="214"/>
      <c r="TOH746" s="214"/>
      <c r="TOI746" s="214"/>
      <c r="TOJ746" s="214"/>
      <c r="TOK746" s="214"/>
      <c r="TOL746" s="214"/>
      <c r="TOM746" s="214"/>
      <c r="TON746" s="214"/>
      <c r="TOO746" s="214"/>
      <c r="TOP746" s="214"/>
      <c r="TOQ746" s="214"/>
      <c r="TOR746" s="214"/>
      <c r="TOS746" s="214"/>
      <c r="TOT746" s="214"/>
      <c r="TOU746" s="214"/>
      <c r="TOV746" s="214"/>
      <c r="TOW746" s="214"/>
      <c r="TOX746" s="214"/>
      <c r="TOY746" s="214"/>
      <c r="TOZ746" s="214"/>
      <c r="TPA746" s="214"/>
      <c r="TPB746" s="214"/>
      <c r="TPC746" s="214"/>
      <c r="TPD746" s="214"/>
      <c r="TPE746" s="214"/>
      <c r="TPF746" s="214"/>
      <c r="TPG746" s="214"/>
      <c r="TPH746" s="214"/>
      <c r="TPI746" s="214"/>
      <c r="TPJ746" s="214"/>
      <c r="TPK746" s="214"/>
      <c r="TPL746" s="214"/>
      <c r="TPM746" s="214"/>
      <c r="TPN746" s="214"/>
      <c r="TPO746" s="214"/>
      <c r="TPP746" s="214"/>
      <c r="TPQ746" s="214"/>
      <c r="TPR746" s="214"/>
      <c r="TPS746" s="214"/>
      <c r="TPT746" s="214"/>
      <c r="TPU746" s="214"/>
      <c r="TPV746" s="214"/>
      <c r="TPW746" s="214"/>
      <c r="TPX746" s="214"/>
      <c r="TPY746" s="214"/>
      <c r="TPZ746" s="214"/>
      <c r="TQA746" s="214"/>
      <c r="TQB746" s="214"/>
      <c r="TQC746" s="214"/>
      <c r="TQD746" s="214"/>
      <c r="TQE746" s="214"/>
      <c r="TQF746" s="214"/>
      <c r="TQG746" s="214"/>
      <c r="TQH746" s="214"/>
      <c r="TQI746" s="214"/>
      <c r="TQJ746" s="214"/>
      <c r="TQK746" s="214"/>
      <c r="TQL746" s="214"/>
      <c r="TQM746" s="214"/>
      <c r="TQN746" s="214"/>
      <c r="TQO746" s="214"/>
      <c r="TQP746" s="214"/>
      <c r="TQQ746" s="214"/>
      <c r="TQR746" s="214"/>
      <c r="TQS746" s="214"/>
      <c r="TQT746" s="214"/>
      <c r="TQU746" s="214"/>
      <c r="TQV746" s="214"/>
      <c r="TQW746" s="214"/>
      <c r="TQX746" s="214"/>
      <c r="TQY746" s="214"/>
      <c r="TQZ746" s="214"/>
      <c r="TRA746" s="214"/>
      <c r="TRB746" s="214"/>
      <c r="TRC746" s="214"/>
      <c r="TRD746" s="214"/>
      <c r="TRE746" s="214"/>
      <c r="TRF746" s="214"/>
      <c r="TRG746" s="214"/>
      <c r="TRH746" s="214"/>
      <c r="TRI746" s="214"/>
      <c r="TRJ746" s="214"/>
      <c r="TRK746" s="214"/>
      <c r="TRL746" s="214"/>
      <c r="TRM746" s="214"/>
      <c r="TRN746" s="214"/>
      <c r="TRO746" s="214"/>
      <c r="TRP746" s="214"/>
      <c r="TRQ746" s="214"/>
      <c r="TRR746" s="214"/>
      <c r="TRS746" s="214"/>
      <c r="TRT746" s="214"/>
      <c r="TRU746" s="214"/>
      <c r="TRV746" s="214"/>
      <c r="TRW746" s="214"/>
      <c r="TRX746" s="214"/>
      <c r="TRY746" s="214"/>
      <c r="TRZ746" s="214"/>
      <c r="TSA746" s="214"/>
      <c r="TSB746" s="214"/>
      <c r="TSC746" s="214"/>
      <c r="TSD746" s="214"/>
      <c r="TSE746" s="214"/>
      <c r="TSF746" s="214"/>
      <c r="TSG746" s="214"/>
      <c r="TSH746" s="214"/>
      <c r="TSI746" s="214"/>
      <c r="TSJ746" s="214"/>
      <c r="TSK746" s="214"/>
      <c r="TSL746" s="214"/>
      <c r="TSM746" s="214"/>
      <c r="TSN746" s="214"/>
      <c r="TSO746" s="214"/>
      <c r="TSP746" s="214"/>
      <c r="TSQ746" s="214"/>
      <c r="TSR746" s="214"/>
      <c r="TSS746" s="214"/>
      <c r="TST746" s="214"/>
      <c r="TSU746" s="214"/>
      <c r="TSV746" s="214"/>
      <c r="TSW746" s="214"/>
      <c r="TSX746" s="214"/>
      <c r="TSY746" s="214"/>
      <c r="TSZ746" s="214"/>
      <c r="TTA746" s="214"/>
      <c r="TTB746" s="214"/>
      <c r="TTC746" s="214"/>
      <c r="TTD746" s="214"/>
      <c r="TTE746" s="214"/>
      <c r="TTF746" s="214"/>
      <c r="TTG746" s="214"/>
      <c r="TTH746" s="214"/>
      <c r="TTI746" s="214"/>
      <c r="TTJ746" s="214"/>
      <c r="TTK746" s="214"/>
      <c r="TTL746" s="214"/>
      <c r="TTM746" s="214"/>
      <c r="TTN746" s="214"/>
      <c r="TTO746" s="214"/>
      <c r="TTP746" s="214"/>
      <c r="TTQ746" s="214"/>
      <c r="TTR746" s="214"/>
      <c r="TTS746" s="214"/>
      <c r="TTT746" s="214"/>
      <c r="TTU746" s="214"/>
      <c r="TTV746" s="214"/>
      <c r="TTW746" s="214"/>
      <c r="TTX746" s="214"/>
      <c r="TTY746" s="214"/>
      <c r="TTZ746" s="214"/>
      <c r="TUA746" s="214"/>
      <c r="TUB746" s="214"/>
      <c r="TUC746" s="214"/>
      <c r="TUD746" s="214"/>
      <c r="TUE746" s="214"/>
      <c r="TUF746" s="214"/>
      <c r="TUG746" s="214"/>
      <c r="TUH746" s="214"/>
      <c r="TUI746" s="214"/>
      <c r="TUJ746" s="214"/>
      <c r="TUK746" s="214"/>
      <c r="TUL746" s="214"/>
      <c r="TUM746" s="214"/>
      <c r="TUN746" s="214"/>
      <c r="TUO746" s="214"/>
      <c r="TUP746" s="214"/>
      <c r="TUQ746" s="214"/>
      <c r="TUR746" s="214"/>
      <c r="TUS746" s="214"/>
      <c r="TUT746" s="214"/>
      <c r="TUU746" s="214"/>
      <c r="TUV746" s="214"/>
      <c r="TUW746" s="214"/>
      <c r="TUX746" s="214"/>
      <c r="TUY746" s="214"/>
      <c r="TUZ746" s="214"/>
      <c r="TVA746" s="214"/>
      <c r="TVB746" s="214"/>
      <c r="TVC746" s="214"/>
      <c r="TVD746" s="214"/>
      <c r="TVE746" s="214"/>
      <c r="TVF746" s="214"/>
      <c r="TVG746" s="214"/>
      <c r="TVH746" s="214"/>
      <c r="TVI746" s="214"/>
      <c r="TVJ746" s="214"/>
      <c r="TVK746" s="214"/>
      <c r="TVL746" s="214"/>
      <c r="TVM746" s="214"/>
      <c r="TVN746" s="214"/>
      <c r="TVO746" s="214"/>
      <c r="TVP746" s="214"/>
      <c r="TVQ746" s="214"/>
      <c r="TVR746" s="214"/>
      <c r="TVS746" s="214"/>
      <c r="TVT746" s="214"/>
      <c r="TVU746" s="214"/>
      <c r="TVV746" s="214"/>
      <c r="TVW746" s="214"/>
      <c r="TVX746" s="214"/>
      <c r="TVY746" s="214"/>
      <c r="TVZ746" s="214"/>
      <c r="TWA746" s="214"/>
      <c r="TWB746" s="214"/>
      <c r="TWC746" s="214"/>
      <c r="TWD746" s="214"/>
      <c r="TWE746" s="214"/>
      <c r="TWF746" s="214"/>
      <c r="TWG746" s="214"/>
      <c r="TWH746" s="214"/>
      <c r="TWI746" s="214"/>
      <c r="TWJ746" s="214"/>
      <c r="TWK746" s="214"/>
      <c r="TWL746" s="214"/>
      <c r="TWM746" s="214"/>
      <c r="TWN746" s="214"/>
      <c r="TWO746" s="214"/>
      <c r="TWP746" s="214"/>
      <c r="TWQ746" s="214"/>
      <c r="TWR746" s="214"/>
      <c r="TWS746" s="214"/>
      <c r="TWT746" s="214"/>
      <c r="TWU746" s="214"/>
      <c r="TWV746" s="214"/>
      <c r="TWW746" s="214"/>
      <c r="TWX746" s="214"/>
      <c r="TWY746" s="214"/>
      <c r="TWZ746" s="214"/>
      <c r="TXA746" s="214"/>
      <c r="TXB746" s="214"/>
      <c r="TXC746" s="214"/>
      <c r="TXD746" s="214"/>
      <c r="TXE746" s="214"/>
      <c r="TXF746" s="214"/>
      <c r="TXG746" s="214"/>
      <c r="TXH746" s="214"/>
      <c r="TXI746" s="214"/>
      <c r="TXJ746" s="214"/>
      <c r="TXK746" s="214"/>
      <c r="TXL746" s="214"/>
      <c r="TXM746" s="214"/>
      <c r="TXN746" s="214"/>
      <c r="TXO746" s="214"/>
      <c r="TXP746" s="214"/>
      <c r="TXQ746" s="214"/>
      <c r="TXR746" s="214"/>
      <c r="TXS746" s="214"/>
      <c r="TXT746" s="214"/>
      <c r="TXU746" s="214"/>
      <c r="TXV746" s="214"/>
      <c r="TXW746" s="214"/>
      <c r="TXX746" s="214"/>
      <c r="TXY746" s="214"/>
      <c r="TXZ746" s="214"/>
      <c r="TYA746" s="214"/>
      <c r="TYB746" s="214"/>
      <c r="TYC746" s="214"/>
      <c r="TYD746" s="214"/>
      <c r="TYE746" s="214"/>
      <c r="TYF746" s="214"/>
      <c r="TYG746" s="214"/>
      <c r="TYH746" s="214"/>
      <c r="TYI746" s="214"/>
      <c r="TYJ746" s="214"/>
      <c r="TYK746" s="214"/>
      <c r="TYL746" s="214"/>
      <c r="TYM746" s="214"/>
      <c r="TYN746" s="214"/>
      <c r="TYO746" s="214"/>
      <c r="TYP746" s="214"/>
      <c r="TYQ746" s="214"/>
      <c r="TYR746" s="214"/>
      <c r="TYS746" s="214"/>
      <c r="TYT746" s="214"/>
      <c r="TYU746" s="214"/>
      <c r="TYV746" s="214"/>
      <c r="TYW746" s="214"/>
      <c r="TYX746" s="214"/>
      <c r="TYY746" s="214"/>
      <c r="TYZ746" s="214"/>
      <c r="TZA746" s="214"/>
      <c r="TZB746" s="214"/>
      <c r="TZC746" s="214"/>
      <c r="TZD746" s="214"/>
      <c r="TZE746" s="214"/>
      <c r="TZF746" s="214"/>
      <c r="TZG746" s="214"/>
      <c r="TZH746" s="214"/>
      <c r="TZI746" s="214"/>
      <c r="TZJ746" s="214"/>
      <c r="TZK746" s="214"/>
      <c r="TZL746" s="214"/>
      <c r="TZM746" s="214"/>
      <c r="TZN746" s="214"/>
      <c r="TZO746" s="214"/>
      <c r="TZP746" s="214"/>
      <c r="TZQ746" s="214"/>
      <c r="TZR746" s="214"/>
      <c r="TZS746" s="214"/>
      <c r="TZT746" s="214"/>
      <c r="TZU746" s="214"/>
      <c r="TZV746" s="214"/>
      <c r="TZW746" s="214"/>
      <c r="TZX746" s="214"/>
      <c r="TZY746" s="214"/>
      <c r="TZZ746" s="214"/>
      <c r="UAA746" s="214"/>
      <c r="UAB746" s="214"/>
      <c r="UAC746" s="214"/>
      <c r="UAD746" s="214"/>
      <c r="UAE746" s="214"/>
      <c r="UAF746" s="214"/>
      <c r="UAG746" s="214"/>
      <c r="UAH746" s="214"/>
      <c r="UAI746" s="214"/>
      <c r="UAJ746" s="214"/>
      <c r="UAK746" s="214"/>
      <c r="UAL746" s="214"/>
      <c r="UAM746" s="214"/>
      <c r="UAN746" s="214"/>
      <c r="UAO746" s="214"/>
      <c r="UAP746" s="214"/>
      <c r="UAQ746" s="214"/>
      <c r="UAR746" s="214"/>
      <c r="UAS746" s="214"/>
      <c r="UAT746" s="214"/>
      <c r="UAU746" s="214"/>
      <c r="UAV746" s="214"/>
      <c r="UAW746" s="214"/>
      <c r="UAX746" s="214"/>
      <c r="UAY746" s="214"/>
      <c r="UAZ746" s="214"/>
      <c r="UBA746" s="214"/>
      <c r="UBB746" s="214"/>
      <c r="UBC746" s="214"/>
      <c r="UBD746" s="214"/>
      <c r="UBE746" s="214"/>
      <c r="UBF746" s="214"/>
      <c r="UBG746" s="214"/>
      <c r="UBH746" s="214"/>
      <c r="UBI746" s="214"/>
      <c r="UBJ746" s="214"/>
      <c r="UBK746" s="214"/>
      <c r="UBL746" s="214"/>
      <c r="UBM746" s="214"/>
      <c r="UBN746" s="214"/>
      <c r="UBO746" s="214"/>
      <c r="UBP746" s="214"/>
      <c r="UBQ746" s="214"/>
      <c r="UBR746" s="214"/>
      <c r="UBS746" s="214"/>
      <c r="UBT746" s="214"/>
      <c r="UBU746" s="214"/>
      <c r="UBV746" s="214"/>
      <c r="UBW746" s="214"/>
      <c r="UBX746" s="214"/>
      <c r="UBY746" s="214"/>
      <c r="UBZ746" s="214"/>
      <c r="UCA746" s="214"/>
      <c r="UCB746" s="214"/>
      <c r="UCC746" s="214"/>
      <c r="UCD746" s="214"/>
      <c r="UCE746" s="214"/>
      <c r="UCF746" s="214"/>
      <c r="UCG746" s="214"/>
      <c r="UCH746" s="214"/>
      <c r="UCI746" s="214"/>
      <c r="UCJ746" s="214"/>
      <c r="UCK746" s="214"/>
      <c r="UCL746" s="214"/>
      <c r="UCM746" s="214"/>
      <c r="UCN746" s="214"/>
      <c r="UCO746" s="214"/>
      <c r="UCP746" s="214"/>
      <c r="UCQ746" s="214"/>
      <c r="UCR746" s="214"/>
      <c r="UCS746" s="214"/>
      <c r="UCT746" s="214"/>
      <c r="UCU746" s="214"/>
      <c r="UCV746" s="214"/>
      <c r="UCW746" s="214"/>
      <c r="UCX746" s="214"/>
      <c r="UCY746" s="214"/>
      <c r="UCZ746" s="214"/>
      <c r="UDA746" s="214"/>
      <c r="UDB746" s="214"/>
      <c r="UDC746" s="214"/>
      <c r="UDD746" s="214"/>
      <c r="UDE746" s="214"/>
      <c r="UDF746" s="214"/>
      <c r="UDG746" s="214"/>
      <c r="UDH746" s="214"/>
      <c r="UDI746" s="214"/>
      <c r="UDJ746" s="214"/>
      <c r="UDK746" s="214"/>
      <c r="UDL746" s="214"/>
      <c r="UDM746" s="214"/>
      <c r="UDN746" s="214"/>
      <c r="UDO746" s="214"/>
      <c r="UDP746" s="214"/>
      <c r="UDQ746" s="214"/>
      <c r="UDR746" s="214"/>
      <c r="UDS746" s="214"/>
      <c r="UDT746" s="214"/>
      <c r="UDU746" s="214"/>
      <c r="UDV746" s="214"/>
      <c r="UDW746" s="214"/>
      <c r="UDX746" s="214"/>
      <c r="UDY746" s="214"/>
      <c r="UDZ746" s="214"/>
      <c r="UEA746" s="214"/>
      <c r="UEB746" s="214"/>
      <c r="UEC746" s="214"/>
      <c r="UED746" s="214"/>
      <c r="UEE746" s="214"/>
      <c r="UEF746" s="214"/>
      <c r="UEG746" s="214"/>
      <c r="UEH746" s="214"/>
      <c r="UEI746" s="214"/>
      <c r="UEJ746" s="214"/>
      <c r="UEK746" s="214"/>
      <c r="UEL746" s="214"/>
      <c r="UEM746" s="214"/>
      <c r="UEN746" s="214"/>
      <c r="UEO746" s="214"/>
      <c r="UEP746" s="214"/>
      <c r="UEQ746" s="214"/>
      <c r="UER746" s="214"/>
      <c r="UES746" s="214"/>
      <c r="UET746" s="214"/>
      <c r="UEU746" s="214"/>
      <c r="UEV746" s="214"/>
      <c r="UEW746" s="214"/>
      <c r="UEX746" s="214"/>
      <c r="UEY746" s="214"/>
      <c r="UEZ746" s="214"/>
      <c r="UFA746" s="214"/>
      <c r="UFB746" s="214"/>
      <c r="UFC746" s="214"/>
      <c r="UFD746" s="214"/>
      <c r="UFE746" s="214"/>
      <c r="UFF746" s="214"/>
      <c r="UFG746" s="214"/>
      <c r="UFH746" s="214"/>
      <c r="UFI746" s="214"/>
      <c r="UFJ746" s="214"/>
      <c r="UFK746" s="214"/>
      <c r="UFL746" s="214"/>
      <c r="UFM746" s="214"/>
      <c r="UFN746" s="214"/>
      <c r="UFO746" s="214"/>
      <c r="UFP746" s="214"/>
      <c r="UFQ746" s="214"/>
      <c r="UFR746" s="214"/>
      <c r="UFS746" s="214"/>
      <c r="UFT746" s="214"/>
      <c r="UFU746" s="214"/>
      <c r="UFV746" s="214"/>
      <c r="UFW746" s="214"/>
      <c r="UFX746" s="214"/>
      <c r="UFY746" s="214"/>
      <c r="UFZ746" s="214"/>
      <c r="UGA746" s="214"/>
      <c r="UGB746" s="214"/>
      <c r="UGC746" s="214"/>
      <c r="UGD746" s="214"/>
      <c r="UGE746" s="214"/>
      <c r="UGF746" s="214"/>
      <c r="UGG746" s="214"/>
      <c r="UGH746" s="214"/>
      <c r="UGI746" s="214"/>
      <c r="UGJ746" s="214"/>
      <c r="UGK746" s="214"/>
      <c r="UGL746" s="214"/>
      <c r="UGM746" s="214"/>
      <c r="UGN746" s="214"/>
      <c r="UGO746" s="214"/>
      <c r="UGP746" s="214"/>
      <c r="UGQ746" s="214"/>
      <c r="UGR746" s="214"/>
      <c r="UGS746" s="214"/>
      <c r="UGT746" s="214"/>
      <c r="UGU746" s="214"/>
      <c r="UGV746" s="214"/>
      <c r="UGW746" s="214"/>
      <c r="UGX746" s="214"/>
      <c r="UGY746" s="214"/>
      <c r="UGZ746" s="214"/>
      <c r="UHA746" s="214"/>
      <c r="UHB746" s="214"/>
      <c r="UHC746" s="214"/>
      <c r="UHD746" s="214"/>
      <c r="UHE746" s="214"/>
      <c r="UHF746" s="214"/>
      <c r="UHG746" s="214"/>
      <c r="UHH746" s="214"/>
      <c r="UHI746" s="214"/>
      <c r="UHJ746" s="214"/>
      <c r="UHK746" s="214"/>
      <c r="UHL746" s="214"/>
      <c r="UHM746" s="214"/>
      <c r="UHN746" s="214"/>
      <c r="UHO746" s="214"/>
      <c r="UHP746" s="214"/>
      <c r="UHQ746" s="214"/>
      <c r="UHR746" s="214"/>
      <c r="UHS746" s="214"/>
      <c r="UHT746" s="214"/>
      <c r="UHU746" s="214"/>
      <c r="UHV746" s="214"/>
      <c r="UHW746" s="214"/>
      <c r="UHX746" s="214"/>
      <c r="UHY746" s="214"/>
      <c r="UHZ746" s="214"/>
      <c r="UIA746" s="214"/>
      <c r="UIB746" s="214"/>
      <c r="UIC746" s="214"/>
      <c r="UID746" s="214"/>
      <c r="UIE746" s="214"/>
      <c r="UIF746" s="214"/>
      <c r="UIG746" s="214"/>
      <c r="UIH746" s="214"/>
      <c r="UII746" s="214"/>
      <c r="UIJ746" s="214"/>
      <c r="UIK746" s="214"/>
      <c r="UIL746" s="214"/>
      <c r="UIM746" s="214"/>
      <c r="UIN746" s="214"/>
      <c r="UIO746" s="214"/>
      <c r="UIP746" s="214"/>
      <c r="UIQ746" s="214"/>
      <c r="UIR746" s="214"/>
      <c r="UIS746" s="214"/>
      <c r="UIT746" s="214"/>
      <c r="UIU746" s="214"/>
      <c r="UIV746" s="214"/>
      <c r="UIW746" s="214"/>
      <c r="UIX746" s="214"/>
      <c r="UIY746" s="214"/>
      <c r="UIZ746" s="214"/>
      <c r="UJA746" s="214"/>
      <c r="UJB746" s="214"/>
      <c r="UJC746" s="214"/>
      <c r="UJD746" s="214"/>
      <c r="UJE746" s="214"/>
      <c r="UJF746" s="214"/>
      <c r="UJG746" s="214"/>
      <c r="UJH746" s="214"/>
      <c r="UJI746" s="214"/>
      <c r="UJJ746" s="214"/>
      <c r="UJK746" s="214"/>
      <c r="UJL746" s="214"/>
      <c r="UJM746" s="214"/>
      <c r="UJN746" s="214"/>
      <c r="UJO746" s="214"/>
      <c r="UJP746" s="214"/>
      <c r="UJQ746" s="214"/>
      <c r="UJR746" s="214"/>
      <c r="UJS746" s="214"/>
      <c r="UJT746" s="214"/>
      <c r="UJU746" s="214"/>
      <c r="UJV746" s="214"/>
      <c r="UJW746" s="214"/>
      <c r="UJX746" s="214"/>
      <c r="UJY746" s="214"/>
      <c r="UJZ746" s="214"/>
      <c r="UKA746" s="214"/>
      <c r="UKB746" s="214"/>
      <c r="UKC746" s="214"/>
      <c r="UKD746" s="214"/>
      <c r="UKE746" s="214"/>
      <c r="UKF746" s="214"/>
      <c r="UKG746" s="214"/>
      <c r="UKH746" s="214"/>
      <c r="UKI746" s="214"/>
      <c r="UKJ746" s="214"/>
      <c r="UKK746" s="214"/>
      <c r="UKL746" s="214"/>
      <c r="UKM746" s="214"/>
      <c r="UKN746" s="214"/>
      <c r="UKO746" s="214"/>
      <c r="UKP746" s="214"/>
      <c r="UKQ746" s="214"/>
      <c r="UKR746" s="214"/>
      <c r="UKS746" s="214"/>
      <c r="UKT746" s="214"/>
      <c r="UKU746" s="214"/>
      <c r="UKV746" s="214"/>
      <c r="UKW746" s="214"/>
      <c r="UKX746" s="214"/>
      <c r="UKY746" s="214"/>
      <c r="UKZ746" s="214"/>
      <c r="ULA746" s="214"/>
      <c r="ULB746" s="214"/>
      <c r="ULC746" s="214"/>
      <c r="ULD746" s="214"/>
      <c r="ULE746" s="214"/>
      <c r="ULF746" s="214"/>
      <c r="ULG746" s="214"/>
      <c r="ULH746" s="214"/>
      <c r="ULI746" s="214"/>
      <c r="ULJ746" s="214"/>
      <c r="ULK746" s="214"/>
      <c r="ULL746" s="214"/>
      <c r="ULM746" s="214"/>
      <c r="ULN746" s="214"/>
      <c r="ULO746" s="214"/>
      <c r="ULP746" s="214"/>
      <c r="ULQ746" s="214"/>
      <c r="ULR746" s="214"/>
      <c r="ULS746" s="214"/>
      <c r="ULT746" s="214"/>
      <c r="ULU746" s="214"/>
      <c r="ULV746" s="214"/>
      <c r="ULW746" s="214"/>
      <c r="ULX746" s="214"/>
      <c r="ULY746" s="214"/>
      <c r="ULZ746" s="214"/>
      <c r="UMA746" s="214"/>
      <c r="UMB746" s="214"/>
      <c r="UMC746" s="214"/>
      <c r="UMD746" s="214"/>
      <c r="UME746" s="214"/>
      <c r="UMF746" s="214"/>
      <c r="UMG746" s="214"/>
      <c r="UMH746" s="214"/>
      <c r="UMI746" s="214"/>
      <c r="UMJ746" s="214"/>
      <c r="UMK746" s="214"/>
      <c r="UML746" s="214"/>
      <c r="UMM746" s="214"/>
      <c r="UMN746" s="214"/>
      <c r="UMO746" s="214"/>
      <c r="UMP746" s="214"/>
      <c r="UMQ746" s="214"/>
      <c r="UMR746" s="214"/>
      <c r="UMS746" s="214"/>
      <c r="UMT746" s="214"/>
      <c r="UMU746" s="214"/>
      <c r="UMV746" s="214"/>
      <c r="UMW746" s="214"/>
      <c r="UMX746" s="214"/>
      <c r="UMY746" s="214"/>
      <c r="UMZ746" s="214"/>
      <c r="UNA746" s="214"/>
      <c r="UNB746" s="214"/>
      <c r="UNC746" s="214"/>
      <c r="UND746" s="214"/>
      <c r="UNE746" s="214"/>
      <c r="UNF746" s="214"/>
      <c r="UNG746" s="214"/>
      <c r="UNH746" s="214"/>
      <c r="UNI746" s="214"/>
      <c r="UNJ746" s="214"/>
      <c r="UNK746" s="214"/>
      <c r="UNL746" s="214"/>
      <c r="UNM746" s="214"/>
      <c r="UNN746" s="214"/>
      <c r="UNO746" s="214"/>
      <c r="UNP746" s="214"/>
      <c r="UNQ746" s="214"/>
      <c r="UNR746" s="214"/>
      <c r="UNS746" s="214"/>
      <c r="UNT746" s="214"/>
      <c r="UNU746" s="214"/>
      <c r="UNV746" s="214"/>
      <c r="UNW746" s="214"/>
      <c r="UNX746" s="214"/>
      <c r="UNY746" s="214"/>
      <c r="UNZ746" s="214"/>
      <c r="UOA746" s="214"/>
      <c r="UOB746" s="214"/>
      <c r="UOC746" s="214"/>
      <c r="UOD746" s="214"/>
      <c r="UOE746" s="214"/>
      <c r="UOF746" s="214"/>
      <c r="UOG746" s="214"/>
      <c r="UOH746" s="214"/>
      <c r="UOI746" s="214"/>
      <c r="UOJ746" s="214"/>
      <c r="UOK746" s="214"/>
      <c r="UOL746" s="214"/>
      <c r="UOM746" s="214"/>
      <c r="UON746" s="214"/>
      <c r="UOO746" s="214"/>
      <c r="UOP746" s="214"/>
      <c r="UOQ746" s="214"/>
      <c r="UOR746" s="214"/>
      <c r="UOS746" s="214"/>
      <c r="UOT746" s="214"/>
      <c r="UOU746" s="214"/>
      <c r="UOV746" s="214"/>
      <c r="UOW746" s="214"/>
      <c r="UOX746" s="214"/>
      <c r="UOY746" s="214"/>
      <c r="UOZ746" s="214"/>
      <c r="UPA746" s="214"/>
      <c r="UPB746" s="214"/>
      <c r="UPC746" s="214"/>
      <c r="UPD746" s="214"/>
      <c r="UPE746" s="214"/>
      <c r="UPF746" s="214"/>
      <c r="UPG746" s="214"/>
      <c r="UPH746" s="214"/>
      <c r="UPI746" s="214"/>
      <c r="UPJ746" s="214"/>
      <c r="UPK746" s="214"/>
      <c r="UPL746" s="214"/>
      <c r="UPM746" s="214"/>
      <c r="UPN746" s="214"/>
      <c r="UPO746" s="214"/>
      <c r="UPP746" s="214"/>
      <c r="UPQ746" s="214"/>
      <c r="UPR746" s="214"/>
      <c r="UPS746" s="214"/>
      <c r="UPT746" s="214"/>
      <c r="UPU746" s="214"/>
      <c r="UPV746" s="214"/>
      <c r="UPW746" s="214"/>
      <c r="UPX746" s="214"/>
      <c r="UPY746" s="214"/>
      <c r="UPZ746" s="214"/>
      <c r="UQA746" s="214"/>
      <c r="UQB746" s="214"/>
      <c r="UQC746" s="214"/>
      <c r="UQD746" s="214"/>
      <c r="UQE746" s="214"/>
      <c r="UQF746" s="214"/>
      <c r="UQG746" s="214"/>
      <c r="UQH746" s="214"/>
      <c r="UQI746" s="214"/>
      <c r="UQJ746" s="214"/>
      <c r="UQK746" s="214"/>
      <c r="UQL746" s="214"/>
      <c r="UQM746" s="214"/>
      <c r="UQN746" s="214"/>
      <c r="UQO746" s="214"/>
      <c r="UQP746" s="214"/>
      <c r="UQQ746" s="214"/>
      <c r="UQR746" s="214"/>
      <c r="UQS746" s="214"/>
      <c r="UQT746" s="214"/>
      <c r="UQU746" s="214"/>
      <c r="UQV746" s="214"/>
      <c r="UQW746" s="214"/>
      <c r="UQX746" s="214"/>
      <c r="UQY746" s="214"/>
      <c r="UQZ746" s="214"/>
      <c r="URA746" s="214"/>
      <c r="URB746" s="214"/>
      <c r="URC746" s="214"/>
      <c r="URD746" s="214"/>
      <c r="URE746" s="214"/>
      <c r="URF746" s="214"/>
      <c r="URG746" s="214"/>
      <c r="URH746" s="214"/>
      <c r="URI746" s="214"/>
      <c r="URJ746" s="214"/>
      <c r="URK746" s="214"/>
      <c r="URL746" s="214"/>
      <c r="URM746" s="214"/>
      <c r="URN746" s="214"/>
      <c r="URO746" s="214"/>
      <c r="URP746" s="214"/>
      <c r="URQ746" s="214"/>
      <c r="URR746" s="214"/>
      <c r="URS746" s="214"/>
      <c r="URT746" s="214"/>
      <c r="URU746" s="214"/>
      <c r="URV746" s="214"/>
      <c r="URW746" s="214"/>
      <c r="URX746" s="214"/>
      <c r="URY746" s="214"/>
      <c r="URZ746" s="214"/>
      <c r="USA746" s="214"/>
      <c r="USB746" s="214"/>
      <c r="USC746" s="214"/>
      <c r="USD746" s="214"/>
      <c r="USE746" s="214"/>
      <c r="USF746" s="214"/>
      <c r="USG746" s="214"/>
      <c r="USH746" s="214"/>
      <c r="USI746" s="214"/>
      <c r="USJ746" s="214"/>
      <c r="USK746" s="214"/>
      <c r="USL746" s="214"/>
      <c r="USM746" s="214"/>
      <c r="USN746" s="214"/>
      <c r="USO746" s="214"/>
      <c r="USP746" s="214"/>
      <c r="USQ746" s="214"/>
      <c r="USR746" s="214"/>
      <c r="USS746" s="214"/>
      <c r="UST746" s="214"/>
      <c r="USU746" s="214"/>
      <c r="USV746" s="214"/>
      <c r="USW746" s="214"/>
      <c r="USX746" s="214"/>
      <c r="USY746" s="214"/>
      <c r="USZ746" s="214"/>
      <c r="UTA746" s="214"/>
      <c r="UTB746" s="214"/>
      <c r="UTC746" s="214"/>
      <c r="UTD746" s="214"/>
      <c r="UTE746" s="214"/>
      <c r="UTF746" s="214"/>
      <c r="UTG746" s="214"/>
      <c r="UTH746" s="214"/>
      <c r="UTI746" s="214"/>
      <c r="UTJ746" s="214"/>
      <c r="UTK746" s="214"/>
      <c r="UTL746" s="214"/>
      <c r="UTM746" s="214"/>
      <c r="UTN746" s="214"/>
      <c r="UTO746" s="214"/>
      <c r="UTP746" s="214"/>
      <c r="UTQ746" s="214"/>
      <c r="UTR746" s="214"/>
      <c r="UTS746" s="214"/>
      <c r="UTT746" s="214"/>
      <c r="UTU746" s="214"/>
      <c r="UTV746" s="214"/>
      <c r="UTW746" s="214"/>
      <c r="UTX746" s="214"/>
      <c r="UTY746" s="214"/>
      <c r="UTZ746" s="214"/>
      <c r="UUA746" s="214"/>
      <c r="UUB746" s="214"/>
      <c r="UUC746" s="214"/>
      <c r="UUD746" s="214"/>
      <c r="UUE746" s="214"/>
      <c r="UUF746" s="214"/>
      <c r="UUG746" s="214"/>
      <c r="UUH746" s="214"/>
      <c r="UUI746" s="214"/>
      <c r="UUJ746" s="214"/>
      <c r="UUK746" s="214"/>
      <c r="UUL746" s="214"/>
      <c r="UUM746" s="214"/>
      <c r="UUN746" s="214"/>
      <c r="UUO746" s="214"/>
      <c r="UUP746" s="214"/>
      <c r="UUQ746" s="214"/>
      <c r="UUR746" s="214"/>
      <c r="UUS746" s="214"/>
      <c r="UUT746" s="214"/>
      <c r="UUU746" s="214"/>
      <c r="UUV746" s="214"/>
      <c r="UUW746" s="214"/>
      <c r="UUX746" s="214"/>
      <c r="UUY746" s="214"/>
      <c r="UUZ746" s="214"/>
      <c r="UVA746" s="214"/>
      <c r="UVB746" s="214"/>
      <c r="UVC746" s="214"/>
      <c r="UVD746" s="214"/>
      <c r="UVE746" s="214"/>
      <c r="UVF746" s="214"/>
      <c r="UVG746" s="214"/>
      <c r="UVH746" s="214"/>
      <c r="UVI746" s="214"/>
      <c r="UVJ746" s="214"/>
      <c r="UVK746" s="214"/>
      <c r="UVL746" s="214"/>
      <c r="UVM746" s="214"/>
      <c r="UVN746" s="214"/>
      <c r="UVO746" s="214"/>
      <c r="UVP746" s="214"/>
      <c r="UVQ746" s="214"/>
      <c r="UVR746" s="214"/>
      <c r="UVS746" s="214"/>
      <c r="UVT746" s="214"/>
      <c r="UVU746" s="214"/>
      <c r="UVV746" s="214"/>
      <c r="UVW746" s="214"/>
      <c r="UVX746" s="214"/>
      <c r="UVY746" s="214"/>
      <c r="UVZ746" s="214"/>
      <c r="UWA746" s="214"/>
      <c r="UWB746" s="214"/>
      <c r="UWC746" s="214"/>
      <c r="UWD746" s="214"/>
      <c r="UWE746" s="214"/>
      <c r="UWF746" s="214"/>
      <c r="UWG746" s="214"/>
      <c r="UWH746" s="214"/>
      <c r="UWI746" s="214"/>
      <c r="UWJ746" s="214"/>
      <c r="UWK746" s="214"/>
      <c r="UWL746" s="214"/>
      <c r="UWM746" s="214"/>
      <c r="UWN746" s="214"/>
      <c r="UWO746" s="214"/>
      <c r="UWP746" s="214"/>
      <c r="UWQ746" s="214"/>
      <c r="UWR746" s="214"/>
      <c r="UWS746" s="214"/>
      <c r="UWT746" s="214"/>
      <c r="UWU746" s="214"/>
      <c r="UWV746" s="214"/>
      <c r="UWW746" s="214"/>
      <c r="UWX746" s="214"/>
      <c r="UWY746" s="214"/>
      <c r="UWZ746" s="214"/>
      <c r="UXA746" s="214"/>
      <c r="UXB746" s="214"/>
      <c r="UXC746" s="214"/>
      <c r="UXD746" s="214"/>
      <c r="UXE746" s="214"/>
      <c r="UXF746" s="214"/>
      <c r="UXG746" s="214"/>
      <c r="UXH746" s="214"/>
      <c r="UXI746" s="214"/>
      <c r="UXJ746" s="214"/>
      <c r="UXK746" s="214"/>
      <c r="UXL746" s="214"/>
      <c r="UXM746" s="214"/>
      <c r="UXN746" s="214"/>
      <c r="UXO746" s="214"/>
      <c r="UXP746" s="214"/>
      <c r="UXQ746" s="214"/>
      <c r="UXR746" s="214"/>
      <c r="UXS746" s="214"/>
      <c r="UXT746" s="214"/>
      <c r="UXU746" s="214"/>
      <c r="UXV746" s="214"/>
      <c r="UXW746" s="214"/>
      <c r="UXX746" s="214"/>
      <c r="UXY746" s="214"/>
      <c r="UXZ746" s="214"/>
      <c r="UYA746" s="214"/>
      <c r="UYB746" s="214"/>
      <c r="UYC746" s="214"/>
      <c r="UYD746" s="214"/>
      <c r="UYE746" s="214"/>
      <c r="UYF746" s="214"/>
      <c r="UYG746" s="214"/>
      <c r="UYH746" s="214"/>
      <c r="UYI746" s="214"/>
      <c r="UYJ746" s="214"/>
      <c r="UYK746" s="214"/>
      <c r="UYL746" s="214"/>
      <c r="UYM746" s="214"/>
      <c r="UYN746" s="214"/>
      <c r="UYO746" s="214"/>
      <c r="UYP746" s="214"/>
      <c r="UYQ746" s="214"/>
      <c r="UYR746" s="214"/>
      <c r="UYS746" s="214"/>
      <c r="UYT746" s="214"/>
      <c r="UYU746" s="214"/>
      <c r="UYV746" s="214"/>
      <c r="UYW746" s="214"/>
      <c r="UYX746" s="214"/>
      <c r="UYY746" s="214"/>
      <c r="UYZ746" s="214"/>
      <c r="UZA746" s="214"/>
      <c r="UZB746" s="214"/>
      <c r="UZC746" s="214"/>
      <c r="UZD746" s="214"/>
      <c r="UZE746" s="214"/>
      <c r="UZF746" s="214"/>
      <c r="UZG746" s="214"/>
      <c r="UZH746" s="214"/>
      <c r="UZI746" s="214"/>
      <c r="UZJ746" s="214"/>
      <c r="UZK746" s="214"/>
      <c r="UZL746" s="214"/>
      <c r="UZM746" s="214"/>
      <c r="UZN746" s="214"/>
      <c r="UZO746" s="214"/>
      <c r="UZP746" s="214"/>
      <c r="UZQ746" s="214"/>
      <c r="UZR746" s="214"/>
      <c r="UZS746" s="214"/>
      <c r="UZT746" s="214"/>
      <c r="UZU746" s="214"/>
      <c r="UZV746" s="214"/>
      <c r="UZW746" s="214"/>
      <c r="UZX746" s="214"/>
      <c r="UZY746" s="214"/>
      <c r="UZZ746" s="214"/>
      <c r="VAA746" s="214"/>
      <c r="VAB746" s="214"/>
      <c r="VAC746" s="214"/>
      <c r="VAD746" s="214"/>
      <c r="VAE746" s="214"/>
      <c r="VAF746" s="214"/>
      <c r="VAG746" s="214"/>
      <c r="VAH746" s="214"/>
      <c r="VAI746" s="214"/>
      <c r="VAJ746" s="214"/>
      <c r="VAK746" s="214"/>
      <c r="VAL746" s="214"/>
      <c r="VAM746" s="214"/>
      <c r="VAN746" s="214"/>
      <c r="VAO746" s="214"/>
      <c r="VAP746" s="214"/>
      <c r="VAQ746" s="214"/>
      <c r="VAR746" s="214"/>
      <c r="VAS746" s="214"/>
      <c r="VAT746" s="214"/>
      <c r="VAU746" s="214"/>
      <c r="VAV746" s="214"/>
      <c r="VAW746" s="214"/>
      <c r="VAX746" s="214"/>
      <c r="VAY746" s="214"/>
      <c r="VAZ746" s="214"/>
      <c r="VBA746" s="214"/>
      <c r="VBB746" s="214"/>
      <c r="VBC746" s="214"/>
      <c r="VBD746" s="214"/>
      <c r="VBE746" s="214"/>
      <c r="VBF746" s="214"/>
      <c r="VBG746" s="214"/>
      <c r="VBH746" s="214"/>
      <c r="VBI746" s="214"/>
      <c r="VBJ746" s="214"/>
      <c r="VBK746" s="214"/>
      <c r="VBL746" s="214"/>
      <c r="VBM746" s="214"/>
      <c r="VBN746" s="214"/>
      <c r="VBO746" s="214"/>
      <c r="VBP746" s="214"/>
      <c r="VBQ746" s="214"/>
      <c r="VBR746" s="214"/>
      <c r="VBS746" s="214"/>
      <c r="VBT746" s="214"/>
      <c r="VBU746" s="214"/>
      <c r="VBV746" s="214"/>
      <c r="VBW746" s="214"/>
      <c r="VBX746" s="214"/>
      <c r="VBY746" s="214"/>
      <c r="VBZ746" s="214"/>
      <c r="VCA746" s="214"/>
      <c r="VCB746" s="214"/>
      <c r="VCC746" s="214"/>
      <c r="VCD746" s="214"/>
      <c r="VCE746" s="214"/>
      <c r="VCF746" s="214"/>
      <c r="VCG746" s="214"/>
      <c r="VCH746" s="214"/>
      <c r="VCI746" s="214"/>
      <c r="VCJ746" s="214"/>
      <c r="VCK746" s="214"/>
      <c r="VCL746" s="214"/>
      <c r="VCM746" s="214"/>
      <c r="VCN746" s="214"/>
      <c r="VCO746" s="214"/>
      <c r="VCP746" s="214"/>
      <c r="VCQ746" s="214"/>
      <c r="VCR746" s="214"/>
      <c r="VCS746" s="214"/>
      <c r="VCT746" s="214"/>
      <c r="VCU746" s="214"/>
      <c r="VCV746" s="214"/>
      <c r="VCW746" s="214"/>
      <c r="VCX746" s="214"/>
      <c r="VCY746" s="214"/>
      <c r="VCZ746" s="214"/>
      <c r="VDA746" s="214"/>
      <c r="VDB746" s="214"/>
      <c r="VDC746" s="214"/>
      <c r="VDD746" s="214"/>
      <c r="VDE746" s="214"/>
      <c r="VDF746" s="214"/>
      <c r="VDG746" s="214"/>
      <c r="VDH746" s="214"/>
      <c r="VDI746" s="214"/>
      <c r="VDJ746" s="214"/>
      <c r="VDK746" s="214"/>
      <c r="VDL746" s="214"/>
      <c r="VDM746" s="214"/>
      <c r="VDN746" s="214"/>
      <c r="VDO746" s="214"/>
      <c r="VDP746" s="214"/>
      <c r="VDQ746" s="214"/>
      <c r="VDR746" s="214"/>
      <c r="VDS746" s="214"/>
      <c r="VDT746" s="214"/>
      <c r="VDU746" s="214"/>
      <c r="VDV746" s="214"/>
      <c r="VDW746" s="214"/>
      <c r="VDX746" s="214"/>
      <c r="VDY746" s="214"/>
      <c r="VDZ746" s="214"/>
      <c r="VEA746" s="214"/>
      <c r="VEB746" s="214"/>
      <c r="VEC746" s="214"/>
      <c r="VED746" s="214"/>
      <c r="VEE746" s="214"/>
      <c r="VEF746" s="214"/>
      <c r="VEG746" s="214"/>
      <c r="VEH746" s="214"/>
      <c r="VEI746" s="214"/>
      <c r="VEJ746" s="214"/>
      <c r="VEK746" s="214"/>
      <c r="VEL746" s="214"/>
      <c r="VEM746" s="214"/>
      <c r="VEN746" s="214"/>
      <c r="VEO746" s="214"/>
      <c r="VEP746" s="214"/>
      <c r="VEQ746" s="214"/>
      <c r="VER746" s="214"/>
      <c r="VES746" s="214"/>
      <c r="VET746" s="214"/>
      <c r="VEU746" s="214"/>
      <c r="VEV746" s="214"/>
      <c r="VEW746" s="214"/>
      <c r="VEX746" s="214"/>
      <c r="VEY746" s="214"/>
      <c r="VEZ746" s="214"/>
      <c r="VFA746" s="214"/>
      <c r="VFB746" s="214"/>
      <c r="VFC746" s="214"/>
      <c r="VFD746" s="214"/>
      <c r="VFE746" s="214"/>
      <c r="VFF746" s="214"/>
      <c r="VFG746" s="214"/>
      <c r="VFH746" s="214"/>
      <c r="VFI746" s="214"/>
      <c r="VFJ746" s="214"/>
      <c r="VFK746" s="214"/>
      <c r="VFL746" s="214"/>
      <c r="VFM746" s="214"/>
      <c r="VFN746" s="214"/>
      <c r="VFO746" s="214"/>
      <c r="VFP746" s="214"/>
      <c r="VFQ746" s="214"/>
      <c r="VFR746" s="214"/>
      <c r="VFS746" s="214"/>
      <c r="VFT746" s="214"/>
      <c r="VFU746" s="214"/>
      <c r="VFV746" s="214"/>
      <c r="VFW746" s="214"/>
      <c r="VFX746" s="214"/>
      <c r="VFY746" s="214"/>
      <c r="VFZ746" s="214"/>
      <c r="VGA746" s="214"/>
      <c r="VGB746" s="214"/>
      <c r="VGC746" s="214"/>
      <c r="VGD746" s="214"/>
      <c r="VGE746" s="214"/>
      <c r="VGF746" s="214"/>
      <c r="VGG746" s="214"/>
      <c r="VGH746" s="214"/>
      <c r="VGI746" s="214"/>
      <c r="VGJ746" s="214"/>
      <c r="VGK746" s="214"/>
      <c r="VGL746" s="214"/>
      <c r="VGM746" s="214"/>
      <c r="VGN746" s="214"/>
      <c r="VGO746" s="214"/>
      <c r="VGP746" s="214"/>
      <c r="VGQ746" s="214"/>
      <c r="VGR746" s="214"/>
      <c r="VGS746" s="214"/>
      <c r="VGT746" s="214"/>
      <c r="VGU746" s="214"/>
      <c r="VGV746" s="214"/>
      <c r="VGW746" s="214"/>
      <c r="VGX746" s="214"/>
      <c r="VGY746" s="214"/>
      <c r="VGZ746" s="214"/>
      <c r="VHA746" s="214"/>
      <c r="VHB746" s="214"/>
      <c r="VHC746" s="214"/>
      <c r="VHD746" s="214"/>
      <c r="VHE746" s="214"/>
      <c r="VHF746" s="214"/>
      <c r="VHG746" s="214"/>
      <c r="VHH746" s="214"/>
      <c r="VHI746" s="214"/>
      <c r="VHJ746" s="214"/>
      <c r="VHK746" s="214"/>
      <c r="VHL746" s="214"/>
      <c r="VHM746" s="214"/>
      <c r="VHN746" s="214"/>
      <c r="VHO746" s="214"/>
      <c r="VHP746" s="214"/>
      <c r="VHQ746" s="214"/>
      <c r="VHR746" s="214"/>
      <c r="VHS746" s="214"/>
      <c r="VHT746" s="214"/>
      <c r="VHU746" s="214"/>
      <c r="VHV746" s="214"/>
      <c r="VHW746" s="214"/>
      <c r="VHX746" s="214"/>
      <c r="VHY746" s="214"/>
      <c r="VHZ746" s="214"/>
      <c r="VIA746" s="214"/>
      <c r="VIB746" s="214"/>
      <c r="VIC746" s="214"/>
      <c r="VID746" s="214"/>
      <c r="VIE746" s="214"/>
      <c r="VIF746" s="214"/>
      <c r="VIG746" s="214"/>
      <c r="VIH746" s="214"/>
      <c r="VII746" s="214"/>
      <c r="VIJ746" s="214"/>
      <c r="VIK746" s="214"/>
      <c r="VIL746" s="214"/>
      <c r="VIM746" s="214"/>
      <c r="VIN746" s="214"/>
      <c r="VIO746" s="214"/>
      <c r="VIP746" s="214"/>
      <c r="VIQ746" s="214"/>
      <c r="VIR746" s="214"/>
      <c r="VIS746" s="214"/>
      <c r="VIT746" s="214"/>
      <c r="VIU746" s="214"/>
      <c r="VIV746" s="214"/>
      <c r="VIW746" s="214"/>
      <c r="VIX746" s="214"/>
      <c r="VIY746" s="214"/>
      <c r="VIZ746" s="214"/>
      <c r="VJA746" s="214"/>
      <c r="VJB746" s="214"/>
      <c r="VJC746" s="214"/>
      <c r="VJD746" s="214"/>
      <c r="VJE746" s="214"/>
      <c r="VJF746" s="214"/>
      <c r="VJG746" s="214"/>
      <c r="VJH746" s="214"/>
      <c r="VJI746" s="214"/>
      <c r="VJJ746" s="214"/>
      <c r="VJK746" s="214"/>
      <c r="VJL746" s="214"/>
      <c r="VJM746" s="214"/>
      <c r="VJN746" s="214"/>
      <c r="VJO746" s="214"/>
      <c r="VJP746" s="214"/>
      <c r="VJQ746" s="214"/>
      <c r="VJR746" s="214"/>
      <c r="VJS746" s="214"/>
      <c r="VJT746" s="214"/>
      <c r="VJU746" s="214"/>
      <c r="VJV746" s="214"/>
      <c r="VJW746" s="214"/>
      <c r="VJX746" s="214"/>
      <c r="VJY746" s="214"/>
      <c r="VJZ746" s="214"/>
      <c r="VKA746" s="214"/>
      <c r="VKB746" s="214"/>
      <c r="VKC746" s="214"/>
      <c r="VKD746" s="214"/>
      <c r="VKE746" s="214"/>
      <c r="VKF746" s="214"/>
      <c r="VKG746" s="214"/>
      <c r="VKH746" s="214"/>
      <c r="VKI746" s="214"/>
      <c r="VKJ746" s="214"/>
      <c r="VKK746" s="214"/>
      <c r="VKL746" s="214"/>
      <c r="VKM746" s="214"/>
      <c r="VKN746" s="214"/>
      <c r="VKO746" s="214"/>
      <c r="VKP746" s="214"/>
      <c r="VKQ746" s="214"/>
      <c r="VKR746" s="214"/>
      <c r="VKS746" s="214"/>
      <c r="VKT746" s="214"/>
      <c r="VKU746" s="214"/>
      <c r="VKV746" s="214"/>
      <c r="VKW746" s="214"/>
      <c r="VKX746" s="214"/>
      <c r="VKY746" s="214"/>
      <c r="VKZ746" s="214"/>
      <c r="VLA746" s="214"/>
      <c r="VLB746" s="214"/>
      <c r="VLC746" s="214"/>
      <c r="VLD746" s="214"/>
      <c r="VLE746" s="214"/>
      <c r="VLF746" s="214"/>
      <c r="VLG746" s="214"/>
      <c r="VLH746" s="214"/>
      <c r="VLI746" s="214"/>
      <c r="VLJ746" s="214"/>
      <c r="VLK746" s="214"/>
      <c r="VLL746" s="214"/>
      <c r="VLM746" s="214"/>
      <c r="VLN746" s="214"/>
      <c r="VLO746" s="214"/>
      <c r="VLP746" s="214"/>
      <c r="VLQ746" s="214"/>
      <c r="VLR746" s="214"/>
      <c r="VLS746" s="214"/>
      <c r="VLT746" s="214"/>
      <c r="VLU746" s="214"/>
      <c r="VLV746" s="214"/>
      <c r="VLW746" s="214"/>
      <c r="VLX746" s="214"/>
      <c r="VLY746" s="214"/>
      <c r="VLZ746" s="214"/>
      <c r="VMA746" s="214"/>
      <c r="VMB746" s="214"/>
      <c r="VMC746" s="214"/>
      <c r="VMD746" s="214"/>
      <c r="VME746" s="214"/>
      <c r="VMF746" s="214"/>
      <c r="VMG746" s="214"/>
      <c r="VMH746" s="214"/>
      <c r="VMI746" s="214"/>
      <c r="VMJ746" s="214"/>
      <c r="VMK746" s="214"/>
      <c r="VML746" s="214"/>
      <c r="VMM746" s="214"/>
      <c r="VMN746" s="214"/>
      <c r="VMO746" s="214"/>
      <c r="VMP746" s="214"/>
      <c r="VMQ746" s="214"/>
      <c r="VMR746" s="214"/>
      <c r="VMS746" s="214"/>
      <c r="VMT746" s="214"/>
      <c r="VMU746" s="214"/>
      <c r="VMV746" s="214"/>
      <c r="VMW746" s="214"/>
      <c r="VMX746" s="214"/>
      <c r="VMY746" s="214"/>
      <c r="VMZ746" s="214"/>
      <c r="VNA746" s="214"/>
      <c r="VNB746" s="214"/>
      <c r="VNC746" s="214"/>
      <c r="VND746" s="214"/>
      <c r="VNE746" s="214"/>
      <c r="VNF746" s="214"/>
      <c r="VNG746" s="214"/>
      <c r="VNH746" s="214"/>
      <c r="VNI746" s="214"/>
      <c r="VNJ746" s="214"/>
      <c r="VNK746" s="214"/>
      <c r="VNL746" s="214"/>
      <c r="VNM746" s="214"/>
      <c r="VNN746" s="214"/>
      <c r="VNO746" s="214"/>
      <c r="VNP746" s="214"/>
      <c r="VNQ746" s="214"/>
      <c r="VNR746" s="214"/>
      <c r="VNS746" s="214"/>
      <c r="VNT746" s="214"/>
      <c r="VNU746" s="214"/>
      <c r="VNV746" s="214"/>
      <c r="VNW746" s="214"/>
      <c r="VNX746" s="214"/>
      <c r="VNY746" s="214"/>
      <c r="VNZ746" s="214"/>
      <c r="VOA746" s="214"/>
      <c r="VOB746" s="214"/>
      <c r="VOC746" s="214"/>
      <c r="VOD746" s="214"/>
      <c r="VOE746" s="214"/>
      <c r="VOF746" s="214"/>
      <c r="VOG746" s="214"/>
      <c r="VOH746" s="214"/>
      <c r="VOI746" s="214"/>
      <c r="VOJ746" s="214"/>
      <c r="VOK746" s="214"/>
      <c r="VOL746" s="214"/>
      <c r="VOM746" s="214"/>
      <c r="VON746" s="214"/>
      <c r="VOO746" s="214"/>
      <c r="VOP746" s="214"/>
      <c r="VOQ746" s="214"/>
      <c r="VOR746" s="214"/>
      <c r="VOS746" s="214"/>
      <c r="VOT746" s="214"/>
      <c r="VOU746" s="214"/>
      <c r="VOV746" s="214"/>
      <c r="VOW746" s="214"/>
      <c r="VOX746" s="214"/>
      <c r="VOY746" s="214"/>
      <c r="VOZ746" s="214"/>
      <c r="VPA746" s="214"/>
      <c r="VPB746" s="214"/>
      <c r="VPC746" s="214"/>
      <c r="VPD746" s="214"/>
      <c r="VPE746" s="214"/>
      <c r="VPF746" s="214"/>
      <c r="VPG746" s="214"/>
      <c r="VPH746" s="214"/>
      <c r="VPI746" s="214"/>
      <c r="VPJ746" s="214"/>
      <c r="VPK746" s="214"/>
      <c r="VPL746" s="214"/>
      <c r="VPM746" s="214"/>
      <c r="VPN746" s="214"/>
      <c r="VPO746" s="214"/>
      <c r="VPP746" s="214"/>
      <c r="VPQ746" s="214"/>
      <c r="VPR746" s="214"/>
      <c r="VPS746" s="214"/>
      <c r="VPT746" s="214"/>
      <c r="VPU746" s="214"/>
      <c r="VPV746" s="214"/>
      <c r="VPW746" s="214"/>
      <c r="VPX746" s="214"/>
      <c r="VPY746" s="214"/>
      <c r="VPZ746" s="214"/>
      <c r="VQA746" s="214"/>
      <c r="VQB746" s="214"/>
      <c r="VQC746" s="214"/>
      <c r="VQD746" s="214"/>
      <c r="VQE746" s="214"/>
      <c r="VQF746" s="214"/>
      <c r="VQG746" s="214"/>
      <c r="VQH746" s="214"/>
      <c r="VQI746" s="214"/>
      <c r="VQJ746" s="214"/>
      <c r="VQK746" s="214"/>
      <c r="VQL746" s="214"/>
      <c r="VQM746" s="214"/>
      <c r="VQN746" s="214"/>
      <c r="VQO746" s="214"/>
      <c r="VQP746" s="214"/>
      <c r="VQQ746" s="214"/>
      <c r="VQR746" s="214"/>
      <c r="VQS746" s="214"/>
      <c r="VQT746" s="214"/>
      <c r="VQU746" s="214"/>
      <c r="VQV746" s="214"/>
      <c r="VQW746" s="214"/>
      <c r="VQX746" s="214"/>
      <c r="VQY746" s="214"/>
      <c r="VQZ746" s="214"/>
      <c r="VRA746" s="214"/>
      <c r="VRB746" s="214"/>
      <c r="VRC746" s="214"/>
      <c r="VRD746" s="214"/>
      <c r="VRE746" s="214"/>
      <c r="VRF746" s="214"/>
      <c r="VRG746" s="214"/>
      <c r="VRH746" s="214"/>
      <c r="VRI746" s="214"/>
      <c r="VRJ746" s="214"/>
      <c r="VRK746" s="214"/>
      <c r="VRL746" s="214"/>
      <c r="VRM746" s="214"/>
      <c r="VRN746" s="214"/>
      <c r="VRO746" s="214"/>
      <c r="VRP746" s="214"/>
      <c r="VRQ746" s="214"/>
      <c r="VRR746" s="214"/>
      <c r="VRS746" s="214"/>
      <c r="VRT746" s="214"/>
      <c r="VRU746" s="214"/>
      <c r="VRV746" s="214"/>
      <c r="VRW746" s="214"/>
      <c r="VRX746" s="214"/>
      <c r="VRY746" s="214"/>
      <c r="VRZ746" s="214"/>
      <c r="VSA746" s="214"/>
      <c r="VSB746" s="214"/>
      <c r="VSC746" s="214"/>
      <c r="VSD746" s="214"/>
      <c r="VSE746" s="214"/>
      <c r="VSF746" s="214"/>
      <c r="VSG746" s="214"/>
      <c r="VSH746" s="214"/>
      <c r="VSI746" s="214"/>
      <c r="VSJ746" s="214"/>
      <c r="VSK746" s="214"/>
      <c r="VSL746" s="214"/>
      <c r="VSM746" s="214"/>
      <c r="VSN746" s="214"/>
      <c r="VSO746" s="214"/>
      <c r="VSP746" s="214"/>
      <c r="VSQ746" s="214"/>
      <c r="VSR746" s="214"/>
      <c r="VSS746" s="214"/>
      <c r="VST746" s="214"/>
      <c r="VSU746" s="214"/>
      <c r="VSV746" s="214"/>
      <c r="VSW746" s="214"/>
      <c r="VSX746" s="214"/>
      <c r="VSY746" s="214"/>
      <c r="VSZ746" s="214"/>
      <c r="VTA746" s="214"/>
      <c r="VTB746" s="214"/>
      <c r="VTC746" s="214"/>
      <c r="VTD746" s="214"/>
      <c r="VTE746" s="214"/>
      <c r="VTF746" s="214"/>
      <c r="VTG746" s="214"/>
      <c r="VTH746" s="214"/>
      <c r="VTI746" s="214"/>
      <c r="VTJ746" s="214"/>
      <c r="VTK746" s="214"/>
      <c r="VTL746" s="214"/>
      <c r="VTM746" s="214"/>
      <c r="VTN746" s="214"/>
      <c r="VTO746" s="214"/>
      <c r="VTP746" s="214"/>
      <c r="VTQ746" s="214"/>
      <c r="VTR746" s="214"/>
      <c r="VTS746" s="214"/>
      <c r="VTT746" s="214"/>
      <c r="VTU746" s="214"/>
      <c r="VTV746" s="214"/>
      <c r="VTW746" s="214"/>
      <c r="VTX746" s="214"/>
      <c r="VTY746" s="214"/>
      <c r="VTZ746" s="214"/>
      <c r="VUA746" s="214"/>
      <c r="VUB746" s="214"/>
      <c r="VUC746" s="214"/>
      <c r="VUD746" s="214"/>
      <c r="VUE746" s="214"/>
      <c r="VUF746" s="214"/>
      <c r="VUG746" s="214"/>
      <c r="VUH746" s="214"/>
      <c r="VUI746" s="214"/>
      <c r="VUJ746" s="214"/>
      <c r="VUK746" s="214"/>
      <c r="VUL746" s="214"/>
      <c r="VUM746" s="214"/>
      <c r="VUN746" s="214"/>
      <c r="VUO746" s="214"/>
      <c r="VUP746" s="214"/>
      <c r="VUQ746" s="214"/>
      <c r="VUR746" s="214"/>
      <c r="VUS746" s="214"/>
      <c r="VUT746" s="214"/>
      <c r="VUU746" s="214"/>
      <c r="VUV746" s="214"/>
      <c r="VUW746" s="214"/>
      <c r="VUX746" s="214"/>
      <c r="VUY746" s="214"/>
      <c r="VUZ746" s="214"/>
      <c r="VVA746" s="214"/>
      <c r="VVB746" s="214"/>
      <c r="VVC746" s="214"/>
      <c r="VVD746" s="214"/>
      <c r="VVE746" s="214"/>
      <c r="VVF746" s="214"/>
      <c r="VVG746" s="214"/>
      <c r="VVH746" s="214"/>
      <c r="VVI746" s="214"/>
      <c r="VVJ746" s="214"/>
      <c r="VVK746" s="214"/>
      <c r="VVL746" s="214"/>
      <c r="VVM746" s="214"/>
      <c r="VVN746" s="214"/>
      <c r="VVO746" s="214"/>
      <c r="VVP746" s="214"/>
      <c r="VVQ746" s="214"/>
      <c r="VVR746" s="214"/>
      <c r="VVS746" s="214"/>
      <c r="VVT746" s="214"/>
      <c r="VVU746" s="214"/>
      <c r="VVV746" s="214"/>
      <c r="VVW746" s="214"/>
      <c r="VVX746" s="214"/>
      <c r="VVY746" s="214"/>
      <c r="VVZ746" s="214"/>
      <c r="VWA746" s="214"/>
      <c r="VWB746" s="214"/>
      <c r="VWC746" s="214"/>
      <c r="VWD746" s="214"/>
      <c r="VWE746" s="214"/>
      <c r="VWF746" s="214"/>
      <c r="VWG746" s="214"/>
      <c r="VWH746" s="214"/>
      <c r="VWI746" s="214"/>
      <c r="VWJ746" s="214"/>
      <c r="VWK746" s="214"/>
      <c r="VWL746" s="214"/>
      <c r="VWM746" s="214"/>
      <c r="VWN746" s="214"/>
      <c r="VWO746" s="214"/>
      <c r="VWP746" s="214"/>
      <c r="VWQ746" s="214"/>
      <c r="VWR746" s="214"/>
      <c r="VWS746" s="214"/>
      <c r="VWT746" s="214"/>
      <c r="VWU746" s="214"/>
      <c r="VWV746" s="214"/>
      <c r="VWW746" s="214"/>
      <c r="VWX746" s="214"/>
      <c r="VWY746" s="214"/>
      <c r="VWZ746" s="214"/>
      <c r="VXA746" s="214"/>
      <c r="VXB746" s="214"/>
      <c r="VXC746" s="214"/>
      <c r="VXD746" s="214"/>
      <c r="VXE746" s="214"/>
      <c r="VXF746" s="214"/>
      <c r="VXG746" s="214"/>
      <c r="VXH746" s="214"/>
      <c r="VXI746" s="214"/>
      <c r="VXJ746" s="214"/>
      <c r="VXK746" s="214"/>
      <c r="VXL746" s="214"/>
      <c r="VXM746" s="214"/>
      <c r="VXN746" s="214"/>
      <c r="VXO746" s="214"/>
      <c r="VXP746" s="214"/>
      <c r="VXQ746" s="214"/>
      <c r="VXR746" s="214"/>
      <c r="VXS746" s="214"/>
      <c r="VXT746" s="214"/>
      <c r="VXU746" s="214"/>
      <c r="VXV746" s="214"/>
      <c r="VXW746" s="214"/>
      <c r="VXX746" s="214"/>
      <c r="VXY746" s="214"/>
      <c r="VXZ746" s="214"/>
      <c r="VYA746" s="214"/>
      <c r="VYB746" s="214"/>
      <c r="VYC746" s="214"/>
      <c r="VYD746" s="214"/>
      <c r="VYE746" s="214"/>
      <c r="VYF746" s="214"/>
      <c r="VYG746" s="214"/>
      <c r="VYH746" s="214"/>
      <c r="VYI746" s="214"/>
      <c r="VYJ746" s="214"/>
      <c r="VYK746" s="214"/>
      <c r="VYL746" s="214"/>
      <c r="VYM746" s="214"/>
      <c r="VYN746" s="214"/>
      <c r="VYO746" s="214"/>
      <c r="VYP746" s="214"/>
      <c r="VYQ746" s="214"/>
      <c r="VYR746" s="214"/>
      <c r="VYS746" s="214"/>
      <c r="VYT746" s="214"/>
      <c r="VYU746" s="214"/>
      <c r="VYV746" s="214"/>
      <c r="VYW746" s="214"/>
      <c r="VYX746" s="214"/>
      <c r="VYY746" s="214"/>
      <c r="VYZ746" s="214"/>
      <c r="VZA746" s="214"/>
      <c r="VZB746" s="214"/>
      <c r="VZC746" s="214"/>
      <c r="VZD746" s="214"/>
      <c r="VZE746" s="214"/>
      <c r="VZF746" s="214"/>
      <c r="VZG746" s="214"/>
      <c r="VZH746" s="214"/>
      <c r="VZI746" s="214"/>
      <c r="VZJ746" s="214"/>
      <c r="VZK746" s="214"/>
      <c r="VZL746" s="214"/>
      <c r="VZM746" s="214"/>
      <c r="VZN746" s="214"/>
      <c r="VZO746" s="214"/>
      <c r="VZP746" s="214"/>
      <c r="VZQ746" s="214"/>
      <c r="VZR746" s="214"/>
      <c r="VZS746" s="214"/>
      <c r="VZT746" s="214"/>
      <c r="VZU746" s="214"/>
      <c r="VZV746" s="214"/>
      <c r="VZW746" s="214"/>
      <c r="VZX746" s="214"/>
      <c r="VZY746" s="214"/>
      <c r="VZZ746" s="214"/>
      <c r="WAA746" s="214"/>
      <c r="WAB746" s="214"/>
      <c r="WAC746" s="214"/>
      <c r="WAD746" s="214"/>
      <c r="WAE746" s="214"/>
      <c r="WAF746" s="214"/>
      <c r="WAG746" s="214"/>
      <c r="WAH746" s="214"/>
      <c r="WAI746" s="214"/>
      <c r="WAJ746" s="214"/>
      <c r="WAK746" s="214"/>
      <c r="WAL746" s="214"/>
      <c r="WAM746" s="214"/>
      <c r="WAN746" s="214"/>
      <c r="WAO746" s="214"/>
      <c r="WAP746" s="214"/>
      <c r="WAQ746" s="214"/>
      <c r="WAR746" s="214"/>
      <c r="WAS746" s="214"/>
      <c r="WAT746" s="214"/>
      <c r="WAU746" s="214"/>
      <c r="WAV746" s="214"/>
      <c r="WAW746" s="214"/>
      <c r="WAX746" s="214"/>
      <c r="WAY746" s="214"/>
      <c r="WAZ746" s="214"/>
      <c r="WBA746" s="214"/>
      <c r="WBB746" s="214"/>
      <c r="WBC746" s="214"/>
      <c r="WBD746" s="214"/>
      <c r="WBE746" s="214"/>
      <c r="WBF746" s="214"/>
      <c r="WBG746" s="214"/>
      <c r="WBH746" s="214"/>
      <c r="WBI746" s="214"/>
      <c r="WBJ746" s="214"/>
      <c r="WBK746" s="214"/>
      <c r="WBL746" s="214"/>
      <c r="WBM746" s="214"/>
      <c r="WBN746" s="214"/>
      <c r="WBO746" s="214"/>
      <c r="WBP746" s="214"/>
      <c r="WBQ746" s="214"/>
      <c r="WBR746" s="214"/>
      <c r="WBS746" s="214"/>
      <c r="WBT746" s="214"/>
      <c r="WBU746" s="214"/>
      <c r="WBV746" s="214"/>
      <c r="WBW746" s="214"/>
      <c r="WBX746" s="214"/>
      <c r="WBY746" s="214"/>
      <c r="WBZ746" s="214"/>
      <c r="WCA746" s="214"/>
      <c r="WCB746" s="214"/>
      <c r="WCC746" s="214"/>
      <c r="WCD746" s="214"/>
      <c r="WCE746" s="214"/>
      <c r="WCF746" s="214"/>
      <c r="WCG746" s="214"/>
      <c r="WCH746" s="214"/>
      <c r="WCI746" s="214"/>
      <c r="WCJ746" s="214"/>
      <c r="WCK746" s="214"/>
      <c r="WCL746" s="214"/>
      <c r="WCM746" s="214"/>
      <c r="WCN746" s="214"/>
      <c r="WCO746" s="214"/>
      <c r="WCP746" s="214"/>
      <c r="WCQ746" s="214"/>
      <c r="WCR746" s="214"/>
      <c r="WCS746" s="214"/>
      <c r="WCT746" s="214"/>
      <c r="WCU746" s="214"/>
      <c r="WCV746" s="214"/>
      <c r="WCW746" s="214"/>
      <c r="WCX746" s="214"/>
      <c r="WCY746" s="214"/>
      <c r="WCZ746" s="214"/>
      <c r="WDA746" s="214"/>
      <c r="WDB746" s="214"/>
      <c r="WDC746" s="214"/>
      <c r="WDD746" s="214"/>
      <c r="WDE746" s="214"/>
      <c r="WDF746" s="214"/>
      <c r="WDG746" s="214"/>
      <c r="WDH746" s="214"/>
      <c r="WDI746" s="214"/>
      <c r="WDJ746" s="214"/>
      <c r="WDK746" s="214"/>
      <c r="WDL746" s="214"/>
      <c r="WDM746" s="214"/>
      <c r="WDN746" s="214"/>
      <c r="WDO746" s="214"/>
      <c r="WDP746" s="214"/>
      <c r="WDQ746" s="214"/>
      <c r="WDR746" s="214"/>
      <c r="WDS746" s="214"/>
      <c r="WDT746" s="214"/>
      <c r="WDU746" s="214"/>
      <c r="WDV746" s="214"/>
      <c r="WDW746" s="214"/>
      <c r="WDX746" s="214"/>
      <c r="WDY746" s="214"/>
      <c r="WDZ746" s="214"/>
      <c r="WEA746" s="214"/>
      <c r="WEB746" s="214"/>
      <c r="WEC746" s="214"/>
      <c r="WED746" s="214"/>
      <c r="WEE746" s="214"/>
      <c r="WEF746" s="214"/>
      <c r="WEG746" s="214"/>
      <c r="WEH746" s="214"/>
      <c r="WEI746" s="214"/>
      <c r="WEJ746" s="214"/>
      <c r="WEK746" s="214"/>
      <c r="WEL746" s="214"/>
      <c r="WEM746" s="214"/>
      <c r="WEN746" s="214"/>
      <c r="WEO746" s="214"/>
      <c r="WEP746" s="214"/>
      <c r="WEQ746" s="214"/>
      <c r="WER746" s="214"/>
      <c r="WES746" s="214"/>
      <c r="WET746" s="214"/>
      <c r="WEU746" s="214"/>
      <c r="WEV746" s="214"/>
      <c r="WEW746" s="214"/>
      <c r="WEX746" s="214"/>
      <c r="WEY746" s="214"/>
      <c r="WEZ746" s="214"/>
      <c r="WFA746" s="214"/>
      <c r="WFB746" s="214"/>
      <c r="WFC746" s="214"/>
      <c r="WFD746" s="214"/>
      <c r="WFE746" s="214"/>
      <c r="WFF746" s="214"/>
      <c r="WFG746" s="214"/>
      <c r="WFH746" s="214"/>
      <c r="WFI746" s="214"/>
      <c r="WFJ746" s="214"/>
      <c r="WFK746" s="214"/>
      <c r="WFL746" s="214"/>
      <c r="WFM746" s="214"/>
      <c r="WFN746" s="214"/>
      <c r="WFO746" s="214"/>
      <c r="WFP746" s="214"/>
      <c r="WFQ746" s="214"/>
      <c r="WFR746" s="214"/>
      <c r="WFS746" s="214"/>
      <c r="WFT746" s="214"/>
      <c r="WFU746" s="214"/>
      <c r="WFV746" s="214"/>
      <c r="WFW746" s="214"/>
      <c r="WFX746" s="214"/>
      <c r="WFY746" s="214"/>
      <c r="WFZ746" s="214"/>
      <c r="WGA746" s="214"/>
      <c r="WGB746" s="214"/>
      <c r="WGC746" s="214"/>
      <c r="WGD746" s="214"/>
      <c r="WGE746" s="214"/>
      <c r="WGF746" s="214"/>
      <c r="WGG746" s="214"/>
      <c r="WGH746" s="214"/>
      <c r="WGI746" s="214"/>
      <c r="WGJ746" s="214"/>
      <c r="WGK746" s="214"/>
      <c r="WGL746" s="214"/>
      <c r="WGM746" s="214"/>
      <c r="WGN746" s="214"/>
      <c r="WGO746" s="214"/>
      <c r="WGP746" s="214"/>
      <c r="WGQ746" s="214"/>
      <c r="WGR746" s="214"/>
      <c r="WGS746" s="214"/>
      <c r="WGT746" s="214"/>
      <c r="WGU746" s="214"/>
      <c r="WGV746" s="214"/>
      <c r="WGW746" s="214"/>
      <c r="WGX746" s="214"/>
      <c r="WGY746" s="214"/>
      <c r="WGZ746" s="214"/>
      <c r="WHA746" s="214"/>
      <c r="WHB746" s="214"/>
      <c r="WHC746" s="214"/>
      <c r="WHD746" s="214"/>
      <c r="WHE746" s="214"/>
      <c r="WHF746" s="214"/>
      <c r="WHG746" s="214"/>
      <c r="WHH746" s="214"/>
      <c r="WHI746" s="214"/>
      <c r="WHJ746" s="214"/>
      <c r="WHK746" s="214"/>
      <c r="WHL746" s="214"/>
      <c r="WHM746" s="214"/>
      <c r="WHN746" s="214"/>
      <c r="WHO746" s="214"/>
      <c r="WHP746" s="214"/>
      <c r="WHQ746" s="214"/>
      <c r="WHR746" s="214"/>
      <c r="WHS746" s="214"/>
      <c r="WHT746" s="214"/>
      <c r="WHU746" s="214"/>
      <c r="WHV746" s="214"/>
      <c r="WHW746" s="214"/>
      <c r="WHX746" s="214"/>
      <c r="WHY746" s="214"/>
      <c r="WHZ746" s="214"/>
      <c r="WIA746" s="214"/>
      <c r="WIB746" s="214"/>
      <c r="WIC746" s="214"/>
      <c r="WID746" s="214"/>
      <c r="WIE746" s="214"/>
      <c r="WIF746" s="214"/>
      <c r="WIG746" s="214"/>
      <c r="WIH746" s="214"/>
      <c r="WII746" s="214"/>
      <c r="WIJ746" s="214"/>
      <c r="WIK746" s="214"/>
      <c r="WIL746" s="214"/>
      <c r="WIM746" s="214"/>
      <c r="WIN746" s="214"/>
      <c r="WIO746" s="214"/>
      <c r="WIP746" s="214"/>
      <c r="WIQ746" s="214"/>
      <c r="WIR746" s="214"/>
      <c r="WIS746" s="214"/>
      <c r="WIT746" s="214"/>
      <c r="WIU746" s="214"/>
      <c r="WIV746" s="214"/>
      <c r="WIW746" s="214"/>
      <c r="WIX746" s="214"/>
      <c r="WIY746" s="214"/>
      <c r="WIZ746" s="214"/>
      <c r="WJA746" s="214"/>
      <c r="WJB746" s="214"/>
      <c r="WJC746" s="214"/>
      <c r="WJD746" s="214"/>
      <c r="WJE746" s="214"/>
      <c r="WJF746" s="214"/>
      <c r="WJG746" s="214"/>
      <c r="WJH746" s="214"/>
      <c r="WJI746" s="214"/>
      <c r="WJJ746" s="214"/>
      <c r="WJK746" s="214"/>
      <c r="WJL746" s="214"/>
      <c r="WJM746" s="214"/>
      <c r="WJN746" s="214"/>
      <c r="WJO746" s="214"/>
      <c r="WJP746" s="214"/>
      <c r="WJQ746" s="214"/>
      <c r="WJR746" s="214"/>
      <c r="WJS746" s="214"/>
      <c r="WJT746" s="214"/>
      <c r="WJU746" s="214"/>
      <c r="WJV746" s="214"/>
      <c r="WJW746" s="214"/>
      <c r="WJX746" s="214"/>
      <c r="WJY746" s="214"/>
      <c r="WJZ746" s="214"/>
      <c r="WKA746" s="214"/>
      <c r="WKB746" s="214"/>
      <c r="WKC746" s="214"/>
      <c r="WKD746" s="214"/>
      <c r="WKE746" s="214"/>
      <c r="WKF746" s="214"/>
      <c r="WKG746" s="214"/>
      <c r="WKH746" s="214"/>
      <c r="WKI746" s="214"/>
      <c r="WKJ746" s="214"/>
      <c r="WKK746" s="214"/>
      <c r="WKL746" s="214"/>
      <c r="WKM746" s="214"/>
      <c r="WKN746" s="214"/>
      <c r="WKO746" s="214"/>
      <c r="WKP746" s="214"/>
      <c r="WKQ746" s="214"/>
      <c r="WKR746" s="214"/>
      <c r="WKS746" s="214"/>
      <c r="WKT746" s="214"/>
      <c r="WKU746" s="214"/>
      <c r="WKV746" s="214"/>
      <c r="WKW746" s="214"/>
      <c r="WKX746" s="214"/>
      <c r="WKY746" s="214"/>
      <c r="WKZ746" s="214"/>
      <c r="WLA746" s="214"/>
      <c r="WLB746" s="214"/>
      <c r="WLC746" s="214"/>
      <c r="WLD746" s="214"/>
      <c r="WLE746" s="214"/>
      <c r="WLF746" s="214"/>
      <c r="WLG746" s="214"/>
      <c r="WLH746" s="214"/>
      <c r="WLI746" s="214"/>
      <c r="WLJ746" s="214"/>
      <c r="WLK746" s="214"/>
      <c r="WLL746" s="214"/>
      <c r="WLM746" s="214"/>
      <c r="WLN746" s="214"/>
      <c r="WLO746" s="214"/>
      <c r="WLP746" s="214"/>
      <c r="WLQ746" s="214"/>
      <c r="WLR746" s="214"/>
      <c r="WLS746" s="214"/>
      <c r="WLT746" s="214"/>
      <c r="WLU746" s="214"/>
      <c r="WLV746" s="214"/>
      <c r="WLW746" s="214"/>
      <c r="WLX746" s="214"/>
      <c r="WLY746" s="214"/>
      <c r="WLZ746" s="214"/>
      <c r="WMA746" s="214"/>
      <c r="WMB746" s="214"/>
      <c r="WMC746" s="214"/>
      <c r="WMD746" s="214"/>
      <c r="WME746" s="214"/>
      <c r="WMF746" s="214"/>
      <c r="WMG746" s="214"/>
      <c r="WMH746" s="214"/>
      <c r="WMI746" s="214"/>
      <c r="WMJ746" s="214"/>
      <c r="WMK746" s="214"/>
      <c r="WML746" s="214"/>
      <c r="WMM746" s="214"/>
      <c r="WMN746" s="214"/>
      <c r="WMO746" s="214"/>
      <c r="WMP746" s="214"/>
      <c r="WMQ746" s="214"/>
      <c r="WMR746" s="214"/>
      <c r="WMS746" s="214"/>
      <c r="WMT746" s="214"/>
      <c r="WMU746" s="214"/>
      <c r="WMV746" s="214"/>
      <c r="WMW746" s="214"/>
      <c r="WMX746" s="214"/>
      <c r="WMY746" s="214"/>
      <c r="WMZ746" s="214"/>
      <c r="WNA746" s="214"/>
      <c r="WNB746" s="214"/>
      <c r="WNC746" s="214"/>
      <c r="WND746" s="214"/>
      <c r="WNE746" s="214"/>
      <c r="WNF746" s="214"/>
      <c r="WNG746" s="214"/>
      <c r="WNH746" s="214"/>
      <c r="WNI746" s="214"/>
      <c r="WNJ746" s="214"/>
      <c r="WNK746" s="214"/>
      <c r="WNL746" s="214"/>
      <c r="WNM746" s="214"/>
      <c r="WNN746" s="214"/>
      <c r="WNO746" s="214"/>
      <c r="WNP746" s="214"/>
      <c r="WNQ746" s="214"/>
      <c r="WNR746" s="214"/>
      <c r="WNS746" s="214"/>
      <c r="WNT746" s="214"/>
      <c r="WNU746" s="214"/>
      <c r="WNV746" s="214"/>
      <c r="WNW746" s="214"/>
      <c r="WNX746" s="214"/>
      <c r="WNY746" s="214"/>
      <c r="WNZ746" s="214"/>
      <c r="WOA746" s="214"/>
      <c r="WOB746" s="214"/>
      <c r="WOC746" s="214"/>
      <c r="WOD746" s="214"/>
      <c r="WOE746" s="214"/>
      <c r="WOF746" s="214"/>
      <c r="WOG746" s="214"/>
      <c r="WOH746" s="214"/>
      <c r="WOI746" s="214"/>
      <c r="WOJ746" s="214"/>
      <c r="WOK746" s="214"/>
      <c r="WOL746" s="214"/>
      <c r="WOM746" s="214"/>
      <c r="WON746" s="214"/>
      <c r="WOO746" s="214"/>
      <c r="WOP746" s="214"/>
      <c r="WOQ746" s="214"/>
      <c r="WOR746" s="214"/>
      <c r="WOS746" s="214"/>
      <c r="WOT746" s="214"/>
      <c r="WOU746" s="214"/>
      <c r="WOV746" s="214"/>
      <c r="WOW746" s="214"/>
      <c r="WOX746" s="214"/>
      <c r="WOY746" s="214"/>
      <c r="WOZ746" s="214"/>
      <c r="WPA746" s="214"/>
      <c r="WPB746" s="214"/>
      <c r="WPC746" s="214"/>
      <c r="WPD746" s="214"/>
      <c r="WPE746" s="214"/>
      <c r="WPF746" s="214"/>
      <c r="WPG746" s="214"/>
      <c r="WPH746" s="214"/>
      <c r="WPI746" s="214"/>
      <c r="WPJ746" s="214"/>
      <c r="WPK746" s="214"/>
      <c r="WPL746" s="214"/>
      <c r="WPM746" s="214"/>
      <c r="WPN746" s="214"/>
      <c r="WPO746" s="214"/>
      <c r="WPP746" s="214"/>
      <c r="WPQ746" s="214"/>
      <c r="WPR746" s="214"/>
      <c r="WPS746" s="214"/>
      <c r="WPT746" s="214"/>
      <c r="WPU746" s="214"/>
      <c r="WPV746" s="214"/>
      <c r="WPW746" s="214"/>
      <c r="WPX746" s="214"/>
      <c r="WPY746" s="214"/>
      <c r="WPZ746" s="214"/>
      <c r="WQA746" s="214"/>
      <c r="WQB746" s="214"/>
      <c r="WQC746" s="214"/>
      <c r="WQD746" s="214"/>
      <c r="WQE746" s="214"/>
      <c r="WQF746" s="214"/>
      <c r="WQG746" s="214"/>
      <c r="WQH746" s="214"/>
      <c r="WQI746" s="214"/>
      <c r="WQJ746" s="214"/>
      <c r="WQK746" s="214"/>
      <c r="WQL746" s="214"/>
      <c r="WQM746" s="214"/>
      <c r="WQN746" s="214"/>
      <c r="WQO746" s="214"/>
      <c r="WQP746" s="214"/>
      <c r="WQQ746" s="214"/>
      <c r="WQR746" s="214"/>
      <c r="WQS746" s="214"/>
      <c r="WQT746" s="214"/>
      <c r="WQU746" s="214"/>
      <c r="WQV746" s="214"/>
      <c r="WQW746" s="214"/>
      <c r="WQX746" s="214"/>
      <c r="WQY746" s="214"/>
      <c r="WQZ746" s="214"/>
      <c r="WRA746" s="214"/>
      <c r="WRB746" s="214"/>
      <c r="WRC746" s="214"/>
      <c r="WRD746" s="214"/>
      <c r="WRE746" s="214"/>
      <c r="WRF746" s="214"/>
      <c r="WRG746" s="214"/>
      <c r="WRH746" s="214"/>
      <c r="WRI746" s="214"/>
      <c r="WRJ746" s="214"/>
      <c r="WRK746" s="214"/>
      <c r="WRL746" s="214"/>
      <c r="WRM746" s="214"/>
      <c r="WRN746" s="214"/>
      <c r="WRO746" s="214"/>
      <c r="WRP746" s="214"/>
      <c r="WRQ746" s="214"/>
      <c r="WRR746" s="214"/>
      <c r="WRS746" s="214"/>
      <c r="WRT746" s="214"/>
      <c r="WRU746" s="214"/>
      <c r="WRV746" s="214"/>
      <c r="WRW746" s="214"/>
      <c r="WRX746" s="214"/>
      <c r="WRY746" s="214"/>
      <c r="WRZ746" s="214"/>
      <c r="WSA746" s="214"/>
      <c r="WSB746" s="214"/>
      <c r="WSC746" s="214"/>
      <c r="WSD746" s="214"/>
      <c r="WSE746" s="214"/>
      <c r="WSF746" s="214"/>
      <c r="WSG746" s="214"/>
      <c r="WSH746" s="214"/>
      <c r="WSI746" s="214"/>
      <c r="WSJ746" s="214"/>
      <c r="WSK746" s="214"/>
      <c r="WSL746" s="214"/>
      <c r="WSM746" s="214"/>
      <c r="WSN746" s="214"/>
      <c r="WSO746" s="214"/>
      <c r="WSP746" s="214"/>
      <c r="WSQ746" s="214"/>
      <c r="WSR746" s="214"/>
      <c r="WSS746" s="214"/>
      <c r="WST746" s="214"/>
      <c r="WSU746" s="214"/>
      <c r="WSV746" s="214"/>
      <c r="WSW746" s="214"/>
      <c r="WSX746" s="214"/>
      <c r="WSY746" s="214"/>
      <c r="WSZ746" s="214"/>
      <c r="WTA746" s="214"/>
      <c r="WTB746" s="214"/>
      <c r="WTC746" s="214"/>
      <c r="WTD746" s="214"/>
      <c r="WTE746" s="214"/>
      <c r="WTF746" s="214"/>
      <c r="WTG746" s="214"/>
      <c r="WTH746" s="214"/>
      <c r="WTI746" s="214"/>
      <c r="WTJ746" s="214"/>
      <c r="WTK746" s="214"/>
      <c r="WTL746" s="214"/>
      <c r="WTM746" s="214"/>
      <c r="WTN746" s="214"/>
      <c r="WTO746" s="214"/>
      <c r="WTP746" s="214"/>
      <c r="WTQ746" s="214"/>
      <c r="WTR746" s="214"/>
      <c r="WTS746" s="214"/>
      <c r="WTT746" s="214"/>
      <c r="WTU746" s="214"/>
      <c r="WTV746" s="214"/>
      <c r="WTW746" s="214"/>
      <c r="WTX746" s="214"/>
      <c r="WTY746" s="214"/>
      <c r="WTZ746" s="214"/>
      <c r="WUA746" s="214"/>
      <c r="WUB746" s="214"/>
      <c r="WUC746" s="214"/>
      <c r="WUD746" s="214"/>
      <c r="WUE746" s="214"/>
      <c r="WUF746" s="214"/>
      <c r="WUG746" s="214"/>
      <c r="WUH746" s="214"/>
      <c r="WUI746" s="214"/>
      <c r="WUJ746" s="214"/>
      <c r="WUK746" s="214"/>
      <c r="WUL746" s="214"/>
      <c r="WUM746" s="214"/>
      <c r="WUN746" s="214"/>
      <c r="WUO746" s="214"/>
      <c r="WUP746" s="214"/>
      <c r="WUQ746" s="214"/>
      <c r="WUR746" s="214"/>
      <c r="WUS746" s="214"/>
      <c r="WUT746" s="214"/>
      <c r="WUU746" s="214"/>
      <c r="WUV746" s="214"/>
      <c r="WUW746" s="214"/>
      <c r="WUX746" s="214"/>
      <c r="WUY746" s="214"/>
      <c r="WUZ746" s="214"/>
      <c r="WVA746" s="214"/>
      <c r="WVB746" s="214"/>
      <c r="WVC746" s="214"/>
      <c r="WVD746" s="214"/>
      <c r="WVE746" s="214"/>
      <c r="WVF746" s="214"/>
      <c r="WVG746" s="214"/>
      <c r="WVH746" s="214"/>
      <c r="WVI746" s="214"/>
      <c r="WVJ746" s="214"/>
      <c r="WVK746" s="214"/>
      <c r="WVL746" s="214"/>
      <c r="WVM746" s="214"/>
      <c r="WVN746" s="214"/>
      <c r="WVO746" s="214"/>
      <c r="WVP746" s="214"/>
      <c r="WVQ746" s="214"/>
      <c r="WVR746" s="214"/>
      <c r="WVS746" s="214"/>
      <c r="WVT746" s="214"/>
      <c r="WVU746" s="214"/>
      <c r="WVV746" s="214"/>
      <c r="WVW746" s="214"/>
      <c r="WVX746" s="214"/>
      <c r="WVY746" s="214"/>
      <c r="WVZ746" s="214"/>
      <c r="WWA746" s="214"/>
      <c r="WWB746" s="214"/>
      <c r="WWC746" s="214"/>
      <c r="WWD746" s="214"/>
      <c r="WWE746" s="214"/>
      <c r="WWF746" s="214"/>
      <c r="WWG746" s="214"/>
      <c r="WWH746" s="214"/>
      <c r="WWI746" s="214"/>
      <c r="WWJ746" s="214"/>
      <c r="WWK746" s="214"/>
      <c r="WWL746" s="214"/>
      <c r="WWM746" s="214"/>
      <c r="WWN746" s="214"/>
      <c r="WWO746" s="214"/>
      <c r="WWP746" s="214"/>
      <c r="WWQ746" s="214"/>
      <c r="WWR746" s="214"/>
      <c r="WWS746" s="214"/>
      <c r="WWT746" s="214"/>
      <c r="WWU746" s="214"/>
      <c r="WWV746" s="214"/>
      <c r="WWW746" s="214"/>
      <c r="WWX746" s="214"/>
      <c r="WWY746" s="214"/>
      <c r="WWZ746" s="214"/>
      <c r="WXA746" s="214"/>
      <c r="WXB746" s="214"/>
      <c r="WXC746" s="214"/>
      <c r="WXD746" s="214"/>
      <c r="WXE746" s="214"/>
      <c r="WXF746" s="214"/>
      <c r="WXG746" s="214"/>
      <c r="WXH746" s="214"/>
      <c r="WXI746" s="214"/>
      <c r="WXJ746" s="214"/>
      <c r="WXK746" s="214"/>
      <c r="WXL746" s="214"/>
      <c r="WXM746" s="214"/>
      <c r="WXN746" s="214"/>
      <c r="WXO746" s="214"/>
      <c r="WXP746" s="214"/>
      <c r="WXQ746" s="214"/>
      <c r="WXR746" s="214"/>
      <c r="WXS746" s="214"/>
      <c r="WXT746" s="214"/>
      <c r="WXU746" s="214"/>
      <c r="WXV746" s="214"/>
      <c r="WXW746" s="214"/>
      <c r="WXX746" s="214"/>
      <c r="WXY746" s="214"/>
      <c r="WXZ746" s="214"/>
      <c r="WYA746" s="214"/>
      <c r="WYB746" s="214"/>
      <c r="WYC746" s="214"/>
      <c r="WYD746" s="214"/>
      <c r="WYE746" s="214"/>
      <c r="WYF746" s="214"/>
      <c r="WYG746" s="214"/>
      <c r="WYH746" s="214"/>
      <c r="WYI746" s="214"/>
      <c r="WYJ746" s="214"/>
      <c r="WYK746" s="214"/>
      <c r="WYL746" s="214"/>
      <c r="WYM746" s="214"/>
      <c r="WYN746" s="214"/>
      <c r="WYO746" s="214"/>
      <c r="WYP746" s="214"/>
      <c r="WYQ746" s="214"/>
      <c r="WYR746" s="214"/>
      <c r="WYS746" s="214"/>
      <c r="WYT746" s="214"/>
      <c r="WYU746" s="214"/>
      <c r="WYV746" s="214"/>
      <c r="WYW746" s="214"/>
      <c r="WYX746" s="214"/>
      <c r="WYY746" s="214"/>
      <c r="WYZ746" s="214"/>
      <c r="WZA746" s="214"/>
      <c r="WZB746" s="214"/>
      <c r="WZC746" s="214"/>
      <c r="WZD746" s="214"/>
      <c r="WZE746" s="214"/>
      <c r="WZF746" s="214"/>
      <c r="WZG746" s="214"/>
      <c r="WZH746" s="214"/>
      <c r="WZI746" s="214"/>
      <c r="WZJ746" s="214"/>
      <c r="WZK746" s="214"/>
      <c r="WZL746" s="214"/>
      <c r="WZM746" s="214"/>
      <c r="WZN746" s="214"/>
      <c r="WZO746" s="214"/>
      <c r="WZP746" s="214"/>
      <c r="WZQ746" s="214"/>
      <c r="WZR746" s="214"/>
      <c r="WZS746" s="214"/>
      <c r="WZT746" s="214"/>
      <c r="WZU746" s="214"/>
      <c r="WZV746" s="214"/>
      <c r="WZW746" s="214"/>
      <c r="WZX746" s="214"/>
      <c r="WZY746" s="214"/>
      <c r="WZZ746" s="214"/>
      <c r="XAA746" s="214"/>
      <c r="XAB746" s="214"/>
      <c r="XAC746" s="214"/>
      <c r="XAD746" s="214"/>
      <c r="XAE746" s="214"/>
      <c r="XAF746" s="214"/>
      <c r="XAG746" s="214"/>
      <c r="XAH746" s="214"/>
      <c r="XAI746" s="214"/>
      <c r="XAJ746" s="214"/>
      <c r="XAK746" s="214"/>
      <c r="XAL746" s="214"/>
      <c r="XAM746" s="214"/>
      <c r="XAN746" s="214"/>
      <c r="XAO746" s="214"/>
      <c r="XAP746" s="214"/>
      <c r="XAQ746" s="214"/>
      <c r="XAR746" s="214"/>
      <c r="XAS746" s="214"/>
      <c r="XAT746" s="214"/>
      <c r="XAU746" s="214"/>
      <c r="XAV746" s="214"/>
      <c r="XAW746" s="214"/>
      <c r="XAX746" s="214"/>
      <c r="XAY746" s="214"/>
      <c r="XAZ746" s="214"/>
      <c r="XBA746" s="214"/>
      <c r="XBB746" s="214"/>
      <c r="XBC746" s="214"/>
      <c r="XBD746" s="214"/>
      <c r="XBE746" s="214"/>
      <c r="XBF746" s="214"/>
      <c r="XBG746" s="214"/>
      <c r="XBH746" s="214"/>
      <c r="XBI746" s="214"/>
      <c r="XBJ746" s="214"/>
      <c r="XBK746" s="214"/>
      <c r="XBL746" s="214"/>
      <c r="XBM746" s="214"/>
      <c r="XBN746" s="214"/>
      <c r="XBO746" s="214"/>
      <c r="XBP746" s="214"/>
      <c r="XBQ746" s="214"/>
      <c r="XBR746" s="214"/>
      <c r="XBS746" s="214"/>
      <c r="XBT746" s="214"/>
      <c r="XBU746" s="214"/>
      <c r="XBV746" s="214"/>
      <c r="XBW746" s="214"/>
      <c r="XBX746" s="214"/>
      <c r="XBY746" s="214"/>
      <c r="XBZ746" s="214"/>
      <c r="XCA746" s="214"/>
      <c r="XCB746" s="214"/>
      <c r="XCC746" s="214"/>
      <c r="XCD746" s="214"/>
      <c r="XCE746" s="214"/>
      <c r="XCF746" s="214"/>
      <c r="XCG746" s="214"/>
      <c r="XCH746" s="214"/>
      <c r="XCI746" s="214"/>
      <c r="XCJ746" s="214"/>
      <c r="XCK746" s="214"/>
      <c r="XCL746" s="214"/>
      <c r="XCM746" s="214"/>
      <c r="XCN746" s="214"/>
      <c r="XCO746" s="214"/>
      <c r="XCP746" s="214"/>
      <c r="XCQ746" s="214"/>
      <c r="XCR746" s="214"/>
      <c r="XCS746" s="214"/>
      <c r="XCT746" s="214"/>
      <c r="XCU746" s="214"/>
      <c r="XCV746" s="214"/>
      <c r="XCW746" s="214"/>
      <c r="XCX746" s="214"/>
      <c r="XCY746" s="214"/>
      <c r="XCZ746" s="214"/>
      <c r="XDA746" s="214"/>
      <c r="XDB746" s="214"/>
      <c r="XDC746" s="214"/>
      <c r="XDD746" s="214"/>
      <c r="XDE746" s="214"/>
      <c r="XDF746" s="214"/>
      <c r="XDG746" s="214"/>
      <c r="XDH746" s="214"/>
      <c r="XDI746" s="214"/>
      <c r="XDJ746" s="214"/>
      <c r="XDK746" s="214"/>
      <c r="XDL746" s="214"/>
      <c r="XDM746" s="214"/>
      <c r="XDN746" s="214"/>
      <c r="XDO746" s="214"/>
      <c r="XDP746" s="214"/>
      <c r="XDQ746" s="214"/>
      <c r="XDR746" s="214"/>
      <c r="XDS746" s="214"/>
      <c r="XDT746" s="214"/>
      <c r="XDU746" s="214"/>
      <c r="XDV746" s="214"/>
      <c r="XDW746" s="214"/>
      <c r="XDX746" s="214"/>
      <c r="XDY746" s="214"/>
      <c r="XDZ746" s="214"/>
      <c r="XEA746" s="214"/>
      <c r="XEB746" s="214"/>
      <c r="XEC746" s="214"/>
      <c r="XED746" s="214"/>
      <c r="XEE746" s="214"/>
      <c r="XEF746" s="214"/>
      <c r="XEG746" s="214"/>
      <c r="XEH746" s="214"/>
      <c r="XEI746" s="214"/>
      <c r="XEJ746" s="214"/>
      <c r="XEK746" s="214"/>
      <c r="XEL746" s="214"/>
      <c r="XEM746" s="214"/>
      <c r="XEN746" s="214"/>
      <c r="XEO746" s="214"/>
      <c r="XEP746" s="214"/>
      <c r="XEQ746" s="214"/>
      <c r="XER746" s="214"/>
      <c r="XES746" s="214"/>
      <c r="XET746" s="214"/>
      <c r="XEU746" s="214"/>
      <c r="XEV746" s="214"/>
      <c r="XEW746" s="214"/>
      <c r="XEX746" s="214"/>
      <c r="XEY746" s="214"/>
      <c r="XEZ746" s="214"/>
      <c r="XFA746" s="214"/>
      <c r="XFB746" s="214"/>
      <c r="XFC746" s="214"/>
    </row>
    <row r="747" spans="1:16383" ht="12.95" customHeight="1">
      <c r="B747" s="2451"/>
      <c r="C747" s="2452"/>
      <c r="D747" s="2452"/>
      <c r="E747" s="2452"/>
      <c r="F747" s="2453"/>
      <c r="G747" s="2470"/>
      <c r="H747" s="2471"/>
      <c r="I747" s="2471"/>
      <c r="J747" s="2472"/>
      <c r="K747" s="1238"/>
      <c r="L747" s="1239"/>
      <c r="M747" s="1239"/>
      <c r="N747" s="1240"/>
      <c r="O747" s="2473"/>
      <c r="P747" s="2474"/>
      <c r="Q747" s="2474"/>
      <c r="R747" s="2474"/>
      <c r="S747" s="2475"/>
      <c r="T747" s="2473"/>
      <c r="U747" s="2474"/>
      <c r="V747" s="2474"/>
      <c r="W747" s="2475"/>
      <c r="X747" s="2476">
        <f t="shared" si="62"/>
        <v>0</v>
      </c>
      <c r="Y747" s="2408"/>
      <c r="Z747" s="2408"/>
      <c r="AA747" s="2408"/>
      <c r="AB747" s="2477"/>
      <c r="AC747" s="2478"/>
      <c r="AD747" s="2479"/>
      <c r="AE747" s="2479"/>
      <c r="AF747" s="2479"/>
      <c r="AG747" s="2480"/>
      <c r="AH747" s="2481" t="str">
        <f t="shared" si="61"/>
        <v/>
      </c>
      <c r="AI747" s="2482"/>
      <c r="AJ747" s="2483"/>
      <c r="AK747" s="2451" t="s">
        <v>299</v>
      </c>
      <c r="AL747" s="2452"/>
      <c r="AM747" s="2452"/>
      <c r="AN747" s="2452"/>
      <c r="AO747" s="2453"/>
      <c r="AP747" s="3"/>
      <c r="AQ747" s="3"/>
      <c r="AR747" s="3"/>
      <c r="AS747" s="3"/>
      <c r="AY747" s="882"/>
      <c r="AZ747" s="882"/>
      <c r="BA747" s="882"/>
      <c r="BB747" s="882"/>
      <c r="BC747" s="882"/>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2451"/>
      <c r="C748" s="2452"/>
      <c r="D748" s="2452"/>
      <c r="E748" s="2452"/>
      <c r="F748" s="2453"/>
      <c r="G748" s="2470"/>
      <c r="H748" s="2471"/>
      <c r="I748" s="2471"/>
      <c r="J748" s="2472"/>
      <c r="K748" s="1238"/>
      <c r="L748" s="1239"/>
      <c r="M748" s="1239"/>
      <c r="N748" s="1240"/>
      <c r="O748" s="2473"/>
      <c r="P748" s="2474"/>
      <c r="Q748" s="2474"/>
      <c r="R748" s="2474"/>
      <c r="S748" s="2475"/>
      <c r="T748" s="2473"/>
      <c r="U748" s="2474"/>
      <c r="V748" s="2474"/>
      <c r="W748" s="2475"/>
      <c r="X748" s="2476">
        <f t="shared" si="62"/>
        <v>0</v>
      </c>
      <c r="Y748" s="2408"/>
      <c r="Z748" s="2408"/>
      <c r="AA748" s="2408"/>
      <c r="AB748" s="2477"/>
      <c r="AC748" s="2478"/>
      <c r="AD748" s="2479"/>
      <c r="AE748" s="2479"/>
      <c r="AF748" s="2479"/>
      <c r="AG748" s="2480"/>
      <c r="AH748" s="2481" t="str">
        <f t="shared" si="61"/>
        <v/>
      </c>
      <c r="AI748" s="2482"/>
      <c r="AJ748" s="2483"/>
      <c r="AK748" s="2451" t="s">
        <v>299</v>
      </c>
      <c r="AL748" s="2452"/>
      <c r="AM748" s="2452"/>
      <c r="AN748" s="2452"/>
      <c r="AO748" s="2453"/>
      <c r="AT748"/>
      <c r="AU748"/>
      <c r="AV748"/>
      <c r="AW748"/>
      <c r="AX748"/>
      <c r="AY748" s="882"/>
      <c r="AZ748" s="882"/>
      <c r="BA748" s="882"/>
      <c r="BB748" s="882"/>
      <c r="BC748" s="882"/>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2451"/>
      <c r="C749" s="2452"/>
      <c r="D749" s="2452"/>
      <c r="E749" s="2452"/>
      <c r="F749" s="2453"/>
      <c r="G749" s="2470"/>
      <c r="H749" s="2471"/>
      <c r="I749" s="2471"/>
      <c r="J749" s="2472"/>
      <c r="K749" s="1238"/>
      <c r="L749" s="1239"/>
      <c r="M749" s="1239"/>
      <c r="N749" s="1240"/>
      <c r="O749" s="2473"/>
      <c r="P749" s="2474"/>
      <c r="Q749" s="2474"/>
      <c r="R749" s="2474"/>
      <c r="S749" s="2475"/>
      <c r="T749" s="2473"/>
      <c r="U749" s="2474"/>
      <c r="V749" s="2474"/>
      <c r="W749" s="2475"/>
      <c r="X749" s="2476">
        <f t="shared" si="62"/>
        <v>0</v>
      </c>
      <c r="Y749" s="2408"/>
      <c r="Z749" s="2408"/>
      <c r="AA749" s="2408"/>
      <c r="AB749" s="2477"/>
      <c r="AC749" s="2478"/>
      <c r="AD749" s="2479"/>
      <c r="AE749" s="2479"/>
      <c r="AF749" s="2479"/>
      <c r="AG749" s="2480"/>
      <c r="AH749" s="2481" t="str">
        <f t="shared" si="61"/>
        <v/>
      </c>
      <c r="AI749" s="2482"/>
      <c r="AJ749" s="2483"/>
      <c r="AK749" s="2451" t="s">
        <v>299</v>
      </c>
      <c r="AL749" s="2452"/>
      <c r="AM749" s="2452"/>
      <c r="AN749" s="2452"/>
      <c r="AO749" s="2453"/>
      <c r="AT749"/>
      <c r="AU749"/>
      <c r="AV749"/>
      <c r="AW749"/>
      <c r="AX749"/>
      <c r="AY749" s="882"/>
      <c r="AZ749" s="882"/>
      <c r="BA749" s="882"/>
      <c r="BB749" s="882"/>
      <c r="BC749" s="882"/>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2451"/>
      <c r="C750" s="2452"/>
      <c r="D750" s="2452"/>
      <c r="E750" s="2452"/>
      <c r="F750" s="2453"/>
      <c r="G750" s="2470"/>
      <c r="H750" s="2471"/>
      <c r="I750" s="2471"/>
      <c r="J750" s="2472"/>
      <c r="K750" s="1238"/>
      <c r="L750" s="1239"/>
      <c r="M750" s="1239"/>
      <c r="N750" s="1240"/>
      <c r="O750" s="2473"/>
      <c r="P750" s="2474"/>
      <c r="Q750" s="2474"/>
      <c r="R750" s="2474"/>
      <c r="S750" s="2475"/>
      <c r="T750" s="2473"/>
      <c r="U750" s="2474"/>
      <c r="V750" s="2474"/>
      <c r="W750" s="2475"/>
      <c r="X750" s="2476">
        <f t="shared" si="62"/>
        <v>0</v>
      </c>
      <c r="Y750" s="2408"/>
      <c r="Z750" s="2408"/>
      <c r="AA750" s="2408"/>
      <c r="AB750" s="2477"/>
      <c r="AC750" s="2478"/>
      <c r="AD750" s="2479"/>
      <c r="AE750" s="2479"/>
      <c r="AF750" s="2479"/>
      <c r="AG750" s="2480"/>
      <c r="AH750" s="2481" t="str">
        <f t="shared" si="61"/>
        <v/>
      </c>
      <c r="AI750" s="2482"/>
      <c r="AJ750" s="2483"/>
      <c r="AK750" s="2451" t="s">
        <v>299</v>
      </c>
      <c r="AL750" s="2452"/>
      <c r="AM750" s="2452"/>
      <c r="AN750" s="2452"/>
      <c r="AO750" s="2453"/>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2451"/>
      <c r="C751" s="2452"/>
      <c r="D751" s="2452"/>
      <c r="E751" s="2452"/>
      <c r="F751" s="2453"/>
      <c r="G751" s="2470"/>
      <c r="H751" s="2471"/>
      <c r="I751" s="2471"/>
      <c r="J751" s="2472"/>
      <c r="K751" s="1238"/>
      <c r="L751" s="1239"/>
      <c r="M751" s="1239"/>
      <c r="N751" s="1240"/>
      <c r="O751" s="2473"/>
      <c r="P751" s="2474"/>
      <c r="Q751" s="2474"/>
      <c r="R751" s="2474"/>
      <c r="S751" s="2475"/>
      <c r="T751" s="2473"/>
      <c r="U751" s="2474"/>
      <c r="V751" s="2474"/>
      <c r="W751" s="2475"/>
      <c r="X751" s="2476">
        <f t="shared" si="62"/>
        <v>0</v>
      </c>
      <c r="Y751" s="2408"/>
      <c r="Z751" s="2408"/>
      <c r="AA751" s="2408"/>
      <c r="AB751" s="2477"/>
      <c r="AC751" s="2478"/>
      <c r="AD751" s="2479"/>
      <c r="AE751" s="2479"/>
      <c r="AF751" s="2479"/>
      <c r="AG751" s="2480"/>
      <c r="AH751" s="2481" t="str">
        <f t="shared" si="61"/>
        <v/>
      </c>
      <c r="AI751" s="2482"/>
      <c r="AJ751" s="2483"/>
      <c r="AK751" s="2451" t="s">
        <v>299</v>
      </c>
      <c r="AL751" s="2452"/>
      <c r="AM751" s="2452"/>
      <c r="AN751" s="2452"/>
      <c r="AO751" s="2453"/>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2451"/>
      <c r="C752" s="2452"/>
      <c r="D752" s="2452"/>
      <c r="E752" s="2452"/>
      <c r="F752" s="2453"/>
      <c r="G752" s="2470"/>
      <c r="H752" s="2471"/>
      <c r="I752" s="2471"/>
      <c r="J752" s="2472"/>
      <c r="K752" s="1238"/>
      <c r="L752" s="1239"/>
      <c r="M752" s="1239"/>
      <c r="N752" s="1240"/>
      <c r="O752" s="2473"/>
      <c r="P752" s="2474"/>
      <c r="Q752" s="2474"/>
      <c r="R752" s="2474"/>
      <c r="S752" s="2475"/>
      <c r="T752" s="2473"/>
      <c r="U752" s="2474"/>
      <c r="V752" s="2474"/>
      <c r="W752" s="2475"/>
      <c r="X752" s="2476">
        <f>O752+T752</f>
        <v>0</v>
      </c>
      <c r="Y752" s="2408"/>
      <c r="Z752" s="2408"/>
      <c r="AA752" s="2408"/>
      <c r="AB752" s="2477"/>
      <c r="AC752" s="2478"/>
      <c r="AD752" s="2479"/>
      <c r="AE752" s="2479"/>
      <c r="AF752" s="2479"/>
      <c r="AG752" s="2480"/>
      <c r="AH752" s="2481" t="str">
        <f>IF($AC752&gt;0,($X752/$BA701), "")</f>
        <v/>
      </c>
      <c r="AI752" s="2482"/>
      <c r="AJ752" s="2483"/>
      <c r="AK752" s="2451" t="s">
        <v>299</v>
      </c>
      <c r="AL752" s="2452"/>
      <c r="AM752" s="2452"/>
      <c r="AN752" s="2452"/>
      <c r="AO752" s="2453"/>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390" t="s">
        <v>1562</v>
      </c>
      <c r="C753" s="1391"/>
      <c r="D753" s="1391"/>
      <c r="E753" s="1391"/>
      <c r="F753" s="1392"/>
      <c r="G753" s="1614">
        <f>SUM(G718:G752)</f>
        <v>47</v>
      </c>
      <c r="H753" s="2485"/>
      <c r="I753" s="2485"/>
      <c r="J753" s="2486"/>
      <c r="K753" s="824" t="s">
        <v>1563</v>
      </c>
      <c r="L753" s="5"/>
      <c r="M753" s="5"/>
      <c r="N753" s="39"/>
      <c r="O753" s="2476">
        <f>SUMPRODUCT(G718:G752,O718:O752)</f>
        <v>69248</v>
      </c>
      <c r="P753" s="2408"/>
      <c r="Q753" s="2408"/>
      <c r="R753" s="2408"/>
      <c r="S753" s="2477"/>
      <c r="T753"/>
      <c r="U753"/>
      <c r="V753"/>
      <c r="W753"/>
      <c r="X753" s="826" t="s">
        <v>1564</v>
      </c>
      <c r="Y753" s="825"/>
      <c r="Z753" s="825"/>
      <c r="AA753" s="825"/>
      <c r="AB753" s="827"/>
      <c r="AC753" s="1493">
        <f>BI703</f>
        <v>0.45744680851063824</v>
      </c>
      <c r="AD753" s="1494"/>
      <c r="AE753" s="1494"/>
      <c r="AF753" s="1494"/>
      <c r="AG753" s="1495"/>
      <c r="AH753" s="1493">
        <f>IFERROR(BV703,"")</f>
        <v>0.45744680851063824</v>
      </c>
      <c r="AI753" s="1494"/>
      <c r="AJ753" s="1495"/>
      <c r="AK753"/>
      <c r="AL753"/>
      <c r="AM753"/>
      <c r="AN753"/>
      <c r="AO753"/>
      <c r="AP753" s="144"/>
      <c r="AQ753" s="144"/>
      <c r="AR753" s="144"/>
      <c r="AS753" s="144"/>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615" t="s">
        <v>1565</v>
      </c>
      <c r="C754" s="1615"/>
      <c r="D754" s="1615"/>
      <c r="E754" s="1615"/>
      <c r="F754" s="1615"/>
      <c r="G754" s="1615"/>
      <c r="H754" s="1615"/>
      <c r="I754" s="1615"/>
      <c r="J754" s="1615"/>
      <c r="K754" s="1615"/>
      <c r="L754" s="1615"/>
      <c r="M754" s="1615"/>
      <c r="N754" s="1615"/>
      <c r="O754" s="1615"/>
      <c r="P754" s="1615"/>
      <c r="Q754" s="1615"/>
      <c r="R754" s="1615"/>
      <c r="S754" s="1615"/>
      <c r="T754" s="1615"/>
      <c r="U754" s="1615"/>
      <c r="V754" s="1615"/>
      <c r="W754" s="1615"/>
      <c r="X754" s="1615"/>
      <c r="Y754" s="1615"/>
      <c r="Z754" s="1615"/>
      <c r="AA754" s="1615"/>
      <c r="AB754" s="1615"/>
      <c r="AC754" s="1615"/>
      <c r="AD754" s="1615"/>
      <c r="AE754" s="1615"/>
      <c r="AF754" s="1615"/>
      <c r="AG754" s="1615"/>
      <c r="AH754" s="1615"/>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615"/>
      <c r="C755" s="1615"/>
      <c r="D755" s="1615"/>
      <c r="E755" s="1615"/>
      <c r="F755" s="1615"/>
      <c r="G755" s="1615"/>
      <c r="H755" s="1615"/>
      <c r="I755" s="1615"/>
      <c r="J755" s="1615"/>
      <c r="K755" s="1615"/>
      <c r="L755" s="1615"/>
      <c r="M755" s="1615"/>
      <c r="N755" s="1615"/>
      <c r="O755" s="1615"/>
      <c r="P755" s="1615"/>
      <c r="Q755" s="1615"/>
      <c r="R755" s="1615"/>
      <c r="S755" s="1615"/>
      <c r="T755" s="1615"/>
      <c r="U755" s="1615"/>
      <c r="V755" s="1615"/>
      <c r="W755" s="1615"/>
      <c r="X755" s="1615"/>
      <c r="Y755" s="1615"/>
      <c r="Z755" s="1615"/>
      <c r="AA755" s="1615"/>
      <c r="AB755" s="1615"/>
      <c r="AC755" s="1615"/>
      <c r="AD755" s="1615"/>
      <c r="AE755" s="1615"/>
      <c r="AF755" s="1615"/>
      <c r="AG755" s="1615"/>
      <c r="AH755" s="1615"/>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85" t="s">
        <v>1566</v>
      </c>
      <c r="D756" s="949"/>
      <c r="E756" s="949"/>
      <c r="F756" s="949"/>
      <c r="G756" s="950"/>
      <c r="H756" s="950"/>
      <c r="I756" s="950"/>
      <c r="J756" s="950"/>
      <c r="K756" s="949"/>
      <c r="L756" s="949"/>
      <c r="M756" s="949"/>
      <c r="N756" s="949"/>
      <c r="O756" s="1241">
        <f>CS634</f>
        <v>94</v>
      </c>
      <c r="P756" s="1241"/>
      <c r="Q756" s="1241"/>
      <c r="R756" s="1241"/>
      <c r="S756" s="889"/>
      <c r="T756" s="889"/>
      <c r="U756" s="85" t="s">
        <v>1567</v>
      </c>
      <c r="V756" s="949"/>
      <c r="W756" s="949"/>
      <c r="X756" s="949"/>
      <c r="Y756" s="950"/>
      <c r="Z756" s="950"/>
      <c r="AA756" s="950"/>
      <c r="AB756" s="950"/>
      <c r="AC756" s="949"/>
      <c r="AD756" s="949"/>
      <c r="AE756" s="949"/>
      <c r="AF756" s="949"/>
      <c r="AG756" s="1498"/>
      <c r="AH756" s="1498"/>
      <c r="AI756" s="1498"/>
      <c r="AJ756" s="1498"/>
      <c r="AK756" s="3"/>
      <c r="AL756" s="3"/>
      <c r="AM756" s="3"/>
      <c r="AN756" s="3"/>
      <c r="AO756" s="3"/>
      <c r="AP756" s="3"/>
      <c r="AQ756" s="3"/>
      <c r="AR756" s="3"/>
      <c r="AS756" s="3"/>
      <c r="AZ756" s="3"/>
      <c r="BA756" s="3"/>
      <c r="BB756" s="214"/>
      <c r="BC756" s="214"/>
      <c r="BD756" s="214"/>
      <c r="BE756" s="214"/>
      <c r="BF756" s="214"/>
      <c r="BG756" s="214"/>
      <c r="BH756" s="214"/>
      <c r="BI756" s="214"/>
      <c r="BJ756" s="214"/>
      <c r="BK756" s="214"/>
      <c r="BL756" s="214"/>
      <c r="BM756" s="214"/>
      <c r="BN756" s="214"/>
      <c r="BO756" s="214"/>
      <c r="BP756" s="214"/>
      <c r="BQ756" s="214"/>
      <c r="BR756" s="214"/>
      <c r="BS756" s="214"/>
      <c r="BT756" s="214"/>
      <c r="BU756" s="214"/>
      <c r="BV756" s="214"/>
      <c r="BW756" s="214"/>
      <c r="BX756" s="214"/>
      <c r="BY756" s="214"/>
      <c r="BZ756" s="214"/>
      <c r="CA756" s="214"/>
      <c r="CB756" s="214"/>
      <c r="CC756" s="214"/>
      <c r="CE756" s="3"/>
      <c r="CF756" s="214"/>
      <c r="CG756" s="214"/>
      <c r="CH756" s="214"/>
      <c r="CI756" s="214"/>
      <c r="CJ756" s="214"/>
      <c r="CK756" s="214"/>
      <c r="CL756" s="214"/>
      <c r="CM756" s="214"/>
      <c r="CN756" s="214"/>
      <c r="CO756" s="214"/>
      <c r="CP756" s="214"/>
      <c r="CQ756" s="214"/>
      <c r="CR756" s="214"/>
      <c r="CS756" s="214"/>
      <c r="CT756" s="214"/>
      <c r="CU756" s="214"/>
      <c r="CV756" s="214"/>
      <c r="CW756" s="214"/>
      <c r="CX756" s="214"/>
      <c r="CY756" s="214"/>
      <c r="CZ756" s="214"/>
      <c r="DA756" s="214"/>
      <c r="DB756" s="214"/>
      <c r="DC756" s="214"/>
      <c r="DD756" s="214"/>
      <c r="DE756" s="214"/>
      <c r="DF756" s="214"/>
      <c r="DG756" s="214"/>
      <c r="DH756" s="214"/>
      <c r="DI756" s="214"/>
      <c r="DJ756" s="214"/>
      <c r="DK756" s="214"/>
      <c r="DL756" s="214"/>
      <c r="DM756" s="214"/>
      <c r="DN756" s="214"/>
      <c r="DO756" s="214"/>
      <c r="DP756" s="214"/>
      <c r="DQ756" s="214"/>
      <c r="DR756" s="214"/>
      <c r="DS756" s="214"/>
      <c r="DT756" s="214"/>
      <c r="DU756" s="214"/>
      <c r="DV756" s="214"/>
      <c r="DW756" s="214"/>
      <c r="FB756" s="214"/>
      <c r="FC756" s="214"/>
    </row>
    <row r="757" spans="1:159" ht="12.95" customHeight="1">
      <c r="B757" s="50"/>
      <c r="C757" s="1613" t="str">
        <f>IF(G753&lt;&gt;AG440,"! Total Low-Income Units in the Unit Mix Table above does not match the number of Total Low-Income Units on row #"&amp;TEXT(ROW(D440),"#"),"")</f>
        <v/>
      </c>
      <c r="D757" s="1613"/>
      <c r="E757" s="1613"/>
      <c r="F757" s="1613"/>
      <c r="G757" s="1613"/>
      <c r="H757" s="1613"/>
      <c r="I757" s="1613"/>
      <c r="J757" s="1613"/>
      <c r="K757" s="1613"/>
      <c r="L757" s="1613"/>
      <c r="M757" s="1613"/>
      <c r="N757" s="1613"/>
      <c r="O757" s="1613"/>
      <c r="P757" s="1613"/>
      <c r="Q757" s="1613"/>
      <c r="R757" s="1613"/>
      <c r="S757" s="1613"/>
      <c r="T757" s="1613"/>
      <c r="U757" s="1613"/>
      <c r="V757" s="1613"/>
      <c r="W757" s="1613"/>
      <c r="X757" s="1613"/>
      <c r="Y757" s="1613"/>
      <c r="Z757" s="1613"/>
      <c r="AA757" s="1613"/>
      <c r="AB757" s="1613"/>
      <c r="AC757" s="1613"/>
      <c r="AD757" s="1613"/>
      <c r="AE757" s="1613"/>
      <c r="AF757" s="1613"/>
      <c r="AG757" s="1613"/>
      <c r="AH757" s="1613"/>
      <c r="AI757" s="1613"/>
      <c r="AJ757" s="1613"/>
      <c r="AK757" s="1613"/>
      <c r="AL757" s="1613"/>
      <c r="AM757" s="1613"/>
      <c r="AP757" s="214"/>
      <c r="AQ757" s="214"/>
      <c r="AR757" s="214"/>
      <c r="AS757" s="214"/>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0"/>
      <c r="C758" s="1613"/>
      <c r="D758" s="1613"/>
      <c r="E758" s="1613"/>
      <c r="F758" s="1613"/>
      <c r="G758" s="1613"/>
      <c r="H758" s="1613"/>
      <c r="I758" s="1613"/>
      <c r="J758" s="1613"/>
      <c r="K758" s="1613"/>
      <c r="L758" s="1613"/>
      <c r="M758" s="1613"/>
      <c r="N758" s="1613"/>
      <c r="O758" s="1613"/>
      <c r="P758" s="1613"/>
      <c r="Q758" s="1613"/>
      <c r="R758" s="1613"/>
      <c r="S758" s="1613"/>
      <c r="T758" s="1613"/>
      <c r="U758" s="1613"/>
      <c r="V758" s="1613"/>
      <c r="W758" s="1613"/>
      <c r="X758" s="1613"/>
      <c r="Y758" s="1613"/>
      <c r="Z758" s="1613"/>
      <c r="AA758" s="1613"/>
      <c r="AB758" s="1613"/>
      <c r="AC758" s="1613"/>
      <c r="AD758" s="1613"/>
      <c r="AE758" s="1613"/>
      <c r="AF758" s="1613"/>
      <c r="AG758" s="1613"/>
      <c r="AH758" s="1613"/>
      <c r="AI758" s="1613"/>
      <c r="AJ758" s="1613"/>
      <c r="AK758" s="1613"/>
      <c r="AL758" s="1613"/>
      <c r="AM758" s="1613"/>
      <c r="AP758" s="214"/>
      <c r="AQ758" s="214"/>
      <c r="AR758" s="214"/>
      <c r="AS758" s="214"/>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85" t="s">
        <v>1568</v>
      </c>
      <c r="D759" s="951"/>
      <c r="E759" s="951"/>
      <c r="F759" s="951"/>
      <c r="G759" s="951"/>
      <c r="H759" s="951"/>
      <c r="I759" s="951"/>
      <c r="J759" s="951"/>
      <c r="K759" s="951"/>
      <c r="L759" s="951"/>
      <c r="M759" s="951"/>
      <c r="N759" s="951"/>
      <c r="O759" s="951"/>
      <c r="P759" s="951"/>
      <c r="Q759" s="951"/>
      <c r="R759" s="951"/>
      <c r="S759" s="951"/>
      <c r="T759" s="951"/>
      <c r="U759" s="951"/>
      <c r="V759" s="951"/>
      <c r="W759" s="951"/>
      <c r="X759" s="951"/>
      <c r="Y759" s="951"/>
      <c r="Z759" s="951"/>
      <c r="AA759" s="951"/>
      <c r="AB759" s="951"/>
      <c r="AC759" s="951"/>
      <c r="AD759" s="2487" t="s">
        <v>299</v>
      </c>
      <c r="AE759" s="2487"/>
      <c r="AF759" s="2487"/>
      <c r="AG759" s="951"/>
      <c r="AH759" s="951"/>
      <c r="AI759" s="951"/>
      <c r="AJ759" s="951"/>
      <c r="AK759" s="951"/>
      <c r="AL759" s="951"/>
      <c r="AM759" s="951"/>
      <c r="AN759" s="951"/>
      <c r="AO759" s="951"/>
      <c r="AP759" s="951"/>
      <c r="AQ759" s="951"/>
      <c r="AR759" s="951"/>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952" t="s">
        <v>1569</v>
      </c>
      <c r="D760" s="951"/>
      <c r="E760" s="951"/>
      <c r="F760" s="951"/>
      <c r="G760" s="951"/>
      <c r="H760" s="951"/>
      <c r="I760" s="951"/>
      <c r="J760" s="951"/>
      <c r="K760" s="951"/>
      <c r="L760" s="951"/>
      <c r="M760" s="951"/>
      <c r="N760" s="951"/>
      <c r="O760" s="951"/>
      <c r="P760" s="951"/>
      <c r="Q760" s="951"/>
      <c r="R760" s="951"/>
      <c r="S760" s="951"/>
      <c r="T760" s="951"/>
      <c r="U760" s="951"/>
      <c r="V760" s="951"/>
      <c r="W760" s="951"/>
      <c r="X760" s="951"/>
      <c r="Y760" s="951"/>
      <c r="Z760" s="951"/>
      <c r="AA760" s="951"/>
      <c r="AB760" s="951"/>
      <c r="AC760" s="951"/>
      <c r="AD760" s="951"/>
      <c r="AE760" s="951"/>
      <c r="AF760" s="951"/>
      <c r="AG760" s="951"/>
      <c r="AH760" s="951"/>
      <c r="AI760" s="951"/>
      <c r="AJ760" s="951"/>
      <c r="AK760" s="951"/>
      <c r="AL760" s="951"/>
      <c r="AM760" s="951"/>
      <c r="AN760" s="951"/>
      <c r="AO760" s="951"/>
      <c r="AP760" s="951"/>
      <c r="AQ760" s="951"/>
      <c r="AR760" s="951"/>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962</v>
      </c>
      <c r="B761" s="49"/>
      <c r="C761" s="50" t="s">
        <v>1570</v>
      </c>
      <c r="D761" s="49"/>
      <c r="E761" s="49"/>
      <c r="F761" s="49"/>
      <c r="G761" s="279"/>
      <c r="H761" s="279"/>
      <c r="I761" s="279"/>
      <c r="J761" s="279"/>
      <c r="K761" s="279"/>
      <c r="L761" s="49"/>
      <c r="M761" s="49"/>
      <c r="N761" s="49"/>
      <c r="O761" s="49"/>
      <c r="P761" s="49"/>
      <c r="Q761" s="279"/>
      <c r="R761" s="279"/>
      <c r="S761" s="279"/>
      <c r="T761" s="279"/>
      <c r="U761" s="279"/>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949"/>
      <c r="C762" s="85" t="s">
        <v>1571</v>
      </c>
      <c r="D762" s="949"/>
      <c r="E762" s="949"/>
      <c r="F762" s="949"/>
      <c r="G762" s="279"/>
      <c r="H762" s="279"/>
      <c r="I762" s="279"/>
      <c r="J762" s="279"/>
      <c r="K762" s="279"/>
      <c r="L762" s="949"/>
      <c r="M762" s="949"/>
      <c r="N762" s="949"/>
      <c r="O762" s="949"/>
      <c r="P762" s="949"/>
      <c r="Q762" s="279"/>
      <c r="R762" s="279"/>
      <c r="S762" s="279"/>
      <c r="T762" s="279"/>
      <c r="U762" s="279"/>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949"/>
      <c r="C763" s="1153" t="s">
        <v>1572</v>
      </c>
      <c r="D763" s="1153"/>
      <c r="E763" s="1153"/>
      <c r="F763" s="1153"/>
      <c r="G763" s="1153"/>
      <c r="H763" s="1153"/>
      <c r="I763" s="1153"/>
      <c r="J763" s="1153"/>
      <c r="K763" s="1153"/>
      <c r="L763" s="1153"/>
      <c r="M763" s="1153"/>
      <c r="N763" s="1153"/>
      <c r="O763" s="1153"/>
      <c r="P763" s="1153"/>
      <c r="Q763" s="1153"/>
      <c r="R763" s="1153"/>
      <c r="S763" s="1153"/>
      <c r="T763" s="1153"/>
      <c r="U763" s="1153"/>
      <c r="V763" s="1153"/>
      <c r="W763" s="1153"/>
      <c r="X763" s="1153"/>
      <c r="Y763" s="1153"/>
      <c r="Z763" s="1153"/>
      <c r="AA763" s="1153"/>
      <c r="AB763" s="1153"/>
      <c r="AC763" s="1153"/>
      <c r="AD763" s="1153"/>
      <c r="AE763" s="1153"/>
      <c r="AF763" s="1153"/>
      <c r="AG763" s="1153"/>
      <c r="AH763" s="1153"/>
      <c r="AI763" s="1153"/>
      <c r="AJ763" s="1153"/>
      <c r="AK763" s="1153"/>
      <c r="AL763" s="1153"/>
      <c r="AM763" s="1153"/>
      <c r="AN763" s="1153"/>
      <c r="AO763" s="1153"/>
      <c r="AP763" s="1153"/>
      <c r="AQ763" s="1153"/>
      <c r="AR763" s="1153"/>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949"/>
      <c r="C764" s="1153"/>
      <c r="D764" s="1153"/>
      <c r="E764" s="1153"/>
      <c r="F764" s="1153"/>
      <c r="G764" s="1153"/>
      <c r="H764" s="1153"/>
      <c r="I764" s="1153"/>
      <c r="J764" s="1153"/>
      <c r="K764" s="1153"/>
      <c r="L764" s="1153"/>
      <c r="M764" s="1153"/>
      <c r="N764" s="1153"/>
      <c r="O764" s="1153"/>
      <c r="P764" s="1153"/>
      <c r="Q764" s="1153"/>
      <c r="R764" s="1153"/>
      <c r="S764" s="1153"/>
      <c r="T764" s="1153"/>
      <c r="U764" s="1153"/>
      <c r="V764" s="1153"/>
      <c r="W764" s="1153"/>
      <c r="X764" s="1153"/>
      <c r="Y764" s="1153"/>
      <c r="Z764" s="1153"/>
      <c r="AA764" s="1153"/>
      <c r="AB764" s="1153"/>
      <c r="AC764" s="1153"/>
      <c r="AD764" s="1153"/>
      <c r="AE764" s="1153"/>
      <c r="AF764" s="1153"/>
      <c r="AG764" s="1153"/>
      <c r="AH764" s="1153"/>
      <c r="AI764" s="1153"/>
      <c r="AJ764" s="1153"/>
      <c r="AK764" s="1153"/>
      <c r="AL764" s="1153"/>
      <c r="AM764" s="1153"/>
      <c r="AN764" s="1153"/>
      <c r="AO764" s="1153"/>
      <c r="AP764" s="1153"/>
      <c r="AQ764" s="1153"/>
      <c r="AR764" s="1153"/>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949"/>
      <c r="C765" s="1153"/>
      <c r="D765" s="1153"/>
      <c r="E765" s="1153"/>
      <c r="F765" s="1153"/>
      <c r="G765" s="1153"/>
      <c r="H765" s="1153"/>
      <c r="I765" s="1153"/>
      <c r="J765" s="1153"/>
      <c r="K765" s="1153"/>
      <c r="L765" s="1153"/>
      <c r="M765" s="1153"/>
      <c r="N765" s="1153"/>
      <c r="O765" s="1153"/>
      <c r="P765" s="1153"/>
      <c r="Q765" s="1153"/>
      <c r="R765" s="1153"/>
      <c r="S765" s="1153"/>
      <c r="T765" s="1153"/>
      <c r="U765" s="1153"/>
      <c r="V765" s="1153"/>
      <c r="W765" s="1153"/>
      <c r="X765" s="1153"/>
      <c r="Y765" s="1153"/>
      <c r="Z765" s="1153"/>
      <c r="AA765" s="1153"/>
      <c r="AB765" s="1153"/>
      <c r="AC765" s="1153"/>
      <c r="AD765" s="1153"/>
      <c r="AE765" s="1153"/>
      <c r="AF765" s="1153"/>
      <c r="AG765" s="1153"/>
      <c r="AH765" s="1153"/>
      <c r="AI765" s="1153"/>
      <c r="AJ765" s="1153"/>
      <c r="AK765" s="1153"/>
      <c r="AL765" s="1153"/>
      <c r="AM765" s="1153"/>
      <c r="AN765" s="1153"/>
      <c r="AO765" s="1153"/>
      <c r="AP765" s="1153"/>
      <c r="AQ765" s="1153"/>
      <c r="AR765" s="1153"/>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949"/>
      <c r="C766" s="1153" t="s">
        <v>1573</v>
      </c>
      <c r="D766" s="1153"/>
      <c r="E766" s="1153"/>
      <c r="F766" s="1153"/>
      <c r="G766" s="1153"/>
      <c r="H766" s="1153"/>
      <c r="I766" s="1153"/>
      <c r="J766" s="1153"/>
      <c r="K766" s="1153"/>
      <c r="L766" s="1153"/>
      <c r="M766" s="1153"/>
      <c r="N766" s="1153"/>
      <c r="O766" s="1153"/>
      <c r="P766" s="1153"/>
      <c r="Q766" s="1153"/>
      <c r="R766" s="1153"/>
      <c r="S766" s="1153"/>
      <c r="T766" s="1153"/>
      <c r="U766" s="1153"/>
      <c r="V766" s="1153"/>
      <c r="W766" s="1153"/>
      <c r="X766" s="1153"/>
      <c r="Y766" s="1153"/>
      <c r="Z766" s="1153"/>
      <c r="AA766" s="1153"/>
      <c r="AB766" s="1153"/>
      <c r="AC766" s="1153"/>
      <c r="AD766" s="1153"/>
      <c r="AE766" s="1153"/>
      <c r="AF766" s="1153"/>
      <c r="AG766" s="1153"/>
      <c r="AH766" s="1153"/>
      <c r="AI766" s="1153"/>
      <c r="AJ766" s="1153"/>
      <c r="AK766" s="1153"/>
      <c r="AL766" s="1153"/>
      <c r="AM766" s="1153"/>
      <c r="AN766" s="1153"/>
      <c r="AO766" s="1153"/>
      <c r="AP766" s="1153"/>
      <c r="AQ766" s="1153"/>
      <c r="AR766" s="1153"/>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214"/>
      <c r="DY766" s="214"/>
      <c r="DZ766" s="214"/>
      <c r="EA766" s="214"/>
      <c r="EB766" s="214"/>
      <c r="EC766" s="214"/>
      <c r="ED766" s="214"/>
      <c r="EE766" s="214"/>
      <c r="EF766" s="214"/>
      <c r="EG766" s="214"/>
      <c r="EH766" s="214"/>
      <c r="EI766" s="214"/>
      <c r="EJ766" s="214"/>
      <c r="EK766" s="214"/>
      <c r="EL766" s="214"/>
      <c r="EM766" s="214"/>
      <c r="EN766" s="214"/>
      <c r="EO766" s="214"/>
      <c r="EP766" s="214"/>
      <c r="EQ766" s="214"/>
      <c r="ER766" s="214"/>
      <c r="ES766" s="214"/>
      <c r="ET766" s="214"/>
      <c r="EU766" s="214"/>
      <c r="EV766" s="214"/>
      <c r="EW766" s="214"/>
      <c r="EX766" s="214"/>
      <c r="EY766" s="214"/>
      <c r="EZ766" s="214"/>
      <c r="FA766" s="214"/>
    </row>
    <row r="767" spans="1:159" ht="12.95" customHeight="1">
      <c r="A767" s="3"/>
      <c r="B767" s="949"/>
      <c r="C767" s="1153"/>
      <c r="D767" s="1153"/>
      <c r="E767" s="1153"/>
      <c r="F767" s="1153"/>
      <c r="G767" s="1153"/>
      <c r="H767" s="1153"/>
      <c r="I767" s="1153"/>
      <c r="J767" s="1153"/>
      <c r="K767" s="1153"/>
      <c r="L767" s="1153"/>
      <c r="M767" s="1153"/>
      <c r="N767" s="1153"/>
      <c r="O767" s="1153"/>
      <c r="P767" s="1153"/>
      <c r="Q767" s="1153"/>
      <c r="R767" s="1153"/>
      <c r="S767" s="1153"/>
      <c r="T767" s="1153"/>
      <c r="U767" s="1153"/>
      <c r="V767" s="1153"/>
      <c r="W767" s="1153"/>
      <c r="X767" s="1153"/>
      <c r="Y767" s="1153"/>
      <c r="Z767" s="1153"/>
      <c r="AA767" s="1153"/>
      <c r="AB767" s="1153"/>
      <c r="AC767" s="1153"/>
      <c r="AD767" s="1153"/>
      <c r="AE767" s="1153"/>
      <c r="AF767" s="1153"/>
      <c r="AG767" s="1153"/>
      <c r="AH767" s="1153"/>
      <c r="AI767" s="1153"/>
      <c r="AJ767" s="1153"/>
      <c r="AK767" s="1153"/>
      <c r="AL767" s="1153"/>
      <c r="AM767" s="1153"/>
      <c r="AN767" s="1153"/>
      <c r="AO767" s="1153"/>
      <c r="AP767" s="1153"/>
      <c r="AQ767" s="1153"/>
      <c r="AR767" s="1153"/>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949"/>
      <c r="C768" s="1153"/>
      <c r="D768" s="1153"/>
      <c r="E768" s="1153"/>
      <c r="F768" s="1153"/>
      <c r="G768" s="1153"/>
      <c r="H768" s="1153"/>
      <c r="I768" s="1153"/>
      <c r="J768" s="1153"/>
      <c r="K768" s="1153"/>
      <c r="L768" s="1153"/>
      <c r="M768" s="1153"/>
      <c r="N768" s="1153"/>
      <c r="O768" s="1153"/>
      <c r="P768" s="1153"/>
      <c r="Q768" s="1153"/>
      <c r="R768" s="1153"/>
      <c r="S768" s="1153"/>
      <c r="T768" s="1153"/>
      <c r="U768" s="1153"/>
      <c r="V768" s="1153"/>
      <c r="W768" s="1153"/>
      <c r="X768" s="1153"/>
      <c r="Y768" s="1153"/>
      <c r="Z768" s="1153"/>
      <c r="AA768" s="1153"/>
      <c r="AB768" s="1153"/>
      <c r="AC768" s="1153"/>
      <c r="AD768" s="1153"/>
      <c r="AE768" s="1153"/>
      <c r="AF768" s="1153"/>
      <c r="AG768" s="1153"/>
      <c r="AH768" s="1153"/>
      <c r="AI768" s="1153"/>
      <c r="AJ768" s="1153"/>
      <c r="AK768" s="1153"/>
      <c r="AL768" s="1153"/>
      <c r="AM768" s="1153"/>
      <c r="AN768" s="1153"/>
      <c r="AO768" s="1153"/>
      <c r="AP768" s="1153"/>
      <c r="AQ768" s="1153"/>
      <c r="AR768" s="1153"/>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276" t="s">
        <v>1553</v>
      </c>
      <c r="K769" s="2462"/>
      <c r="L769" s="2462"/>
      <c r="M769" s="2462"/>
      <c r="N769" s="2463"/>
      <c r="O769" s="2488" t="s">
        <v>1554</v>
      </c>
      <c r="P769" s="2488"/>
      <c r="Q769" s="2488"/>
      <c r="R769" s="2488"/>
      <c r="S769" s="2488"/>
      <c r="T769" s="1379" t="s">
        <v>1555</v>
      </c>
      <c r="U769" s="1380"/>
      <c r="V769" s="1380"/>
      <c r="W769" s="1381"/>
      <c r="X769" s="1276" t="s">
        <v>1556</v>
      </c>
      <c r="Y769" s="2462"/>
      <c r="Z769" s="2462"/>
      <c r="AA769" s="2462"/>
      <c r="AB769" s="2463"/>
      <c r="AC769" s="1276" t="s">
        <v>1574</v>
      </c>
      <c r="AD769" s="2462"/>
      <c r="AE769" s="2462"/>
      <c r="AF769" s="2462"/>
      <c r="AG769" s="2463"/>
      <c r="AH769" s="86"/>
      <c r="AI769" s="86"/>
      <c r="AJ769" s="86"/>
      <c r="AK769" s="86"/>
      <c r="AL769" s="8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2464"/>
      <c r="K770" s="2465"/>
      <c r="L770" s="2465"/>
      <c r="M770" s="2465"/>
      <c r="N770" s="2466"/>
      <c r="O770" s="2488"/>
      <c r="P770" s="2488"/>
      <c r="Q770" s="2488"/>
      <c r="R770" s="2488"/>
      <c r="S770" s="2488"/>
      <c r="T770" s="1382"/>
      <c r="U770" s="1383"/>
      <c r="V770" s="1383"/>
      <c r="W770" s="1384"/>
      <c r="X770" s="2464"/>
      <c r="Y770" s="2465"/>
      <c r="Z770" s="2465"/>
      <c r="AA770" s="2465"/>
      <c r="AB770" s="2466"/>
      <c r="AC770" s="2464"/>
      <c r="AD770" s="2465"/>
      <c r="AE770" s="2465"/>
      <c r="AF770" s="2465"/>
      <c r="AG770" s="2466"/>
      <c r="AH770" s="86"/>
      <c r="AI770" s="86"/>
      <c r="AJ770" s="86"/>
      <c r="AK770" s="86"/>
      <c r="AL770" s="8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2464"/>
      <c r="K771" s="2465"/>
      <c r="L771" s="2465"/>
      <c r="M771" s="2465"/>
      <c r="N771" s="2466"/>
      <c r="O771" s="2488"/>
      <c r="P771" s="2488"/>
      <c r="Q771" s="2488"/>
      <c r="R771" s="2488"/>
      <c r="S771" s="2488"/>
      <c r="T771" s="1382"/>
      <c r="U771" s="1383"/>
      <c r="V771" s="1383"/>
      <c r="W771" s="1384"/>
      <c r="X771" s="2464"/>
      <c r="Y771" s="2465"/>
      <c r="Z771" s="2465"/>
      <c r="AA771" s="2465"/>
      <c r="AB771" s="2466"/>
      <c r="AC771" s="2464"/>
      <c r="AD771" s="2465"/>
      <c r="AE771" s="2465"/>
      <c r="AF771" s="2465"/>
      <c r="AG771" s="2466"/>
      <c r="AH771" s="86"/>
      <c r="AK771" s="86"/>
      <c r="AL771" s="8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2467"/>
      <c r="K772" s="2468"/>
      <c r="L772" s="2468"/>
      <c r="M772" s="2468"/>
      <c r="N772" s="2469"/>
      <c r="O772" s="2488"/>
      <c r="P772" s="2488"/>
      <c r="Q772" s="2488"/>
      <c r="R772" s="2488"/>
      <c r="S772" s="2488"/>
      <c r="T772" s="1394"/>
      <c r="U772" s="1395"/>
      <c r="V772" s="1395"/>
      <c r="W772" s="1396"/>
      <c r="X772" s="2467"/>
      <c r="Y772" s="2468"/>
      <c r="Z772" s="2468"/>
      <c r="AA772" s="2468"/>
      <c r="AB772" s="2469"/>
      <c r="AC772" s="2467"/>
      <c r="AD772" s="2468"/>
      <c r="AE772" s="2468"/>
      <c r="AF772" s="2468"/>
      <c r="AG772" s="2469"/>
      <c r="AH772" s="86"/>
      <c r="AI772" s="86"/>
      <c r="AJ772" s="86"/>
      <c r="AK772" s="86"/>
      <c r="AL772" s="8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2451" t="s">
        <v>1377</v>
      </c>
      <c r="K773" s="2452"/>
      <c r="L773" s="2452"/>
      <c r="M773" s="2452"/>
      <c r="N773" s="2453"/>
      <c r="O773" s="2428">
        <v>1</v>
      </c>
      <c r="P773" s="2428"/>
      <c r="Q773" s="2428"/>
      <c r="R773" s="2428"/>
      <c r="S773" s="2428"/>
      <c r="T773" s="1238">
        <v>828</v>
      </c>
      <c r="U773" s="1239"/>
      <c r="V773" s="1239"/>
      <c r="W773" s="1240"/>
      <c r="X773" s="2473"/>
      <c r="Y773" s="2474"/>
      <c r="Z773" s="2474"/>
      <c r="AA773" s="2474"/>
      <c r="AB773" s="2475"/>
      <c r="AC773" s="2476">
        <f>X773*O773</f>
        <v>0</v>
      </c>
      <c r="AD773" s="2408"/>
      <c r="AE773" s="2408"/>
      <c r="AF773" s="2408"/>
      <c r="AG773" s="2477"/>
      <c r="AH773" s="2489"/>
      <c r="AI773" s="86"/>
      <c r="AJ773" s="86"/>
      <c r="AK773" s="2489"/>
      <c r="AL773" s="2489"/>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2451"/>
      <c r="K774" s="2452"/>
      <c r="L774" s="2452"/>
      <c r="M774" s="2452"/>
      <c r="N774" s="2453"/>
      <c r="O774" s="2428"/>
      <c r="P774" s="2428"/>
      <c r="Q774" s="2428"/>
      <c r="R774" s="2428"/>
      <c r="S774" s="2428"/>
      <c r="T774" s="1238"/>
      <c r="U774" s="1239"/>
      <c r="V774" s="1239"/>
      <c r="W774" s="1240"/>
      <c r="X774" s="2473"/>
      <c r="Y774" s="2474"/>
      <c r="Z774" s="2474"/>
      <c r="AA774" s="2474"/>
      <c r="AB774" s="2475"/>
      <c r="AC774" s="2476">
        <f>X774*O774</f>
        <v>0</v>
      </c>
      <c r="AD774" s="2408"/>
      <c r="AE774" s="2408"/>
      <c r="AF774" s="2408"/>
      <c r="AG774" s="2477"/>
      <c r="AH774" s="2489"/>
      <c r="AI774" s="2489"/>
      <c r="AJ774" s="2489"/>
      <c r="AK774" s="2489"/>
      <c r="AL774" s="2489"/>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2451"/>
      <c r="K775" s="2452"/>
      <c r="L775" s="2452"/>
      <c r="M775" s="2452"/>
      <c r="N775" s="2453"/>
      <c r="O775" s="2428"/>
      <c r="P775" s="2428"/>
      <c r="Q775" s="2428"/>
      <c r="R775" s="2428"/>
      <c r="S775" s="2428"/>
      <c r="T775" s="1238"/>
      <c r="U775" s="1239"/>
      <c r="V775" s="1239"/>
      <c r="W775" s="1240"/>
      <c r="X775" s="2473"/>
      <c r="Y775" s="2474"/>
      <c r="Z775" s="2474"/>
      <c r="AA775" s="2474"/>
      <c r="AB775" s="2475"/>
      <c r="AC775" s="2476">
        <f>X775*O775</f>
        <v>0</v>
      </c>
      <c r="AD775" s="2408"/>
      <c r="AE775" s="2408"/>
      <c r="AF775" s="2408"/>
      <c r="AG775" s="2477"/>
      <c r="AH775" s="2489"/>
      <c r="AI775" s="2489"/>
      <c r="AJ775" s="2489"/>
      <c r="AK775" s="2489"/>
      <c r="AL775" s="2489"/>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2451"/>
      <c r="K776" s="2452"/>
      <c r="L776" s="2452"/>
      <c r="M776" s="2452"/>
      <c r="N776" s="2453"/>
      <c r="O776" s="2428"/>
      <c r="P776" s="2428"/>
      <c r="Q776" s="2428"/>
      <c r="R776" s="2428"/>
      <c r="S776" s="2428"/>
      <c r="T776" s="1238"/>
      <c r="U776" s="1239"/>
      <c r="V776" s="1239"/>
      <c r="W776" s="1240"/>
      <c r="X776" s="2473"/>
      <c r="Y776" s="2474"/>
      <c r="Z776" s="2474"/>
      <c r="AA776" s="2474"/>
      <c r="AB776" s="2475"/>
      <c r="AC776" s="2476">
        <f>X776*O776</f>
        <v>0</v>
      </c>
      <c r="AD776" s="2408"/>
      <c r="AE776" s="2408"/>
      <c r="AF776" s="2408"/>
      <c r="AG776" s="2477"/>
      <c r="AH776" s="2489"/>
      <c r="AI776" s="2489"/>
      <c r="AJ776" s="2489"/>
      <c r="AK776" s="2489"/>
      <c r="AL776" s="2489"/>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390" t="s">
        <v>1562</v>
      </c>
      <c r="K777" s="1391"/>
      <c r="L777" s="1391"/>
      <c r="M777" s="1391"/>
      <c r="N777" s="1392"/>
      <c r="O777" s="1235">
        <f>SUM(O773:S776)</f>
        <v>1</v>
      </c>
      <c r="P777" s="1236"/>
      <c r="Q777" s="1236"/>
      <c r="R777" s="1236"/>
      <c r="S777" s="1237"/>
      <c r="X777" s="1390" t="s">
        <v>1563</v>
      </c>
      <c r="Y777" s="1391"/>
      <c r="Z777" s="1391"/>
      <c r="AA777" s="1391"/>
      <c r="AB777" s="1392"/>
      <c r="AC777" s="2476">
        <f>SUM(AC773:AG776)</f>
        <v>0</v>
      </c>
      <c r="AD777" s="2408"/>
      <c r="AE777" s="2408"/>
      <c r="AF777" s="2408"/>
      <c r="AG777" s="2477"/>
      <c r="AI777" s="2489"/>
      <c r="AJ777" s="2489"/>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49"/>
      <c r="K778" s="49"/>
      <c r="L778" s="49"/>
      <c r="M778" s="49"/>
      <c r="N778" s="49"/>
      <c r="O778" s="279"/>
      <c r="P778" s="279"/>
      <c r="Q778" s="279"/>
      <c r="R778" s="279"/>
      <c r="S778" s="279"/>
      <c r="T778" s="49"/>
      <c r="U778" s="49"/>
      <c r="V778" s="49"/>
      <c r="W778" s="49"/>
      <c r="X778" s="49"/>
      <c r="Y778" s="889"/>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49"/>
      <c r="C779" s="49"/>
      <c r="D779" s="49"/>
      <c r="E779" s="49"/>
      <c r="F779" s="49"/>
      <c r="G779" s="279"/>
      <c r="H779" s="279"/>
      <c r="I779" s="279"/>
      <c r="J779" s="2415" t="s">
        <v>894</v>
      </c>
      <c r="K779" s="2415"/>
      <c r="L779" s="49"/>
      <c r="M779" s="85" t="s">
        <v>1575</v>
      </c>
      <c r="N779" s="49"/>
      <c r="O779" s="49"/>
      <c r="P779" s="49"/>
      <c r="Q779" s="279"/>
      <c r="R779" s="279"/>
      <c r="S779" s="279"/>
      <c r="T779" s="279"/>
      <c r="U779" s="279"/>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49"/>
      <c r="C780" s="49"/>
      <c r="D780" s="49"/>
      <c r="E780" s="49"/>
      <c r="F780" s="49"/>
      <c r="G780" s="279"/>
      <c r="H780" s="279"/>
      <c r="I780" s="279"/>
      <c r="J780" s="279"/>
      <c r="K780" s="279"/>
      <c r="L780" s="49"/>
      <c r="M780" s="85" t="s">
        <v>1576</v>
      </c>
      <c r="N780" s="49"/>
      <c r="O780" s="49"/>
      <c r="P780" s="49"/>
      <c r="Q780" s="279"/>
      <c r="R780" s="279"/>
      <c r="S780" s="279"/>
      <c r="T780" s="279"/>
      <c r="U780" s="279"/>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1039</v>
      </c>
      <c r="B781" s="50"/>
      <c r="C781" s="50" t="s">
        <v>208</v>
      </c>
      <c r="D781" s="49"/>
      <c r="E781" s="49"/>
      <c r="F781" s="49"/>
      <c r="G781" s="279"/>
      <c r="H781" s="279"/>
      <c r="I781" s="279"/>
      <c r="J781" s="279"/>
      <c r="K781" s="279"/>
      <c r="L781" s="49"/>
      <c r="M781" s="49"/>
      <c r="N781" s="49"/>
      <c r="O781" s="49"/>
      <c r="P781" s="49"/>
      <c r="Q781" s="279"/>
      <c r="R781" s="279"/>
      <c r="S781" s="279"/>
      <c r="T781" s="279"/>
      <c r="U781" s="279"/>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49"/>
      <c r="C782" s="49"/>
      <c r="D782" s="49"/>
      <c r="E782" s="49"/>
      <c r="F782" s="49"/>
      <c r="G782" s="279"/>
      <c r="H782" s="279"/>
      <c r="I782" s="279"/>
      <c r="J782" s="437"/>
      <c r="K782" s="279"/>
      <c r="L782" s="49"/>
      <c r="M782" s="49"/>
      <c r="N782" s="49"/>
      <c r="O782" s="49"/>
      <c r="P782" s="49"/>
      <c r="Q782" s="279"/>
      <c r="R782" s="279"/>
      <c r="S782" s="279"/>
      <c r="T782" s="279"/>
      <c r="U782" s="279"/>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276" t="s">
        <v>1553</v>
      </c>
      <c r="K783" s="2462"/>
      <c r="L783" s="2462"/>
      <c r="M783" s="2462"/>
      <c r="N783" s="2463"/>
      <c r="O783" s="2488" t="s">
        <v>1554</v>
      </c>
      <c r="P783" s="2488"/>
      <c r="Q783" s="2488"/>
      <c r="R783" s="2488"/>
      <c r="S783" s="2488"/>
      <c r="T783" s="1379" t="s">
        <v>1555</v>
      </c>
      <c r="U783" s="1380"/>
      <c r="V783" s="1380"/>
      <c r="W783" s="1381"/>
      <c r="X783" s="1276" t="s">
        <v>1556</v>
      </c>
      <c r="Y783" s="2462"/>
      <c r="Z783" s="2462"/>
      <c r="AA783" s="2462"/>
      <c r="AB783" s="2463"/>
      <c r="AC783" s="1276" t="s">
        <v>1574</v>
      </c>
      <c r="AD783" s="2462"/>
      <c r="AE783" s="2462"/>
      <c r="AF783" s="2462"/>
      <c r="AG783" s="246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2464"/>
      <c r="K784" s="2465"/>
      <c r="L784" s="2465"/>
      <c r="M784" s="2465"/>
      <c r="N784" s="2466"/>
      <c r="O784" s="2488"/>
      <c r="P784" s="2488"/>
      <c r="Q784" s="2488"/>
      <c r="R784" s="2488"/>
      <c r="S784" s="2488"/>
      <c r="T784" s="1382"/>
      <c r="U784" s="1383"/>
      <c r="V784" s="1383"/>
      <c r="W784" s="1384"/>
      <c r="X784" s="2464"/>
      <c r="Y784" s="2465"/>
      <c r="Z784" s="2465"/>
      <c r="AA784" s="2465"/>
      <c r="AB784" s="2466"/>
      <c r="AC784" s="2464"/>
      <c r="AD784" s="2465"/>
      <c r="AE784" s="2465"/>
      <c r="AF784" s="2465"/>
      <c r="AG784" s="2466"/>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2464"/>
      <c r="K785" s="2465"/>
      <c r="L785" s="2465"/>
      <c r="M785" s="2465"/>
      <c r="N785" s="2466"/>
      <c r="O785" s="2488"/>
      <c r="P785" s="2488"/>
      <c r="Q785" s="2488"/>
      <c r="R785" s="2488"/>
      <c r="S785" s="2488"/>
      <c r="T785" s="1382"/>
      <c r="U785" s="1383"/>
      <c r="V785" s="1383"/>
      <c r="W785" s="1384"/>
      <c r="X785" s="2464"/>
      <c r="Y785" s="2465"/>
      <c r="Z785" s="2465"/>
      <c r="AA785" s="2465"/>
      <c r="AB785" s="2466"/>
      <c r="AC785" s="2464"/>
      <c r="AD785" s="2465"/>
      <c r="AE785" s="2465"/>
      <c r="AF785" s="2465"/>
      <c r="AG785" s="2466"/>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2467"/>
      <c r="K786" s="2468"/>
      <c r="L786" s="2468"/>
      <c r="M786" s="2468"/>
      <c r="N786" s="2469"/>
      <c r="O786" s="2488"/>
      <c r="P786" s="2488"/>
      <c r="Q786" s="2488"/>
      <c r="R786" s="2488"/>
      <c r="S786" s="2488"/>
      <c r="T786" s="1394"/>
      <c r="U786" s="1395"/>
      <c r="V786" s="1395"/>
      <c r="W786" s="1396"/>
      <c r="X786" s="2467"/>
      <c r="Y786" s="2468"/>
      <c r="Z786" s="2468"/>
      <c r="AA786" s="2468"/>
      <c r="AB786" s="2469"/>
      <c r="AC786" s="2467"/>
      <c r="AD786" s="2468"/>
      <c r="AE786" s="2468"/>
      <c r="AF786" s="2468"/>
      <c r="AG786" s="2469"/>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2451"/>
      <c r="K787" s="2452"/>
      <c r="L787" s="2452"/>
      <c r="M787" s="2452"/>
      <c r="N787" s="2453"/>
      <c r="O787" s="2428"/>
      <c r="P787" s="2428"/>
      <c r="Q787" s="2428"/>
      <c r="R787" s="2428"/>
      <c r="S787" s="2428"/>
      <c r="T787" s="1238"/>
      <c r="U787" s="1239"/>
      <c r="V787" s="1239"/>
      <c r="W787" s="1240"/>
      <c r="X787" s="2473"/>
      <c r="Y787" s="2474"/>
      <c r="Z787" s="2474"/>
      <c r="AA787" s="2474"/>
      <c r="AB787" s="2475"/>
      <c r="AC787" s="2476">
        <f t="shared" ref="AC787:AC796" si="63">X787*O787</f>
        <v>0</v>
      </c>
      <c r="AD787" s="2408"/>
      <c r="AE787" s="2408"/>
      <c r="AF787" s="2408"/>
      <c r="AG787" s="2477"/>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2451"/>
      <c r="K788" s="2452"/>
      <c r="L788" s="2452"/>
      <c r="M788" s="2452"/>
      <c r="N788" s="2453"/>
      <c r="O788" s="2428"/>
      <c r="P788" s="2428"/>
      <c r="Q788" s="2428"/>
      <c r="R788" s="2428"/>
      <c r="S788" s="2428"/>
      <c r="T788" s="1238"/>
      <c r="U788" s="1239"/>
      <c r="V788" s="1239"/>
      <c r="W788" s="1240"/>
      <c r="X788" s="2473"/>
      <c r="Y788" s="2474"/>
      <c r="Z788" s="2474"/>
      <c r="AA788" s="2474"/>
      <c r="AB788" s="2475"/>
      <c r="AC788" s="2476">
        <f t="shared" si="63"/>
        <v>0</v>
      </c>
      <c r="AD788" s="2408"/>
      <c r="AE788" s="2408"/>
      <c r="AF788" s="2408"/>
      <c r="AG788" s="2477"/>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2451"/>
      <c r="K789" s="2452"/>
      <c r="L789" s="2452"/>
      <c r="M789" s="2452"/>
      <c r="N789" s="2453"/>
      <c r="O789" s="2428"/>
      <c r="P789" s="2428"/>
      <c r="Q789" s="2428"/>
      <c r="R789" s="2428"/>
      <c r="S789" s="2428"/>
      <c r="T789" s="1238"/>
      <c r="U789" s="1239"/>
      <c r="V789" s="1239"/>
      <c r="W789" s="1240"/>
      <c r="X789" s="2473"/>
      <c r="Y789" s="2474"/>
      <c r="Z789" s="2474"/>
      <c r="AA789" s="2474"/>
      <c r="AB789" s="2475"/>
      <c r="AC789" s="2476">
        <f t="shared" si="63"/>
        <v>0</v>
      </c>
      <c r="AD789" s="2408"/>
      <c r="AE789" s="2408"/>
      <c r="AF789" s="2408"/>
      <c r="AG789" s="2477"/>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2451"/>
      <c r="K790" s="2452"/>
      <c r="L790" s="2452"/>
      <c r="M790" s="2452"/>
      <c r="N790" s="2453"/>
      <c r="O790" s="2428"/>
      <c r="P790" s="2428"/>
      <c r="Q790" s="2428"/>
      <c r="R790" s="2428"/>
      <c r="S790" s="2428"/>
      <c r="T790" s="1238"/>
      <c r="U790" s="1239"/>
      <c r="V790" s="1239"/>
      <c r="W790" s="1240"/>
      <c r="X790" s="2473"/>
      <c r="Y790" s="2474"/>
      <c r="Z790" s="2474"/>
      <c r="AA790" s="2474"/>
      <c r="AB790" s="2475"/>
      <c r="AC790" s="2476">
        <f t="shared" si="63"/>
        <v>0</v>
      </c>
      <c r="AD790" s="2408"/>
      <c r="AE790" s="2408"/>
      <c r="AF790" s="2408"/>
      <c r="AG790" s="2477"/>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2451"/>
      <c r="K791" s="2452"/>
      <c r="L791" s="2452"/>
      <c r="M791" s="2452"/>
      <c r="N791" s="2453"/>
      <c r="O791" s="2428"/>
      <c r="P791" s="2428"/>
      <c r="Q791" s="2428"/>
      <c r="R791" s="2428"/>
      <c r="S791" s="2428"/>
      <c r="T791" s="1238"/>
      <c r="U791" s="1239"/>
      <c r="V791" s="1239"/>
      <c r="W791" s="1240"/>
      <c r="X791" s="2473"/>
      <c r="Y791" s="2474"/>
      <c r="Z791" s="2474"/>
      <c r="AA791" s="2474"/>
      <c r="AB791" s="2475"/>
      <c r="AC791" s="2476">
        <f t="shared" si="63"/>
        <v>0</v>
      </c>
      <c r="AD791" s="2408"/>
      <c r="AE791" s="2408"/>
      <c r="AF791" s="2408"/>
      <c r="AG791" s="2477"/>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2451"/>
      <c r="K792" s="2452"/>
      <c r="L792" s="2452"/>
      <c r="M792" s="2452"/>
      <c r="N792" s="2453"/>
      <c r="O792" s="2428"/>
      <c r="P792" s="2428"/>
      <c r="Q792" s="2428"/>
      <c r="R792" s="2428"/>
      <c r="S792" s="2428"/>
      <c r="T792" s="1238"/>
      <c r="U792" s="1239"/>
      <c r="V792" s="1239"/>
      <c r="W792" s="1240"/>
      <c r="X792" s="2473"/>
      <c r="Y792" s="2474"/>
      <c r="Z792" s="2474"/>
      <c r="AA792" s="2474"/>
      <c r="AB792" s="2475"/>
      <c r="AC792" s="2476">
        <f t="shared" si="63"/>
        <v>0</v>
      </c>
      <c r="AD792" s="2408"/>
      <c r="AE792" s="2408"/>
      <c r="AF792" s="2408"/>
      <c r="AG792" s="2477"/>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2451"/>
      <c r="K793" s="2452"/>
      <c r="L793" s="2452"/>
      <c r="M793" s="2452"/>
      <c r="N793" s="2453"/>
      <c r="O793" s="2428"/>
      <c r="P793" s="2428"/>
      <c r="Q793" s="2428"/>
      <c r="R793" s="2428"/>
      <c r="S793" s="2428"/>
      <c r="T793" s="1238"/>
      <c r="U793" s="1239"/>
      <c r="V793" s="1239"/>
      <c r="W793" s="1240"/>
      <c r="X793" s="2473"/>
      <c r="Y793" s="2474"/>
      <c r="Z793" s="2474"/>
      <c r="AA793" s="2474"/>
      <c r="AB793" s="2475"/>
      <c r="AC793" s="2476">
        <f t="shared" si="63"/>
        <v>0</v>
      </c>
      <c r="AD793" s="2408"/>
      <c r="AE793" s="2408"/>
      <c r="AF793" s="2408"/>
      <c r="AG793" s="2477"/>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2451"/>
      <c r="K794" s="2452"/>
      <c r="L794" s="2452"/>
      <c r="M794" s="2452"/>
      <c r="N794" s="2453"/>
      <c r="O794" s="2428"/>
      <c r="P794" s="2428"/>
      <c r="Q794" s="2428"/>
      <c r="R794" s="2428"/>
      <c r="S794" s="2428"/>
      <c r="T794" s="1238"/>
      <c r="U794" s="1239"/>
      <c r="V794" s="1239"/>
      <c r="W794" s="1240"/>
      <c r="X794" s="2473"/>
      <c r="Y794" s="2474"/>
      <c r="Z794" s="2474"/>
      <c r="AA794" s="2474"/>
      <c r="AB794" s="2475"/>
      <c r="AC794" s="2476">
        <f t="shared" si="63"/>
        <v>0</v>
      </c>
      <c r="AD794" s="2408"/>
      <c r="AE794" s="2408"/>
      <c r="AF794" s="2408"/>
      <c r="AG794" s="2477"/>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2451"/>
      <c r="K795" s="2452"/>
      <c r="L795" s="2452"/>
      <c r="M795" s="2452"/>
      <c r="N795" s="2453"/>
      <c r="O795" s="2428"/>
      <c r="P795" s="2428"/>
      <c r="Q795" s="2428"/>
      <c r="R795" s="2428"/>
      <c r="S795" s="2428"/>
      <c r="T795" s="1238"/>
      <c r="U795" s="1239"/>
      <c r="V795" s="1239"/>
      <c r="W795" s="1240"/>
      <c r="X795" s="2473"/>
      <c r="Y795" s="2474"/>
      <c r="Z795" s="2474"/>
      <c r="AA795" s="2474"/>
      <c r="AB795" s="2475"/>
      <c r="AC795" s="2476">
        <f t="shared" si="63"/>
        <v>0</v>
      </c>
      <c r="AD795" s="2408"/>
      <c r="AE795" s="2408"/>
      <c r="AF795" s="2408"/>
      <c r="AG795" s="2477"/>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2451"/>
      <c r="K796" s="2452"/>
      <c r="L796" s="2452"/>
      <c r="M796" s="2452"/>
      <c r="N796" s="2453"/>
      <c r="O796" s="2428"/>
      <c r="P796" s="2428"/>
      <c r="Q796" s="2428"/>
      <c r="R796" s="2428"/>
      <c r="S796" s="2428"/>
      <c r="T796" s="1238"/>
      <c r="U796" s="1239"/>
      <c r="V796" s="1239"/>
      <c r="W796" s="1240"/>
      <c r="X796" s="2473"/>
      <c r="Y796" s="2474"/>
      <c r="Z796" s="2474"/>
      <c r="AA796" s="2474"/>
      <c r="AB796" s="2475"/>
      <c r="AC796" s="2476">
        <f t="shared" si="63"/>
        <v>0</v>
      </c>
      <c r="AD796" s="2408"/>
      <c r="AE796" s="2408"/>
      <c r="AF796" s="2408"/>
      <c r="AG796" s="2477"/>
      <c r="AH796"/>
      <c r="AI796"/>
      <c r="AJ796"/>
      <c r="AK796"/>
      <c r="AL796"/>
      <c r="AM796"/>
      <c r="AN796"/>
      <c r="AO796"/>
      <c r="AP796"/>
      <c r="AQ796"/>
      <c r="AR796"/>
      <c r="AS796"/>
      <c r="AT796"/>
      <c r="AU796"/>
      <c r="AV796"/>
      <c r="AW796"/>
      <c r="AX796"/>
      <c r="AY796"/>
      <c r="AZ796" s="3"/>
      <c r="BA796" s="3"/>
      <c r="BB796" s="14" t="s">
        <v>1577</v>
      </c>
      <c r="BC796" s="14"/>
      <c r="BD796" s="14"/>
      <c r="BE796" s="14"/>
      <c r="BF796" s="14"/>
      <c r="BG796" s="14"/>
      <c r="BH796" s="14"/>
      <c r="BI796" s="14"/>
      <c r="BJ796" s="14"/>
      <c r="BK796" s="14"/>
      <c r="BL796" s="14"/>
      <c r="BM796" s="14"/>
      <c r="BN796" s="1496" t="s">
        <v>1578</v>
      </c>
      <c r="BO796" s="1497"/>
      <c r="BP796" s="3"/>
      <c r="BQ796" s="3"/>
      <c r="BR796" s="3"/>
      <c r="BS796" s="14" t="s">
        <v>1579</v>
      </c>
      <c r="BT796" s="14"/>
      <c r="BU796" s="14"/>
      <c r="BV796" s="14"/>
      <c r="BW796" s="14"/>
      <c r="BX796" s="14"/>
      <c r="BY796" s="14"/>
      <c r="BZ796" s="14"/>
      <c r="CA796" s="14"/>
      <c r="CB796" s="2490" t="str">
        <f>T189</f>
        <v>San Diego</v>
      </c>
      <c r="CC796" s="2491"/>
      <c r="CD796" s="2491"/>
      <c r="CE796" s="2491"/>
      <c r="CF796" s="2491"/>
      <c r="CG796" s="2491"/>
      <c r="CH796" s="2492"/>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390" t="s">
        <v>1562</v>
      </c>
      <c r="K797" s="1391"/>
      <c r="L797" s="1391"/>
      <c r="M797" s="1391"/>
      <c r="N797" s="1392"/>
      <c r="O797" s="1241">
        <f>SUM(O787:S796)</f>
        <v>0</v>
      </c>
      <c r="P797" s="1241"/>
      <c r="Q797" s="1241"/>
      <c r="R797" s="1241"/>
      <c r="S797" s="1241"/>
      <c r="T797"/>
      <c r="U797"/>
      <c r="V797"/>
      <c r="W797"/>
      <c r="X797" s="824" t="s">
        <v>1563</v>
      </c>
      <c r="Y797" s="11"/>
      <c r="Z797" s="11"/>
      <c r="AA797" s="11"/>
      <c r="AB797" s="831"/>
      <c r="AC797" s="2476">
        <f>SUM(AC787:AG796)</f>
        <v>0</v>
      </c>
      <c r="AD797" s="2408"/>
      <c r="AE797" s="2408"/>
      <c r="AF797" s="2408"/>
      <c r="AG797" s="2477"/>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311" t="str">
        <f>IF(O797&lt;&gt;AG438,"! Total market rate units in the Unit Mix Table above does not match the number of  market rate units on row #"&amp;TEXT(ROW(D438),"#"),"")</f>
        <v/>
      </c>
      <c r="D798" s="1311"/>
      <c r="E798" s="1311"/>
      <c r="F798" s="1311"/>
      <c r="G798" s="1311"/>
      <c r="H798" s="1311"/>
      <c r="I798" s="1311"/>
      <c r="J798" s="1311"/>
      <c r="K798" s="1311"/>
      <c r="L798" s="1311"/>
      <c r="M798" s="1311"/>
      <c r="N798" s="1311"/>
      <c r="O798" s="1311"/>
      <c r="P798" s="1311"/>
      <c r="Q798" s="1311"/>
      <c r="R798" s="1311"/>
      <c r="S798" s="1311"/>
      <c r="T798" s="1311"/>
      <c r="U798" s="1311"/>
      <c r="V798" s="1311"/>
      <c r="W798" s="1311"/>
      <c r="X798" s="1311"/>
      <c r="Y798" s="1311"/>
      <c r="Z798" s="1311"/>
      <c r="AA798" s="1311"/>
      <c r="AB798" s="1311"/>
      <c r="AC798" s="1311"/>
      <c r="AD798" s="1311"/>
      <c r="AE798" s="1311"/>
      <c r="AF798" s="1311"/>
      <c r="AG798" s="1311"/>
      <c r="AH798" s="1311"/>
      <c r="AI798" s="1311"/>
      <c r="AJ798" s="1311"/>
      <c r="AK798" s="1311"/>
      <c r="AL798" s="1311"/>
      <c r="AM798" s="1311"/>
      <c r="AN798" s="1311"/>
      <c r="AO798"/>
      <c r="AP798"/>
      <c r="AQ798"/>
      <c r="AR798"/>
      <c r="AS798"/>
      <c r="AT798"/>
      <c r="AU798"/>
      <c r="AV798"/>
      <c r="AW798"/>
      <c r="AX798"/>
      <c r="AY798"/>
      <c r="AZ798" s="26"/>
      <c r="BA798" s="26"/>
      <c r="BB798" s="14"/>
      <c r="BC798" s="14"/>
      <c r="BD798" s="14"/>
      <c r="BE798" s="14"/>
      <c r="BF798" s="14"/>
      <c r="BG798" s="14"/>
      <c r="BH798" s="14"/>
      <c r="BI798" s="14"/>
      <c r="BJ798" s="14"/>
      <c r="BK798" s="14"/>
      <c r="BL798" s="14"/>
      <c r="BM798" s="14"/>
      <c r="BN798" s="58" t="s">
        <v>1578</v>
      </c>
      <c r="BO798" s="14"/>
      <c r="BP798" s="28"/>
      <c r="BQ798" s="28"/>
      <c r="BR798" s="28"/>
      <c r="BS798" s="28"/>
      <c r="BT798" s="28"/>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311"/>
      <c r="D799" s="1311"/>
      <c r="E799" s="1311"/>
      <c r="F799" s="1311"/>
      <c r="G799" s="1311"/>
      <c r="H799" s="1311"/>
      <c r="I799" s="1311"/>
      <c r="J799" s="1311"/>
      <c r="K799" s="1311"/>
      <c r="L799" s="1311"/>
      <c r="M799" s="1311"/>
      <c r="N799" s="1311"/>
      <c r="O799" s="1311"/>
      <c r="P799" s="1311"/>
      <c r="Q799" s="1311"/>
      <c r="R799" s="1311"/>
      <c r="S799" s="1311"/>
      <c r="T799" s="1311"/>
      <c r="U799" s="1311"/>
      <c r="V799" s="1311"/>
      <c r="W799" s="1311"/>
      <c r="X799" s="1311"/>
      <c r="Y799" s="1311"/>
      <c r="Z799" s="1311"/>
      <c r="AA799" s="1311"/>
      <c r="AB799" s="1311"/>
      <c r="AC799" s="1311"/>
      <c r="AD799" s="1311"/>
      <c r="AE799" s="1311"/>
      <c r="AF799" s="1311"/>
      <c r="AG799" s="1311"/>
      <c r="AH799" s="1311"/>
      <c r="AI799" s="1311"/>
      <c r="AJ799" s="1311"/>
      <c r="AK799" s="1311"/>
      <c r="AL799" s="1311"/>
      <c r="AM799" s="1311"/>
      <c r="AN799" s="1311"/>
      <c r="AO799"/>
      <c r="AP799"/>
      <c r="AQ799"/>
      <c r="AR799"/>
      <c r="AS799"/>
      <c r="AT799"/>
      <c r="AU799"/>
      <c r="AV799"/>
      <c r="AW799"/>
      <c r="AX799"/>
      <c r="AY799"/>
      <c r="AZ799" s="26"/>
      <c r="BA799" s="26"/>
      <c r="BB799" s="14"/>
      <c r="BC799" s="14"/>
      <c r="BD799" s="14"/>
      <c r="BE799" s="14"/>
      <c r="BF799" s="14"/>
      <c r="BG799" s="14"/>
      <c r="BH799" s="14"/>
      <c r="BI799" s="14"/>
      <c r="BJ799" s="14"/>
      <c r="BK799" s="14"/>
      <c r="BL799" s="14"/>
      <c r="BM799" s="14"/>
      <c r="BN799" s="58" t="s">
        <v>1580</v>
      </c>
      <c r="BO799" s="27" t="s">
        <v>1581</v>
      </c>
      <c r="BP799" s="28"/>
      <c r="BQ799" s="28"/>
      <c r="BR799" s="28"/>
      <c r="BS799" s="28"/>
      <c r="BT799" s="28"/>
      <c r="BU799" s="14"/>
      <c r="BV799" s="27" t="s">
        <v>1582</v>
      </c>
      <c r="BW799" s="14"/>
      <c r="BX799" s="14"/>
      <c r="BY799" s="14"/>
      <c r="BZ799" s="14"/>
      <c r="CA799" s="14"/>
      <c r="CB799" s="2493"/>
      <c r="CC799" s="2493"/>
      <c r="CD799" s="2493"/>
      <c r="CE799" s="2493"/>
      <c r="CF799" s="2493"/>
      <c r="CG799" s="2493"/>
      <c r="CH799" s="2493"/>
      <c r="CI799" s="2493"/>
      <c r="CJ799" s="2493"/>
      <c r="CK799" s="2493"/>
      <c r="CL799" s="2493"/>
      <c r="CM799" s="2493"/>
      <c r="CN799" s="2493"/>
      <c r="CO799" s="2493"/>
      <c r="CP799" s="2493"/>
      <c r="CQ799" s="2493"/>
      <c r="CR799" s="2493"/>
      <c r="CS799" s="2493"/>
      <c r="CT799" s="2493"/>
      <c r="CU799" s="2493"/>
      <c r="CV799" s="2493"/>
      <c r="CW799" s="2493"/>
      <c r="CX799" s="2493"/>
      <c r="CY799" s="2493"/>
      <c r="CZ799" s="2493"/>
      <c r="DA799" s="2493"/>
      <c r="DB799" s="2493"/>
      <c r="DC799" s="2493"/>
      <c r="DD799" s="2493"/>
      <c r="DE799" s="2493"/>
      <c r="DF799" s="2493"/>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38"/>
      <c r="K800" s="5"/>
      <c r="L800" s="5"/>
      <c r="M800" s="5"/>
      <c r="N800" s="5"/>
      <c r="O800" s="5"/>
      <c r="P800" s="5"/>
      <c r="Q800" s="5"/>
      <c r="R800" s="5"/>
      <c r="S800" s="5"/>
      <c r="T800" s="5"/>
      <c r="U800" s="5"/>
      <c r="V800" s="5"/>
      <c r="W800" s="5"/>
      <c r="X800" s="47" t="s">
        <v>1583</v>
      </c>
      <c r="Y800" s="1414">
        <f>O753+AC777+AC797</f>
        <v>69248</v>
      </c>
      <c r="Z800" s="1414"/>
      <c r="AA800" s="1414"/>
      <c r="AB800" s="1414"/>
      <c r="AC800" s="1414"/>
      <c r="AD800"/>
      <c r="AE800"/>
      <c r="AF800"/>
      <c r="AG800"/>
      <c r="AH800"/>
      <c r="AI800"/>
      <c r="AJ800"/>
      <c r="AK800"/>
      <c r="AL800"/>
      <c r="AM800"/>
      <c r="AN800"/>
      <c r="AO800"/>
      <c r="AP800"/>
      <c r="AQ800"/>
      <c r="AR800"/>
      <c r="AS800"/>
      <c r="AT800"/>
      <c r="AU800"/>
      <c r="AV800"/>
      <c r="AW800"/>
      <c r="AX800"/>
      <c r="AY800"/>
      <c r="AZ800" s="26"/>
      <c r="BA800" s="26"/>
      <c r="BB800" s="14"/>
      <c r="BC800" s="14"/>
      <c r="BD800" s="14"/>
      <c r="BE800" s="14"/>
      <c r="BF800" s="14"/>
      <c r="BG800" s="14"/>
      <c r="BH800" s="14"/>
      <c r="BI800" s="14"/>
      <c r="BJ800" s="14"/>
      <c r="BK800" s="14"/>
      <c r="BL800" s="14"/>
      <c r="BM800" s="14"/>
      <c r="BN800" s="58"/>
      <c r="BO800" s="27"/>
      <c r="BP800" s="28"/>
      <c r="BQ800" s="28"/>
      <c r="BR800" s="28"/>
      <c r="BS800" s="28"/>
      <c r="BT800" s="28"/>
      <c r="BU800" s="14"/>
      <c r="BV800" s="27"/>
      <c r="BW800" s="14"/>
      <c r="BX800" s="14"/>
      <c r="BY800" s="14"/>
      <c r="BZ800" s="14"/>
      <c r="CA800" s="14"/>
      <c r="CB800" s="2493"/>
      <c r="CC800" s="2493"/>
      <c r="CD800" s="2493"/>
      <c r="CE800" s="2493"/>
      <c r="CF800" s="2493"/>
      <c r="CG800" s="2493"/>
      <c r="CH800" s="2493"/>
      <c r="CI800" s="2493"/>
      <c r="CJ800" s="2493"/>
      <c r="CK800" s="2493"/>
      <c r="CL800" s="2493"/>
      <c r="CM800" s="2493"/>
      <c r="CN800" s="2493"/>
      <c r="CO800" s="2493"/>
      <c r="CP800" s="2493"/>
      <c r="CQ800" s="2493"/>
      <c r="CR800" s="2493"/>
      <c r="CS800" s="2493"/>
      <c r="CT800" s="2493"/>
      <c r="CU800" s="2493"/>
      <c r="CV800" s="2493"/>
      <c r="CW800" s="2493"/>
      <c r="CX800" s="2493"/>
      <c r="CY800" s="2493"/>
      <c r="CZ800" s="2493"/>
      <c r="DA800" s="2493"/>
      <c r="DB800" s="2493"/>
      <c r="DC800" s="2493"/>
      <c r="DD800" s="2493"/>
      <c r="DE800" s="2493"/>
      <c r="DF800" s="2493"/>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0"/>
      <c r="K801" s="41"/>
      <c r="L801" s="41"/>
      <c r="M801" s="41"/>
      <c r="N801" s="41"/>
      <c r="O801" s="41"/>
      <c r="P801" s="41"/>
      <c r="Q801" s="41"/>
      <c r="R801" s="41"/>
      <c r="S801" s="41"/>
      <c r="T801" s="41"/>
      <c r="U801" s="41"/>
      <c r="V801" s="41"/>
      <c r="W801" s="41"/>
      <c r="X801" s="70" t="s">
        <v>1584</v>
      </c>
      <c r="Y801" s="1414">
        <f>(O753+AC777+AC797)*12</f>
        <v>830976</v>
      </c>
      <c r="Z801" s="1414"/>
      <c r="AA801" s="1414"/>
      <c r="AB801" s="1414"/>
      <c r="AC801" s="1414"/>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58" t="s">
        <v>1578</v>
      </c>
      <c r="BO801" s="27"/>
      <c r="BP801" s="28"/>
      <c r="BQ801" s="28"/>
      <c r="BR801" s="28"/>
      <c r="BS801" s="28"/>
      <c r="BT801" s="28"/>
      <c r="BU801" s="14"/>
      <c r="BV801" s="27"/>
      <c r="BW801" s="14"/>
      <c r="BX801" s="14"/>
      <c r="BY801" s="14"/>
      <c r="BZ801" s="14"/>
      <c r="CA801" s="14"/>
      <c r="CB801" s="2493"/>
      <c r="CC801" s="2493"/>
      <c r="CD801" s="2493"/>
      <c r="CE801" s="2493"/>
      <c r="CF801" s="2493"/>
      <c r="CG801" s="2493"/>
      <c r="CH801" s="2493"/>
      <c r="CI801" s="2493"/>
      <c r="CJ801" s="2493"/>
      <c r="CK801" s="2493"/>
      <c r="CL801" s="2493"/>
      <c r="CM801" s="2493"/>
      <c r="CN801" s="2493"/>
      <c r="CO801" s="2493"/>
      <c r="CP801" s="2493"/>
      <c r="CQ801" s="2493"/>
      <c r="CR801" s="2493"/>
      <c r="CS801" s="2493"/>
      <c r="CT801" s="2493"/>
      <c r="CU801" s="2493"/>
      <c r="CV801" s="2493"/>
      <c r="CW801" s="2493"/>
      <c r="CX801" s="2493"/>
      <c r="CY801" s="2493"/>
      <c r="CZ801" s="2493"/>
      <c r="DA801" s="2493"/>
      <c r="DB801" s="2493"/>
      <c r="DC801" s="2493"/>
      <c r="DD801" s="2493"/>
      <c r="DE801" s="2493"/>
      <c r="DF801" s="2493"/>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58"/>
      <c r="BO802" s="27"/>
      <c r="BP802" s="28"/>
      <c r="BQ802" s="28"/>
      <c r="BR802" s="28"/>
      <c r="BS802" s="28"/>
      <c r="BT802" s="28"/>
      <c r="BU802" s="14"/>
      <c r="BV802" s="27"/>
      <c r="BW802" s="14"/>
      <c r="BX802" s="14"/>
      <c r="BY802" s="14"/>
      <c r="BZ802" s="14"/>
      <c r="CA802" s="14"/>
      <c r="CB802" s="2493"/>
      <c r="CC802" s="2493"/>
      <c r="CD802" s="2493"/>
      <c r="CE802" s="2493"/>
      <c r="CF802" s="2493"/>
      <c r="CG802" s="2493"/>
      <c r="CH802" s="2493"/>
      <c r="CI802" s="2493"/>
      <c r="CJ802" s="2493"/>
      <c r="CK802" s="2493"/>
      <c r="CL802" s="2493"/>
      <c r="CM802" s="2493"/>
      <c r="CN802" s="2493"/>
      <c r="CO802" s="2493"/>
      <c r="CP802" s="2493"/>
      <c r="CQ802" s="2493"/>
      <c r="CR802" s="2493"/>
      <c r="CS802" s="2493"/>
      <c r="CT802" s="2493"/>
      <c r="CU802" s="2493"/>
      <c r="CV802" s="2493"/>
      <c r="CW802" s="2493"/>
      <c r="CX802" s="2493"/>
      <c r="CY802" s="2493"/>
      <c r="CZ802" s="2493"/>
      <c r="DA802" s="2493"/>
      <c r="DB802" s="2493"/>
      <c r="DC802" s="2493"/>
      <c r="DD802" s="2493"/>
      <c r="DE802" s="2493"/>
      <c r="DF802" s="2493"/>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1057</v>
      </c>
      <c r="B803" s="2"/>
      <c r="C803" s="2" t="s">
        <v>211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28"/>
      <c r="BQ803" s="28"/>
      <c r="BR803" s="28"/>
      <c r="BS803" s="28"/>
      <c r="BT803" s="28"/>
      <c r="BU803" s="14"/>
      <c r="BV803" s="14"/>
      <c r="BW803" s="14"/>
      <c r="BX803" s="14"/>
      <c r="BY803" s="14"/>
      <c r="BZ803" s="14"/>
      <c r="CA803" s="14"/>
      <c r="CB803" s="2493"/>
      <c r="CC803" s="2493"/>
      <c r="CD803" s="2493"/>
      <c r="CE803" s="2493"/>
      <c r="CF803" s="2493"/>
      <c r="CG803" s="2493"/>
      <c r="CH803" s="2493"/>
      <c r="CI803" s="2493"/>
      <c r="CJ803" s="2493"/>
      <c r="CK803" s="2493"/>
      <c r="CL803" s="2493"/>
      <c r="CM803" s="2493"/>
      <c r="CN803" s="2493"/>
      <c r="CO803" s="2493"/>
      <c r="CP803" s="2493"/>
      <c r="CQ803" s="2493"/>
      <c r="CR803" s="2493"/>
      <c r="CS803" s="2493"/>
      <c r="CT803" s="2493"/>
      <c r="CU803" s="2493"/>
      <c r="CV803" s="2493"/>
      <c r="CW803" s="2493"/>
      <c r="CX803" s="2493"/>
      <c r="CY803" s="2493"/>
      <c r="CZ803" s="2493"/>
      <c r="DA803" s="2493"/>
      <c r="DB803" s="2493"/>
      <c r="DC803" s="2493"/>
      <c r="DD803" s="2493"/>
      <c r="DE803" s="2493"/>
      <c r="DF803" s="2493"/>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1585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28"/>
      <c r="BQ804" s="28"/>
      <c r="BR804" s="28"/>
      <c r="BS804" s="28"/>
      <c r="BT804" s="28"/>
      <c r="BU804" s="14"/>
      <c r="BV804" s="14"/>
      <c r="BW804" s="14"/>
      <c r="BX804" s="14"/>
      <c r="BY804" s="14"/>
      <c r="BZ804" s="14"/>
      <c r="CA804" s="14"/>
      <c r="CB804" s="2493"/>
      <c r="CC804" s="2493"/>
      <c r="CD804" s="2493"/>
      <c r="CE804" s="2493"/>
      <c r="CF804" s="2493"/>
      <c r="CG804" s="2493"/>
      <c r="CH804" s="2493"/>
      <c r="CI804" s="2493"/>
      <c r="CJ804" s="2493"/>
      <c r="CK804" s="2493"/>
      <c r="CL804" s="2493"/>
      <c r="CM804" s="2493"/>
      <c r="CN804" s="2493"/>
      <c r="CO804" s="2493"/>
      <c r="CP804" s="2493"/>
      <c r="CQ804" s="2493"/>
      <c r="CR804" s="2493"/>
      <c r="CS804" s="2493"/>
      <c r="CT804" s="2493"/>
      <c r="CU804" s="2493"/>
      <c r="CV804" s="2493"/>
      <c r="CW804" s="2493"/>
      <c r="CX804" s="2493"/>
      <c r="CY804" s="2493"/>
      <c r="CZ804" s="2493"/>
      <c r="DA804" s="2493"/>
      <c r="DB804" s="2493"/>
      <c r="DC804" s="2493"/>
      <c r="DD804" s="2493"/>
      <c r="DE804" s="2493"/>
      <c r="DF804" s="2493"/>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2494" t="s">
        <v>1503</v>
      </c>
      <c r="BQ805" s="2495" t="s">
        <v>1376</v>
      </c>
      <c r="BR805" s="2495" t="s">
        <v>1377</v>
      </c>
      <c r="BS805" s="2495" t="s">
        <v>1378</v>
      </c>
      <c r="BT805" s="2495" t="s">
        <v>1504</v>
      </c>
      <c r="BU805" s="14"/>
      <c r="BV805" s="14"/>
      <c r="BW805" s="2494" t="s">
        <v>1503</v>
      </c>
      <c r="BX805" s="2495" t="s">
        <v>1376</v>
      </c>
      <c r="BY805" s="2495" t="s">
        <v>1377</v>
      </c>
      <c r="BZ805" s="2495" t="s">
        <v>1378</v>
      </c>
      <c r="CA805" s="2495" t="s">
        <v>1504</v>
      </c>
      <c r="CB805" s="2493"/>
      <c r="CC805" s="2493"/>
      <c r="CD805" s="2493"/>
      <c r="CE805" s="2493"/>
      <c r="CF805" s="2493"/>
      <c r="CG805" s="2493"/>
      <c r="CH805" s="2493"/>
      <c r="CI805" s="2493"/>
      <c r="CJ805" s="2493"/>
      <c r="CK805" s="2493"/>
      <c r="CL805" s="2493"/>
      <c r="CM805" s="2493"/>
      <c r="CN805" s="2493"/>
      <c r="CO805" s="2493"/>
      <c r="CP805" s="2493"/>
      <c r="CQ805" s="2493"/>
      <c r="CR805" s="2493"/>
      <c r="CS805" s="2493"/>
      <c r="CT805" s="2493"/>
      <c r="CU805" s="2493"/>
      <c r="CV805" s="2493"/>
      <c r="CW805" s="2493"/>
      <c r="CX805" s="2493"/>
      <c r="CY805" s="2493"/>
      <c r="CZ805" s="2493"/>
      <c r="DA805" s="2493"/>
      <c r="DB805" s="2493"/>
      <c r="DC805" s="2493"/>
      <c r="DD805" s="2493"/>
      <c r="DE805" s="2493"/>
      <c r="DF805" s="2493"/>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38" t="s">
        <v>1586</v>
      </c>
      <c r="I806" s="5"/>
      <c r="J806" s="5"/>
      <c r="K806" s="5"/>
      <c r="L806" s="5"/>
      <c r="M806" s="5"/>
      <c r="N806" s="5"/>
      <c r="O806" s="5"/>
      <c r="P806" s="5"/>
      <c r="Q806" s="5"/>
      <c r="R806" s="5"/>
      <c r="S806" s="5"/>
      <c r="T806" s="5"/>
      <c r="U806" s="5"/>
      <c r="V806" s="5"/>
      <c r="W806" s="5"/>
      <c r="X806" s="5"/>
      <c r="Y806" s="5"/>
      <c r="Z806" s="1500">
        <v>12</v>
      </c>
      <c r="AA806" s="1501"/>
      <c r="AB806" s="1501"/>
      <c r="AC806" s="1501"/>
      <c r="AD806" s="1501"/>
      <c r="AE806" s="1502"/>
      <c r="AF806"/>
      <c r="AG806"/>
      <c r="AH806"/>
      <c r="AI806"/>
      <c r="AJ806"/>
      <c r="AK806"/>
      <c r="AL806"/>
      <c r="AM806"/>
      <c r="AN806"/>
      <c r="AO806"/>
      <c r="AP806"/>
      <c r="AQ806"/>
      <c r="AR806"/>
      <c r="AS806"/>
      <c r="AT806"/>
      <c r="AU806"/>
      <c r="AV806"/>
      <c r="AW806"/>
      <c r="AX806"/>
      <c r="AY806"/>
      <c r="AZ806" s="3"/>
      <c r="BA806" s="3"/>
      <c r="BB806" s="3"/>
      <c r="BC806" s="3"/>
      <c r="BD806" s="3"/>
      <c r="BE806" s="14"/>
      <c r="BF806" s="14"/>
      <c r="BG806" s="14"/>
      <c r="BH806" s="14"/>
      <c r="BI806" s="14"/>
      <c r="BJ806" s="14"/>
      <c r="BK806" s="14"/>
      <c r="BL806" s="14"/>
      <c r="BM806" s="14"/>
      <c r="BN806" s="14"/>
      <c r="BO806" s="140" t="s">
        <v>878</v>
      </c>
      <c r="BP806" s="247">
        <v>473390</v>
      </c>
      <c r="BQ806" s="247">
        <v>545814</v>
      </c>
      <c r="BR806" s="247">
        <v>658400</v>
      </c>
      <c r="BS806" s="247">
        <v>842752</v>
      </c>
      <c r="BT806" s="247">
        <v>938878</v>
      </c>
      <c r="BU806" s="14"/>
      <c r="BV806" s="140" t="s">
        <v>878</v>
      </c>
      <c r="BW806" s="247">
        <v>473390</v>
      </c>
      <c r="BX806" s="247">
        <v>545814</v>
      </c>
      <c r="BY806" s="247">
        <v>658400</v>
      </c>
      <c r="BZ806" s="247">
        <v>842752</v>
      </c>
      <c r="CA806" s="247">
        <v>938878</v>
      </c>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s="3"/>
      <c r="FC806" s="3"/>
    </row>
    <row r="807" spans="1:159" s="4" customFormat="1" ht="12.95" customHeight="1">
      <c r="A807"/>
      <c r="B807"/>
      <c r="C807"/>
      <c r="D807"/>
      <c r="E807"/>
      <c r="F807"/>
      <c r="G807"/>
      <c r="H807" s="38" t="s">
        <v>1587</v>
      </c>
      <c r="I807" s="5"/>
      <c r="J807" s="5"/>
      <c r="K807" s="5"/>
      <c r="L807" s="5"/>
      <c r="M807" s="5"/>
      <c r="N807" s="5"/>
      <c r="O807" s="5"/>
      <c r="P807" s="5"/>
      <c r="Q807" s="5"/>
      <c r="R807" s="5"/>
      <c r="S807" s="5"/>
      <c r="T807" s="5"/>
      <c r="U807" s="5"/>
      <c r="V807" s="5"/>
      <c r="W807" s="5"/>
      <c r="X807" s="5"/>
      <c r="Y807" s="5"/>
      <c r="Z807" s="1516">
        <v>15</v>
      </c>
      <c r="AA807" s="1501"/>
      <c r="AB807" s="1501"/>
      <c r="AC807" s="1501"/>
      <c r="AD807" s="1501"/>
      <c r="AE807" s="1502"/>
      <c r="AF807"/>
      <c r="AG807"/>
      <c r="AH807"/>
      <c r="AI807"/>
      <c r="AJ807"/>
      <c r="AK807"/>
      <c r="AL807"/>
      <c r="AM807"/>
      <c r="AN807"/>
      <c r="AO807"/>
      <c r="AP807"/>
      <c r="AQ807"/>
      <c r="AR807"/>
      <c r="AS807"/>
      <c r="AT807"/>
      <c r="AU807"/>
      <c r="AV807"/>
      <c r="AW807"/>
      <c r="AX807"/>
      <c r="AY807"/>
      <c r="AZ807" s="3"/>
      <c r="BA807" s="3"/>
      <c r="BB807" s="3"/>
      <c r="BC807" s="3"/>
      <c r="BD807" s="3"/>
      <c r="BE807" s="14"/>
      <c r="BF807" s="14"/>
      <c r="BG807" s="14"/>
      <c r="BH807" s="14"/>
      <c r="BI807" s="14"/>
      <c r="BJ807" s="14"/>
      <c r="BK807" s="14"/>
      <c r="BL807" s="14"/>
      <c r="BM807" s="14"/>
      <c r="BN807" s="14"/>
      <c r="BO807" s="140" t="s">
        <v>881</v>
      </c>
      <c r="BP807" s="245">
        <v>352022</v>
      </c>
      <c r="BQ807" s="245">
        <v>405878</v>
      </c>
      <c r="BR807" s="245">
        <v>489600</v>
      </c>
      <c r="BS807" s="245">
        <v>626688</v>
      </c>
      <c r="BT807" s="245">
        <v>698170</v>
      </c>
      <c r="BU807" s="14"/>
      <c r="BV807" s="140" t="s">
        <v>881</v>
      </c>
      <c r="BW807" s="245">
        <v>352022</v>
      </c>
      <c r="BX807" s="245">
        <v>405878</v>
      </c>
      <c r="BY807" s="245">
        <v>489600</v>
      </c>
      <c r="BZ807" s="245">
        <v>626688</v>
      </c>
      <c r="CA807" s="245">
        <v>698170</v>
      </c>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s="3"/>
      <c r="FC807" s="3"/>
    </row>
    <row r="808" spans="1:159" s="4" customFormat="1" ht="12.95" customHeight="1">
      <c r="A808"/>
      <c r="B808"/>
      <c r="C808"/>
      <c r="D808"/>
      <c r="E808"/>
      <c r="F808"/>
      <c r="G808"/>
      <c r="H808" s="38" t="s">
        <v>1588</v>
      </c>
      <c r="I808" s="5"/>
      <c r="J808" s="5"/>
      <c r="K808" s="5"/>
      <c r="L808" s="5"/>
      <c r="M808" s="5"/>
      <c r="N808" s="5"/>
      <c r="O808" s="5"/>
      <c r="P808" s="5"/>
      <c r="Q808" s="5"/>
      <c r="R808" s="5"/>
      <c r="S808" s="5"/>
      <c r="T808" s="5"/>
      <c r="U808" s="5"/>
      <c r="V808" s="5"/>
      <c r="W808" s="5"/>
      <c r="X808" s="5"/>
      <c r="Y808" s="5"/>
      <c r="Z808" s="1402">
        <v>50848</v>
      </c>
      <c r="AA808" s="1403"/>
      <c r="AB808" s="1403"/>
      <c r="AC808" s="1403"/>
      <c r="AD808" s="1403"/>
      <c r="AE808" s="1404"/>
      <c r="AF808"/>
      <c r="AG808"/>
      <c r="AH808"/>
      <c r="AI808"/>
      <c r="AJ808"/>
      <c r="AK808"/>
      <c r="AL808"/>
      <c r="AM808"/>
      <c r="AN808"/>
      <c r="AO808"/>
      <c r="AP808"/>
      <c r="AQ808"/>
      <c r="AR808"/>
      <c r="AS808"/>
      <c r="AT808"/>
      <c r="AU808" s="3"/>
      <c r="AV808"/>
      <c r="AW808"/>
      <c r="AX808"/>
      <c r="AY808"/>
      <c r="AZ808" s="3"/>
      <c r="BA808" s="3"/>
      <c r="BB808" s="3"/>
      <c r="BC808" s="3"/>
      <c r="BD808" s="3"/>
      <c r="BE808" s="14"/>
      <c r="BF808" s="14"/>
      <c r="BG808" s="14"/>
      <c r="BH808" s="14"/>
      <c r="BI808" s="14"/>
      <c r="BJ808" s="14"/>
      <c r="BK808" s="14"/>
      <c r="BL808" s="14"/>
      <c r="BM808" s="14"/>
      <c r="BN808" s="14"/>
      <c r="BO808" s="140" t="s">
        <v>886</v>
      </c>
      <c r="BP808" s="247">
        <v>352022</v>
      </c>
      <c r="BQ808" s="247">
        <v>405878</v>
      </c>
      <c r="BR808" s="247">
        <v>489600</v>
      </c>
      <c r="BS808" s="247">
        <v>626688</v>
      </c>
      <c r="BT808" s="247">
        <v>698170</v>
      </c>
      <c r="BU808" s="14"/>
      <c r="BV808" s="140" t="s">
        <v>886</v>
      </c>
      <c r="BW808" s="247">
        <v>352022</v>
      </c>
      <c r="BX808" s="247">
        <v>405878</v>
      </c>
      <c r="BY808" s="247">
        <v>489600</v>
      </c>
      <c r="BZ808" s="247">
        <v>626688</v>
      </c>
      <c r="CA808" s="247">
        <v>698170</v>
      </c>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c r="FB808" s="3"/>
      <c r="FC808" s="3"/>
    </row>
    <row r="809" spans="1:159" s="4" customFormat="1" ht="12.95" customHeight="1">
      <c r="A809"/>
      <c r="B809"/>
      <c r="C809"/>
      <c r="D809"/>
      <c r="E809"/>
      <c r="F809"/>
      <c r="G809"/>
      <c r="H809" s="38"/>
      <c r="I809" s="5"/>
      <c r="J809" s="5"/>
      <c r="K809" s="5"/>
      <c r="L809" s="5"/>
      <c r="M809" s="5"/>
      <c r="N809" s="5"/>
      <c r="O809" s="5"/>
      <c r="P809" s="5"/>
      <c r="Q809" s="5"/>
      <c r="R809" s="5"/>
      <c r="S809" s="5"/>
      <c r="T809" s="5"/>
      <c r="U809" s="5"/>
      <c r="V809" s="5"/>
      <c r="W809" s="5"/>
      <c r="X809" s="5"/>
      <c r="Y809" s="46" t="s">
        <v>1589</v>
      </c>
      <c r="Z809" s="1406">
        <f>'Subsidy Contract Calculation'!J40</f>
        <v>207360</v>
      </c>
      <c r="AA809" s="1407"/>
      <c r="AB809" s="1407"/>
      <c r="AC809" s="1407"/>
      <c r="AD809" s="1407"/>
      <c r="AE809" s="1408"/>
      <c r="AF809"/>
      <c r="AG809"/>
      <c r="AH809"/>
      <c r="AI809"/>
      <c r="AJ809"/>
      <c r="AK809"/>
      <c r="AL809"/>
      <c r="AM809"/>
      <c r="AN809"/>
      <c r="AO809"/>
      <c r="AP809"/>
      <c r="AQ809"/>
      <c r="AR809"/>
      <c r="AS809"/>
      <c r="AT809"/>
      <c r="AU809" s="3"/>
      <c r="AV809"/>
      <c r="AW809"/>
      <c r="AX809"/>
      <c r="AY809"/>
      <c r="AZ809" s="3"/>
      <c r="BA809" s="3"/>
      <c r="BB809" s="3"/>
      <c r="BC809" s="3"/>
      <c r="BD809" s="3"/>
      <c r="BE809" s="14"/>
      <c r="BF809" s="14"/>
      <c r="BG809" s="14"/>
      <c r="BH809" s="14"/>
      <c r="BI809" s="14"/>
      <c r="BJ809" s="14"/>
      <c r="BK809" s="14"/>
      <c r="BL809" s="14"/>
      <c r="BM809" s="14"/>
      <c r="BN809" s="14"/>
      <c r="BO809" s="140" t="s">
        <v>890</v>
      </c>
      <c r="BP809" s="245">
        <v>319236</v>
      </c>
      <c r="BQ809" s="245">
        <v>368076</v>
      </c>
      <c r="BR809" s="245">
        <v>444000</v>
      </c>
      <c r="BS809" s="245">
        <v>568320</v>
      </c>
      <c r="BT809" s="245">
        <v>633144</v>
      </c>
      <c r="BU809" s="14"/>
      <c r="BV809" s="140" t="s">
        <v>890</v>
      </c>
      <c r="BW809" s="245">
        <v>319236</v>
      </c>
      <c r="BX809" s="245">
        <v>368076</v>
      </c>
      <c r="BY809" s="245">
        <v>444000</v>
      </c>
      <c r="BZ809" s="245">
        <v>568320</v>
      </c>
      <c r="CA809" s="245">
        <v>633144</v>
      </c>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c r="FB809" s="3"/>
      <c r="FC809" s="3"/>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AZ810" s="3"/>
      <c r="BA810" s="3"/>
      <c r="BB810" s="3"/>
      <c r="BC810" s="3"/>
      <c r="BD810" s="3"/>
      <c r="BE810" s="14"/>
      <c r="BF810" s="14"/>
      <c r="BG810" s="14"/>
      <c r="BH810" s="14"/>
      <c r="BI810" s="14"/>
      <c r="BJ810" s="14"/>
      <c r="BK810" s="14"/>
      <c r="BL810" s="14"/>
      <c r="BM810" s="14"/>
      <c r="BN810" s="14"/>
      <c r="BO810" s="140" t="s">
        <v>895</v>
      </c>
      <c r="BP810" s="247">
        <v>352022</v>
      </c>
      <c r="BQ810" s="247">
        <v>405878</v>
      </c>
      <c r="BR810" s="247">
        <v>489600</v>
      </c>
      <c r="BS810" s="247">
        <v>626688</v>
      </c>
      <c r="BT810" s="247">
        <v>698170</v>
      </c>
      <c r="BU810" s="14"/>
      <c r="BV810" s="140" t="s">
        <v>895</v>
      </c>
      <c r="BW810" s="247">
        <v>352022</v>
      </c>
      <c r="BX810" s="247">
        <v>405878</v>
      </c>
      <c r="BY810" s="247">
        <v>489600</v>
      </c>
      <c r="BZ810" s="247">
        <v>626688</v>
      </c>
      <c r="CA810" s="247">
        <v>698170</v>
      </c>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c r="FB810" s="3"/>
      <c r="FC810" s="3"/>
    </row>
    <row r="811" spans="1:159" s="4" customFormat="1" ht="12.95" customHeight="1">
      <c r="A811" s="2" t="s">
        <v>1069</v>
      </c>
      <c r="B811" s="2"/>
      <c r="C811" s="2" t="s">
        <v>214</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AZ811" s="3"/>
      <c r="BA811" s="3"/>
      <c r="BB811" s="3"/>
      <c r="BC811" s="3"/>
      <c r="BD811" s="3"/>
      <c r="BE811" s="14"/>
      <c r="BF811" s="14"/>
      <c r="BG811" s="14"/>
      <c r="BH811" s="14"/>
      <c r="BI811" s="14"/>
      <c r="BJ811" s="14"/>
      <c r="BK811" s="14"/>
      <c r="BL811" s="14"/>
      <c r="BM811" s="14"/>
      <c r="BN811" s="14"/>
      <c r="BO811" s="140" t="s">
        <v>897</v>
      </c>
      <c r="BP811" s="245">
        <v>352022</v>
      </c>
      <c r="BQ811" s="245">
        <v>405878</v>
      </c>
      <c r="BR811" s="245">
        <v>489600</v>
      </c>
      <c r="BS811" s="245">
        <v>626688</v>
      </c>
      <c r="BT811" s="245">
        <v>698170</v>
      </c>
      <c r="BU811" s="14"/>
      <c r="BV811" s="140" t="s">
        <v>897</v>
      </c>
      <c r="BW811" s="245">
        <v>352022</v>
      </c>
      <c r="BX811" s="245">
        <v>405878</v>
      </c>
      <c r="BY811" s="245">
        <v>489600</v>
      </c>
      <c r="BZ811" s="245">
        <v>626688</v>
      </c>
      <c r="CA811" s="245">
        <v>698170</v>
      </c>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c r="FB811" s="3"/>
      <c r="FC811" s="3"/>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AZ812" s="3"/>
      <c r="BA812" s="3"/>
      <c r="BB812" s="3"/>
      <c r="BC812" s="3"/>
      <c r="BD812" s="3"/>
      <c r="BE812" s="14"/>
      <c r="BF812" s="14"/>
      <c r="BG812" s="14"/>
      <c r="BH812" s="14"/>
      <c r="BI812" s="14"/>
      <c r="BJ812" s="14"/>
      <c r="BK812" s="14"/>
      <c r="BL812" s="14"/>
      <c r="BM812" s="14"/>
      <c r="BN812" s="14"/>
      <c r="BO812" s="140" t="s">
        <v>901</v>
      </c>
      <c r="BP812" s="247">
        <v>473390</v>
      </c>
      <c r="BQ812" s="247">
        <v>545814</v>
      </c>
      <c r="BR812" s="247">
        <v>658400</v>
      </c>
      <c r="BS812" s="247">
        <v>842752</v>
      </c>
      <c r="BT812" s="247">
        <v>938878</v>
      </c>
      <c r="BU812" s="14"/>
      <c r="BV812" s="140" t="s">
        <v>901</v>
      </c>
      <c r="BW812" s="247">
        <v>473390</v>
      </c>
      <c r="BX812" s="247">
        <v>545814</v>
      </c>
      <c r="BY812" s="247">
        <v>658400</v>
      </c>
      <c r="BZ812" s="247">
        <v>842752</v>
      </c>
      <c r="CA812" s="247">
        <v>938878</v>
      </c>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c r="FB812" s="3"/>
      <c r="FC812" s="3"/>
    </row>
    <row r="813" spans="1:159" s="4" customFormat="1" ht="12.95" customHeight="1">
      <c r="A813"/>
      <c r="B813"/>
      <c r="C813"/>
      <c r="D813"/>
      <c r="E813"/>
      <c r="F813"/>
      <c r="G813"/>
      <c r="H813" s="38" t="s">
        <v>1590</v>
      </c>
      <c r="I813" s="5"/>
      <c r="J813" s="5"/>
      <c r="K813" s="5"/>
      <c r="L813" s="5"/>
      <c r="M813" s="5"/>
      <c r="N813" s="5"/>
      <c r="O813" s="5"/>
      <c r="P813" s="5"/>
      <c r="Q813" s="5"/>
      <c r="R813" s="5"/>
      <c r="S813" s="5"/>
      <c r="T813" s="5"/>
      <c r="U813" s="5"/>
      <c r="V813" s="5"/>
      <c r="W813" s="5"/>
      <c r="X813" s="5"/>
      <c r="Y813" s="5"/>
      <c r="Z813" s="1320">
        <v>6912</v>
      </c>
      <c r="AA813" s="1321"/>
      <c r="AB813" s="1321"/>
      <c r="AC813" s="1321"/>
      <c r="AD813" s="1321"/>
      <c r="AE813" s="1322"/>
      <c r="AF813"/>
      <c r="AG813"/>
      <c r="AH813"/>
      <c r="AI813"/>
      <c r="AJ813"/>
      <c r="AK813"/>
      <c r="AL813"/>
      <c r="AM813"/>
      <c r="AN813"/>
      <c r="AO813"/>
      <c r="AP813"/>
      <c r="AQ813"/>
      <c r="AR813"/>
      <c r="AS813"/>
      <c r="AT813"/>
      <c r="AU813" s="3"/>
      <c r="AV813"/>
      <c r="AW813"/>
      <c r="AX813"/>
      <c r="AY813"/>
      <c r="AZ813" s="3"/>
      <c r="BA813" s="3"/>
      <c r="BB813" s="3"/>
      <c r="BC813" s="3"/>
      <c r="BD813" s="3"/>
      <c r="BE813" s="3"/>
      <c r="BF813" s="14"/>
      <c r="BG813" s="14"/>
      <c r="BH813" s="14"/>
      <c r="BI813" s="14"/>
      <c r="BJ813" s="14"/>
      <c r="BK813" s="14"/>
      <c r="BL813" s="14"/>
      <c r="BM813" s="14"/>
      <c r="BN813" s="14"/>
      <c r="BO813" s="140" t="s">
        <v>904</v>
      </c>
      <c r="BP813" s="245">
        <v>352022</v>
      </c>
      <c r="BQ813" s="245">
        <v>405878</v>
      </c>
      <c r="BR813" s="245">
        <v>489600</v>
      </c>
      <c r="BS813" s="245">
        <v>626688</v>
      </c>
      <c r="BT813" s="245">
        <v>698170</v>
      </c>
      <c r="BU813" s="14"/>
      <c r="BV813" s="140" t="s">
        <v>904</v>
      </c>
      <c r="BW813" s="245">
        <v>352022</v>
      </c>
      <c r="BX813" s="245">
        <v>405878</v>
      </c>
      <c r="BY813" s="245">
        <v>489600</v>
      </c>
      <c r="BZ813" s="245">
        <v>626688</v>
      </c>
      <c r="CA813" s="245">
        <v>698170</v>
      </c>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c r="FB813" s="3"/>
      <c r="FC813" s="3"/>
    </row>
    <row r="814" spans="1:159" s="4" customFormat="1" ht="12.95" customHeight="1">
      <c r="A814"/>
      <c r="B814"/>
      <c r="C814"/>
      <c r="D814"/>
      <c r="E814"/>
      <c r="F814"/>
      <c r="G814"/>
      <c r="H814" s="38" t="s">
        <v>1591</v>
      </c>
      <c r="I814" s="5"/>
      <c r="J814" s="5"/>
      <c r="K814" s="5"/>
      <c r="L814" s="5"/>
      <c r="M814" s="5"/>
      <c r="N814" s="5"/>
      <c r="O814" s="5"/>
      <c r="P814" s="5"/>
      <c r="Q814" s="5"/>
      <c r="R814" s="5"/>
      <c r="S814" s="5"/>
      <c r="T814" s="5"/>
      <c r="U814" s="5"/>
      <c r="V814" s="5"/>
      <c r="W814" s="5"/>
      <c r="X814" s="5"/>
      <c r="Y814" s="5"/>
      <c r="Z814" s="1320"/>
      <c r="AA814" s="1321"/>
      <c r="AB814" s="1321"/>
      <c r="AC814" s="1321"/>
      <c r="AD814" s="1321"/>
      <c r="AE814" s="1322"/>
      <c r="AF814"/>
      <c r="AG814"/>
      <c r="AH814"/>
      <c r="AI814"/>
      <c r="AJ814"/>
      <c r="AK814"/>
      <c r="AL814"/>
      <c r="AM814"/>
      <c r="AN814"/>
      <c r="AO814"/>
      <c r="AP814"/>
      <c r="AQ814"/>
      <c r="AR814"/>
      <c r="AS814"/>
      <c r="AT814"/>
      <c r="AU814" s="3"/>
      <c r="AV814"/>
      <c r="AW814"/>
      <c r="AX814"/>
      <c r="AY814"/>
      <c r="AZ814" s="26"/>
      <c r="BA814" s="26"/>
      <c r="BB814" s="14"/>
      <c r="BC814" s="14"/>
      <c r="BD814" s="14"/>
      <c r="BE814" s="14"/>
      <c r="BF814" s="14"/>
      <c r="BG814" s="14"/>
      <c r="BH814" s="14"/>
      <c r="BI814" s="14"/>
      <c r="BJ814" s="14"/>
      <c r="BK814" s="14"/>
      <c r="BL814" s="14"/>
      <c r="BM814" s="14"/>
      <c r="BN814" s="14"/>
      <c r="BO814" s="140" t="s">
        <v>906</v>
      </c>
      <c r="BP814" s="247">
        <v>331890</v>
      </c>
      <c r="BQ814" s="247">
        <v>382666</v>
      </c>
      <c r="BR814" s="247">
        <v>461600</v>
      </c>
      <c r="BS814" s="247">
        <v>590848</v>
      </c>
      <c r="BT814" s="247">
        <v>658242</v>
      </c>
      <c r="BU814" s="14"/>
      <c r="BV814" s="140" t="s">
        <v>906</v>
      </c>
      <c r="BW814" s="247">
        <v>331890</v>
      </c>
      <c r="BX814" s="247">
        <v>382666</v>
      </c>
      <c r="BY814" s="247">
        <v>461600</v>
      </c>
      <c r="BZ814" s="247">
        <v>590848</v>
      </c>
      <c r="CA814" s="247">
        <v>658242</v>
      </c>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c r="FB814" s="3"/>
      <c r="FC814" s="3"/>
    </row>
    <row r="815" spans="1:159" s="4" customFormat="1" ht="12.95" customHeight="1">
      <c r="A815"/>
      <c r="B815"/>
      <c r="C815"/>
      <c r="D815"/>
      <c r="E815"/>
      <c r="F815"/>
      <c r="G815"/>
      <c r="H815" s="38" t="s">
        <v>1592</v>
      </c>
      <c r="I815" s="5"/>
      <c r="J815" s="5"/>
      <c r="K815" s="5"/>
      <c r="L815" s="5"/>
      <c r="M815" s="5"/>
      <c r="N815" s="5"/>
      <c r="O815" s="5"/>
      <c r="P815" s="5"/>
      <c r="Q815" s="5"/>
      <c r="R815" s="5"/>
      <c r="S815" s="5"/>
      <c r="T815" s="5"/>
      <c r="U815" s="5"/>
      <c r="V815" s="5"/>
      <c r="W815" s="5"/>
      <c r="X815" s="5"/>
      <c r="Y815" s="5"/>
      <c r="Z815" s="1320"/>
      <c r="AA815" s="1321"/>
      <c r="AB815" s="1321"/>
      <c r="AC815" s="1321"/>
      <c r="AD815" s="1321"/>
      <c r="AE815" s="1322"/>
      <c r="AF815"/>
      <c r="AG815"/>
      <c r="AH815"/>
      <c r="AI815"/>
      <c r="AJ815"/>
      <c r="AK815"/>
      <c r="AL815"/>
      <c r="AM815"/>
      <c r="AN815"/>
      <c r="AO815"/>
      <c r="AP815"/>
      <c r="AQ815"/>
      <c r="AR815"/>
      <c r="AS815"/>
      <c r="AT815"/>
      <c r="AU815" s="3"/>
      <c r="AV815"/>
      <c r="AW815"/>
      <c r="AX815"/>
      <c r="AY815"/>
      <c r="AZ815" s="26"/>
      <c r="BA815" s="26"/>
      <c r="BB815" s="14"/>
      <c r="BC815" s="14"/>
      <c r="BD815" s="14"/>
      <c r="BE815" s="14"/>
      <c r="BF815" s="14"/>
      <c r="BG815" s="14"/>
      <c r="BH815" s="14"/>
      <c r="BI815" s="14"/>
      <c r="BJ815" s="14"/>
      <c r="BK815" s="14"/>
      <c r="BL815" s="14"/>
      <c r="BM815" s="14"/>
      <c r="BN815" s="14"/>
      <c r="BO815" s="140" t="s">
        <v>908</v>
      </c>
      <c r="BP815" s="245">
        <v>307732</v>
      </c>
      <c r="BQ815" s="245">
        <v>354812</v>
      </c>
      <c r="BR815" s="245">
        <v>428000</v>
      </c>
      <c r="BS815" s="245">
        <v>547840</v>
      </c>
      <c r="BT815" s="245">
        <v>610328</v>
      </c>
      <c r="BU815" s="14"/>
      <c r="BV815" s="140" t="s">
        <v>908</v>
      </c>
      <c r="BW815" s="245">
        <v>307732</v>
      </c>
      <c r="BX815" s="245">
        <v>354812</v>
      </c>
      <c r="BY815" s="245">
        <v>428000</v>
      </c>
      <c r="BZ815" s="245">
        <v>547840</v>
      </c>
      <c r="CA815" s="245">
        <v>610328</v>
      </c>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c r="FB815" s="3"/>
      <c r="FC815" s="3"/>
    </row>
    <row r="816" spans="1:159" s="4" customFormat="1" ht="12.95" customHeight="1">
      <c r="A816"/>
      <c r="B816"/>
      <c r="C816"/>
      <c r="D816"/>
      <c r="E816"/>
      <c r="F816"/>
      <c r="G816"/>
      <c r="H816" s="38" t="s">
        <v>1593</v>
      </c>
      <c r="I816" s="5"/>
      <c r="J816" s="5"/>
      <c r="K816" s="5"/>
      <c r="L816" s="5"/>
      <c r="M816" s="5"/>
      <c r="N816" s="5"/>
      <c r="O816" s="5"/>
      <c r="P816" s="1387" t="s">
        <v>1594</v>
      </c>
      <c r="Q816" s="1388"/>
      <c r="R816" s="1388"/>
      <c r="S816" s="1388"/>
      <c r="T816" s="1388"/>
      <c r="U816" s="1388"/>
      <c r="V816" s="1388"/>
      <c r="W816" s="1388"/>
      <c r="X816" s="1388"/>
      <c r="Y816" s="1389"/>
      <c r="Z816" s="1320">
        <v>2304</v>
      </c>
      <c r="AA816" s="1321"/>
      <c r="AB816" s="1321"/>
      <c r="AC816" s="1321"/>
      <c r="AD816" s="1321"/>
      <c r="AE816" s="1322"/>
      <c r="AF816"/>
      <c r="AG816"/>
      <c r="AH816"/>
      <c r="AI816"/>
      <c r="AJ816"/>
      <c r="AK816"/>
      <c r="AL816"/>
      <c r="AM816"/>
      <c r="AN816"/>
      <c r="AO816"/>
      <c r="AP816"/>
      <c r="AQ816"/>
      <c r="AR816"/>
      <c r="AS816"/>
      <c r="AT816"/>
      <c r="AU816" s="3"/>
      <c r="AV816"/>
      <c r="AW816"/>
      <c r="AX816"/>
      <c r="AY816"/>
      <c r="AZ816" s="26"/>
      <c r="BA816" s="26"/>
      <c r="BB816" s="14"/>
      <c r="BC816" s="14"/>
      <c r="BD816" s="14"/>
      <c r="BE816" s="14"/>
      <c r="BF816" s="14"/>
      <c r="BG816" s="14"/>
      <c r="BH816" s="14"/>
      <c r="BI816" s="14"/>
      <c r="BJ816" s="14"/>
      <c r="BK816" s="14"/>
      <c r="BL816" s="14"/>
      <c r="BM816" s="14"/>
      <c r="BN816" s="14"/>
      <c r="BO816" s="140" t="s">
        <v>910</v>
      </c>
      <c r="BP816" s="247">
        <v>352022</v>
      </c>
      <c r="BQ816" s="247">
        <v>405878</v>
      </c>
      <c r="BR816" s="247">
        <v>489600</v>
      </c>
      <c r="BS816" s="247">
        <v>626688</v>
      </c>
      <c r="BT816" s="247">
        <v>698170</v>
      </c>
      <c r="BU816" s="14"/>
      <c r="BV816" s="140" t="s">
        <v>910</v>
      </c>
      <c r="BW816" s="247">
        <v>352022</v>
      </c>
      <c r="BX816" s="247">
        <v>405878</v>
      </c>
      <c r="BY816" s="247">
        <v>489600</v>
      </c>
      <c r="BZ816" s="247">
        <v>626688</v>
      </c>
      <c r="CA816" s="247">
        <v>698170</v>
      </c>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row>
    <row r="817" spans="1:159" s="4" customFormat="1" ht="12.95" customHeight="1">
      <c r="A817"/>
      <c r="B817"/>
      <c r="C817"/>
      <c r="D817"/>
      <c r="E817"/>
      <c r="F817"/>
      <c r="G817"/>
      <c r="H817" s="38"/>
      <c r="I817" s="5"/>
      <c r="J817" s="5"/>
      <c r="K817" s="5"/>
      <c r="L817" s="5"/>
      <c r="M817" s="5"/>
      <c r="N817" s="5"/>
      <c r="O817" s="5"/>
      <c r="P817" s="5"/>
      <c r="Q817" s="5"/>
      <c r="R817" s="5"/>
      <c r="S817" s="5"/>
      <c r="T817" s="5"/>
      <c r="U817" s="5"/>
      <c r="V817" s="5"/>
      <c r="W817" s="5"/>
      <c r="X817" s="5"/>
      <c r="Y817" s="46" t="s">
        <v>1595</v>
      </c>
      <c r="Z817" s="1406">
        <f>SUM(Z813:AE816)</f>
        <v>9216</v>
      </c>
      <c r="AA817" s="1407"/>
      <c r="AB817" s="1407"/>
      <c r="AC817" s="1407"/>
      <c r="AD817" s="1407"/>
      <c r="AE817" s="1408"/>
      <c r="AF817"/>
      <c r="AG817"/>
      <c r="AH817"/>
      <c r="AI817"/>
      <c r="AJ817"/>
      <c r="AK817"/>
      <c r="AL817"/>
      <c r="AM817"/>
      <c r="AN817"/>
      <c r="AO817"/>
      <c r="AP817"/>
      <c r="AQ817"/>
      <c r="AR817"/>
      <c r="AS817"/>
      <c r="AT817"/>
      <c r="AU817" s="3"/>
      <c r="AV817"/>
      <c r="AW817"/>
      <c r="AX817"/>
      <c r="AY817"/>
      <c r="AZ817" s="26"/>
      <c r="BA817" s="26"/>
      <c r="BB817" s="14"/>
      <c r="BC817" s="14"/>
      <c r="BD817" s="14"/>
      <c r="BE817" s="14"/>
      <c r="BF817" s="14"/>
      <c r="BG817" s="14"/>
      <c r="BH817" s="14"/>
      <c r="BI817" s="14"/>
      <c r="BJ817" s="14"/>
      <c r="BK817" s="14"/>
      <c r="BL817" s="14"/>
      <c r="BM817" s="14"/>
      <c r="BN817" s="14"/>
      <c r="BO817" s="140" t="s">
        <v>912</v>
      </c>
      <c r="BP817" s="245">
        <v>352022</v>
      </c>
      <c r="BQ817" s="245">
        <v>405878</v>
      </c>
      <c r="BR817" s="245">
        <v>489600</v>
      </c>
      <c r="BS817" s="245">
        <v>626688</v>
      </c>
      <c r="BT817" s="245">
        <v>698170</v>
      </c>
      <c r="BU817" s="14"/>
      <c r="BV817" s="140" t="s">
        <v>912</v>
      </c>
      <c r="BW817" s="245">
        <v>352022</v>
      </c>
      <c r="BX817" s="245">
        <v>405878</v>
      </c>
      <c r="BY817" s="245">
        <v>489600</v>
      </c>
      <c r="BZ817" s="245">
        <v>626688</v>
      </c>
      <c r="CA817" s="245">
        <v>698170</v>
      </c>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row>
    <row r="818" spans="1:159" s="4" customFormat="1" ht="12.95" customHeight="1">
      <c r="A818"/>
      <c r="B818"/>
      <c r="C818"/>
      <c r="D818"/>
      <c r="E818"/>
      <c r="F818"/>
      <c r="G818"/>
      <c r="H818" s="38"/>
      <c r="I818" s="5"/>
      <c r="J818" s="5"/>
      <c r="K818" s="5"/>
      <c r="L818" s="5"/>
      <c r="M818" s="5"/>
      <c r="N818" s="5"/>
      <c r="O818" s="5"/>
      <c r="P818" s="5"/>
      <c r="Q818" s="5"/>
      <c r="R818" s="5"/>
      <c r="S818" s="5"/>
      <c r="T818" s="5"/>
      <c r="U818" s="5"/>
      <c r="V818" s="5"/>
      <c r="W818" s="5"/>
      <c r="X818" s="5"/>
      <c r="Y818" s="46" t="s">
        <v>1596</v>
      </c>
      <c r="Z818" s="1406">
        <f>Z817+Y801+Z809</f>
        <v>1047552</v>
      </c>
      <c r="AA818" s="1407"/>
      <c r="AB818" s="1407"/>
      <c r="AC818" s="1407"/>
      <c r="AD818" s="1407"/>
      <c r="AE818" s="1408"/>
      <c r="AF818"/>
      <c r="AG818"/>
      <c r="AH818"/>
      <c r="AI818"/>
      <c r="AJ818"/>
      <c r="AK818"/>
      <c r="AL818"/>
      <c r="AM818"/>
      <c r="AN818"/>
      <c r="AO818"/>
      <c r="AP818"/>
      <c r="AQ818"/>
      <c r="AR818"/>
      <c r="AS818"/>
      <c r="AT818"/>
      <c r="AU818" s="3"/>
      <c r="AV818" s="3"/>
      <c r="AW818" s="3"/>
      <c r="AX818" s="3"/>
      <c r="AY818" s="3"/>
      <c r="AZ818" s="26"/>
      <c r="BA818" s="26"/>
      <c r="BB818" s="14"/>
      <c r="BC818" s="14"/>
      <c r="BD818" s="14"/>
      <c r="BE818" s="14"/>
      <c r="BF818" s="14"/>
      <c r="BG818" s="14"/>
      <c r="BH818" s="14"/>
      <c r="BI818" s="14"/>
      <c r="BJ818" s="14"/>
      <c r="BK818" s="14"/>
      <c r="BL818" s="14"/>
      <c r="BM818" s="14"/>
      <c r="BN818" s="14"/>
      <c r="BO818" s="140" t="s">
        <v>915</v>
      </c>
      <c r="BP818" s="247">
        <v>314634</v>
      </c>
      <c r="BQ818" s="247">
        <v>362770</v>
      </c>
      <c r="BR818" s="247">
        <v>437600</v>
      </c>
      <c r="BS818" s="247">
        <v>560128</v>
      </c>
      <c r="BT818" s="247">
        <v>624018</v>
      </c>
      <c r="BU818" s="14"/>
      <c r="BV818" s="140" t="s">
        <v>915</v>
      </c>
      <c r="BW818" s="247">
        <v>314634</v>
      </c>
      <c r="BX818" s="247">
        <v>362770</v>
      </c>
      <c r="BY818" s="247">
        <v>437600</v>
      </c>
      <c r="BZ818" s="247">
        <v>560128</v>
      </c>
      <c r="CA818" s="247">
        <v>624018</v>
      </c>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26"/>
      <c r="BA819" s="26"/>
      <c r="BB819" s="14"/>
      <c r="BC819" s="14"/>
      <c r="BD819" s="14"/>
      <c r="BE819" s="14"/>
      <c r="BF819" s="14"/>
      <c r="BG819" s="14"/>
      <c r="BH819" s="14"/>
      <c r="BI819" s="14"/>
      <c r="BJ819" s="14"/>
      <c r="BK819" s="14"/>
      <c r="BL819" s="14"/>
      <c r="BM819" s="14"/>
      <c r="BN819" s="14"/>
      <c r="BO819" s="140" t="s">
        <v>917</v>
      </c>
      <c r="BP819" s="245">
        <v>352022</v>
      </c>
      <c r="BQ819" s="245">
        <v>405878</v>
      </c>
      <c r="BR819" s="245">
        <v>489600</v>
      </c>
      <c r="BS819" s="245">
        <v>626688</v>
      </c>
      <c r="BT819" s="245">
        <v>698170</v>
      </c>
      <c r="BU819" s="14"/>
      <c r="BV819" s="140" t="s">
        <v>917</v>
      </c>
      <c r="BW819" s="245">
        <v>352022</v>
      </c>
      <c r="BX819" s="245">
        <v>405878</v>
      </c>
      <c r="BY819" s="245">
        <v>489600</v>
      </c>
      <c r="BZ819" s="245">
        <v>626688</v>
      </c>
      <c r="CA819" s="245">
        <v>698170</v>
      </c>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row>
    <row r="820" spans="1:159" s="4" customFormat="1" ht="12.95" customHeight="1">
      <c r="A820" s="2" t="s">
        <v>1095</v>
      </c>
      <c r="B820" s="2"/>
      <c r="C820" s="2" t="s">
        <v>217</v>
      </c>
      <c r="D820"/>
      <c r="E820"/>
      <c r="F820"/>
      <c r="G820"/>
      <c r="H820"/>
      <c r="I820"/>
      <c r="J820"/>
      <c r="K820"/>
      <c r="L820"/>
      <c r="M820"/>
      <c r="N820"/>
      <c r="O820"/>
      <c r="P820"/>
      <c r="Q820"/>
      <c r="R820"/>
      <c r="S820"/>
      <c r="T820"/>
      <c r="U820"/>
      <c r="V820"/>
      <c r="W820" s="49"/>
      <c r="X820"/>
      <c r="Y820"/>
      <c r="Z820"/>
      <c r="AA820"/>
      <c r="AB820"/>
      <c r="AC820"/>
      <c r="AD820"/>
      <c r="AE820"/>
      <c r="AF820"/>
      <c r="AG820"/>
      <c r="AH820"/>
      <c r="AI820"/>
      <c r="AJ820"/>
      <c r="AK820"/>
      <c r="AL820"/>
      <c r="AM820"/>
      <c r="AN820"/>
      <c r="AO820"/>
      <c r="AP820"/>
      <c r="AQ820"/>
      <c r="AR820"/>
      <c r="AS820"/>
      <c r="AT820"/>
      <c r="AU820" s="3"/>
      <c r="AV820" s="3"/>
      <c r="AW820" s="3"/>
      <c r="AX820" s="3"/>
      <c r="AY820" s="3"/>
      <c r="AZ820" s="26"/>
      <c r="BA820" s="26"/>
      <c r="BB820" s="14"/>
      <c r="BC820" s="14"/>
      <c r="BD820" s="14"/>
      <c r="BE820" s="14"/>
      <c r="BF820" s="14"/>
      <c r="BG820" s="14"/>
      <c r="BH820" s="14"/>
      <c r="BI820" s="14"/>
      <c r="BJ820" s="14"/>
      <c r="BK820" s="14"/>
      <c r="BL820" s="14"/>
      <c r="BM820" s="14"/>
      <c r="BN820" s="14"/>
      <c r="BO820" s="140" t="s">
        <v>919</v>
      </c>
      <c r="BP820" s="247">
        <v>307732</v>
      </c>
      <c r="BQ820" s="247">
        <v>354812</v>
      </c>
      <c r="BR820" s="247">
        <v>428000</v>
      </c>
      <c r="BS820" s="247">
        <v>547840</v>
      </c>
      <c r="BT820" s="247">
        <v>610328</v>
      </c>
      <c r="BU820" s="14"/>
      <c r="BV820" s="140" t="s">
        <v>919</v>
      </c>
      <c r="BW820" s="247">
        <v>307732</v>
      </c>
      <c r="BX820" s="247">
        <v>354812</v>
      </c>
      <c r="BY820" s="247">
        <v>428000</v>
      </c>
      <c r="BZ820" s="247">
        <v>547840</v>
      </c>
      <c r="CA820" s="247">
        <v>610328</v>
      </c>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row>
    <row r="821" spans="1:159" s="4" customFormat="1" ht="12.95" customHeight="1">
      <c r="A821"/>
      <c r="B821"/>
      <c r="C821" s="20" t="s">
        <v>1597</v>
      </c>
      <c r="D821"/>
      <c r="E821"/>
      <c r="F821"/>
      <c r="G821"/>
      <c r="H821"/>
      <c r="I821"/>
      <c r="J821"/>
      <c r="K821"/>
      <c r="L821"/>
      <c r="M821"/>
      <c r="N821"/>
      <c r="O821"/>
      <c r="P821"/>
      <c r="Q821"/>
      <c r="R821"/>
      <c r="S821"/>
      <c r="T821"/>
      <c r="U821"/>
      <c r="V821"/>
      <c r="W821" s="49"/>
      <c r="X821"/>
      <c r="Y821"/>
      <c r="Z821"/>
      <c r="AA821"/>
      <c r="AB821"/>
      <c r="AC821"/>
      <c r="AD821"/>
      <c r="AE821"/>
      <c r="AF821"/>
      <c r="AG821"/>
      <c r="AH821"/>
      <c r="AI821"/>
      <c r="AJ821"/>
      <c r="AK821"/>
      <c r="AL821"/>
      <c r="AM821"/>
      <c r="AN821"/>
      <c r="AO821"/>
      <c r="AP821"/>
      <c r="AQ821"/>
      <c r="AR821"/>
      <c r="AS821"/>
      <c r="AT821"/>
      <c r="AU821" s="3"/>
      <c r="AV821" s="3"/>
      <c r="AW821" s="3"/>
      <c r="AX821" s="3"/>
      <c r="AY821" s="3"/>
      <c r="AZ821" s="26"/>
      <c r="BA821" s="26"/>
      <c r="BB821" s="14"/>
      <c r="BC821" s="14"/>
      <c r="BD821" s="14"/>
      <c r="BE821" s="14"/>
      <c r="BF821" s="14"/>
      <c r="BG821" s="14"/>
      <c r="BH821" s="14"/>
      <c r="BI821" s="14"/>
      <c r="BJ821" s="14"/>
      <c r="BK821" s="14"/>
      <c r="BL821" s="14"/>
      <c r="BM821" s="14"/>
      <c r="BN821" s="14"/>
      <c r="BO821" s="140" t="s">
        <v>922</v>
      </c>
      <c r="BP821" s="245">
        <v>307732</v>
      </c>
      <c r="BQ821" s="245">
        <v>354812</v>
      </c>
      <c r="BR821" s="245">
        <v>428000</v>
      </c>
      <c r="BS821" s="245">
        <v>547840</v>
      </c>
      <c r="BT821" s="245">
        <v>610328</v>
      </c>
      <c r="BU821" s="14"/>
      <c r="BV821" s="140" t="s">
        <v>922</v>
      </c>
      <c r="BW821" s="245">
        <v>307732</v>
      </c>
      <c r="BX821" s="245">
        <v>354812</v>
      </c>
      <c r="BY821" s="245">
        <v>428000</v>
      </c>
      <c r="BZ821" s="245">
        <v>547840</v>
      </c>
      <c r="CA821" s="245">
        <v>610328</v>
      </c>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row>
    <row r="822" spans="1:159" s="4" customFormat="1" ht="12.95" customHeight="1">
      <c r="A822"/>
      <c r="B822"/>
      <c r="C822" s="20"/>
      <c r="D822"/>
      <c r="E822"/>
      <c r="F822"/>
      <c r="G822"/>
      <c r="H822"/>
      <c r="I822"/>
      <c r="J822"/>
      <c r="K822"/>
      <c r="L822"/>
      <c r="M822"/>
      <c r="N822"/>
      <c r="O822"/>
      <c r="P822"/>
      <c r="Q822"/>
      <c r="R822"/>
      <c r="S822"/>
      <c r="T822"/>
      <c r="U822"/>
      <c r="V822"/>
      <c r="W822" s="49"/>
      <c r="X822"/>
      <c r="Y822"/>
      <c r="Z822"/>
      <c r="AA822"/>
      <c r="AB822"/>
      <c r="AC822"/>
      <c r="AD822"/>
      <c r="AE822"/>
      <c r="AF822"/>
      <c r="AG822"/>
      <c r="AH822"/>
      <c r="AI822"/>
      <c r="AJ822"/>
      <c r="AK822"/>
      <c r="AL822"/>
      <c r="AM822"/>
      <c r="AN822"/>
      <c r="AO822"/>
      <c r="AP822"/>
      <c r="AQ822"/>
      <c r="AR822"/>
      <c r="AS822"/>
      <c r="AT822"/>
      <c r="AU822" s="3"/>
      <c r="AV822" s="3"/>
      <c r="AW822" s="3"/>
      <c r="AX822" s="3"/>
      <c r="AY822" s="3"/>
      <c r="AZ822" s="26"/>
      <c r="BA822" s="26"/>
      <c r="BB822" s="14"/>
      <c r="BC822" s="14"/>
      <c r="BD822" s="14"/>
      <c r="BE822" s="14"/>
      <c r="BF822" s="14"/>
      <c r="BG822" s="14"/>
      <c r="BH822" s="14"/>
      <c r="BI822" s="14"/>
      <c r="BJ822" s="14"/>
      <c r="BK822" s="14"/>
      <c r="BL822" s="14"/>
      <c r="BM822" s="14"/>
      <c r="BN822" s="14"/>
      <c r="BO822" s="140" t="s">
        <v>926</v>
      </c>
      <c r="BP822" s="247">
        <v>352022</v>
      </c>
      <c r="BQ822" s="247">
        <v>405878</v>
      </c>
      <c r="BR822" s="247">
        <v>489600</v>
      </c>
      <c r="BS822" s="247">
        <v>626688</v>
      </c>
      <c r="BT822" s="247">
        <v>698170</v>
      </c>
      <c r="BU822" s="14"/>
      <c r="BV822" s="140" t="s">
        <v>926</v>
      </c>
      <c r="BW822" s="247">
        <v>352022</v>
      </c>
      <c r="BX822" s="247">
        <v>405878</v>
      </c>
      <c r="BY822" s="247">
        <v>489600</v>
      </c>
      <c r="BZ822" s="247">
        <v>626688</v>
      </c>
      <c r="CA822" s="247">
        <v>698170</v>
      </c>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row>
    <row r="823" spans="1:159" s="4" customFormat="1" ht="12.95" customHeight="1">
      <c r="A823"/>
      <c r="B823"/>
      <c r="C823" s="34"/>
      <c r="D823" s="35"/>
      <c r="E823" s="35"/>
      <c r="F823" s="35"/>
      <c r="G823" s="35"/>
      <c r="H823" s="35"/>
      <c r="I823" s="35"/>
      <c r="J823" s="35"/>
      <c r="K823" s="35"/>
      <c r="L823" s="51"/>
      <c r="M823" s="1397" t="s">
        <v>1598</v>
      </c>
      <c r="N823" s="1397"/>
      <c r="O823" s="1397"/>
      <c r="P823" s="1398"/>
      <c r="Q823" s="1401" t="s">
        <v>1599</v>
      </c>
      <c r="R823" s="1401"/>
      <c r="S823" s="1401"/>
      <c r="T823" s="1401"/>
      <c r="U823" s="1401" t="s">
        <v>1600</v>
      </c>
      <c r="V823" s="1401"/>
      <c r="W823" s="1401"/>
      <c r="X823" s="1401"/>
      <c r="Y823" s="1401" t="s">
        <v>1601</v>
      </c>
      <c r="Z823" s="1401"/>
      <c r="AA823" s="1401"/>
      <c r="AB823" s="1401"/>
      <c r="AC823" s="1401" t="s">
        <v>1602</v>
      </c>
      <c r="AD823" s="1401"/>
      <c r="AE823" s="1401"/>
      <c r="AF823" s="1401"/>
      <c r="AG823" s="1393" t="s">
        <v>1603</v>
      </c>
      <c r="AH823" s="1393"/>
      <c r="AI823" s="1393"/>
      <c r="AJ823" s="1393"/>
      <c r="AK823"/>
      <c r="AL823" s="3"/>
      <c r="AM823" s="3"/>
      <c r="AN823" s="3"/>
      <c r="AO823" s="3"/>
      <c r="AP823" s="3"/>
      <c r="AQ823" s="3"/>
      <c r="AR823" s="3"/>
      <c r="AS823" s="3"/>
      <c r="AT823" s="3"/>
      <c r="AU823" s="3"/>
      <c r="AV823" s="3"/>
      <c r="AW823" s="3"/>
      <c r="AX823" s="3"/>
      <c r="AY823" s="3"/>
      <c r="AZ823" s="26"/>
      <c r="BA823" s="26"/>
      <c r="BB823" s="14"/>
      <c r="BC823" s="14"/>
      <c r="BD823" s="14"/>
      <c r="BE823" s="14"/>
      <c r="BF823" s="14"/>
      <c r="BG823" s="14"/>
      <c r="BH823" s="14"/>
      <c r="BI823" s="14"/>
      <c r="BJ823" s="14"/>
      <c r="BK823" s="14"/>
      <c r="BL823" s="14"/>
      <c r="BM823" s="14"/>
      <c r="BN823" s="14"/>
      <c r="BO823" s="140" t="s">
        <v>931</v>
      </c>
      <c r="BP823" s="245">
        <v>352022</v>
      </c>
      <c r="BQ823" s="245">
        <v>405878</v>
      </c>
      <c r="BR823" s="245">
        <v>489600</v>
      </c>
      <c r="BS823" s="245">
        <v>626688</v>
      </c>
      <c r="BT823" s="245">
        <v>698170</v>
      </c>
      <c r="BU823" s="14"/>
      <c r="BV823" s="140" t="s">
        <v>931</v>
      </c>
      <c r="BW823" s="245">
        <v>352022</v>
      </c>
      <c r="BX823" s="245">
        <v>405878</v>
      </c>
      <c r="BY823" s="245">
        <v>489600</v>
      </c>
      <c r="BZ823" s="245">
        <v>626688</v>
      </c>
      <c r="CA823" s="245">
        <v>698170</v>
      </c>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row>
    <row r="824" spans="1:159" s="14" customFormat="1" ht="12.95" customHeight="1">
      <c r="A824"/>
      <c r="B824"/>
      <c r="C824" s="40"/>
      <c r="D824" s="41"/>
      <c r="E824" s="41"/>
      <c r="F824" s="41"/>
      <c r="G824" s="41"/>
      <c r="H824" s="41"/>
      <c r="I824" s="41"/>
      <c r="J824" s="41"/>
      <c r="K824" s="41"/>
      <c r="L824" s="42"/>
      <c r="M824" s="1399"/>
      <c r="N824" s="1399"/>
      <c r="O824" s="1399"/>
      <c r="P824" s="1400"/>
      <c r="Q824" s="1401"/>
      <c r="R824" s="1401"/>
      <c r="S824" s="1401"/>
      <c r="T824" s="1401"/>
      <c r="U824" s="1401"/>
      <c r="V824" s="1401"/>
      <c r="W824" s="1401"/>
      <c r="X824" s="1401"/>
      <c r="Y824" s="1401"/>
      <c r="Z824" s="1401"/>
      <c r="AA824" s="1401"/>
      <c r="AB824" s="1401"/>
      <c r="AC824" s="1401"/>
      <c r="AD824" s="1401"/>
      <c r="AE824" s="1401"/>
      <c r="AF824" s="1401"/>
      <c r="AG824" s="1393"/>
      <c r="AH824" s="1393"/>
      <c r="AI824" s="1393"/>
      <c r="AJ824" s="1393"/>
      <c r="AK824"/>
      <c r="AL824" s="3"/>
      <c r="AM824" s="3"/>
      <c r="AN824" s="3"/>
      <c r="AO824" s="3"/>
      <c r="AP824" s="3"/>
      <c r="AQ824" s="3"/>
      <c r="AR824" s="3"/>
      <c r="AS824" s="3"/>
      <c r="AT824" s="3"/>
      <c r="AU824"/>
      <c r="AV824" s="3"/>
      <c r="AW824" s="3"/>
      <c r="AX824" s="3"/>
      <c r="AY824" s="3"/>
      <c r="AZ824" s="26"/>
      <c r="BA824" s="26"/>
      <c r="BO824" s="140" t="s">
        <v>935</v>
      </c>
      <c r="BP824" s="247">
        <v>437727</v>
      </c>
      <c r="BQ824" s="247">
        <v>504695</v>
      </c>
      <c r="BR824" s="247">
        <v>608800</v>
      </c>
      <c r="BS824" s="247">
        <v>779264</v>
      </c>
      <c r="BT824" s="247">
        <v>868149</v>
      </c>
      <c r="BV824" s="140" t="s">
        <v>935</v>
      </c>
      <c r="BW824" s="247">
        <v>437727</v>
      </c>
      <c r="BX824" s="247">
        <v>504695</v>
      </c>
      <c r="BY824" s="247">
        <v>608800</v>
      </c>
      <c r="BZ824" s="247">
        <v>779264</v>
      </c>
      <c r="CA824" s="247">
        <v>868149</v>
      </c>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row>
    <row r="825" spans="1:159" s="14" customFormat="1" ht="12.95" customHeight="1">
      <c r="A825"/>
      <c r="B825"/>
      <c r="C825" s="1443" t="s">
        <v>1604</v>
      </c>
      <c r="D825" s="1290"/>
      <c r="E825" s="1290"/>
      <c r="F825" s="1290"/>
      <c r="G825" s="1290"/>
      <c r="H825" s="1290"/>
      <c r="I825" s="41"/>
      <c r="J825" s="41"/>
      <c r="K825" s="41"/>
      <c r="L825" s="42"/>
      <c r="M825" s="1386"/>
      <c r="N825" s="1386"/>
      <c r="O825" s="1386"/>
      <c r="P825" s="1386"/>
      <c r="Q825" s="1386">
        <v>23</v>
      </c>
      <c r="R825" s="1386"/>
      <c r="S825" s="1386"/>
      <c r="T825" s="1386"/>
      <c r="U825" s="1386">
        <v>27</v>
      </c>
      <c r="V825" s="1386"/>
      <c r="W825" s="1386"/>
      <c r="X825" s="1386"/>
      <c r="Y825" s="1386">
        <v>31</v>
      </c>
      <c r="Z825" s="1386"/>
      <c r="AA825" s="1386"/>
      <c r="AB825" s="1386"/>
      <c r="AC825" s="1323"/>
      <c r="AD825" s="1324"/>
      <c r="AE825" s="1324"/>
      <c r="AF825" s="1325"/>
      <c r="AG825" s="1323"/>
      <c r="AH825" s="1324"/>
      <c r="AI825" s="1324"/>
      <c r="AJ825" s="1325"/>
      <c r="AK825"/>
      <c r="AL825" s="3"/>
      <c r="AM825" s="3"/>
      <c r="AN825" s="3"/>
      <c r="AO825" s="3"/>
      <c r="AP825" s="3"/>
      <c r="AQ825" s="3"/>
      <c r="AR825" s="3"/>
      <c r="AS825" s="3"/>
      <c r="AT825" s="3"/>
      <c r="AU825"/>
      <c r="AV825" s="3"/>
      <c r="AW825" s="3"/>
      <c r="AX825" s="3"/>
      <c r="AY825" s="3"/>
      <c r="AZ825" s="26"/>
      <c r="BA825" s="26"/>
      <c r="BO825" s="140" t="s">
        <v>942</v>
      </c>
      <c r="BP825" s="245">
        <v>307732</v>
      </c>
      <c r="BQ825" s="245">
        <v>354812</v>
      </c>
      <c r="BR825" s="245">
        <v>428000</v>
      </c>
      <c r="BS825" s="245">
        <v>547840</v>
      </c>
      <c r="BT825" s="245">
        <v>610328</v>
      </c>
      <c r="BV825" s="140" t="s">
        <v>942</v>
      </c>
      <c r="BW825" s="245">
        <v>307732</v>
      </c>
      <c r="BX825" s="245">
        <v>354812</v>
      </c>
      <c r="BY825" s="245">
        <v>428000</v>
      </c>
      <c r="BZ825" s="245">
        <v>547840</v>
      </c>
      <c r="CA825" s="245">
        <v>610328</v>
      </c>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row>
    <row r="826" spans="1:159" s="14" customFormat="1" ht="12.95" customHeight="1">
      <c r="A826"/>
      <c r="B826"/>
      <c r="C826" s="1308" t="s">
        <v>1605</v>
      </c>
      <c r="D826" s="1271"/>
      <c r="E826" s="1271"/>
      <c r="F826" s="1271"/>
      <c r="G826" s="1271"/>
      <c r="H826" s="1271"/>
      <c r="I826" s="5"/>
      <c r="J826" s="5"/>
      <c r="K826" s="5"/>
      <c r="L826" s="39"/>
      <c r="M826" s="1386"/>
      <c r="N826" s="1386"/>
      <c r="O826" s="1386"/>
      <c r="P826" s="1386"/>
      <c r="Q826" s="1386"/>
      <c r="R826" s="1386"/>
      <c r="S826" s="1386"/>
      <c r="T826" s="1386"/>
      <c r="U826" s="1386"/>
      <c r="V826" s="1386"/>
      <c r="W826" s="1386"/>
      <c r="X826" s="1386"/>
      <c r="Y826" s="1386"/>
      <c r="Z826" s="1386"/>
      <c r="AA826" s="1386"/>
      <c r="AB826" s="1386"/>
      <c r="AC826" s="1323"/>
      <c r="AD826" s="1324"/>
      <c r="AE826" s="1324"/>
      <c r="AF826" s="1325"/>
      <c r="AG826" s="1323"/>
      <c r="AH826" s="1324"/>
      <c r="AI826" s="1324"/>
      <c r="AJ826" s="1325"/>
      <c r="AK826"/>
      <c r="AL826" s="3"/>
      <c r="AM826" s="3"/>
      <c r="AN826" s="3"/>
      <c r="AO826" s="3"/>
      <c r="AP826" s="3"/>
      <c r="AQ826" s="3"/>
      <c r="AR826" s="3"/>
      <c r="AS826" s="3"/>
      <c r="AT826" s="3"/>
      <c r="AU826"/>
      <c r="AV826" s="3"/>
      <c r="AW826" s="3"/>
      <c r="AX826" s="3"/>
      <c r="AY826" s="3"/>
      <c r="AZ826" s="26"/>
      <c r="BA826" s="26"/>
      <c r="BO826" s="140" t="s">
        <v>946</v>
      </c>
      <c r="BP826" s="247">
        <v>384234</v>
      </c>
      <c r="BQ826" s="247">
        <v>443018</v>
      </c>
      <c r="BR826" s="247">
        <v>534400</v>
      </c>
      <c r="BS826" s="247">
        <v>684032</v>
      </c>
      <c r="BT826" s="247">
        <v>762054</v>
      </c>
      <c r="BV826" s="140" t="s">
        <v>946</v>
      </c>
      <c r="BW826" s="247">
        <v>384234</v>
      </c>
      <c r="BX826" s="247">
        <v>443018</v>
      </c>
      <c r="BY826" s="247">
        <v>534400</v>
      </c>
      <c r="BZ826" s="247">
        <v>684032</v>
      </c>
      <c r="CA826" s="247">
        <v>762054</v>
      </c>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row>
    <row r="827" spans="1:159" s="14" customFormat="1" ht="12.95" customHeight="1">
      <c r="A827"/>
      <c r="B827"/>
      <c r="C827" s="1308" t="s">
        <v>1606</v>
      </c>
      <c r="D827" s="1271"/>
      <c r="E827" s="1271"/>
      <c r="F827" s="1271"/>
      <c r="G827" s="1271"/>
      <c r="H827" s="1271"/>
      <c r="I827" s="53"/>
      <c r="J827" s="53"/>
      <c r="K827" s="53"/>
      <c r="L827" s="54"/>
      <c r="M827" s="1386"/>
      <c r="N827" s="1386"/>
      <c r="O827" s="1386"/>
      <c r="P827" s="1386"/>
      <c r="Q827" s="1386">
        <v>13</v>
      </c>
      <c r="R827" s="1386"/>
      <c r="S827" s="1386"/>
      <c r="T827" s="1386"/>
      <c r="U827" s="1386">
        <v>18</v>
      </c>
      <c r="V827" s="1386"/>
      <c r="W827" s="1386"/>
      <c r="X827" s="1386"/>
      <c r="Y827" s="1386">
        <v>29</v>
      </c>
      <c r="Z827" s="1386"/>
      <c r="AA827" s="1386"/>
      <c r="AB827" s="1386"/>
      <c r="AC827" s="1323"/>
      <c r="AD827" s="1324"/>
      <c r="AE827" s="1324"/>
      <c r="AF827" s="1325"/>
      <c r="AG827" s="1323"/>
      <c r="AH827" s="1324"/>
      <c r="AI827" s="1324"/>
      <c r="AJ827" s="1325"/>
      <c r="AK827"/>
      <c r="AL827" s="3"/>
      <c r="AM827" s="3"/>
      <c r="AN827" s="3"/>
      <c r="AO827" s="3"/>
      <c r="AP827" s="3"/>
      <c r="AQ827" s="3"/>
      <c r="AR827" s="3"/>
      <c r="AS827" s="3"/>
      <c r="AT827" s="3"/>
      <c r="AU827"/>
      <c r="AV827" s="3"/>
      <c r="AW827" s="3"/>
      <c r="AX827" s="3"/>
      <c r="AY827" s="3"/>
      <c r="AZ827" s="26"/>
      <c r="BA827" s="26"/>
      <c r="BO827" s="140" t="s">
        <v>950</v>
      </c>
      <c r="BP827" s="245">
        <v>352022</v>
      </c>
      <c r="BQ827" s="245">
        <v>405878</v>
      </c>
      <c r="BR827" s="245">
        <v>489600</v>
      </c>
      <c r="BS827" s="245">
        <v>626688</v>
      </c>
      <c r="BT827" s="245">
        <v>698170</v>
      </c>
      <c r="BV827" s="140" t="s">
        <v>950</v>
      </c>
      <c r="BW827" s="245">
        <v>352022</v>
      </c>
      <c r="BX827" s="245">
        <v>405878</v>
      </c>
      <c r="BY827" s="245">
        <v>489600</v>
      </c>
      <c r="BZ827" s="245">
        <v>626688</v>
      </c>
      <c r="CA827" s="245">
        <v>698170</v>
      </c>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row>
    <row r="828" spans="1:159" s="14" customFormat="1" ht="12.95" customHeight="1">
      <c r="A828"/>
      <c r="B828"/>
      <c r="C828" s="1308" t="s">
        <v>1607</v>
      </c>
      <c r="D828" s="1271"/>
      <c r="E828" s="1271"/>
      <c r="F828" s="1271"/>
      <c r="G828" s="1271"/>
      <c r="H828" s="1271"/>
      <c r="I828" s="53"/>
      <c r="J828" s="53"/>
      <c r="K828" s="53"/>
      <c r="L828" s="54"/>
      <c r="M828" s="1386"/>
      <c r="N828" s="1386"/>
      <c r="O828" s="1386"/>
      <c r="P828" s="1386"/>
      <c r="Q828" s="1386"/>
      <c r="R828" s="1386"/>
      <c r="S828" s="1386"/>
      <c r="T828" s="1386"/>
      <c r="U828" s="1386"/>
      <c r="V828" s="1386"/>
      <c r="W828" s="1386"/>
      <c r="X828" s="1386"/>
      <c r="Y828" s="1386"/>
      <c r="Z828" s="1386"/>
      <c r="AA828" s="1386"/>
      <c r="AB828" s="1386"/>
      <c r="AC828" s="1323"/>
      <c r="AD828" s="1324"/>
      <c r="AE828" s="1324"/>
      <c r="AF828" s="1325"/>
      <c r="AG828" s="1323"/>
      <c r="AH828" s="1324"/>
      <c r="AI828" s="1324"/>
      <c r="AJ828" s="1325"/>
      <c r="AK828"/>
      <c r="AL828" s="3"/>
      <c r="AM828" s="3"/>
      <c r="AN828" s="3"/>
      <c r="AO828" s="3"/>
      <c r="AP828" s="3"/>
      <c r="AQ828" s="3"/>
      <c r="AR828" s="3"/>
      <c r="AS828" s="3"/>
      <c r="AT828" s="3"/>
      <c r="AU828"/>
      <c r="AV828" s="3"/>
      <c r="AW828" s="3"/>
      <c r="AX828" s="3"/>
      <c r="AY828" s="3"/>
      <c r="AZ828" s="26"/>
      <c r="BA828" s="26"/>
      <c r="BO828" s="140" t="s">
        <v>952</v>
      </c>
      <c r="BP828" s="247">
        <v>352022</v>
      </c>
      <c r="BQ828" s="247">
        <v>405878</v>
      </c>
      <c r="BR828" s="247">
        <v>489600</v>
      </c>
      <c r="BS828" s="247">
        <v>626688</v>
      </c>
      <c r="BT828" s="247">
        <v>698170</v>
      </c>
      <c r="BV828" s="140" t="s">
        <v>952</v>
      </c>
      <c r="BW828" s="247">
        <v>352022</v>
      </c>
      <c r="BX828" s="247">
        <v>405878</v>
      </c>
      <c r="BY828" s="247">
        <v>489600</v>
      </c>
      <c r="BZ828" s="247">
        <v>626688</v>
      </c>
      <c r="CA828" s="247">
        <v>698170</v>
      </c>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row>
    <row r="829" spans="1:159" s="14" customFormat="1" ht="12.95" customHeight="1">
      <c r="A829"/>
      <c r="B829"/>
      <c r="C829" s="1308" t="s">
        <v>1608</v>
      </c>
      <c r="D829" s="1271"/>
      <c r="E829" s="1271"/>
      <c r="F829" s="1271"/>
      <c r="G829" s="1271"/>
      <c r="H829" s="1271"/>
      <c r="I829" s="53"/>
      <c r="J829" s="53"/>
      <c r="K829" s="53"/>
      <c r="L829" s="54"/>
      <c r="M829" s="1386"/>
      <c r="N829" s="1386"/>
      <c r="O829" s="1386"/>
      <c r="P829" s="1386"/>
      <c r="Q829" s="1386"/>
      <c r="R829" s="1386"/>
      <c r="S829" s="1386"/>
      <c r="T829" s="1386"/>
      <c r="U829" s="1386"/>
      <c r="V829" s="1386"/>
      <c r="W829" s="1386"/>
      <c r="X829" s="1386"/>
      <c r="Y829" s="1386"/>
      <c r="Z829" s="1386"/>
      <c r="AA829" s="1386"/>
      <c r="AB829" s="1386"/>
      <c r="AC829" s="1323"/>
      <c r="AD829" s="1324"/>
      <c r="AE829" s="1324"/>
      <c r="AF829" s="1325"/>
      <c r="AG829" s="1323"/>
      <c r="AH829" s="1324"/>
      <c r="AI829" s="1324"/>
      <c r="AJ829" s="1325"/>
      <c r="AK829"/>
      <c r="AL829" s="3"/>
      <c r="AM829" s="3"/>
      <c r="AN829" s="3"/>
      <c r="AO829" s="3"/>
      <c r="AP829" s="3"/>
      <c r="AQ829" s="3"/>
      <c r="AR829" s="3"/>
      <c r="AS829" s="3"/>
      <c r="AT829" s="3"/>
      <c r="AU829"/>
      <c r="AV829" s="3"/>
      <c r="AW829" s="3"/>
      <c r="AX829" s="3"/>
      <c r="AY829" s="3"/>
      <c r="AZ829" s="26"/>
      <c r="BA829" s="26"/>
      <c r="BO829" s="140" t="s">
        <v>955</v>
      </c>
      <c r="BP829" s="245">
        <v>307732</v>
      </c>
      <c r="BQ829" s="245">
        <v>354812</v>
      </c>
      <c r="BR829" s="245">
        <v>428000</v>
      </c>
      <c r="BS829" s="245">
        <v>547840</v>
      </c>
      <c r="BT829" s="245">
        <v>610328</v>
      </c>
      <c r="BV829" s="140" t="s">
        <v>955</v>
      </c>
      <c r="BW829" s="245">
        <v>307732</v>
      </c>
      <c r="BX829" s="245">
        <v>354812</v>
      </c>
      <c r="BY829" s="245">
        <v>428000</v>
      </c>
      <c r="BZ829" s="245">
        <v>547840</v>
      </c>
      <c r="CA829" s="245">
        <v>610328</v>
      </c>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row>
    <row r="830" spans="1:159" s="14" customFormat="1" ht="12.95" customHeight="1">
      <c r="A830"/>
      <c r="B830"/>
      <c r="C830" s="1268" t="s">
        <v>1609</v>
      </c>
      <c r="D830" s="1271"/>
      <c r="E830" s="1271"/>
      <c r="F830" s="1271"/>
      <c r="G830" s="1271"/>
      <c r="H830" s="1271"/>
      <c r="I830" s="53"/>
      <c r="J830" s="53"/>
      <c r="K830" s="53"/>
      <c r="L830" s="54"/>
      <c r="M830" s="1386"/>
      <c r="N830" s="1386"/>
      <c r="O830" s="1386"/>
      <c r="P830" s="1386"/>
      <c r="Q830" s="1386"/>
      <c r="R830" s="1386"/>
      <c r="S830" s="1386"/>
      <c r="T830" s="1386"/>
      <c r="U830" s="1386"/>
      <c r="V830" s="1386"/>
      <c r="W830" s="1386"/>
      <c r="X830" s="1386"/>
      <c r="Y830" s="1386"/>
      <c r="Z830" s="1386"/>
      <c r="AA830" s="1386"/>
      <c r="AB830" s="1386"/>
      <c r="AC830" s="1323"/>
      <c r="AD830" s="1324"/>
      <c r="AE830" s="1324"/>
      <c r="AF830" s="1325"/>
      <c r="AG830" s="1323"/>
      <c r="AH830" s="1324"/>
      <c r="AI830" s="1324"/>
      <c r="AJ830" s="1325"/>
      <c r="AK830"/>
      <c r="AL830" s="3"/>
      <c r="AM830" s="3"/>
      <c r="AN830" s="3"/>
      <c r="AO830" s="3"/>
      <c r="AP830" s="3"/>
      <c r="AQ830" s="3"/>
      <c r="AR830" s="3"/>
      <c r="AS830" s="3"/>
      <c r="AT830" s="3"/>
      <c r="AU830"/>
      <c r="AV830" s="3"/>
      <c r="AW830" s="3"/>
      <c r="AX830" s="3"/>
      <c r="AY830" s="3"/>
      <c r="AZ830" s="26"/>
      <c r="BA830" s="26"/>
      <c r="BO830" s="140" t="s">
        <v>958</v>
      </c>
      <c r="BP830" s="247">
        <v>352022</v>
      </c>
      <c r="BQ830" s="247">
        <v>405878</v>
      </c>
      <c r="BR830" s="247">
        <v>489600</v>
      </c>
      <c r="BS830" s="247">
        <v>626688</v>
      </c>
      <c r="BT830" s="247">
        <v>698170</v>
      </c>
      <c r="BV830" s="140" t="s">
        <v>958</v>
      </c>
      <c r="BW830" s="247">
        <v>352022</v>
      </c>
      <c r="BX830" s="247">
        <v>405878</v>
      </c>
      <c r="BY830" s="247">
        <v>489600</v>
      </c>
      <c r="BZ830" s="247">
        <v>626688</v>
      </c>
      <c r="CA830" s="247">
        <v>698170</v>
      </c>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row>
    <row r="831" spans="1:159" s="14" customFormat="1" ht="12.95" customHeight="1">
      <c r="A831"/>
      <c r="B831"/>
      <c r="C831" s="52" t="s">
        <v>1610</v>
      </c>
      <c r="D831" s="53"/>
      <c r="E831" s="53"/>
      <c r="F831" s="1387" t="s">
        <v>1611</v>
      </c>
      <c r="G831" s="1388"/>
      <c r="H831" s="1388"/>
      <c r="I831" s="1388"/>
      <c r="J831" s="1388"/>
      <c r="K831" s="1388"/>
      <c r="L831" s="1388"/>
      <c r="M831" s="1386"/>
      <c r="N831" s="1386"/>
      <c r="O831" s="1386"/>
      <c r="P831" s="1386"/>
      <c r="Q831" s="1386">
        <v>48</v>
      </c>
      <c r="R831" s="1386"/>
      <c r="S831" s="1386"/>
      <c r="T831" s="1386"/>
      <c r="U831" s="1386">
        <v>66</v>
      </c>
      <c r="V831" s="1386"/>
      <c r="W831" s="1386"/>
      <c r="X831" s="1386"/>
      <c r="Y831" s="1386">
        <v>85</v>
      </c>
      <c r="Z831" s="1386"/>
      <c r="AA831" s="1386"/>
      <c r="AB831" s="1386"/>
      <c r="AC831" s="1323"/>
      <c r="AD831" s="1324"/>
      <c r="AE831" s="1324"/>
      <c r="AF831" s="1325"/>
      <c r="AG831" s="1323"/>
      <c r="AH831" s="1324"/>
      <c r="AI831" s="1324"/>
      <c r="AJ831" s="1325"/>
      <c r="AK831"/>
      <c r="AL831" s="3"/>
      <c r="AM831" s="3"/>
      <c r="AN831" s="3"/>
      <c r="AO831" s="3"/>
      <c r="AP831" s="3"/>
      <c r="AQ831" s="3"/>
      <c r="AR831" s="3"/>
      <c r="AS831" s="3"/>
      <c r="AT831" s="3"/>
      <c r="AU831"/>
      <c r="AV831" s="3"/>
      <c r="AW831" s="3"/>
      <c r="AX831" s="3"/>
      <c r="AY831" s="3"/>
      <c r="AZ831" s="26"/>
      <c r="BA831" s="26"/>
      <c r="BO831" s="140" t="s">
        <v>960</v>
      </c>
      <c r="BP831" s="245">
        <v>352022</v>
      </c>
      <c r="BQ831" s="245">
        <v>405878</v>
      </c>
      <c r="BR831" s="245">
        <v>489600</v>
      </c>
      <c r="BS831" s="245">
        <v>626688</v>
      </c>
      <c r="BT831" s="245">
        <v>698170</v>
      </c>
      <c r="BV831" s="140" t="s">
        <v>960</v>
      </c>
      <c r="BW831" s="245">
        <v>352022</v>
      </c>
      <c r="BX831" s="245">
        <v>405878</v>
      </c>
      <c r="BY831" s="245">
        <v>489600</v>
      </c>
      <c r="BZ831" s="245">
        <v>626688</v>
      </c>
      <c r="CA831" s="245">
        <v>698170</v>
      </c>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row>
    <row r="832" spans="1:159" s="14" customFormat="1" ht="12.95" customHeight="1">
      <c r="A832"/>
      <c r="B832"/>
      <c r="C832" s="1390" t="s">
        <v>1563</v>
      </c>
      <c r="D832" s="1391"/>
      <c r="E832" s="1391"/>
      <c r="F832" s="1391"/>
      <c r="G832" s="1391"/>
      <c r="H832" s="1391"/>
      <c r="I832" s="1391"/>
      <c r="J832" s="1391"/>
      <c r="K832" s="1391"/>
      <c r="L832" s="1392"/>
      <c r="M832" s="1405">
        <f>SUM(M825:P831)</f>
        <v>0</v>
      </c>
      <c r="N832" s="1405"/>
      <c r="O832" s="1405"/>
      <c r="P832" s="1405"/>
      <c r="Q832" s="1405">
        <f>SUM(Q825:T831)</f>
        <v>84</v>
      </c>
      <c r="R832" s="1405"/>
      <c r="S832" s="1405"/>
      <c r="T832" s="1405"/>
      <c r="U832" s="1405">
        <f>SUM(U825:X831)</f>
        <v>111</v>
      </c>
      <c r="V832" s="1405"/>
      <c r="W832" s="1405"/>
      <c r="X832" s="1405"/>
      <c r="Y832" s="1405">
        <f>SUM(Y825:AB831)</f>
        <v>145</v>
      </c>
      <c r="Z832" s="1405"/>
      <c r="AA832" s="1405"/>
      <c r="AB832" s="1405"/>
      <c r="AC832" s="1405">
        <f>SUM(AC825:AF831)</f>
        <v>0</v>
      </c>
      <c r="AD832" s="1405"/>
      <c r="AE832" s="1405"/>
      <c r="AF832" s="1405"/>
      <c r="AG832" s="1405">
        <f>SUM(AG825:AJ831)</f>
        <v>0</v>
      </c>
      <c r="AH832" s="1405"/>
      <c r="AI832" s="1405"/>
      <c r="AJ832" s="1405"/>
      <c r="AK832"/>
      <c r="AL832" s="3"/>
      <c r="AM832" s="3"/>
      <c r="AN832" s="3"/>
      <c r="AO832" s="3"/>
      <c r="AP832" s="3"/>
      <c r="AQ832" s="3"/>
      <c r="AR832" s="3"/>
      <c r="AS832" s="3"/>
      <c r="AT832" s="3"/>
      <c r="AU832"/>
      <c r="AV832" s="3"/>
      <c r="AW832" s="3"/>
      <c r="AX832" s="3"/>
      <c r="AY832" s="3"/>
      <c r="AZ832" s="26"/>
      <c r="BA832" s="26"/>
      <c r="BO832" s="140" t="s">
        <v>963</v>
      </c>
      <c r="BP832" s="247">
        <v>387110</v>
      </c>
      <c r="BQ832" s="247">
        <v>446334</v>
      </c>
      <c r="BR832" s="247">
        <v>538400</v>
      </c>
      <c r="BS832" s="247">
        <v>689152</v>
      </c>
      <c r="BT832" s="247">
        <v>767758</v>
      </c>
      <c r="BV832" s="140" t="s">
        <v>963</v>
      </c>
      <c r="BW832" s="247">
        <v>387110</v>
      </c>
      <c r="BX832" s="247">
        <v>446334</v>
      </c>
      <c r="BY832" s="247">
        <v>538400</v>
      </c>
      <c r="BZ832" s="247">
        <v>689152</v>
      </c>
      <c r="CA832" s="247">
        <v>767758</v>
      </c>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row>
    <row r="833" spans="1:159" s="14" customFormat="1" ht="12.95" customHeight="1">
      <c r="A833"/>
      <c r="B833"/>
      <c r="C833" s="50" t="s">
        <v>1612</v>
      </c>
      <c r="D833" s="49"/>
      <c r="E833" s="49"/>
      <c r="F833" s="49"/>
      <c r="G833" s="49"/>
      <c r="H833" s="49"/>
      <c r="I833" s="49"/>
      <c r="J833" s="49"/>
      <c r="K833" s="49"/>
      <c r="L833" s="49"/>
      <c r="M833" s="130"/>
      <c r="N833" s="130"/>
      <c r="O833" s="130"/>
      <c r="P833" s="130"/>
      <c r="Q833" s="130"/>
      <c r="R833" s="130"/>
      <c r="S833" s="130"/>
      <c r="T833" s="130"/>
      <c r="U833" s="130"/>
      <c r="V833" s="130"/>
      <c r="W833" s="130"/>
      <c r="X833" s="130"/>
      <c r="Y833" s="130"/>
      <c r="Z833" s="130"/>
      <c r="AA833" s="130"/>
      <c r="AB833" s="130"/>
      <c r="AC833" s="130"/>
      <c r="AD833" s="130"/>
      <c r="AE833" s="130"/>
      <c r="AF833" s="130"/>
      <c r="AG833" s="130"/>
      <c r="AH833" s="130"/>
      <c r="AI833" s="130"/>
      <c r="AJ833" s="130"/>
      <c r="AK833"/>
      <c r="AL833" s="3"/>
      <c r="AM833" s="3"/>
      <c r="AN833" s="3"/>
      <c r="AO833" s="3"/>
      <c r="AP833" s="3"/>
      <c r="AQ833" s="3"/>
      <c r="AR833" s="3"/>
      <c r="AS833" s="3"/>
      <c r="AT833" s="3"/>
      <c r="AU833"/>
      <c r="AV833" s="3"/>
      <c r="AW833" s="3"/>
      <c r="AX833" s="3"/>
      <c r="AY833" s="3"/>
      <c r="AZ833" s="26"/>
      <c r="BA833" s="26"/>
      <c r="BO833" s="140" t="s">
        <v>967</v>
      </c>
      <c r="BP833" s="245">
        <v>384234</v>
      </c>
      <c r="BQ833" s="245">
        <v>443018</v>
      </c>
      <c r="BR833" s="245">
        <v>534400</v>
      </c>
      <c r="BS833" s="245">
        <v>684032</v>
      </c>
      <c r="BT833" s="245">
        <v>762054</v>
      </c>
      <c r="BV833" s="140" t="s">
        <v>967</v>
      </c>
      <c r="BW833" s="245">
        <v>384234</v>
      </c>
      <c r="BX833" s="245">
        <v>443018</v>
      </c>
      <c r="BY833" s="245">
        <v>534400</v>
      </c>
      <c r="BZ833" s="245">
        <v>684032</v>
      </c>
      <c r="CA833" s="245">
        <v>762054</v>
      </c>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row>
    <row r="834" spans="1:159" s="14" customFormat="1" ht="12.95" customHeight="1">
      <c r="A834"/>
      <c r="B834"/>
      <c r="C834" s="50" t="s">
        <v>1613</v>
      </c>
      <c r="D834" s="49"/>
      <c r="E834" s="49"/>
      <c r="F834" s="49"/>
      <c r="G834" s="49"/>
      <c r="H834" s="49"/>
      <c r="I834" s="49"/>
      <c r="J834" s="49"/>
      <c r="K834" s="49"/>
      <c r="L834" s="49"/>
      <c r="M834" s="130"/>
      <c r="N834" s="130"/>
      <c r="O834" s="130"/>
      <c r="P834" s="130"/>
      <c r="Q834" s="130"/>
      <c r="R834" s="130"/>
      <c r="S834" s="130"/>
      <c r="T834" s="130"/>
      <c r="U834" s="130"/>
      <c r="V834" s="130"/>
      <c r="W834" s="130"/>
      <c r="X834" s="130"/>
      <c r="Y834" s="130"/>
      <c r="Z834" s="130"/>
      <c r="AA834" s="130"/>
      <c r="AB834" s="130"/>
      <c r="AC834" s="130"/>
      <c r="AD834" s="130"/>
      <c r="AE834" s="130"/>
      <c r="AF834" s="130"/>
      <c r="AG834" s="130"/>
      <c r="AH834" s="130"/>
      <c r="AI834" s="130"/>
      <c r="AJ834" s="130"/>
      <c r="AK834"/>
      <c r="AL834" s="3"/>
      <c r="AM834" s="3"/>
      <c r="AN834" s="3"/>
      <c r="AO834" s="3"/>
      <c r="AP834" s="3"/>
      <c r="AQ834" s="3"/>
      <c r="AR834" s="3"/>
      <c r="AS834" s="3"/>
      <c r="AT834" s="3"/>
      <c r="AU834"/>
      <c r="AV834"/>
      <c r="AW834"/>
      <c r="AX834"/>
      <c r="AY834"/>
      <c r="AZ834" s="26"/>
      <c r="BA834" s="26"/>
      <c r="BO834" s="140" t="s">
        <v>972</v>
      </c>
      <c r="BP834" s="247">
        <v>352022</v>
      </c>
      <c r="BQ834" s="247">
        <v>405878</v>
      </c>
      <c r="BR834" s="247">
        <v>489600</v>
      </c>
      <c r="BS834" s="247">
        <v>626688</v>
      </c>
      <c r="BT834" s="247">
        <v>698170</v>
      </c>
      <c r="BV834" s="140" t="s">
        <v>972</v>
      </c>
      <c r="BW834" s="247">
        <v>352022</v>
      </c>
      <c r="BX834" s="247">
        <v>405878</v>
      </c>
      <c r="BY834" s="247">
        <v>489600</v>
      </c>
      <c r="BZ834" s="247">
        <v>626688</v>
      </c>
      <c r="CA834" s="247">
        <v>698170</v>
      </c>
      <c r="CB834" s="2493"/>
      <c r="CC834" s="2493"/>
      <c r="CD834" s="2493"/>
      <c r="CE834" s="2493"/>
      <c r="CF834" s="2493"/>
      <c r="CG834" s="2493"/>
      <c r="CH834" s="2493"/>
      <c r="CI834" s="2493"/>
      <c r="CJ834" s="2493"/>
      <c r="CK834" s="2493"/>
      <c r="CL834" s="2493"/>
      <c r="CM834" s="2493"/>
      <c r="CN834" s="2493"/>
      <c r="CO834" s="2493"/>
      <c r="CP834" s="2493"/>
      <c r="CQ834" s="2493"/>
      <c r="CR834" s="2493"/>
      <c r="CS834" s="2493"/>
      <c r="CT834" s="2493"/>
      <c r="CU834" s="2493"/>
      <c r="CV834" s="2493"/>
      <c r="CW834" s="2493"/>
      <c r="CX834" s="2493"/>
      <c r="CY834" s="2493"/>
      <c r="CZ834" s="2493"/>
      <c r="DA834" s="2493"/>
      <c r="DB834" s="2493"/>
      <c r="DC834" s="2493"/>
      <c r="DD834" s="2493"/>
      <c r="DE834" s="2493"/>
      <c r="DF834" s="2493"/>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row>
    <row r="835" spans="1:159" s="14" customFormat="1" ht="12.95" customHeight="1">
      <c r="A835"/>
      <c r="B835"/>
      <c r="C835" s="49"/>
      <c r="D835" s="49"/>
      <c r="E835" s="49"/>
      <c r="F835" s="49"/>
      <c r="G835" s="49"/>
      <c r="H835" s="49"/>
      <c r="I835" s="49"/>
      <c r="J835" s="49"/>
      <c r="K835" s="49"/>
      <c r="L835" s="49"/>
      <c r="M835" s="130"/>
      <c r="N835" s="130"/>
      <c r="O835" s="130"/>
      <c r="P835" s="130"/>
      <c r="Q835" s="130"/>
      <c r="R835" s="130"/>
      <c r="S835" s="130"/>
      <c r="T835" s="130"/>
      <c r="U835" s="130"/>
      <c r="V835" s="130"/>
      <c r="W835" s="130"/>
      <c r="X835" s="130"/>
      <c r="Y835" s="130"/>
      <c r="Z835" s="130"/>
      <c r="AA835" s="130"/>
      <c r="AB835" s="130"/>
      <c r="AC835" s="130"/>
      <c r="AD835" s="130"/>
      <c r="AE835" s="130"/>
      <c r="AF835" s="130"/>
      <c r="AG835" s="130"/>
      <c r="AH835" s="130"/>
      <c r="AI835" s="130"/>
      <c r="AJ835" s="130"/>
      <c r="AK835"/>
      <c r="AL835" s="3"/>
      <c r="AM835" s="3"/>
      <c r="AN835" s="3"/>
      <c r="AO835" s="3"/>
      <c r="AP835" s="3"/>
      <c r="AQ835" s="3"/>
      <c r="AR835" s="3"/>
      <c r="AS835" s="3"/>
      <c r="AT835" s="3"/>
      <c r="AU835"/>
      <c r="AV835"/>
      <c r="AW835"/>
      <c r="AX835"/>
      <c r="AY835"/>
      <c r="AZ835" s="26"/>
      <c r="BA835" s="26"/>
      <c r="BO835" s="140" t="s">
        <v>975</v>
      </c>
      <c r="BP835" s="245">
        <v>396888</v>
      </c>
      <c r="BQ835" s="245">
        <v>457608</v>
      </c>
      <c r="BR835" s="245">
        <v>552000</v>
      </c>
      <c r="BS835" s="245">
        <v>706560</v>
      </c>
      <c r="BT835" s="245">
        <v>787152</v>
      </c>
      <c r="BV835" s="140" t="s">
        <v>975</v>
      </c>
      <c r="BW835" s="245">
        <v>396888</v>
      </c>
      <c r="BX835" s="245">
        <v>457608</v>
      </c>
      <c r="BY835" s="245">
        <v>552000</v>
      </c>
      <c r="BZ835" s="245">
        <v>706560</v>
      </c>
      <c r="CA835" s="245">
        <v>787152</v>
      </c>
      <c r="CB835" s="2493"/>
      <c r="CC835" s="2493"/>
      <c r="CD835" s="2493"/>
      <c r="CE835" s="2493"/>
      <c r="CF835" s="2493"/>
      <c r="CG835" s="2493"/>
      <c r="CH835" s="2493"/>
      <c r="CI835" s="2493"/>
      <c r="CJ835" s="2493"/>
      <c r="CK835" s="2493"/>
      <c r="CL835" s="2493"/>
      <c r="CM835" s="2493"/>
      <c r="CN835" s="2493"/>
      <c r="CO835" s="2493"/>
      <c r="CP835" s="2493"/>
      <c r="CQ835" s="2493"/>
      <c r="CR835" s="2493"/>
      <c r="CS835" s="2493"/>
      <c r="CT835" s="2493"/>
      <c r="CU835" s="2493"/>
      <c r="CV835" s="2493"/>
      <c r="CW835" s="2493"/>
      <c r="CX835" s="2493"/>
      <c r="CY835" s="2493"/>
      <c r="CZ835" s="2493"/>
      <c r="DA835" s="2493"/>
      <c r="DB835" s="2493"/>
      <c r="DC835" s="2493"/>
      <c r="DD835" s="2493"/>
      <c r="DE835" s="2493"/>
      <c r="DF835" s="2493"/>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row>
    <row r="836" spans="1:159" s="14" customFormat="1" ht="12.95" customHeight="1">
      <c r="A836"/>
      <c r="B836"/>
      <c r="C836" s="2" t="s">
        <v>1614</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26"/>
      <c r="BA836" s="26"/>
      <c r="BO836" s="140" t="s">
        <v>977</v>
      </c>
      <c r="BP836" s="247">
        <v>331890</v>
      </c>
      <c r="BQ836" s="247">
        <v>382666</v>
      </c>
      <c r="BR836" s="247">
        <v>461600</v>
      </c>
      <c r="BS836" s="247">
        <v>590848</v>
      </c>
      <c r="BT836" s="247">
        <v>658242</v>
      </c>
      <c r="BV836" s="140" t="s">
        <v>977</v>
      </c>
      <c r="BW836" s="247">
        <v>331890</v>
      </c>
      <c r="BX836" s="247">
        <v>382666</v>
      </c>
      <c r="BY836" s="247">
        <v>461600</v>
      </c>
      <c r="BZ836" s="247">
        <v>590848</v>
      </c>
      <c r="CA836" s="247">
        <v>658242</v>
      </c>
      <c r="CB836" s="2493"/>
      <c r="CC836" s="2493"/>
      <c r="CD836" s="2493"/>
      <c r="CE836" s="2493"/>
      <c r="CF836" s="2493"/>
      <c r="CG836" s="2493"/>
      <c r="CH836" s="2493"/>
      <c r="CI836" s="2493"/>
      <c r="CJ836" s="2493"/>
      <c r="CK836" s="2493"/>
      <c r="CL836" s="2493"/>
      <c r="CM836" s="2493"/>
      <c r="CN836" s="2493"/>
      <c r="CO836" s="2493"/>
      <c r="CP836" s="2493"/>
      <c r="CQ836" s="2493"/>
      <c r="CR836" s="2493"/>
      <c r="CS836" s="2493"/>
      <c r="CT836" s="2493"/>
      <c r="CU836" s="2493"/>
      <c r="CV836" s="2493"/>
      <c r="CW836" s="2493"/>
      <c r="CX836" s="2493"/>
      <c r="CY836" s="2493"/>
      <c r="CZ836" s="2493"/>
      <c r="DA836" s="2493"/>
      <c r="DB836" s="2493"/>
      <c r="DC836" s="2493"/>
      <c r="DD836" s="2493"/>
      <c r="DE836" s="2493"/>
      <c r="DF836" s="2493"/>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row>
    <row r="837" spans="1:159" s="14" customFormat="1" ht="12.95" customHeight="1">
      <c r="A837"/>
      <c r="B837"/>
      <c r="C837" s="2496" t="s">
        <v>869</v>
      </c>
      <c r="D837" s="2497"/>
      <c r="E837" s="2497"/>
      <c r="F837" s="2497"/>
      <c r="G837" s="2497"/>
      <c r="H837" s="2497"/>
      <c r="I837" s="2497"/>
      <c r="J837" s="2497"/>
      <c r="K837" s="2497"/>
      <c r="L837" s="2497"/>
      <c r="M837" s="2497"/>
      <c r="N837" s="2497"/>
      <c r="O837" s="2497"/>
      <c r="P837" s="2497"/>
      <c r="Q837" s="2497"/>
      <c r="R837" s="2497"/>
      <c r="S837" s="2497"/>
      <c r="T837" s="2497"/>
      <c r="U837" s="2497"/>
      <c r="V837" s="2497"/>
      <c r="W837" s="2497"/>
      <c r="X837" s="2497"/>
      <c r="Y837" s="2497"/>
      <c r="Z837" s="2497"/>
      <c r="AA837" s="2497"/>
      <c r="AB837" s="2497"/>
      <c r="AC837" s="2497"/>
      <c r="AD837" s="2497"/>
      <c r="AE837" s="2497"/>
      <c r="AF837" s="2497"/>
      <c r="AG837" s="2497"/>
      <c r="AH837" s="2497"/>
      <c r="AI837" s="2497"/>
      <c r="AJ837" s="2498"/>
      <c r="AK837"/>
      <c r="AL837" s="3"/>
      <c r="AM837" s="3"/>
      <c r="AN837" s="3"/>
      <c r="AO837" s="3"/>
      <c r="AP837" s="3"/>
      <c r="AQ837" s="3"/>
      <c r="AR837" s="3"/>
      <c r="AS837" s="3"/>
      <c r="AT837" s="3"/>
      <c r="AU837"/>
      <c r="AV837"/>
      <c r="AW837"/>
      <c r="AX837"/>
      <c r="AY837"/>
      <c r="AZ837" s="26"/>
      <c r="BA837" s="26"/>
      <c r="BO837" s="140" t="s">
        <v>979</v>
      </c>
      <c r="BP837" s="245">
        <v>352022</v>
      </c>
      <c r="BQ837" s="245">
        <v>405878</v>
      </c>
      <c r="BR837" s="245">
        <v>489600</v>
      </c>
      <c r="BS837" s="245">
        <v>626688</v>
      </c>
      <c r="BT837" s="245">
        <v>698170</v>
      </c>
      <c r="BV837" s="140" t="s">
        <v>979</v>
      </c>
      <c r="BW837" s="245">
        <v>352022</v>
      </c>
      <c r="BX837" s="245">
        <v>405878</v>
      </c>
      <c r="BY837" s="245">
        <v>489600</v>
      </c>
      <c r="BZ837" s="245">
        <v>626688</v>
      </c>
      <c r="CA837" s="245">
        <v>698170</v>
      </c>
      <c r="CB837" s="2493"/>
      <c r="CC837" s="2493"/>
      <c r="CD837" s="2493"/>
      <c r="CE837" s="2493"/>
      <c r="CF837" s="2493"/>
      <c r="CG837" s="2493"/>
      <c r="CH837" s="2493"/>
      <c r="CI837" s="2493"/>
      <c r="CJ837" s="2493"/>
      <c r="CK837" s="2493"/>
      <c r="CL837" s="2493"/>
      <c r="CM837" s="2493"/>
      <c r="CN837" s="2493"/>
      <c r="CO837" s="2493"/>
      <c r="CP837" s="2493"/>
      <c r="CQ837" s="2493"/>
      <c r="CR837" s="2493"/>
      <c r="CS837" s="2493"/>
      <c r="CT837" s="2493"/>
      <c r="CU837" s="2493"/>
      <c r="CV837" s="2493"/>
      <c r="CW837" s="2493"/>
      <c r="CX837" s="2493"/>
      <c r="CY837" s="2493"/>
      <c r="CZ837" s="2493"/>
      <c r="DA837" s="2493"/>
      <c r="DB837" s="2493"/>
      <c r="DC837" s="2493"/>
      <c r="DD837" s="2493"/>
      <c r="DE837" s="2493"/>
      <c r="DF837" s="2493"/>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row>
    <row r="838" spans="1:159" s="14" customFormat="1" ht="12.95" customHeight="1">
      <c r="A838"/>
      <c r="B838" s="3"/>
      <c r="C838" s="3" t="s">
        <v>1615</v>
      </c>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c r="AL838" s="3"/>
      <c r="AM838" s="3"/>
      <c r="AN838" s="3"/>
      <c r="AO838" s="3"/>
      <c r="AP838" s="3"/>
      <c r="AQ838" s="3"/>
      <c r="AR838" s="3"/>
      <c r="AS838" s="3"/>
      <c r="AT838" s="3"/>
      <c r="AU838"/>
      <c r="AV838"/>
      <c r="AW838"/>
      <c r="AX838"/>
      <c r="AY838"/>
      <c r="BO838" s="140" t="s">
        <v>983</v>
      </c>
      <c r="BP838" s="247">
        <v>314634</v>
      </c>
      <c r="BQ838" s="247">
        <v>362770</v>
      </c>
      <c r="BR838" s="247">
        <v>437600</v>
      </c>
      <c r="BS838" s="247">
        <v>560128</v>
      </c>
      <c r="BT838" s="247">
        <v>624018</v>
      </c>
      <c r="BV838" s="140" t="s">
        <v>983</v>
      </c>
      <c r="BW838" s="247">
        <v>314634</v>
      </c>
      <c r="BX838" s="247">
        <v>362770</v>
      </c>
      <c r="BY838" s="247">
        <v>437600</v>
      </c>
      <c r="BZ838" s="247">
        <v>560128</v>
      </c>
      <c r="CA838" s="247">
        <v>624018</v>
      </c>
      <c r="CB838" s="2493"/>
      <c r="CC838" s="2493"/>
      <c r="CD838" s="2493"/>
      <c r="CE838" s="2493"/>
      <c r="CF838" s="2493"/>
      <c r="CG838" s="2493"/>
      <c r="CH838" s="2493"/>
      <c r="CI838" s="2493"/>
      <c r="CJ838" s="2493"/>
      <c r="CK838" s="2493"/>
      <c r="CL838" s="2493"/>
      <c r="CM838" s="2493"/>
      <c r="CN838" s="2493"/>
      <c r="CO838" s="2493"/>
      <c r="CP838" s="2493"/>
      <c r="CQ838" s="2493"/>
      <c r="CR838" s="2493"/>
      <c r="CS838" s="2493"/>
      <c r="CT838" s="2493"/>
      <c r="CU838" s="2493"/>
      <c r="CV838" s="2493"/>
      <c r="CW838" s="2493"/>
      <c r="CX838" s="2493"/>
      <c r="CY838" s="2493"/>
      <c r="CZ838" s="2493"/>
      <c r="DA838" s="2493"/>
      <c r="DB838" s="2493"/>
      <c r="DC838" s="2493"/>
      <c r="DD838" s="2493"/>
      <c r="DE838" s="2493"/>
      <c r="DF838" s="2493"/>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140" t="s">
        <v>988</v>
      </c>
      <c r="BP839" s="245">
        <v>331890</v>
      </c>
      <c r="BQ839" s="245">
        <v>382666</v>
      </c>
      <c r="BR839" s="245">
        <v>461600</v>
      </c>
      <c r="BS839" s="245">
        <v>590848</v>
      </c>
      <c r="BT839" s="245">
        <v>658242</v>
      </c>
      <c r="BV839" s="140" t="s">
        <v>988</v>
      </c>
      <c r="BW839" s="245">
        <v>331890</v>
      </c>
      <c r="BX839" s="245">
        <v>382666</v>
      </c>
      <c r="BY839" s="245">
        <v>461600</v>
      </c>
      <c r="BZ839" s="245">
        <v>590848</v>
      </c>
      <c r="CA839" s="245">
        <v>658242</v>
      </c>
      <c r="CB839" s="2493"/>
      <c r="CC839" s="2493"/>
      <c r="CD839" s="2493"/>
      <c r="CE839" s="2493"/>
      <c r="CF839" s="2493"/>
      <c r="CG839" s="2493"/>
      <c r="CH839" s="2493"/>
      <c r="CI839" s="2493"/>
      <c r="CJ839" s="2493"/>
      <c r="CK839" s="2493"/>
      <c r="CL839" s="2493"/>
      <c r="CM839" s="2493"/>
      <c r="CN839" s="2493"/>
      <c r="CO839" s="2493"/>
      <c r="CP839" s="2493"/>
      <c r="CQ839" s="2493"/>
      <c r="CR839" s="2493"/>
      <c r="CS839" s="2493"/>
      <c r="CT839" s="2493"/>
      <c r="CU839" s="2493"/>
      <c r="CV839" s="2493"/>
      <c r="CW839" s="2493"/>
      <c r="CX839" s="2493"/>
      <c r="CY839" s="2493"/>
      <c r="CZ839" s="2493"/>
      <c r="DA839" s="2493"/>
      <c r="DB839" s="2493"/>
      <c r="DC839" s="2493"/>
      <c r="DD839" s="2493"/>
      <c r="DE839" s="2493"/>
      <c r="DF839" s="2493"/>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row>
    <row r="840" spans="1:159" s="14" customFormat="1" ht="12.95" customHeight="1">
      <c r="A840" s="2" t="s">
        <v>1157</v>
      </c>
      <c r="B840"/>
      <c r="C840" s="2" t="s">
        <v>1616</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140" t="s">
        <v>993</v>
      </c>
      <c r="BP840" s="247">
        <v>352022</v>
      </c>
      <c r="BQ840" s="247">
        <v>405878</v>
      </c>
      <c r="BR840" s="247">
        <v>489600</v>
      </c>
      <c r="BS840" s="247">
        <v>626688</v>
      </c>
      <c r="BT840" s="247">
        <v>698170</v>
      </c>
      <c r="BV840" s="140" t="s">
        <v>993</v>
      </c>
      <c r="BW840" s="247">
        <v>352022</v>
      </c>
      <c r="BX840" s="247">
        <v>405878</v>
      </c>
      <c r="BY840" s="247">
        <v>489600</v>
      </c>
      <c r="BZ840" s="247">
        <v>626688</v>
      </c>
      <c r="CA840" s="247">
        <v>698170</v>
      </c>
      <c r="CB840" s="2493"/>
      <c r="CC840" s="2493"/>
      <c r="CD840" s="2493"/>
      <c r="CE840" s="2493"/>
      <c r="CF840" s="2493"/>
      <c r="CG840" s="2493"/>
      <c r="CH840" s="2493"/>
      <c r="CI840" s="2493"/>
      <c r="CJ840" s="2493"/>
      <c r="CK840" s="2493"/>
      <c r="CL840" s="2493"/>
      <c r="CM840" s="2493"/>
      <c r="CN840" s="2493"/>
      <c r="CO840" s="2493"/>
      <c r="CP840" s="2493"/>
      <c r="CQ840" s="2493"/>
      <c r="CR840" s="2493"/>
      <c r="CS840" s="2493"/>
      <c r="CT840" s="2493"/>
      <c r="CU840" s="2493"/>
      <c r="CV840" s="2493"/>
      <c r="CW840" s="2493"/>
      <c r="CX840" s="2493"/>
      <c r="CY840" s="2493"/>
      <c r="CZ840" s="2493"/>
      <c r="DA840" s="2493"/>
      <c r="DB840" s="2493"/>
      <c r="DC840" s="2493"/>
      <c r="DD840" s="2493"/>
      <c r="DE840" s="2493"/>
      <c r="DF840" s="2493"/>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423">
        <f>ROUNDDOWN(BC939*2,2)</f>
        <v>0</v>
      </c>
      <c r="BJ841" s="1423"/>
      <c r="BK841" s="1423"/>
      <c r="BL841" s="1423"/>
      <c r="BO841" s="140" t="s">
        <v>997</v>
      </c>
      <c r="BP841" s="245">
        <v>314634</v>
      </c>
      <c r="BQ841" s="245">
        <v>362770</v>
      </c>
      <c r="BR841" s="245">
        <v>437600</v>
      </c>
      <c r="BS841" s="245">
        <v>560128</v>
      </c>
      <c r="BT841" s="245">
        <v>624018</v>
      </c>
      <c r="BV841" s="140" t="s">
        <v>997</v>
      </c>
      <c r="BW841" s="245">
        <v>314634</v>
      </c>
      <c r="BX841" s="245">
        <v>362770</v>
      </c>
      <c r="BY841" s="245">
        <v>437600</v>
      </c>
      <c r="BZ841" s="245">
        <v>560128</v>
      </c>
      <c r="CA841" s="245">
        <v>624018</v>
      </c>
      <c r="CB841" s="2493"/>
      <c r="CC841" s="2493"/>
      <c r="CD841" s="2493"/>
      <c r="CE841" s="2493"/>
      <c r="CF841" s="2493"/>
      <c r="CG841" s="2493"/>
      <c r="CH841" s="2493"/>
      <c r="CI841" s="2493"/>
      <c r="CJ841" s="2493"/>
      <c r="CK841" s="2493"/>
      <c r="CL841" s="2493"/>
      <c r="CM841" s="2493"/>
      <c r="CN841" s="2493"/>
      <c r="CO841" s="2493"/>
      <c r="CP841" s="2493"/>
      <c r="CQ841" s="2493"/>
      <c r="CR841" s="2493"/>
      <c r="CS841" s="2493"/>
      <c r="CT841" s="2493"/>
      <c r="CU841" s="2493"/>
      <c r="CV841" s="2493"/>
      <c r="CW841" s="2493"/>
      <c r="CX841" s="2493"/>
      <c r="CY841" s="2493"/>
      <c r="CZ841" s="2493"/>
      <c r="DA841" s="2493"/>
      <c r="DB841" s="2493"/>
      <c r="DC841" s="2493"/>
      <c r="DD841" s="2493"/>
      <c r="DE841" s="2493"/>
      <c r="DF841" s="2493"/>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row>
    <row r="842" spans="1:159" s="14" customFormat="1" ht="12.95" customHeight="1">
      <c r="A842"/>
      <c r="B842"/>
      <c r="C842" s="2" t="s">
        <v>1617</v>
      </c>
      <c r="D842"/>
      <c r="E842"/>
      <c r="F842"/>
      <c r="G842"/>
      <c r="H842"/>
      <c r="I842"/>
      <c r="J842" s="38" t="s">
        <v>1618</v>
      </c>
      <c r="K842" s="5"/>
      <c r="L842" s="5"/>
      <c r="M842" s="5"/>
      <c r="N842" s="5"/>
      <c r="O842" s="5"/>
      <c r="P842" s="5"/>
      <c r="Q842" s="5"/>
      <c r="R842" s="5"/>
      <c r="S842" s="5"/>
      <c r="T842" s="5"/>
      <c r="U842" s="5"/>
      <c r="V842" s="39"/>
      <c r="W842" s="1409">
        <v>9500</v>
      </c>
      <c r="X842" s="1409"/>
      <c r="Y842" s="1409"/>
      <c r="Z842" s="1409"/>
      <c r="AA842" s="1409"/>
      <c r="AB842" s="1409"/>
      <c r="AC842" s="1409"/>
      <c r="AD842"/>
      <c r="AE842"/>
      <c r="AF842"/>
      <c r="AG842"/>
      <c r="AH842"/>
      <c r="AI842"/>
      <c r="AJ842"/>
      <c r="AK842"/>
      <c r="AL842"/>
      <c r="AM842"/>
      <c r="AN842"/>
      <c r="AO842"/>
      <c r="AP842"/>
      <c r="AQ842"/>
      <c r="AR842"/>
      <c r="AS842"/>
      <c r="AT842"/>
      <c r="AU842"/>
      <c r="AV842"/>
      <c r="AW842"/>
      <c r="AX842"/>
      <c r="AY842"/>
      <c r="AZ842" s="26"/>
      <c r="BA842" s="26"/>
      <c r="BO842" s="140" t="s">
        <v>1002</v>
      </c>
      <c r="BP842" s="247">
        <v>353173</v>
      </c>
      <c r="BQ842" s="247">
        <v>407205</v>
      </c>
      <c r="BR842" s="247">
        <v>491200</v>
      </c>
      <c r="BS842" s="247">
        <v>628736</v>
      </c>
      <c r="BT842" s="247">
        <v>700451</v>
      </c>
      <c r="BV842" s="140" t="s">
        <v>1002</v>
      </c>
      <c r="BW842" s="247">
        <v>353173</v>
      </c>
      <c r="BX842" s="247">
        <v>407205</v>
      </c>
      <c r="BY842" s="247">
        <v>491200</v>
      </c>
      <c r="BZ842" s="247">
        <v>628736</v>
      </c>
      <c r="CA842" s="247">
        <v>700451</v>
      </c>
      <c r="CB842" s="2493"/>
      <c r="CC842" s="2493"/>
      <c r="CD842" s="2493"/>
      <c r="CE842" s="2493"/>
      <c r="CF842" s="2493"/>
      <c r="CG842" s="2493"/>
      <c r="CH842" s="2493"/>
      <c r="CI842" s="2493"/>
      <c r="CJ842" s="2493"/>
      <c r="CK842" s="2493"/>
      <c r="CL842" s="2493"/>
      <c r="CM842" s="2493"/>
      <c r="CN842" s="2493"/>
      <c r="CO842" s="2493"/>
      <c r="CP842" s="2493"/>
      <c r="CQ842" s="2493"/>
      <c r="CR842" s="2493"/>
      <c r="CS842" s="2493"/>
      <c r="CT842" s="2493"/>
      <c r="CU842" s="2493"/>
      <c r="CV842" s="2493"/>
      <c r="CW842" s="2493"/>
      <c r="CX842" s="2493"/>
      <c r="CY842" s="2493"/>
      <c r="CZ842" s="2493"/>
      <c r="DA842" s="2493"/>
      <c r="DB842" s="2493"/>
      <c r="DC842" s="2493"/>
      <c r="DD842" s="2493"/>
      <c r="DE842" s="2493"/>
      <c r="DF842" s="2493"/>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row>
    <row r="843" spans="1:159" s="14" customFormat="1" ht="12.95" customHeight="1">
      <c r="A843"/>
      <c r="B843"/>
      <c r="C843"/>
      <c r="D843"/>
      <c r="E843"/>
      <c r="F843"/>
      <c r="G843"/>
      <c r="H843"/>
      <c r="I843"/>
      <c r="J843" s="38" t="s">
        <v>1619</v>
      </c>
      <c r="K843" s="5"/>
      <c r="L843" s="5"/>
      <c r="M843" s="5"/>
      <c r="N843" s="5"/>
      <c r="O843" s="5"/>
      <c r="P843" s="5"/>
      <c r="Q843" s="5"/>
      <c r="R843" s="5"/>
      <c r="S843" s="5"/>
      <c r="T843" s="5"/>
      <c r="U843" s="5"/>
      <c r="V843" s="39"/>
      <c r="W843" s="1409">
        <f>21500+5000-1090</f>
        <v>25410</v>
      </c>
      <c r="X843" s="1409"/>
      <c r="Y843" s="1409"/>
      <c r="Z843" s="1409"/>
      <c r="AA843" s="1409"/>
      <c r="AB843" s="1409"/>
      <c r="AC843" s="1409"/>
      <c r="AD843"/>
      <c r="AE843"/>
      <c r="AF843"/>
      <c r="AG843"/>
      <c r="AH843"/>
      <c r="AI843"/>
      <c r="AJ843"/>
      <c r="AK843"/>
      <c r="AL843"/>
      <c r="AM843"/>
      <c r="AN843"/>
      <c r="AO843"/>
      <c r="AP843"/>
      <c r="AQ843"/>
      <c r="AR843"/>
      <c r="AS843"/>
      <c r="AT843"/>
      <c r="AU843"/>
      <c r="AV843"/>
      <c r="AW843"/>
      <c r="AX843"/>
      <c r="AY843"/>
      <c r="AZ843" s="26">
        <f>IF(AJ1028&gt;1,0.025,0)</f>
        <v>0</v>
      </c>
      <c r="BA843" s="26"/>
      <c r="BO843" s="140" t="s">
        <v>1004</v>
      </c>
      <c r="BP843" s="245">
        <v>689665</v>
      </c>
      <c r="BQ843" s="245">
        <v>795177</v>
      </c>
      <c r="BR843" s="245">
        <v>959200</v>
      </c>
      <c r="BS843" s="245">
        <v>1227776</v>
      </c>
      <c r="BT843" s="245">
        <v>1367819</v>
      </c>
      <c r="BV843" s="140" t="s">
        <v>1004</v>
      </c>
      <c r="BW843" s="245">
        <v>689665</v>
      </c>
      <c r="BX843" s="245">
        <v>795177</v>
      </c>
      <c r="BY843" s="245">
        <v>959200</v>
      </c>
      <c r="BZ843" s="245">
        <v>1227776</v>
      </c>
      <c r="CA843" s="245">
        <v>1367819</v>
      </c>
      <c r="CB843" s="2493"/>
      <c r="CC843" s="2493"/>
      <c r="CD843" s="2493"/>
      <c r="CE843" s="2493"/>
      <c r="CF843" s="2493"/>
      <c r="CG843" s="2493"/>
      <c r="CH843" s="2493"/>
      <c r="CI843" s="2493"/>
      <c r="CJ843" s="2493"/>
      <c r="CK843" s="2493"/>
      <c r="CL843" s="2493"/>
      <c r="CM843" s="2493"/>
      <c r="CN843" s="2493"/>
      <c r="CO843" s="2493"/>
      <c r="CP843" s="2493"/>
      <c r="CQ843" s="2493"/>
      <c r="CR843" s="2493"/>
      <c r="CS843" s="2493"/>
      <c r="CT843" s="2493"/>
      <c r="CU843" s="2493"/>
      <c r="CV843" s="2493"/>
      <c r="CW843" s="2493"/>
      <c r="CX843" s="2493"/>
      <c r="CY843" s="2493"/>
      <c r="CZ843" s="2493"/>
      <c r="DA843" s="2493"/>
      <c r="DB843" s="2493"/>
      <c r="DC843" s="2493"/>
      <c r="DD843" s="2493"/>
      <c r="DE843" s="2493"/>
      <c r="DF843" s="2493"/>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row>
    <row r="844" spans="1:159" ht="12.95" customHeight="1">
      <c r="J844" s="38" t="s">
        <v>1620</v>
      </c>
      <c r="K844" s="5"/>
      <c r="L844" s="5"/>
      <c r="M844" s="5"/>
      <c r="N844" s="5"/>
      <c r="O844" s="5"/>
      <c r="P844" s="5"/>
      <c r="Q844" s="5"/>
      <c r="R844" s="5"/>
      <c r="S844" s="5"/>
      <c r="T844" s="5"/>
      <c r="U844" s="5"/>
      <c r="V844" s="39"/>
      <c r="W844" s="1409">
        <f>11500+4000</f>
        <v>15500</v>
      </c>
      <c r="X844" s="1409"/>
      <c r="Y844" s="1409"/>
      <c r="Z844" s="1409"/>
      <c r="AA844" s="1409"/>
      <c r="AB844" s="1409"/>
      <c r="AC844" s="1409"/>
      <c r="AZ844" s="26"/>
      <c r="BA844" s="26"/>
      <c r="BB844" s="14"/>
      <c r="BC844" s="14"/>
      <c r="BD844" s="14"/>
      <c r="BE844" s="14"/>
      <c r="BF844" s="14"/>
      <c r="BG844" s="14"/>
      <c r="BH844" s="14"/>
      <c r="BI844" s="14"/>
      <c r="BJ844" s="14"/>
      <c r="BK844" s="14"/>
      <c r="BL844" s="14"/>
      <c r="BM844" s="14"/>
      <c r="BN844" s="14"/>
      <c r="BO844" s="140" t="s">
        <v>1009</v>
      </c>
      <c r="BP844" s="247">
        <v>307732</v>
      </c>
      <c r="BQ844" s="247">
        <v>354812</v>
      </c>
      <c r="BR844" s="247">
        <v>428000</v>
      </c>
      <c r="BS844" s="247">
        <v>547840</v>
      </c>
      <c r="BT844" s="247">
        <v>610328</v>
      </c>
      <c r="BU844" s="14"/>
      <c r="BV844" s="140" t="s">
        <v>1009</v>
      </c>
      <c r="BW844" s="247">
        <v>307732</v>
      </c>
      <c r="BX844" s="247">
        <v>354812</v>
      </c>
      <c r="BY844" s="247">
        <v>428000</v>
      </c>
      <c r="BZ844" s="247">
        <v>547840</v>
      </c>
      <c r="CA844" s="247">
        <v>610328</v>
      </c>
      <c r="CB844" s="2493"/>
      <c r="CC844" s="2493"/>
      <c r="CD844" s="2493"/>
      <c r="CE844" s="2493"/>
      <c r="CF844" s="2493"/>
      <c r="CG844" s="2493"/>
      <c r="CH844" s="2493"/>
      <c r="CI844" s="2493"/>
      <c r="CJ844" s="2493"/>
      <c r="CK844" s="2493"/>
      <c r="CL844" s="2493"/>
      <c r="CM844" s="2493"/>
      <c r="CN844" s="2493"/>
      <c r="CO844" s="2493"/>
      <c r="CP844" s="2493"/>
      <c r="CQ844" s="2493"/>
      <c r="CR844" s="2493"/>
      <c r="CS844" s="2493"/>
      <c r="CT844" s="2493"/>
      <c r="CU844" s="2493"/>
      <c r="CV844" s="2493"/>
      <c r="CW844" s="2493"/>
      <c r="CX844" s="2493"/>
      <c r="CY844" s="2493"/>
      <c r="CZ844" s="2493"/>
      <c r="DA844" s="2493"/>
      <c r="DB844" s="2493"/>
      <c r="DC844" s="2493"/>
      <c r="DD844" s="2493"/>
      <c r="DE844" s="2493"/>
      <c r="DF844" s="2493"/>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38" t="s">
        <v>1621</v>
      </c>
      <c r="K845" s="5"/>
      <c r="L845" s="5"/>
      <c r="M845" s="5"/>
      <c r="N845" s="5"/>
      <c r="O845" s="5"/>
      <c r="P845" s="5"/>
      <c r="Q845" s="5"/>
      <c r="R845" s="5"/>
      <c r="S845" s="5"/>
      <c r="T845" s="5"/>
      <c r="U845" s="5"/>
      <c r="V845" s="39"/>
      <c r="W845" s="1409"/>
      <c r="X845" s="1409"/>
      <c r="Y845" s="1409"/>
      <c r="Z845" s="1409"/>
      <c r="AA845" s="1409"/>
      <c r="AB845" s="1409"/>
      <c r="AC845" s="1409"/>
      <c r="AZ845" s="26"/>
      <c r="BA845" s="26"/>
      <c r="BB845" s="14"/>
      <c r="BC845" s="14"/>
      <c r="BD845" s="14"/>
      <c r="BE845" s="14"/>
      <c r="BF845" s="14"/>
      <c r="BG845" s="14"/>
      <c r="BH845" s="14"/>
      <c r="BI845" s="14"/>
      <c r="BJ845" s="14"/>
      <c r="BK845" s="14"/>
      <c r="BL845" s="14"/>
      <c r="BM845" s="14"/>
      <c r="BN845" s="14"/>
      <c r="BO845" s="140" t="s">
        <v>1013</v>
      </c>
      <c r="BP845" s="245">
        <v>387110</v>
      </c>
      <c r="BQ845" s="245">
        <v>446334</v>
      </c>
      <c r="BR845" s="245">
        <v>538400</v>
      </c>
      <c r="BS845" s="245">
        <v>689152</v>
      </c>
      <c r="BT845" s="245">
        <v>767758</v>
      </c>
      <c r="BU845" s="14"/>
      <c r="BV845" s="140" t="s">
        <v>1013</v>
      </c>
      <c r="BW845" s="245">
        <v>387110</v>
      </c>
      <c r="BX845" s="245">
        <v>446334</v>
      </c>
      <c r="BY845" s="245">
        <v>538400</v>
      </c>
      <c r="BZ845" s="245">
        <v>689152</v>
      </c>
      <c r="CA845" s="245">
        <v>767758</v>
      </c>
      <c r="CB845" s="2493"/>
      <c r="CC845" s="2493"/>
      <c r="CD845" s="2493"/>
      <c r="CE845" s="2493"/>
      <c r="CF845" s="2493"/>
      <c r="CG845" s="2493"/>
      <c r="CH845" s="2493"/>
      <c r="CI845" s="2493"/>
      <c r="CJ845" s="2493"/>
      <c r="CK845" s="2493"/>
      <c r="CL845" s="2493"/>
      <c r="CM845" s="2493"/>
      <c r="CN845" s="2493"/>
      <c r="CO845" s="2493"/>
      <c r="CP845" s="2493"/>
      <c r="CQ845" s="2493"/>
      <c r="CR845" s="2493"/>
      <c r="CS845" s="2493"/>
      <c r="CT845" s="2493"/>
      <c r="CU845" s="2493"/>
      <c r="CV845" s="2493"/>
      <c r="CW845" s="2493"/>
      <c r="CX845" s="2493"/>
      <c r="CY845" s="2493"/>
      <c r="CZ845" s="2493"/>
      <c r="DA845" s="2493"/>
      <c r="DB845" s="2493"/>
      <c r="DC845" s="2493"/>
      <c r="DD845" s="2493"/>
      <c r="DE845" s="2493"/>
      <c r="DF845" s="2493"/>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38" t="s">
        <v>232</v>
      </c>
      <c r="K846" s="5"/>
      <c r="L846" s="5"/>
      <c r="M846" s="1387" t="s">
        <v>1401</v>
      </c>
      <c r="N846" s="1388"/>
      <c r="O846" s="1388"/>
      <c r="P846" s="1388"/>
      <c r="Q846" s="1388"/>
      <c r="R846" s="1388"/>
      <c r="S846" s="1388"/>
      <c r="T846" s="1388"/>
      <c r="U846" s="1388"/>
      <c r="V846" s="1389"/>
      <c r="W846" s="1409"/>
      <c r="X846" s="1409"/>
      <c r="Y846" s="1409"/>
      <c r="Z846" s="1409"/>
      <c r="AA846" s="1409"/>
      <c r="AB846" s="1409"/>
      <c r="AC846" s="1409"/>
      <c r="AZ846" s="26">
        <f>IF(AJ1028&gt;1,0.05,0)</f>
        <v>0</v>
      </c>
      <c r="BA846" s="26"/>
      <c r="BB846" s="14"/>
      <c r="BC846" s="14"/>
      <c r="BD846" s="14"/>
      <c r="BE846" s="14"/>
      <c r="BF846" s="14"/>
      <c r="BG846" s="14"/>
      <c r="BH846" s="14"/>
      <c r="BI846" s="14"/>
      <c r="BJ846" s="14"/>
      <c r="BK846" s="14"/>
      <c r="BL846" s="14"/>
      <c r="BM846" s="14"/>
      <c r="BN846" s="14"/>
      <c r="BO846" s="140" t="s">
        <v>1017</v>
      </c>
      <c r="BP846" s="246">
        <v>532060</v>
      </c>
      <c r="BQ846" s="246">
        <v>613460</v>
      </c>
      <c r="BR846" s="247">
        <v>740000</v>
      </c>
      <c r="BS846" s="246">
        <v>947200</v>
      </c>
      <c r="BT846" s="246">
        <v>1055240</v>
      </c>
      <c r="BU846" s="14"/>
      <c r="BV846" s="140" t="s">
        <v>1017</v>
      </c>
      <c r="BW846" s="246">
        <v>532060</v>
      </c>
      <c r="BX846" s="246">
        <v>613460</v>
      </c>
      <c r="BY846" s="246">
        <v>740000</v>
      </c>
      <c r="BZ846" s="246">
        <v>947200</v>
      </c>
      <c r="CA846" s="246">
        <v>1055240</v>
      </c>
      <c r="CB846" s="2493"/>
      <c r="CC846" s="2493"/>
      <c r="CD846" s="2493"/>
      <c r="CE846" s="2493"/>
      <c r="CF846" s="2493"/>
      <c r="CG846" s="2493"/>
      <c r="CH846" s="2493"/>
      <c r="CI846" s="2493"/>
      <c r="CJ846" s="2493"/>
      <c r="CK846" s="2493"/>
      <c r="CL846" s="2493"/>
      <c r="CM846" s="2493"/>
      <c r="CN846" s="2493"/>
      <c r="CO846" s="2493"/>
      <c r="CP846" s="2493"/>
      <c r="CQ846" s="2493"/>
      <c r="CR846" s="2493"/>
      <c r="CS846" s="2493"/>
      <c r="CT846" s="2493"/>
      <c r="CU846" s="2493"/>
      <c r="CV846" s="2493"/>
      <c r="CW846" s="2493"/>
      <c r="CX846" s="2493"/>
      <c r="CY846" s="2493"/>
      <c r="CZ846" s="2493"/>
      <c r="DA846" s="2493"/>
      <c r="DB846" s="2493"/>
      <c r="DC846" s="2493"/>
      <c r="DD846" s="2493"/>
      <c r="DE846" s="2493"/>
      <c r="DF846" s="2493"/>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38"/>
      <c r="K847" s="5"/>
      <c r="L847" s="5"/>
      <c r="M847" s="5"/>
      <c r="N847" s="5"/>
      <c r="O847" s="5"/>
      <c r="P847" s="5"/>
      <c r="Q847" s="5"/>
      <c r="R847" s="5"/>
      <c r="S847" s="5"/>
      <c r="T847" s="5"/>
      <c r="U847" s="5"/>
      <c r="V847" s="47" t="s">
        <v>1622</v>
      </c>
      <c r="W847" s="1406">
        <f>SUM(W842:AC846)</f>
        <v>50410</v>
      </c>
      <c r="X847" s="1407"/>
      <c r="Y847" s="1407"/>
      <c r="Z847" s="1407"/>
      <c r="AA847" s="1407"/>
      <c r="AB847" s="1407"/>
      <c r="AC847" s="1408"/>
      <c r="AZ847" s="26"/>
      <c r="BA847" s="26"/>
      <c r="BB847" s="14"/>
      <c r="BC847" s="14"/>
      <c r="BD847" s="14"/>
      <c r="BE847" s="14"/>
      <c r="BF847" s="14"/>
      <c r="BG847" s="14"/>
      <c r="BH847" s="14"/>
      <c r="BI847" s="14"/>
      <c r="BJ847" s="14"/>
      <c r="BK847" s="14"/>
      <c r="BL847" s="14"/>
      <c r="BM847" s="14"/>
      <c r="BN847" s="14"/>
      <c r="BO847" s="140" t="s">
        <v>1021</v>
      </c>
      <c r="BP847" s="245">
        <v>387110</v>
      </c>
      <c r="BQ847" s="245">
        <v>446334</v>
      </c>
      <c r="BR847" s="245">
        <v>538400</v>
      </c>
      <c r="BS847" s="245">
        <v>689152</v>
      </c>
      <c r="BT847" s="245">
        <v>767758</v>
      </c>
      <c r="BU847" s="14"/>
      <c r="BV847" s="140" t="s">
        <v>1021</v>
      </c>
      <c r="BW847" s="245">
        <v>387110</v>
      </c>
      <c r="BX847" s="245">
        <v>446334</v>
      </c>
      <c r="BY847" s="245">
        <v>538400</v>
      </c>
      <c r="BZ847" s="245">
        <v>689152</v>
      </c>
      <c r="CA847" s="245">
        <v>767758</v>
      </c>
      <c r="CB847" s="2493"/>
      <c r="CC847" s="2493"/>
      <c r="CD847" s="2493"/>
      <c r="CE847" s="2493"/>
      <c r="CF847" s="2493"/>
      <c r="CG847" s="2493"/>
      <c r="CH847" s="2493"/>
      <c r="CI847" s="2493"/>
      <c r="CJ847" s="2493"/>
      <c r="CK847" s="2493"/>
      <c r="CL847" s="2493"/>
      <c r="CM847" s="2493"/>
      <c r="CN847" s="2493"/>
      <c r="CO847" s="2493"/>
      <c r="CP847" s="2493"/>
      <c r="CQ847" s="2493"/>
      <c r="CR847" s="2493"/>
      <c r="CS847" s="2493"/>
      <c r="CT847" s="2493"/>
      <c r="CU847" s="2493"/>
      <c r="CV847" s="2493"/>
      <c r="CW847" s="2493"/>
      <c r="CX847" s="2493"/>
      <c r="CY847" s="2493"/>
      <c r="CZ847" s="2493"/>
      <c r="DA847" s="2493"/>
      <c r="DB847" s="2493"/>
      <c r="DC847" s="2493"/>
      <c r="DD847" s="2493"/>
      <c r="DE847" s="2493"/>
      <c r="DF847" s="2493"/>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26"/>
      <c r="BA848" s="26"/>
      <c r="BB848" s="14"/>
      <c r="BC848" s="14"/>
      <c r="BD848" s="14"/>
      <c r="BE848" s="14"/>
      <c r="BF848" s="14"/>
      <c r="BG848" s="1411"/>
      <c r="BH848" s="1411"/>
      <c r="BI848" s="1411"/>
      <c r="BJ848" s="1411"/>
      <c r="BK848" s="1411"/>
      <c r="BL848" s="1411"/>
      <c r="BM848" s="14"/>
      <c r="BN848" s="14"/>
      <c r="BO848" s="140" t="s">
        <v>1025</v>
      </c>
      <c r="BP848" s="246">
        <v>532060</v>
      </c>
      <c r="BQ848" s="246">
        <v>613460</v>
      </c>
      <c r="BR848" s="246">
        <v>740000</v>
      </c>
      <c r="BS848" s="246">
        <v>947200</v>
      </c>
      <c r="BT848" s="246">
        <v>1055240</v>
      </c>
      <c r="BU848" s="14"/>
      <c r="BV848" s="140" t="s">
        <v>1025</v>
      </c>
      <c r="BW848" s="246">
        <v>532060</v>
      </c>
      <c r="BX848" s="246">
        <v>613460</v>
      </c>
      <c r="BY848" s="246">
        <v>740000</v>
      </c>
      <c r="BZ848" s="246">
        <v>947200</v>
      </c>
      <c r="CA848" s="246">
        <v>1055240</v>
      </c>
      <c r="CB848" s="2493"/>
      <c r="CC848" s="2493"/>
      <c r="CD848" s="2493"/>
      <c r="CE848" s="2493"/>
      <c r="CF848" s="2493"/>
      <c r="CG848" s="2493"/>
      <c r="CH848" s="2493"/>
      <c r="CI848" s="2493"/>
      <c r="CJ848" s="2493"/>
      <c r="CK848" s="2493"/>
      <c r="CL848" s="2493"/>
      <c r="CM848" s="2493"/>
      <c r="CN848" s="2493"/>
      <c r="CO848" s="2493"/>
      <c r="CP848" s="2493"/>
      <c r="CQ848" s="2493"/>
      <c r="CR848" s="2493"/>
      <c r="CS848" s="2493"/>
      <c r="CT848" s="2493"/>
      <c r="CU848" s="2493"/>
      <c r="CV848" s="2493"/>
      <c r="CW848" s="2493"/>
      <c r="CX848" s="2493"/>
      <c r="CY848" s="2493"/>
      <c r="CZ848" s="2493"/>
      <c r="DA848" s="2493"/>
      <c r="DB848" s="2493"/>
      <c r="DC848" s="2493"/>
      <c r="DD848" s="2493"/>
      <c r="DE848" s="2493"/>
      <c r="DF848" s="2493"/>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1623</v>
      </c>
      <c r="J849" s="1390" t="s">
        <v>1624</v>
      </c>
      <c r="K849" s="1391"/>
      <c r="L849" s="1391"/>
      <c r="M849" s="1391"/>
      <c r="N849" s="1391"/>
      <c r="O849" s="1391"/>
      <c r="P849" s="1391"/>
      <c r="Q849" s="1391"/>
      <c r="R849" s="1391"/>
      <c r="S849" s="1391"/>
      <c r="T849" s="1391"/>
      <c r="U849" s="1391"/>
      <c r="V849" s="1392"/>
      <c r="W849" s="1320">
        <v>51840</v>
      </c>
      <c r="X849" s="1321"/>
      <c r="Y849" s="1321"/>
      <c r="Z849" s="1321"/>
      <c r="AA849" s="1321"/>
      <c r="AB849" s="1321"/>
      <c r="AC849" s="1322"/>
      <c r="AD849" s="458"/>
      <c r="AZ849" s="26"/>
      <c r="BA849" s="26"/>
      <c r="BB849" s="14"/>
      <c r="BC849" s="14"/>
      <c r="BD849" s="14"/>
      <c r="BE849" s="14"/>
      <c r="BF849" s="14"/>
      <c r="BG849" s="66"/>
      <c r="BH849" s="66"/>
      <c r="BI849" s="66"/>
      <c r="BJ849" s="66"/>
      <c r="BK849" s="66"/>
      <c r="BL849" s="66"/>
      <c r="BM849" s="14"/>
      <c r="BN849" s="14"/>
      <c r="BO849" s="140" t="s">
        <v>1029</v>
      </c>
      <c r="BP849" s="245">
        <v>387110</v>
      </c>
      <c r="BQ849" s="245">
        <v>446334</v>
      </c>
      <c r="BR849" s="245">
        <v>538400</v>
      </c>
      <c r="BS849" s="245">
        <v>689152</v>
      </c>
      <c r="BT849" s="245">
        <v>767758</v>
      </c>
      <c r="BU849" s="14"/>
      <c r="BV849" s="140" t="s">
        <v>1029</v>
      </c>
      <c r="BW849" s="245">
        <v>387110</v>
      </c>
      <c r="BX849" s="245">
        <v>446334</v>
      </c>
      <c r="BY849" s="245">
        <v>538400</v>
      </c>
      <c r="BZ849" s="245">
        <v>689152</v>
      </c>
      <c r="CA849" s="245">
        <v>767758</v>
      </c>
      <c r="CB849" s="2493"/>
      <c r="CC849" s="2493"/>
      <c r="CD849" s="2493"/>
      <c r="CE849" s="2493"/>
      <c r="CF849" s="2493"/>
      <c r="CG849" s="2493"/>
      <c r="CH849" s="2493"/>
      <c r="CI849" s="2493"/>
      <c r="CJ849" s="2493"/>
      <c r="CK849" s="2493"/>
      <c r="CL849" s="2493"/>
      <c r="CM849" s="2493"/>
      <c r="CN849" s="2493"/>
      <c r="CO849" s="2493"/>
      <c r="CP849" s="2493"/>
      <c r="CQ849" s="2493"/>
      <c r="CR849" s="2493"/>
      <c r="CS849" s="2493"/>
      <c r="CT849" s="2493"/>
      <c r="CU849" s="2493"/>
      <c r="CV849" s="2493"/>
      <c r="CW849" s="2493"/>
      <c r="CX849" s="2493"/>
      <c r="CY849" s="2493"/>
      <c r="CZ849" s="2493"/>
      <c r="DA849" s="2493"/>
      <c r="DB849" s="2493"/>
      <c r="DC849" s="2493"/>
      <c r="DD849" s="2493"/>
      <c r="DE849" s="2493"/>
      <c r="DF849" s="2493"/>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458"/>
      <c r="AZ850" s="26"/>
      <c r="BA850" s="26"/>
      <c r="BB850" s="14"/>
      <c r="BC850" s="14"/>
      <c r="BD850" s="14"/>
      <c r="BE850" s="14"/>
      <c r="BF850" s="14"/>
      <c r="BG850" s="66"/>
      <c r="BH850" s="66"/>
      <c r="BI850" s="66"/>
      <c r="BJ850" s="66"/>
      <c r="BK850" s="66"/>
      <c r="BL850" s="66"/>
      <c r="BM850" s="14"/>
      <c r="BN850" s="14"/>
      <c r="BO850" s="140" t="s">
        <v>1034</v>
      </c>
      <c r="BP850" s="247">
        <v>319236</v>
      </c>
      <c r="BQ850" s="247">
        <v>368076</v>
      </c>
      <c r="BR850" s="247">
        <v>444000</v>
      </c>
      <c r="BS850" s="247">
        <v>568320</v>
      </c>
      <c r="BT850" s="247">
        <v>633144</v>
      </c>
      <c r="BU850" s="14"/>
      <c r="BV850" s="140" t="s">
        <v>1034</v>
      </c>
      <c r="BW850" s="247">
        <v>319236</v>
      </c>
      <c r="BX850" s="247">
        <v>368076</v>
      </c>
      <c r="BY850" s="247">
        <v>444000</v>
      </c>
      <c r="BZ850" s="247">
        <v>568320</v>
      </c>
      <c r="CA850" s="247">
        <v>633144</v>
      </c>
      <c r="CB850" s="2493"/>
      <c r="CC850" s="2493"/>
      <c r="CD850" s="2493"/>
      <c r="CE850" s="2493"/>
      <c r="CF850" s="2493"/>
      <c r="CG850" s="2493"/>
      <c r="CH850" s="2493"/>
      <c r="CI850" s="2493"/>
      <c r="CJ850" s="2493"/>
      <c r="CK850" s="2493"/>
      <c r="CL850" s="2493"/>
      <c r="CM850" s="2493"/>
      <c r="CN850" s="2493"/>
      <c r="CO850" s="2493"/>
      <c r="CP850" s="2493"/>
      <c r="CQ850" s="2493"/>
      <c r="CR850" s="2493"/>
      <c r="CS850" s="2493"/>
      <c r="CT850" s="2493"/>
      <c r="CU850" s="2493"/>
      <c r="CV850" s="2493"/>
      <c r="CW850" s="2493"/>
      <c r="CX850" s="2493"/>
      <c r="CY850" s="2493"/>
      <c r="CZ850" s="2493"/>
      <c r="DA850" s="2493"/>
      <c r="DB850" s="2493"/>
      <c r="DC850" s="2493"/>
      <c r="DD850" s="2493"/>
      <c r="DE850" s="2493"/>
      <c r="DF850" s="2493"/>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229</v>
      </c>
      <c r="J851" s="38" t="s">
        <v>1625</v>
      </c>
      <c r="K851" s="5"/>
      <c r="L851" s="5"/>
      <c r="M851" s="5"/>
      <c r="N851" s="5"/>
      <c r="O851" s="5"/>
      <c r="P851" s="5"/>
      <c r="Q851" s="5"/>
      <c r="R851" s="5"/>
      <c r="S851" s="5"/>
      <c r="T851" s="5"/>
      <c r="U851" s="5"/>
      <c r="V851" s="39"/>
      <c r="W851" s="2499"/>
      <c r="X851" s="2499"/>
      <c r="Y851" s="2499"/>
      <c r="Z851" s="2499"/>
      <c r="AA851" s="2499"/>
      <c r="AB851" s="2499"/>
      <c r="AC851" s="2499"/>
      <c r="AZ851" s="1512">
        <f>SUM(AZ818:AZ846)</f>
        <v>0</v>
      </c>
      <c r="BA851" s="1512"/>
      <c r="BB851" s="14"/>
      <c r="BC851" s="14"/>
      <c r="BD851" s="14"/>
      <c r="BE851" s="14"/>
      <c r="BF851" s="14"/>
      <c r="BG851" s="14"/>
      <c r="BH851" s="14"/>
      <c r="BI851" s="14"/>
      <c r="BJ851" s="14"/>
      <c r="BK851" s="14"/>
      <c r="BL851" s="14"/>
      <c r="BM851" s="14"/>
      <c r="BN851" s="14"/>
      <c r="BO851" s="140" t="s">
        <v>1037</v>
      </c>
      <c r="BP851" s="245">
        <v>352022</v>
      </c>
      <c r="BQ851" s="245">
        <v>405878</v>
      </c>
      <c r="BR851" s="245">
        <v>489600</v>
      </c>
      <c r="BS851" s="245">
        <v>626688</v>
      </c>
      <c r="BT851" s="245">
        <v>698170</v>
      </c>
      <c r="BU851" s="14"/>
      <c r="BV851" s="140" t="s">
        <v>1037</v>
      </c>
      <c r="BW851" s="245">
        <v>352022</v>
      </c>
      <c r="BX851" s="245">
        <v>405878</v>
      </c>
      <c r="BY851" s="245">
        <v>489600</v>
      </c>
      <c r="BZ851" s="245">
        <v>626688</v>
      </c>
      <c r="CA851" s="245">
        <v>698170</v>
      </c>
      <c r="CB851" s="2493"/>
      <c r="CC851" s="2493"/>
      <c r="CD851" s="2493"/>
      <c r="CE851" s="2493"/>
      <c r="CF851" s="2493"/>
      <c r="CG851" s="2493"/>
      <c r="CH851" s="2493"/>
      <c r="CI851" s="2493"/>
      <c r="CJ851" s="2493"/>
      <c r="CK851" s="2493"/>
      <c r="CL851" s="2493"/>
      <c r="CM851" s="2493"/>
      <c r="CN851" s="2493"/>
      <c r="CO851" s="2493"/>
      <c r="CP851" s="2493"/>
      <c r="CQ851" s="2493"/>
      <c r="CR851" s="2493"/>
      <c r="CS851" s="2493"/>
      <c r="CT851" s="2493"/>
      <c r="CU851" s="2493"/>
      <c r="CV851" s="2493"/>
      <c r="CW851" s="2493"/>
      <c r="CX851" s="2493"/>
      <c r="CY851" s="2493"/>
      <c r="CZ851" s="2493"/>
      <c r="DA851" s="2493"/>
      <c r="DB851" s="2493"/>
      <c r="DC851" s="2493"/>
      <c r="DD851" s="2493"/>
      <c r="DE851" s="2493"/>
      <c r="DF851" s="2493"/>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38" t="s">
        <v>1626</v>
      </c>
      <c r="K852" s="5"/>
      <c r="L852" s="5"/>
      <c r="M852" s="5"/>
      <c r="N852" s="5"/>
      <c r="O852" s="5"/>
      <c r="P852" s="5"/>
      <c r="Q852" s="5"/>
      <c r="R852" s="5"/>
      <c r="S852" s="5"/>
      <c r="T852" s="5"/>
      <c r="U852" s="5"/>
      <c r="V852" s="39"/>
      <c r="W852" s="2499"/>
      <c r="X852" s="2499"/>
      <c r="Y852" s="2499"/>
      <c r="Z852" s="2499"/>
      <c r="AA852" s="2499"/>
      <c r="AB852" s="2499"/>
      <c r="AC852" s="2499"/>
      <c r="AZ852" s="26"/>
      <c r="BA852" s="26"/>
      <c r="BB852" s="14"/>
      <c r="BC852" s="14"/>
      <c r="BD852" s="14"/>
      <c r="BE852" s="14"/>
      <c r="BF852" s="14"/>
      <c r="BG852" s="14"/>
      <c r="BH852" s="14"/>
      <c r="BI852" s="14"/>
      <c r="BJ852" s="14"/>
      <c r="BK852" s="14"/>
      <c r="BL852" s="14"/>
      <c r="BM852" s="14"/>
      <c r="BN852" s="14"/>
      <c r="BO852" s="140" t="s">
        <v>1042</v>
      </c>
      <c r="BP852" s="247">
        <v>352022</v>
      </c>
      <c r="BQ852" s="247">
        <v>405878</v>
      </c>
      <c r="BR852" s="247">
        <v>489600</v>
      </c>
      <c r="BS852" s="247">
        <v>626688</v>
      </c>
      <c r="BT852" s="247">
        <v>698170</v>
      </c>
      <c r="BU852" s="14"/>
      <c r="BV852" s="140" t="s">
        <v>1042</v>
      </c>
      <c r="BW852" s="247">
        <v>352022</v>
      </c>
      <c r="BX852" s="247">
        <v>405878</v>
      </c>
      <c r="BY852" s="247">
        <v>489600</v>
      </c>
      <c r="BZ852" s="247">
        <v>626688</v>
      </c>
      <c r="CA852" s="247">
        <v>698170</v>
      </c>
      <c r="CB852" s="2493"/>
      <c r="CC852" s="2493"/>
      <c r="CD852" s="2493"/>
      <c r="CE852" s="2493"/>
      <c r="CF852" s="2493"/>
      <c r="CG852" s="2493"/>
      <c r="CH852" s="2493"/>
      <c r="CI852" s="2493"/>
      <c r="CJ852" s="2493"/>
      <c r="CK852" s="2493"/>
      <c r="CL852" s="2493"/>
      <c r="CM852" s="2493"/>
      <c r="CN852" s="2493"/>
      <c r="CO852" s="2493"/>
      <c r="CP852" s="2493"/>
      <c r="CQ852" s="2493"/>
      <c r="CR852" s="2493"/>
      <c r="CS852" s="2493"/>
      <c r="CT852" s="2493"/>
      <c r="CU852" s="2493"/>
      <c r="CV852" s="2493"/>
      <c r="CW852" s="2493"/>
      <c r="CX852" s="2493"/>
      <c r="CY852" s="2493"/>
      <c r="CZ852" s="2493"/>
      <c r="DA852" s="2493"/>
      <c r="DB852" s="2493"/>
      <c r="DC852" s="2493"/>
      <c r="DD852" s="2493"/>
      <c r="DE852" s="2493"/>
      <c r="DF852" s="2493"/>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38" t="s">
        <v>1608</v>
      </c>
      <c r="K853" s="5"/>
      <c r="L853" s="5"/>
      <c r="M853" s="5"/>
      <c r="N853" s="5"/>
      <c r="O853" s="5"/>
      <c r="P853" s="5"/>
      <c r="Q853" s="5"/>
      <c r="R853" s="5"/>
      <c r="S853" s="5"/>
      <c r="T853" s="5"/>
      <c r="U853" s="5"/>
      <c r="V853" s="39"/>
      <c r="W853" s="2499">
        <v>41000</v>
      </c>
      <c r="X853" s="2499"/>
      <c r="Y853" s="2499"/>
      <c r="Z853" s="2499"/>
      <c r="AA853" s="2499"/>
      <c r="AB853" s="2499"/>
      <c r="AC853" s="2499"/>
      <c r="AZ853" s="26"/>
      <c r="BA853" s="26"/>
      <c r="BB853" s="14"/>
      <c r="BC853" s="14"/>
      <c r="BD853" s="14"/>
      <c r="BE853" s="14"/>
      <c r="BF853" s="14"/>
      <c r="BG853" s="14"/>
      <c r="BH853" s="14"/>
      <c r="BI853" s="14"/>
      <c r="BJ853" s="14"/>
      <c r="BK853" s="14"/>
      <c r="BL853" s="14"/>
      <c r="BM853" s="14"/>
      <c r="BN853" s="14"/>
      <c r="BO853" s="140" t="s">
        <v>1046</v>
      </c>
      <c r="BP853" s="245">
        <v>384234</v>
      </c>
      <c r="BQ853" s="245">
        <v>443018</v>
      </c>
      <c r="BR853" s="245">
        <v>534400</v>
      </c>
      <c r="BS853" s="245">
        <v>684032</v>
      </c>
      <c r="BT853" s="245">
        <v>762054</v>
      </c>
      <c r="BU853" s="14"/>
      <c r="BV853" s="140" t="s">
        <v>1046</v>
      </c>
      <c r="BW853" s="245">
        <v>384234</v>
      </c>
      <c r="BX853" s="245">
        <v>443018</v>
      </c>
      <c r="BY853" s="245">
        <v>534400</v>
      </c>
      <c r="BZ853" s="245">
        <v>684032</v>
      </c>
      <c r="CA853" s="245">
        <v>762054</v>
      </c>
      <c r="CB853" s="2493"/>
      <c r="CC853" s="2493"/>
      <c r="CD853" s="2493"/>
      <c r="CE853" s="2493"/>
      <c r="CF853" s="2493"/>
      <c r="CG853" s="2493"/>
      <c r="CH853" s="2493"/>
      <c r="CI853" s="2493"/>
      <c r="CJ853" s="2493"/>
      <c r="CK853" s="2493"/>
      <c r="CL853" s="2493"/>
      <c r="CM853" s="2493"/>
      <c r="CN853" s="2493"/>
      <c r="CO853" s="2493"/>
      <c r="CP853" s="2493"/>
      <c r="CQ853" s="2493"/>
      <c r="CR853" s="2493"/>
      <c r="CS853" s="2493"/>
      <c r="CT853" s="2493"/>
      <c r="CU853" s="2493"/>
      <c r="CV853" s="2493"/>
      <c r="CW853" s="2493"/>
      <c r="CX853" s="2493"/>
      <c r="CY853" s="2493"/>
      <c r="CZ853" s="2493"/>
      <c r="DA853" s="2493"/>
      <c r="DB853" s="2493"/>
      <c r="DC853" s="2493"/>
      <c r="DD853" s="2493"/>
      <c r="DE853" s="2493"/>
      <c r="DF853" s="2493"/>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2500" t="s">
        <v>1627</v>
      </c>
      <c r="K854" s="5"/>
      <c r="L854" s="5"/>
      <c r="M854" s="5"/>
      <c r="N854" s="5"/>
      <c r="O854" s="5"/>
      <c r="P854" s="5"/>
      <c r="Q854" s="5"/>
      <c r="R854" s="5"/>
      <c r="S854" s="5"/>
      <c r="T854" s="5"/>
      <c r="U854" s="5"/>
      <c r="V854" s="39"/>
      <c r="W854" s="2499">
        <f>44000</f>
        <v>44000</v>
      </c>
      <c r="X854" s="2499"/>
      <c r="Y854" s="2499"/>
      <c r="Z854" s="2499"/>
      <c r="AA854" s="2499"/>
      <c r="AB854" s="2499"/>
      <c r="AC854" s="2499"/>
      <c r="AZ854" s="3"/>
      <c r="BA854" s="3"/>
      <c r="BB854" s="3"/>
      <c r="BC854" s="3"/>
      <c r="BD854" s="3"/>
      <c r="BE854" s="3"/>
      <c r="BF854" s="3"/>
      <c r="BG854" s="3"/>
      <c r="BH854" s="3"/>
      <c r="BI854" s="3"/>
      <c r="BJ854" s="3"/>
      <c r="BK854" s="3"/>
      <c r="BL854" s="3"/>
      <c r="BM854" s="3"/>
      <c r="BN854" s="3"/>
      <c r="BO854" s="140" t="s">
        <v>1052</v>
      </c>
      <c r="BP854" s="247">
        <v>384234</v>
      </c>
      <c r="BQ854" s="247">
        <v>443018</v>
      </c>
      <c r="BR854" s="247">
        <v>534400</v>
      </c>
      <c r="BS854" s="247">
        <v>684032</v>
      </c>
      <c r="BT854" s="247">
        <v>762054</v>
      </c>
      <c r="BU854" s="14"/>
      <c r="BV854" s="140" t="s">
        <v>1052</v>
      </c>
      <c r="BW854" s="247">
        <v>384234</v>
      </c>
      <c r="BX854" s="247">
        <v>443018</v>
      </c>
      <c r="BY854" s="247">
        <v>534400</v>
      </c>
      <c r="BZ854" s="247">
        <v>684032</v>
      </c>
      <c r="CA854" s="247">
        <v>762054</v>
      </c>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55"/>
      <c r="K855" s="41"/>
      <c r="L855" s="41"/>
      <c r="M855" s="41"/>
      <c r="N855" s="41"/>
      <c r="O855" s="41"/>
      <c r="P855" s="41"/>
      <c r="Q855" s="41"/>
      <c r="R855" s="41"/>
      <c r="S855" s="41"/>
      <c r="T855" s="41"/>
      <c r="U855" s="41"/>
      <c r="V855" s="47" t="s">
        <v>1628</v>
      </c>
      <c r="W855" s="2501">
        <f>SUM(W851:AC854)</f>
        <v>85000</v>
      </c>
      <c r="X855" s="2501"/>
      <c r="Y855" s="2501"/>
      <c r="Z855" s="2501"/>
      <c r="AA855" s="2501"/>
      <c r="AB855" s="2501"/>
      <c r="AC855" s="2501"/>
      <c r="AZ855" s="3"/>
      <c r="BA855" s="3"/>
      <c r="BB855" s="3"/>
      <c r="BC855" s="3"/>
      <c r="BD855" s="3"/>
      <c r="BE855" s="3"/>
      <c r="BF855" s="3"/>
      <c r="BG855" s="3"/>
      <c r="BH855" s="3"/>
      <c r="BI855" s="3"/>
      <c r="BJ855" s="3"/>
      <c r="BK855" s="3"/>
      <c r="BL855" s="3"/>
      <c r="BM855" s="3"/>
      <c r="BN855" s="3"/>
      <c r="BO855" s="140" t="s">
        <v>1055</v>
      </c>
      <c r="BP855" s="245">
        <v>307732</v>
      </c>
      <c r="BQ855" s="245">
        <v>354812</v>
      </c>
      <c r="BR855" s="245">
        <v>428000</v>
      </c>
      <c r="BS855" s="245">
        <v>547840</v>
      </c>
      <c r="BT855" s="245">
        <v>610328</v>
      </c>
      <c r="BU855" s="14"/>
      <c r="BV855" s="140" t="s">
        <v>1055</v>
      </c>
      <c r="BW855" s="245">
        <v>307732</v>
      </c>
      <c r="BX855" s="245">
        <v>354812</v>
      </c>
      <c r="BY855" s="245">
        <v>428000</v>
      </c>
      <c r="BZ855" s="245">
        <v>547840</v>
      </c>
      <c r="CA855" s="245">
        <v>610328</v>
      </c>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
      <c r="BA856" s="3"/>
      <c r="BB856" s="3"/>
      <c r="BC856" s="3"/>
      <c r="BD856" s="3"/>
      <c r="BE856" s="3"/>
      <c r="BF856" s="3"/>
      <c r="BG856" s="3"/>
      <c r="BH856" s="3"/>
      <c r="BI856" s="3"/>
      <c r="BJ856" s="3"/>
      <c r="BK856" s="3"/>
      <c r="BL856" s="3"/>
      <c r="BM856" s="3"/>
      <c r="BN856" s="3"/>
      <c r="BO856" s="140" t="s">
        <v>1060</v>
      </c>
      <c r="BP856" s="247">
        <v>331890</v>
      </c>
      <c r="BQ856" s="247">
        <v>382666</v>
      </c>
      <c r="BR856" s="247">
        <v>461600</v>
      </c>
      <c r="BS856" s="247">
        <v>590848</v>
      </c>
      <c r="BT856" s="247">
        <v>658242</v>
      </c>
      <c r="BU856" s="14"/>
      <c r="BV856" s="140" t="s">
        <v>1060</v>
      </c>
      <c r="BW856" s="247">
        <v>331890</v>
      </c>
      <c r="BX856" s="247">
        <v>382666</v>
      </c>
      <c r="BY856" s="247">
        <v>461600</v>
      </c>
      <c r="BZ856" s="247">
        <v>590848</v>
      </c>
      <c r="CA856" s="247">
        <v>658242</v>
      </c>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1629</v>
      </c>
      <c r="J857" s="38" t="s">
        <v>1630</v>
      </c>
      <c r="K857" s="5"/>
      <c r="L857" s="5"/>
      <c r="M857" s="5"/>
      <c r="N857" s="5"/>
      <c r="O857" s="5"/>
      <c r="P857" s="5"/>
      <c r="Q857" s="5"/>
      <c r="R857" s="5"/>
      <c r="S857" s="5"/>
      <c r="T857" s="5"/>
      <c r="U857" s="5"/>
      <c r="V857" s="39"/>
      <c r="W857" s="2502">
        <v>50000</v>
      </c>
      <c r="X857" s="2503"/>
      <c r="Y857" s="2503"/>
      <c r="Z857" s="2503"/>
      <c r="AA857" s="2503"/>
      <c r="AB857" s="2503"/>
      <c r="AC857" s="2504"/>
      <c r="AD857" s="453"/>
      <c r="AZ857" s="3"/>
      <c r="BA857" s="3"/>
      <c r="BB857" s="3"/>
      <c r="BC857" s="3"/>
      <c r="BD857" s="3"/>
      <c r="BE857" s="3"/>
      <c r="BF857" s="3"/>
      <c r="BG857" s="3"/>
      <c r="BH857" s="3"/>
      <c r="BI857" s="3"/>
      <c r="BJ857" s="3"/>
      <c r="BK857" s="3"/>
      <c r="BL857" s="3"/>
      <c r="BM857" s="3"/>
      <c r="BN857" s="3"/>
      <c r="BO857" s="140" t="s">
        <v>1064</v>
      </c>
      <c r="BP857" s="245">
        <v>352022</v>
      </c>
      <c r="BQ857" s="245">
        <v>405878</v>
      </c>
      <c r="BR857" s="245">
        <v>489600</v>
      </c>
      <c r="BS857" s="245">
        <v>626688</v>
      </c>
      <c r="BT857" s="245">
        <v>698170</v>
      </c>
      <c r="BU857" s="14"/>
      <c r="BV857" s="140" t="s">
        <v>1064</v>
      </c>
      <c r="BW857" s="245">
        <v>352022</v>
      </c>
      <c r="BX857" s="245">
        <v>405878</v>
      </c>
      <c r="BY857" s="245">
        <v>489600</v>
      </c>
      <c r="BZ857" s="245">
        <v>626688</v>
      </c>
      <c r="CA857" s="245">
        <v>698170</v>
      </c>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1631</v>
      </c>
      <c r="J858" s="88" t="s">
        <v>1632</v>
      </c>
      <c r="K858" s="5"/>
      <c r="L858" s="5"/>
      <c r="M858" s="5"/>
      <c r="N858" s="5"/>
      <c r="O858" s="5"/>
      <c r="P858" s="5"/>
      <c r="Q858" s="5"/>
      <c r="R858" s="5"/>
      <c r="S858" s="5"/>
      <c r="T858" s="1412">
        <v>2</v>
      </c>
      <c r="U858" s="1375"/>
      <c r="V858" s="1413"/>
      <c r="W858" s="798"/>
      <c r="X858" s="799"/>
      <c r="Y858" s="799"/>
      <c r="Z858" s="799"/>
      <c r="AA858" s="799"/>
      <c r="AB858" s="799"/>
      <c r="AC858" s="800"/>
      <c r="AD858" s="453"/>
      <c r="AZ858" s="3"/>
      <c r="BA858" s="3"/>
      <c r="BB858" s="3"/>
      <c r="BC858" s="3"/>
      <c r="BD858" s="3"/>
      <c r="BE858" s="3"/>
      <c r="BF858" s="3"/>
      <c r="BG858" s="3"/>
      <c r="BH858" s="3"/>
      <c r="BI858" s="3"/>
      <c r="BJ858" s="3"/>
      <c r="BK858" s="3"/>
      <c r="BL858" s="3"/>
      <c r="BM858" s="3"/>
      <c r="BN858" s="3"/>
      <c r="BO858" s="140" t="s">
        <v>1067</v>
      </c>
      <c r="BP858" s="247">
        <v>352022</v>
      </c>
      <c r="BQ858" s="247">
        <v>405878</v>
      </c>
      <c r="BR858" s="247">
        <v>489600</v>
      </c>
      <c r="BS858" s="247">
        <v>626688</v>
      </c>
      <c r="BT858" s="247">
        <v>698170</v>
      </c>
      <c r="BU858" s="14"/>
      <c r="BV858" s="140" t="s">
        <v>1067</v>
      </c>
      <c r="BW858" s="247">
        <v>352022</v>
      </c>
      <c r="BX858" s="247">
        <v>405878</v>
      </c>
      <c r="BY858" s="247">
        <v>489600</v>
      </c>
      <c r="BZ858" s="247">
        <v>626688</v>
      </c>
      <c r="CA858" s="247">
        <v>698170</v>
      </c>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38" t="s">
        <v>1633</v>
      </c>
      <c r="K859" s="5"/>
      <c r="L859" s="5"/>
      <c r="M859" s="5"/>
      <c r="N859" s="5"/>
      <c r="O859" s="5"/>
      <c r="P859" s="5"/>
      <c r="Q859" s="5"/>
      <c r="R859" s="5"/>
      <c r="S859" s="5"/>
      <c r="T859" s="5"/>
      <c r="U859" s="5"/>
      <c r="V859" s="39"/>
      <c r="W859" s="2502">
        <v>26000</v>
      </c>
      <c r="X859" s="2503"/>
      <c r="Y859" s="2503"/>
      <c r="Z859" s="2503"/>
      <c r="AA859" s="2503"/>
      <c r="AB859" s="2503"/>
      <c r="AC859" s="2504"/>
      <c r="AD859" s="458"/>
      <c r="AZ859" s="3"/>
      <c r="BA859" s="3"/>
      <c r="BB859" s="3"/>
      <c r="BC859" s="3"/>
      <c r="BD859" s="3"/>
      <c r="BE859" s="3"/>
      <c r="BF859" s="3"/>
      <c r="BG859" s="3"/>
      <c r="BH859" s="3"/>
      <c r="BI859" s="3"/>
      <c r="BJ859" s="3"/>
      <c r="BK859" s="3"/>
      <c r="BL859" s="3"/>
      <c r="BM859" s="3"/>
      <c r="BN859" s="3"/>
      <c r="BO859" s="140" t="s">
        <v>1071</v>
      </c>
      <c r="BP859" s="245">
        <v>307732</v>
      </c>
      <c r="BQ859" s="245">
        <v>354812</v>
      </c>
      <c r="BR859" s="245">
        <v>428000</v>
      </c>
      <c r="BS859" s="245">
        <v>547840</v>
      </c>
      <c r="BT859" s="245">
        <v>610328</v>
      </c>
      <c r="BU859" s="14"/>
      <c r="BV859" s="140" t="s">
        <v>1071</v>
      </c>
      <c r="BW859" s="245">
        <v>307732</v>
      </c>
      <c r="BX859" s="245">
        <v>354812</v>
      </c>
      <c r="BY859" s="245">
        <v>428000</v>
      </c>
      <c r="BZ859" s="245">
        <v>547840</v>
      </c>
      <c r="CA859" s="245">
        <v>610328</v>
      </c>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88" t="s">
        <v>1634</v>
      </c>
      <c r="K860" s="5"/>
      <c r="L860" s="5"/>
      <c r="M860" s="5"/>
      <c r="N860" s="5"/>
      <c r="O860" s="5"/>
      <c r="P860" s="5"/>
      <c r="Q860" s="5"/>
      <c r="R860" s="5"/>
      <c r="S860" s="5"/>
      <c r="T860" s="1412">
        <v>1</v>
      </c>
      <c r="U860" s="1375"/>
      <c r="V860" s="1413"/>
      <c r="W860" s="798"/>
      <c r="X860" s="799"/>
      <c r="Y860" s="799"/>
      <c r="Z860" s="799"/>
      <c r="AA860" s="799"/>
      <c r="AB860" s="799"/>
      <c r="AC860" s="800"/>
      <c r="AD860" s="458"/>
      <c r="AZ860" s="3"/>
      <c r="BA860" s="3"/>
      <c r="BB860" s="3"/>
      <c r="BC860" s="3"/>
      <c r="BD860" s="3"/>
      <c r="BE860" s="3"/>
      <c r="BF860" s="3"/>
      <c r="BG860" s="3"/>
      <c r="BH860" s="3"/>
      <c r="BI860" s="3"/>
      <c r="BJ860" s="3"/>
      <c r="BK860" s="3"/>
      <c r="BL860" s="3"/>
      <c r="BM860" s="3"/>
      <c r="BN860" s="3"/>
      <c r="BO860" s="140" t="s">
        <v>1073</v>
      </c>
      <c r="BP860" s="247">
        <v>352022</v>
      </c>
      <c r="BQ860" s="247">
        <v>405878</v>
      </c>
      <c r="BR860" s="247">
        <v>489600</v>
      </c>
      <c r="BS860" s="247">
        <v>626688</v>
      </c>
      <c r="BT860" s="247">
        <v>698170</v>
      </c>
      <c r="BU860" s="14"/>
      <c r="BV860" s="140" t="s">
        <v>1073</v>
      </c>
      <c r="BW860" s="247">
        <v>352022</v>
      </c>
      <c r="BX860" s="247">
        <v>405878</v>
      </c>
      <c r="BY860" s="247">
        <v>489600</v>
      </c>
      <c r="BZ860" s="247">
        <v>626688</v>
      </c>
      <c r="CA860" s="247">
        <v>698170</v>
      </c>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38" t="s">
        <v>232</v>
      </c>
      <c r="K861" s="5"/>
      <c r="L861" s="5"/>
      <c r="M861" s="1387" t="s">
        <v>1635</v>
      </c>
      <c r="N861" s="1388"/>
      <c r="O861" s="1388"/>
      <c r="P861" s="1388"/>
      <c r="Q861" s="1388"/>
      <c r="R861" s="1388"/>
      <c r="S861" s="1388"/>
      <c r="T861" s="1388"/>
      <c r="U861" s="1388"/>
      <c r="V861" s="1389"/>
      <c r="W861" s="2502">
        <v>9000</v>
      </c>
      <c r="X861" s="2503"/>
      <c r="Y861" s="2503"/>
      <c r="Z861" s="2503"/>
      <c r="AA861" s="2503"/>
      <c r="AB861" s="2503"/>
      <c r="AC861" s="2504"/>
      <c r="AD861" s="453"/>
      <c r="AU861" s="14"/>
      <c r="AZ861" s="3"/>
      <c r="BA861" s="3"/>
      <c r="BB861" s="3"/>
      <c r="BC861" s="3"/>
      <c r="BD861" s="3"/>
      <c r="BE861" s="3"/>
      <c r="BF861" s="3"/>
      <c r="BG861" s="3"/>
      <c r="BH861" s="3"/>
      <c r="BI861" s="3"/>
      <c r="BJ861" s="3"/>
      <c r="BK861" s="3"/>
      <c r="BL861" s="3"/>
      <c r="BM861" s="3"/>
      <c r="BN861" s="3"/>
      <c r="BO861" s="140" t="s">
        <v>1077</v>
      </c>
      <c r="BP861" s="245">
        <v>387110</v>
      </c>
      <c r="BQ861" s="245">
        <v>446334</v>
      </c>
      <c r="BR861" s="245">
        <v>538400</v>
      </c>
      <c r="BS861" s="245">
        <v>689152</v>
      </c>
      <c r="BT861" s="245">
        <v>767758</v>
      </c>
      <c r="BU861" s="14"/>
      <c r="BV861" s="140" t="s">
        <v>1077</v>
      </c>
      <c r="BW861" s="245">
        <v>387110</v>
      </c>
      <c r="BX861" s="245">
        <v>446334</v>
      </c>
      <c r="BY861" s="245">
        <v>538400</v>
      </c>
      <c r="BZ861" s="245">
        <v>689152</v>
      </c>
      <c r="CA861" s="245">
        <v>767758</v>
      </c>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38"/>
      <c r="K862" s="5"/>
      <c r="L862" s="5"/>
      <c r="M862" s="5"/>
      <c r="N862" s="5"/>
      <c r="O862" s="5"/>
      <c r="P862" s="5"/>
      <c r="Q862" s="5"/>
      <c r="R862" s="5"/>
      <c r="S862" s="5"/>
      <c r="T862" s="5"/>
      <c r="U862" s="5"/>
      <c r="V862" s="47" t="s">
        <v>1636</v>
      </c>
      <c r="W862" s="2505">
        <f>SUM(W857:AC861)</f>
        <v>85000</v>
      </c>
      <c r="X862" s="2506"/>
      <c r="Y862" s="2506"/>
      <c r="Z862" s="2506"/>
      <c r="AA862" s="2506"/>
      <c r="AB862" s="2506"/>
      <c r="AC862" s="2507"/>
      <c r="AD862" s="458"/>
      <c r="AU862" s="14"/>
      <c r="AZ862" s="3"/>
      <c r="BA862" s="3"/>
      <c r="BB862" s="3"/>
      <c r="BC862" s="3"/>
      <c r="BD862" s="3"/>
      <c r="BE862" s="3"/>
      <c r="BF862" s="3"/>
      <c r="BG862" s="3"/>
      <c r="BH862" s="3"/>
      <c r="BI862" s="3"/>
      <c r="BJ862" s="3"/>
      <c r="BK862" s="3"/>
      <c r="BL862" s="3"/>
      <c r="BM862" s="3"/>
      <c r="BN862" s="3"/>
      <c r="BO862" s="140" t="s">
        <v>1081</v>
      </c>
      <c r="BP862" s="247">
        <v>331890</v>
      </c>
      <c r="BQ862" s="247">
        <v>382666</v>
      </c>
      <c r="BR862" s="247">
        <v>461600</v>
      </c>
      <c r="BS862" s="247">
        <v>590848</v>
      </c>
      <c r="BT862" s="247">
        <v>658242</v>
      </c>
      <c r="BU862" s="14"/>
      <c r="BV862" s="140" t="s">
        <v>1081</v>
      </c>
      <c r="BW862" s="247">
        <v>331890</v>
      </c>
      <c r="BX862" s="247">
        <v>382666</v>
      </c>
      <c r="BY862" s="247">
        <v>461600</v>
      </c>
      <c r="BZ862" s="247">
        <v>590848</v>
      </c>
      <c r="CA862" s="247">
        <v>658242</v>
      </c>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38"/>
      <c r="K863" s="5"/>
      <c r="L863" s="5"/>
      <c r="M863" s="5"/>
      <c r="N863" s="5"/>
      <c r="O863" s="5"/>
      <c r="P863" s="5"/>
      <c r="Q863" s="5"/>
      <c r="R863" s="5"/>
      <c r="S863" s="5"/>
      <c r="T863" s="5"/>
      <c r="U863" s="5"/>
      <c r="V863" s="47" t="s">
        <v>1637</v>
      </c>
      <c r="W863" s="2502">
        <v>60000</v>
      </c>
      <c r="X863" s="2503"/>
      <c r="Y863" s="2503"/>
      <c r="Z863" s="2503"/>
      <c r="AA863" s="2503"/>
      <c r="AB863" s="2503"/>
      <c r="AC863" s="2504"/>
      <c r="AU863" s="14"/>
      <c r="AZ863" s="3"/>
      <c r="BA863" s="3"/>
      <c r="BB863" s="3"/>
      <c r="BC863" s="3"/>
      <c r="BD863" s="3"/>
      <c r="BE863" s="3"/>
      <c r="BF863" s="3"/>
      <c r="BG863" s="3"/>
      <c r="BH863" s="3"/>
      <c r="BI863" s="3"/>
      <c r="BJ863" s="3"/>
      <c r="BK863" s="3"/>
      <c r="BL863" s="3"/>
      <c r="BM863" s="3"/>
      <c r="BN863" s="3"/>
      <c r="BO863" s="140" t="s">
        <v>1085</v>
      </c>
      <c r="BP863" s="245">
        <v>331890</v>
      </c>
      <c r="BQ863" s="245">
        <v>382666</v>
      </c>
      <c r="BR863" s="245">
        <v>461600</v>
      </c>
      <c r="BS863" s="245">
        <v>590848</v>
      </c>
      <c r="BT863" s="245">
        <v>658242</v>
      </c>
      <c r="BU863" s="14"/>
      <c r="BV863" s="140" t="s">
        <v>1085</v>
      </c>
      <c r="BW863" s="245">
        <v>331890</v>
      </c>
      <c r="BX863" s="245">
        <v>382666</v>
      </c>
      <c r="BY863" s="245">
        <v>461600</v>
      </c>
      <c r="BZ863" s="245">
        <v>590848</v>
      </c>
      <c r="CA863" s="245">
        <v>658242</v>
      </c>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437"/>
      <c r="AU864" s="14"/>
      <c r="AZ864" s="3"/>
      <c r="BA864" s="3"/>
      <c r="BB864" s="3"/>
      <c r="BC864" s="3"/>
      <c r="BD864" s="3"/>
      <c r="BE864" s="3"/>
      <c r="BF864" s="3"/>
      <c r="BG864" s="3"/>
      <c r="BH864" s="3"/>
      <c r="BI864" s="3"/>
      <c r="BJ864" s="3"/>
      <c r="BK864" s="3"/>
      <c r="BL864" s="3"/>
      <c r="BM864" s="3"/>
      <c r="BN864" s="3"/>
      <c r="BU864" s="14"/>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row>
    <row r="865" spans="3:110" ht="12.95" customHeight="1">
      <c r="C865" s="2" t="s">
        <v>231</v>
      </c>
      <c r="J865" s="38" t="s">
        <v>1638</v>
      </c>
      <c r="K865" s="5"/>
      <c r="L865" s="5"/>
      <c r="M865" s="5"/>
      <c r="N865" s="5"/>
      <c r="O865" s="5"/>
      <c r="P865" s="5"/>
      <c r="Q865" s="5"/>
      <c r="R865" s="5"/>
      <c r="S865" s="5"/>
      <c r="T865" s="5"/>
      <c r="U865" s="5"/>
      <c r="V865" s="39"/>
      <c r="W865" s="1409">
        <f>16000</f>
        <v>16000</v>
      </c>
      <c r="X865" s="1409"/>
      <c r="Y865" s="1409"/>
      <c r="Z865" s="1409"/>
      <c r="AA865" s="1409"/>
      <c r="AB865" s="1409"/>
      <c r="AC865" s="1409"/>
      <c r="AU865" s="14"/>
      <c r="AZ865" s="3"/>
      <c r="BA865" s="3"/>
      <c r="BB865" s="3"/>
      <c r="BC865" s="3"/>
      <c r="BD865" s="3"/>
      <c r="BE865" s="3"/>
      <c r="BF865" s="3"/>
      <c r="BG865" s="3"/>
      <c r="BH865" s="3"/>
      <c r="BI865" s="3"/>
      <c r="BJ865" s="3"/>
      <c r="BK865" s="3"/>
      <c r="BL865" s="3"/>
      <c r="BM865" s="3"/>
      <c r="BN865" s="3"/>
      <c r="BU865" s="14"/>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row>
    <row r="866" spans="3:110" ht="12.95" customHeight="1">
      <c r="J866" s="38" t="s">
        <v>1639</v>
      </c>
      <c r="K866" s="5"/>
      <c r="L866" s="5"/>
      <c r="M866" s="5"/>
      <c r="N866" s="5"/>
      <c r="O866" s="5"/>
      <c r="P866" s="5"/>
      <c r="Q866" s="5"/>
      <c r="R866" s="5"/>
      <c r="S866" s="5"/>
      <c r="T866" s="5"/>
      <c r="U866" s="5"/>
      <c r="V866" s="39"/>
      <c r="W866" s="1409">
        <f>15000</f>
        <v>15000</v>
      </c>
      <c r="X866" s="1409"/>
      <c r="Y866" s="1409"/>
      <c r="Z866" s="1409"/>
      <c r="AA866" s="1409"/>
      <c r="AB866" s="1409"/>
      <c r="AC866" s="1409"/>
      <c r="AU866" s="3"/>
      <c r="AZ866" s="3"/>
      <c r="BA866" s="3"/>
      <c r="BB866" s="3"/>
      <c r="BC866" s="3"/>
      <c r="BD866" s="3"/>
      <c r="BE866" s="3"/>
      <c r="BF866" s="3"/>
      <c r="BG866" s="3"/>
      <c r="BH866" s="3"/>
      <c r="BI866" s="3"/>
      <c r="BJ866" s="3"/>
      <c r="BK866" s="3"/>
      <c r="BL866" s="3"/>
      <c r="BM866" s="3"/>
      <c r="BN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row>
    <row r="867" spans="3:110" ht="12.95" customHeight="1">
      <c r="J867" s="38" t="s">
        <v>1640</v>
      </c>
      <c r="K867" s="5"/>
      <c r="L867" s="5"/>
      <c r="M867" s="5"/>
      <c r="N867" s="5"/>
      <c r="O867" s="5"/>
      <c r="P867" s="5"/>
      <c r="Q867" s="5"/>
      <c r="R867" s="5"/>
      <c r="S867" s="5"/>
      <c r="T867" s="5"/>
      <c r="U867" s="5"/>
      <c r="V867" s="39"/>
      <c r="W867" s="1409">
        <f>20000</f>
        <v>20000</v>
      </c>
      <c r="X867" s="1409"/>
      <c r="Y867" s="1409"/>
      <c r="Z867" s="1409"/>
      <c r="AA867" s="1409"/>
      <c r="AB867" s="1409"/>
      <c r="AC867" s="1409"/>
      <c r="AU867" s="3"/>
      <c r="AZ867" s="3"/>
      <c r="BA867" s="3"/>
      <c r="BB867" s="3"/>
      <c r="BC867" s="3"/>
      <c r="BD867" s="3"/>
      <c r="BE867" s="3"/>
      <c r="BF867" s="3"/>
      <c r="BG867" s="3"/>
      <c r="BH867" s="3"/>
      <c r="BI867" s="3"/>
      <c r="BJ867" s="3"/>
      <c r="BK867" s="3"/>
      <c r="BL867" s="3"/>
      <c r="BM867" s="3"/>
      <c r="BN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row>
    <row r="868" spans="3:110" ht="12.95" customHeight="1">
      <c r="J868" s="38" t="s">
        <v>1641</v>
      </c>
      <c r="K868" s="5"/>
      <c r="L868" s="5"/>
      <c r="M868" s="5"/>
      <c r="N868" s="5"/>
      <c r="O868" s="5"/>
      <c r="P868" s="5"/>
      <c r="Q868" s="5"/>
      <c r="R868" s="5"/>
      <c r="S868" s="5"/>
      <c r="T868" s="5"/>
      <c r="U868" s="5"/>
      <c r="V868" s="39"/>
      <c r="W868" s="1409">
        <v>8999</v>
      </c>
      <c r="X868" s="1409"/>
      <c r="Y868" s="1409"/>
      <c r="Z868" s="1409"/>
      <c r="AA868" s="1409"/>
      <c r="AB868" s="1409"/>
      <c r="AC868" s="1409"/>
      <c r="AU868" s="3"/>
      <c r="AZ868" s="3"/>
      <c r="BA868" s="3"/>
      <c r="BB868" s="3"/>
      <c r="BC868" s="3"/>
      <c r="BD868" s="3"/>
      <c r="BE868" s="3"/>
      <c r="BF868" s="3"/>
      <c r="BG868" s="3"/>
      <c r="BH868" s="3"/>
      <c r="BI868" s="3"/>
      <c r="BJ868" s="3"/>
      <c r="BK868" s="3"/>
      <c r="BL868" s="3"/>
      <c r="BM868" s="3"/>
      <c r="BN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row>
    <row r="869" spans="3:110" ht="12.95" customHeight="1">
      <c r="J869" s="38" t="s">
        <v>1642</v>
      </c>
      <c r="K869" s="5"/>
      <c r="L869" s="5"/>
      <c r="M869" s="5"/>
      <c r="N869" s="5"/>
      <c r="O869" s="5"/>
      <c r="P869" s="5"/>
      <c r="Q869" s="5"/>
      <c r="R869" s="5"/>
      <c r="S869" s="5"/>
      <c r="T869" s="5"/>
      <c r="U869" s="5"/>
      <c r="V869" s="39"/>
      <c r="W869" s="1409">
        <v>21000</v>
      </c>
      <c r="X869" s="1409"/>
      <c r="Y869" s="1409"/>
      <c r="Z869" s="1409"/>
      <c r="AA869" s="1409"/>
      <c r="AB869" s="1409"/>
      <c r="AC869" s="1409"/>
      <c r="AU869" s="3"/>
      <c r="AZ869" s="3"/>
      <c r="BA869" s="3"/>
      <c r="BB869" s="3"/>
      <c r="BC869" s="3"/>
      <c r="BD869" s="3"/>
      <c r="BE869" s="3"/>
      <c r="BF869" s="3"/>
      <c r="BG869" s="3"/>
      <c r="BH869" s="3"/>
      <c r="BI869" s="3"/>
      <c r="BJ869" s="3"/>
      <c r="BK869" s="3"/>
      <c r="BL869" s="3"/>
      <c r="BM869" s="3"/>
      <c r="BN869" s="3"/>
      <c r="BU869" s="14"/>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row>
    <row r="870" spans="3:110" ht="12.95" customHeight="1">
      <c r="J870" s="38" t="s">
        <v>1643</v>
      </c>
      <c r="K870" s="5"/>
      <c r="L870" s="5"/>
      <c r="M870" s="5"/>
      <c r="N870" s="5"/>
      <c r="O870" s="5"/>
      <c r="P870" s="5"/>
      <c r="Q870" s="5"/>
      <c r="R870" s="5"/>
      <c r="S870" s="5"/>
      <c r="T870" s="5"/>
      <c r="U870" s="5"/>
      <c r="V870" s="39"/>
      <c r="W870" s="1409"/>
      <c r="X870" s="1409"/>
      <c r="Y870" s="1409"/>
      <c r="Z870" s="1409"/>
      <c r="AA870" s="1409"/>
      <c r="AB870" s="1409"/>
      <c r="AC870" s="1409"/>
      <c r="AU870" s="3"/>
      <c r="AZ870" s="3"/>
      <c r="BA870" s="3"/>
      <c r="BB870" s="3"/>
      <c r="BC870" s="3"/>
      <c r="BD870" s="3"/>
      <c r="BE870" s="3"/>
      <c r="BF870" s="3"/>
      <c r="BG870" s="3"/>
      <c r="BH870" s="3"/>
      <c r="BI870" s="3"/>
      <c r="BJ870" s="3"/>
      <c r="BK870" s="3"/>
      <c r="BL870" s="3"/>
      <c r="BM870" s="3"/>
      <c r="BN870" s="3"/>
      <c r="BU870" s="14"/>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row>
    <row r="871" spans="3:110" ht="12.95" customHeight="1">
      <c r="J871" s="38" t="s">
        <v>232</v>
      </c>
      <c r="K871" s="5"/>
      <c r="L871" s="5"/>
      <c r="M871" s="1387" t="s">
        <v>1401</v>
      </c>
      <c r="N871" s="1388"/>
      <c r="O871" s="1388"/>
      <c r="P871" s="1388"/>
      <c r="Q871" s="1388"/>
      <c r="R871" s="1388"/>
      <c r="S871" s="1388"/>
      <c r="T871" s="1388"/>
      <c r="U871" s="1388"/>
      <c r="V871" s="1389"/>
      <c r="W871" s="1409"/>
      <c r="X871" s="1409"/>
      <c r="Y871" s="1409"/>
      <c r="Z871" s="1409"/>
      <c r="AA871" s="1409"/>
      <c r="AB871" s="1409"/>
      <c r="AC871" s="1409"/>
      <c r="AD871" s="458"/>
      <c r="AU871" s="3"/>
      <c r="AV871" s="14"/>
      <c r="AW871" s="14"/>
      <c r="AX871" s="14"/>
      <c r="AY871" s="14"/>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row>
    <row r="872" spans="3:110" ht="12.95" customHeight="1">
      <c r="J872" s="38"/>
      <c r="K872" s="5"/>
      <c r="L872" s="5"/>
      <c r="M872" s="5"/>
      <c r="N872" s="5"/>
      <c r="O872" s="5"/>
      <c r="P872" s="5"/>
      <c r="Q872" s="5"/>
      <c r="R872" s="5"/>
      <c r="S872" s="5"/>
      <c r="T872" s="5"/>
      <c r="U872" s="5"/>
      <c r="V872" s="47" t="s">
        <v>1644</v>
      </c>
      <c r="W872" s="1414">
        <f>SUM(W865:AC871)</f>
        <v>80999</v>
      </c>
      <c r="X872" s="1414"/>
      <c r="Y872" s="1414"/>
      <c r="Z872" s="1414"/>
      <c r="AA872" s="1414"/>
      <c r="AB872" s="1414"/>
      <c r="AC872" s="1414"/>
      <c r="AU872" s="3"/>
      <c r="AV872" s="14"/>
      <c r="AW872" s="14"/>
      <c r="AX872" s="14"/>
      <c r="AY872" s="14"/>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row>
    <row r="873" spans="3:110" ht="12.95" customHeight="1">
      <c r="AU873" s="3"/>
      <c r="AV873" s="14"/>
      <c r="AW873" s="14"/>
      <c r="AX873" s="14"/>
      <c r="AY873" s="14"/>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row>
    <row r="874" spans="3:110" ht="12.95" customHeight="1">
      <c r="C874" s="2" t="s">
        <v>1645</v>
      </c>
      <c r="J874" s="38" t="s">
        <v>232</v>
      </c>
      <c r="K874" s="5"/>
      <c r="L874" s="5"/>
      <c r="M874" s="1387" t="s">
        <v>1646</v>
      </c>
      <c r="N874" s="1388"/>
      <c r="O874" s="1388"/>
      <c r="P874" s="1388"/>
      <c r="Q874" s="1388"/>
      <c r="R874" s="1388"/>
      <c r="S874" s="1388"/>
      <c r="T874" s="1388"/>
      <c r="U874" s="1388"/>
      <c r="V874" s="1389"/>
      <c r="W874" s="1320">
        <v>42751</v>
      </c>
      <c r="X874" s="1321"/>
      <c r="Y874" s="1321"/>
      <c r="Z874" s="1321"/>
      <c r="AA874" s="1321"/>
      <c r="AB874" s="1321"/>
      <c r="AC874" s="1322"/>
      <c r="AD874" s="458"/>
      <c r="AV874" s="14"/>
      <c r="AW874" s="14"/>
      <c r="AX874" s="14"/>
      <c r="AY874" s="14"/>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row>
    <row r="875" spans="3:110" ht="12.95" customHeight="1">
      <c r="C875" s="2" t="s">
        <v>1647</v>
      </c>
      <c r="J875" s="38" t="s">
        <v>232</v>
      </c>
      <c r="K875" s="5"/>
      <c r="L875" s="5"/>
      <c r="M875" s="1387" t="s">
        <v>1401</v>
      </c>
      <c r="N875" s="1388"/>
      <c r="O875" s="1388"/>
      <c r="P875" s="1388"/>
      <c r="Q875" s="1388"/>
      <c r="R875" s="1388"/>
      <c r="S875" s="1388"/>
      <c r="T875" s="1388"/>
      <c r="U875" s="1388"/>
      <c r="V875" s="1389"/>
      <c r="W875" s="1320"/>
      <c r="X875" s="1321"/>
      <c r="Y875" s="1321"/>
      <c r="Z875" s="1321"/>
      <c r="AA875" s="1321"/>
      <c r="AB875" s="1321"/>
      <c r="AC875" s="1322"/>
      <c r="AD875" s="458"/>
      <c r="AV875" s="14"/>
      <c r="AW875" s="14"/>
      <c r="AX875" s="14"/>
      <c r="AY875" s="14"/>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row>
    <row r="876" spans="3:110" ht="12.95" customHeight="1">
      <c r="J876" s="38" t="s">
        <v>232</v>
      </c>
      <c r="K876" s="5"/>
      <c r="L876" s="5"/>
      <c r="M876" s="1387" t="s">
        <v>1401</v>
      </c>
      <c r="N876" s="1388"/>
      <c r="O876" s="1388"/>
      <c r="P876" s="1388"/>
      <c r="Q876" s="1388"/>
      <c r="R876" s="1388"/>
      <c r="S876" s="1388"/>
      <c r="T876" s="1388"/>
      <c r="U876" s="1388"/>
      <c r="V876" s="1389"/>
      <c r="W876" s="1320"/>
      <c r="X876" s="1321"/>
      <c r="Y876" s="1321"/>
      <c r="Z876" s="1321"/>
      <c r="AA876" s="1321"/>
      <c r="AB876" s="1321"/>
      <c r="AC876" s="1322"/>
      <c r="AL876" s="14"/>
      <c r="AM876" s="14"/>
      <c r="AN876" s="14"/>
      <c r="AO876" s="14"/>
      <c r="AP876" s="14"/>
      <c r="AQ876" s="14"/>
      <c r="AR876" s="14"/>
      <c r="AS876" s="14"/>
      <c r="AT876" s="14"/>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row>
    <row r="877" spans="3:110" ht="12.95" customHeight="1">
      <c r="J877" s="38" t="s">
        <v>232</v>
      </c>
      <c r="K877" s="5"/>
      <c r="L877" s="5"/>
      <c r="M877" s="1387" t="s">
        <v>1401</v>
      </c>
      <c r="N877" s="1388"/>
      <c r="O877" s="1388"/>
      <c r="P877" s="1388"/>
      <c r="Q877" s="1388"/>
      <c r="R877" s="1388"/>
      <c r="S877" s="1388"/>
      <c r="T877" s="1388"/>
      <c r="U877" s="1388"/>
      <c r="V877" s="1389"/>
      <c r="W877" s="1320"/>
      <c r="X877" s="1321"/>
      <c r="Y877" s="1321"/>
      <c r="Z877" s="1321"/>
      <c r="AA877" s="1321"/>
      <c r="AB877" s="1321"/>
      <c r="AC877" s="1322"/>
      <c r="AL877" s="14"/>
      <c r="AM877" s="14"/>
      <c r="AN877" s="14"/>
      <c r="AO877" s="14"/>
      <c r="AP877" s="14"/>
      <c r="AQ877" s="14"/>
      <c r="AR877" s="14"/>
      <c r="AS877" s="14"/>
      <c r="AT877" s="14"/>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row>
    <row r="878" spans="3:110" ht="12.95" customHeight="1">
      <c r="J878" s="38" t="s">
        <v>232</v>
      </c>
      <c r="K878" s="5"/>
      <c r="L878" s="5"/>
      <c r="M878" s="1387" t="s">
        <v>1401</v>
      </c>
      <c r="N878" s="1388"/>
      <c r="O878" s="1388"/>
      <c r="P878" s="1388"/>
      <c r="Q878" s="1388"/>
      <c r="R878" s="1388"/>
      <c r="S878" s="1388"/>
      <c r="T878" s="1388"/>
      <c r="U878" s="1388"/>
      <c r="V878" s="1389"/>
      <c r="W878" s="1320"/>
      <c r="X878" s="1321"/>
      <c r="Y878" s="1321"/>
      <c r="Z878" s="1321"/>
      <c r="AA878" s="1321"/>
      <c r="AB878" s="1321"/>
      <c r="AC878" s="1322"/>
      <c r="AL878" s="14"/>
      <c r="AM878" s="14"/>
      <c r="AN878" s="14"/>
      <c r="AO878" s="14"/>
      <c r="AP878" s="14"/>
      <c r="AQ878" s="14"/>
      <c r="AR878" s="14"/>
      <c r="AS878" s="14"/>
      <c r="AT878" s="14"/>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row>
    <row r="879" spans="3:110" ht="12.95" customHeight="1">
      <c r="J879" s="38"/>
      <c r="K879" s="5"/>
      <c r="L879" s="5"/>
      <c r="M879" s="5"/>
      <c r="N879" s="5"/>
      <c r="O879" s="5"/>
      <c r="P879" s="5"/>
      <c r="Q879" s="5"/>
      <c r="R879" s="5"/>
      <c r="S879" s="5"/>
      <c r="T879" s="5"/>
      <c r="U879" s="5"/>
      <c r="V879" s="47" t="s">
        <v>1648</v>
      </c>
      <c r="W879" s="1406">
        <f>SUM(W874:AC878)</f>
        <v>42751</v>
      </c>
      <c r="X879" s="1407"/>
      <c r="Y879" s="1407"/>
      <c r="Z879" s="1407"/>
      <c r="AA879" s="1407"/>
      <c r="AB879" s="1407"/>
      <c r="AC879" s="1408"/>
      <c r="AL879" s="14"/>
      <c r="AM879" s="14"/>
      <c r="AN879" s="14"/>
      <c r="AO879" s="14"/>
      <c r="AP879" s="14"/>
      <c r="AQ879" s="14"/>
      <c r="AR879" s="14"/>
      <c r="AS879" s="14"/>
      <c r="AT879" s="14"/>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row>
    <row r="880" spans="3:110" ht="12.95" customHeight="1">
      <c r="E880" s="437"/>
      <c r="V880" s="49"/>
      <c r="W880" s="56"/>
      <c r="X880" s="56"/>
      <c r="Y880" s="56"/>
      <c r="Z880" s="56"/>
      <c r="AA880" s="56"/>
      <c r="AB880" s="56"/>
      <c r="AL880" s="14"/>
      <c r="AM880" s="14"/>
      <c r="AN880" s="14"/>
      <c r="AO880" s="14"/>
      <c r="AP880" s="14"/>
      <c r="AQ880" s="14"/>
      <c r="AR880" s="14"/>
      <c r="AS880" s="14"/>
      <c r="AT880" s="14"/>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row>
    <row r="881" spans="1:110" ht="12.95" customHeight="1">
      <c r="C881" s="2" t="s">
        <v>1649</v>
      </c>
      <c r="I881" s="458"/>
      <c r="J881" s="458"/>
      <c r="V881" s="49"/>
      <c r="W881" s="56"/>
      <c r="X881" s="56"/>
      <c r="Y881" s="56"/>
      <c r="Z881" s="56"/>
      <c r="AA881" s="56"/>
      <c r="AB881" s="56"/>
      <c r="AL881" s="3"/>
      <c r="AM881" s="3"/>
      <c r="AN881" s="3"/>
      <c r="AO881" s="3"/>
      <c r="AP881" s="3"/>
      <c r="AQ881" s="3"/>
      <c r="AR881" s="3"/>
      <c r="AS881" s="3"/>
      <c r="AT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row>
    <row r="882" spans="1:110" ht="12.95" customHeight="1">
      <c r="E882" s="437"/>
      <c r="V882" s="49"/>
      <c r="W882" s="56"/>
      <c r="X882" s="56"/>
      <c r="Y882" s="56"/>
      <c r="Z882" s="56"/>
      <c r="AA882" s="56"/>
      <c r="AB882" s="56"/>
      <c r="AL882" s="3"/>
      <c r="AM882" s="3"/>
      <c r="AN882" s="3"/>
      <c r="AO882" s="3"/>
      <c r="AP882" s="3"/>
      <c r="AQ882" s="3"/>
      <c r="AR882" s="3"/>
      <c r="AS882" s="3"/>
      <c r="AT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row>
    <row r="883" spans="1:110" ht="12.95" customHeight="1">
      <c r="C883" s="34"/>
      <c r="D883" s="35"/>
      <c r="E883" s="35"/>
      <c r="F883" s="35"/>
      <c r="G883" s="35"/>
      <c r="H883" s="35"/>
      <c r="I883" s="35"/>
      <c r="J883" s="35"/>
      <c r="K883" s="35"/>
      <c r="L883" s="35"/>
      <c r="M883" s="35"/>
      <c r="N883" s="35"/>
      <c r="O883" s="35"/>
      <c r="P883" s="35"/>
      <c r="Q883" s="35"/>
      <c r="R883" s="35"/>
      <c r="S883" s="35"/>
      <c r="T883" s="35"/>
      <c r="U883" s="35"/>
      <c r="V883" s="35"/>
      <c r="W883" s="35"/>
      <c r="X883" s="35"/>
      <c r="Y883" s="35"/>
      <c r="Z883" s="35"/>
      <c r="AA883" s="35"/>
      <c r="AB883" s="814" t="s">
        <v>1650</v>
      </c>
      <c r="AC883" s="1407">
        <f>W847+W855+W862+W863+W872+W879+W849</f>
        <v>456000</v>
      </c>
      <c r="AD883" s="1407"/>
      <c r="AE883" s="1407"/>
      <c r="AF883" s="1407"/>
      <c r="AG883" s="1407"/>
      <c r="AH883" s="1408"/>
      <c r="AL883" s="3"/>
      <c r="AM883" s="3"/>
      <c r="AN883" s="3"/>
      <c r="AO883" s="3"/>
      <c r="AP883" s="3"/>
      <c r="AQ883" s="3"/>
      <c r="AR883" s="3"/>
      <c r="AS883" s="3"/>
      <c r="AT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row>
    <row r="884" spans="1:110" ht="12.95" customHeight="1">
      <c r="C884" s="34"/>
      <c r="D884" s="35"/>
      <c r="E884" s="35"/>
      <c r="F884" s="35"/>
      <c r="G884" s="35"/>
      <c r="H884" s="35"/>
      <c r="I884" s="35"/>
      <c r="J884" s="35"/>
      <c r="K884" s="35"/>
      <c r="L884" s="35"/>
      <c r="M884" s="35"/>
      <c r="N884" s="35"/>
      <c r="O884" s="35"/>
      <c r="P884" s="35"/>
      <c r="Q884" s="35"/>
      <c r="R884" s="35"/>
      <c r="S884" s="35"/>
      <c r="T884" s="35"/>
      <c r="U884" s="35"/>
      <c r="V884" s="35"/>
      <c r="W884" s="35"/>
      <c r="X884" s="35"/>
      <c r="Y884" s="35"/>
      <c r="Z884" s="35"/>
      <c r="AA884" s="35"/>
      <c r="AB884" s="814" t="s">
        <v>1651</v>
      </c>
      <c r="AC884" s="1418">
        <f>O797+O777+G753</f>
        <v>48</v>
      </c>
      <c r="AD884" s="1418"/>
      <c r="AE884" s="1418"/>
      <c r="AF884" s="1418"/>
      <c r="AG884" s="1418"/>
      <c r="AH884" s="1419"/>
      <c r="AL884" s="3"/>
      <c r="AM884" s="3"/>
      <c r="AN884" s="3"/>
      <c r="AO884" s="3"/>
      <c r="AP884" s="3"/>
      <c r="AQ884" s="3"/>
      <c r="AR884" s="3"/>
      <c r="AS884" s="3"/>
      <c r="AT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row>
    <row r="885" spans="1:110" ht="12.95" customHeight="1">
      <c r="C885" s="34"/>
      <c r="D885" s="35"/>
      <c r="E885" s="1506" t="s">
        <v>1652</v>
      </c>
      <c r="F885" s="1506"/>
      <c r="G885" s="1506"/>
      <c r="H885" s="1506"/>
      <c r="I885" s="1506"/>
      <c r="J885" s="1506"/>
      <c r="K885" s="1506"/>
      <c r="L885" s="1506"/>
      <c r="M885" s="1506"/>
      <c r="N885" s="1506"/>
      <c r="O885" s="1506"/>
      <c r="P885" s="1506"/>
      <c r="Q885" s="1506"/>
      <c r="R885" s="1506"/>
      <c r="S885" s="1506"/>
      <c r="T885" s="1506"/>
      <c r="U885" s="1506"/>
      <c r="V885" s="1506"/>
      <c r="W885" s="1506"/>
      <c r="X885" s="1506"/>
      <c r="Y885" s="1506"/>
      <c r="Z885" s="1506"/>
      <c r="AA885" s="1506"/>
      <c r="AB885" s="1507"/>
      <c r="AC885" s="1414">
        <f>IF(ISERROR((ROUNDDOWN(AC883/AC884,0))),0,(ROUNDDOWN(AC883/AC884,0)))</f>
        <v>9500</v>
      </c>
      <c r="AD885" s="1414"/>
      <c r="AE885" s="1414"/>
      <c r="AF885" s="1414"/>
      <c r="AG885" s="1414"/>
      <c r="AH885" s="1414"/>
      <c r="AL885" s="3"/>
      <c r="AM885" s="3"/>
      <c r="AN885" s="3"/>
      <c r="AO885" s="3"/>
      <c r="AP885" s="3"/>
      <c r="AQ885" s="3"/>
      <c r="AR885" s="3"/>
      <c r="AS885" s="3"/>
      <c r="AT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row>
    <row r="886" spans="1:110" ht="12.95" customHeight="1">
      <c r="C886" s="38"/>
      <c r="D886" s="5"/>
      <c r="E886" s="5"/>
      <c r="F886" s="5"/>
      <c r="G886" s="5"/>
      <c r="H886" s="5"/>
      <c r="I886" s="5"/>
      <c r="J886" s="5"/>
      <c r="K886" s="5"/>
      <c r="L886" s="5"/>
      <c r="M886" s="5"/>
      <c r="N886" s="5"/>
      <c r="O886" s="5"/>
      <c r="P886" s="5"/>
      <c r="Q886" s="5"/>
      <c r="R886" s="5"/>
      <c r="S886" s="5"/>
      <c r="T886" s="5"/>
      <c r="U886" s="5"/>
      <c r="V886" s="5"/>
      <c r="W886" s="5"/>
      <c r="X886" s="5"/>
      <c r="Y886" s="5"/>
      <c r="Z886" s="5"/>
      <c r="AA886" s="5"/>
      <c r="AB886" s="47" t="s">
        <v>1653</v>
      </c>
      <c r="AC886" s="1510">
        <v>312758</v>
      </c>
      <c r="AD886" s="1511"/>
      <c r="AE886" s="1511"/>
      <c r="AF886" s="1511"/>
      <c r="AG886" s="1511"/>
      <c r="AH886" s="1511"/>
      <c r="AL886" s="3"/>
      <c r="AM886" s="3"/>
      <c r="AN886" s="3"/>
      <c r="AO886" s="3"/>
      <c r="AP886" s="3"/>
      <c r="AQ886" s="3"/>
      <c r="AR886" s="3"/>
      <c r="AS886" s="3"/>
      <c r="AT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row>
    <row r="887" spans="1:110" ht="12.95" customHeight="1">
      <c r="C887" s="38"/>
      <c r="D887" s="5"/>
      <c r="E887" s="5"/>
      <c r="F887" s="5"/>
      <c r="G887" s="5"/>
      <c r="H887" s="5"/>
      <c r="I887" s="5"/>
      <c r="J887" s="5"/>
      <c r="K887" s="5"/>
      <c r="L887" s="5"/>
      <c r="M887" s="5"/>
      <c r="N887" s="5"/>
      <c r="O887" s="5"/>
      <c r="P887" s="5"/>
      <c r="Q887" s="5"/>
      <c r="R887" s="5"/>
      <c r="S887" s="5"/>
      <c r="T887" s="5"/>
      <c r="U887" s="5"/>
      <c r="V887" s="5"/>
      <c r="W887" s="5"/>
      <c r="X887" s="5"/>
      <c r="Y887" s="5"/>
      <c r="Z887" s="5"/>
      <c r="AA887" s="5"/>
      <c r="AB887" s="47" t="s">
        <v>1654</v>
      </c>
      <c r="AC887" s="1322"/>
      <c r="AD887" s="1409"/>
      <c r="AE887" s="1409"/>
      <c r="AF887" s="1409"/>
      <c r="AG887" s="1409"/>
      <c r="AH887" s="1409"/>
      <c r="AL887" s="3"/>
      <c r="AM887" s="3"/>
      <c r="AN887" s="3"/>
      <c r="AO887" s="3"/>
      <c r="AP887" s="3"/>
      <c r="AQ887" s="3"/>
      <c r="AR887" s="3"/>
      <c r="AS887" s="3"/>
      <c r="AT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row>
    <row r="888" spans="1:110" ht="12.95" customHeight="1">
      <c r="C888" s="38"/>
      <c r="D888" s="5"/>
      <c r="E888" s="5"/>
      <c r="F888" s="5"/>
      <c r="G888" s="5"/>
      <c r="H888" s="5"/>
      <c r="I888" s="5"/>
      <c r="J888" s="5"/>
      <c r="K888" s="5"/>
      <c r="L888" s="5"/>
      <c r="M888" s="5"/>
      <c r="N888" s="5"/>
      <c r="O888" s="5"/>
      <c r="P888" s="5"/>
      <c r="Q888" s="5"/>
      <c r="R888" s="5"/>
      <c r="S888" s="5"/>
      <c r="T888" s="5"/>
      <c r="U888" s="5"/>
      <c r="V888" s="5"/>
      <c r="W888" s="5"/>
      <c r="X888" s="5"/>
      <c r="Y888" s="5"/>
      <c r="Z888" s="5"/>
      <c r="AA888" s="5"/>
      <c r="AB888" s="47" t="s">
        <v>1655</v>
      </c>
      <c r="AC888" s="1321">
        <v>67373</v>
      </c>
      <c r="AD888" s="1321"/>
      <c r="AE888" s="1321"/>
      <c r="AF888" s="1321"/>
      <c r="AG888" s="1321"/>
      <c r="AH888" s="1322"/>
      <c r="AL888" s="3"/>
      <c r="AM888" s="3"/>
      <c r="AN888" s="3"/>
      <c r="AO888" s="3"/>
      <c r="AP888" s="3"/>
      <c r="AQ888" s="3"/>
      <c r="AR888" s="3"/>
      <c r="AS888" s="3"/>
      <c r="AT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row>
    <row r="889" spans="1:110" ht="12.95" customHeight="1">
      <c r="C889" s="38"/>
      <c r="D889" s="5"/>
      <c r="E889" s="5"/>
      <c r="F889" s="5"/>
      <c r="G889" s="5"/>
      <c r="H889" s="5"/>
      <c r="I889" s="5"/>
      <c r="J889" s="5"/>
      <c r="K889" s="5"/>
      <c r="L889" s="5"/>
      <c r="M889" s="5"/>
      <c r="N889" s="5"/>
      <c r="O889" s="5"/>
      <c r="P889" s="5"/>
      <c r="Q889" s="5"/>
      <c r="R889" s="5"/>
      <c r="S889" s="5"/>
      <c r="T889" s="5"/>
      <c r="U889" s="5"/>
      <c r="V889" s="5"/>
      <c r="W889" s="5"/>
      <c r="X889" s="5"/>
      <c r="Y889" s="5"/>
      <c r="Z889" s="5"/>
      <c r="AA889" s="5"/>
      <c r="AB889" s="47" t="s">
        <v>1656</v>
      </c>
      <c r="AC889" s="1321">
        <v>24000</v>
      </c>
      <c r="AD889" s="1321"/>
      <c r="AE889" s="1321"/>
      <c r="AF889" s="1321"/>
      <c r="AG889" s="1321"/>
      <c r="AH889" s="1322"/>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row>
    <row r="890" spans="1:110" ht="12.95" customHeight="1">
      <c r="C890" s="38"/>
      <c r="D890" s="5"/>
      <c r="E890" s="5"/>
      <c r="F890" s="5"/>
      <c r="G890" s="5"/>
      <c r="H890" s="5"/>
      <c r="I890" s="5"/>
      <c r="J890" s="5"/>
      <c r="K890" s="5"/>
      <c r="L890" s="5"/>
      <c r="M890" s="5"/>
      <c r="N890" s="5"/>
      <c r="O890" s="5"/>
      <c r="P890" s="5"/>
      <c r="Q890" s="5"/>
      <c r="R890" s="5"/>
      <c r="S890" s="5"/>
      <c r="T890" s="5"/>
      <c r="U890" s="5"/>
      <c r="V890" s="5"/>
      <c r="W890" s="5"/>
      <c r="X890" s="5"/>
      <c r="Y890" s="5"/>
      <c r="Z890" s="5"/>
      <c r="AA890" s="5"/>
      <c r="AB890" s="47" t="s">
        <v>1657</v>
      </c>
      <c r="AC890" s="1323">
        <v>11560</v>
      </c>
      <c r="AD890" s="1324"/>
      <c r="AE890" s="1324"/>
      <c r="AF890" s="1324"/>
      <c r="AG890" s="1324"/>
      <c r="AH890" s="1325"/>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row>
    <row r="891" spans="1:110" ht="12.95" customHeight="1">
      <c r="C891" s="38"/>
      <c r="D891" s="5"/>
      <c r="E891" s="5"/>
      <c r="F891" s="5"/>
      <c r="G891" s="5"/>
      <c r="H891" s="5"/>
      <c r="I891" s="5"/>
      <c r="J891" s="5"/>
      <c r="K891" s="5"/>
      <c r="L891" s="5"/>
      <c r="M891" s="5"/>
      <c r="N891" s="5"/>
      <c r="O891" s="5"/>
      <c r="P891" s="5"/>
      <c r="Q891" s="5"/>
      <c r="R891" s="5"/>
      <c r="S891" s="5"/>
      <c r="T891" s="5"/>
      <c r="U891" s="5"/>
      <c r="V891" s="5"/>
      <c r="W891" s="5"/>
      <c r="X891" s="5"/>
      <c r="Y891" s="5"/>
      <c r="Z891" s="5"/>
      <c r="AA891" s="5"/>
      <c r="AB891" s="47" t="s">
        <v>1658</v>
      </c>
      <c r="AC891" s="1321"/>
      <c r="AD891" s="1321"/>
      <c r="AE891" s="1321"/>
      <c r="AF891" s="1321"/>
      <c r="AG891" s="1321"/>
      <c r="AH891" s="1322"/>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row>
    <row r="892" spans="1:110" ht="12.95" customHeight="1">
      <c r="C892" s="38"/>
      <c r="D892" s="5"/>
      <c r="E892" s="5"/>
      <c r="F892" s="5"/>
      <c r="G892" s="5"/>
      <c r="H892" s="5"/>
      <c r="I892" s="5"/>
      <c r="J892" s="5"/>
      <c r="K892" s="5"/>
      <c r="L892" s="5"/>
      <c r="M892" s="5"/>
      <c r="N892" s="5"/>
      <c r="O892" s="5"/>
      <c r="P892" s="5"/>
      <c r="Q892" s="5"/>
      <c r="R892" s="5"/>
      <c r="S892" s="5"/>
      <c r="T892" s="5"/>
      <c r="U892" s="5"/>
      <c r="V892" s="5"/>
      <c r="W892" s="5"/>
      <c r="X892" s="5"/>
      <c r="Y892" s="5"/>
      <c r="Z892" s="5"/>
      <c r="AA892" s="5"/>
      <c r="AB892" s="47" t="s">
        <v>1659</v>
      </c>
      <c r="AC892" s="1321"/>
      <c r="AD892" s="1321"/>
      <c r="AE892" s="1321"/>
      <c r="AF892" s="1321"/>
      <c r="AG892" s="1321"/>
      <c r="AH892" s="1322"/>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row>
    <row r="893" spans="1:110" ht="12.95" customHeight="1">
      <c r="C893" s="1415" t="s">
        <v>1660</v>
      </c>
      <c r="D893" s="1416"/>
      <c r="E893" s="1416"/>
      <c r="F893" s="1416"/>
      <c r="G893" s="1416"/>
      <c r="H893" s="1416"/>
      <c r="I893" s="1416"/>
      <c r="J893" s="1416"/>
      <c r="K893" s="1416"/>
      <c r="L893" s="1416"/>
      <c r="M893" s="1416"/>
      <c r="N893" s="1416"/>
      <c r="O893" s="1416"/>
      <c r="P893" s="1416"/>
      <c r="Q893" s="1416"/>
      <c r="R893" s="1416"/>
      <c r="S893" s="1416"/>
      <c r="T893" s="1416"/>
      <c r="U893" s="1416"/>
      <c r="V893" s="1416"/>
      <c r="W893" s="1416"/>
      <c r="X893" s="1416"/>
      <c r="Y893" s="1416"/>
      <c r="Z893" s="1416"/>
      <c r="AA893" s="1416"/>
      <c r="AB893" s="1417"/>
      <c r="AC893" s="1409">
        <v>7500</v>
      </c>
      <c r="AD893" s="1409"/>
      <c r="AE893" s="1409"/>
      <c r="AF893" s="1409"/>
      <c r="AG893" s="1409"/>
      <c r="AH893" s="1409"/>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row>
    <row r="894" spans="1:110" ht="12.95" customHeight="1">
      <c r="C894" s="1415" t="s">
        <v>1661</v>
      </c>
      <c r="D894" s="1416"/>
      <c r="E894" s="1416"/>
      <c r="F894" s="1416"/>
      <c r="G894" s="1416"/>
      <c r="H894" s="1416"/>
      <c r="I894" s="1416"/>
      <c r="J894" s="1416"/>
      <c r="K894" s="1416"/>
      <c r="L894" s="1416"/>
      <c r="M894" s="1416"/>
      <c r="N894" s="1416"/>
      <c r="O894" s="1416"/>
      <c r="P894" s="1416"/>
      <c r="Q894" s="1416"/>
      <c r="R894" s="1416"/>
      <c r="S894" s="1416"/>
      <c r="T894" s="1416"/>
      <c r="U894" s="1416"/>
      <c r="V894" s="1416"/>
      <c r="W894" s="1416"/>
      <c r="X894" s="1416"/>
      <c r="Y894" s="1416"/>
      <c r="Z894" s="1416"/>
      <c r="AA894" s="1416"/>
      <c r="AB894" s="1417"/>
      <c r="AC894" s="1409"/>
      <c r="AD894" s="1409"/>
      <c r="AE894" s="1409"/>
      <c r="AF894" s="1409"/>
      <c r="AG894" s="1409"/>
      <c r="AH894" s="1409"/>
      <c r="AU894" s="71"/>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row>
    <row r="895" spans="1:110" ht="12.95" customHeight="1">
      <c r="E895" s="437"/>
      <c r="AB895" s="49"/>
      <c r="AC895" s="90"/>
      <c r="AD895" s="90"/>
      <c r="AE895" s="90"/>
      <c r="AF895" s="90"/>
      <c r="AG895" s="90"/>
      <c r="AH895" s="90"/>
      <c r="AU895" s="71"/>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row>
    <row r="896" spans="1:110" ht="12.95" customHeight="1">
      <c r="A896" s="2" t="s">
        <v>1345</v>
      </c>
      <c r="C896" s="2" t="s">
        <v>1662</v>
      </c>
      <c r="X896" s="12"/>
      <c r="Y896" s="12"/>
      <c r="Z896" s="12"/>
      <c r="AA896" s="12"/>
      <c r="AB896" s="12"/>
      <c r="AC896" s="12"/>
      <c r="AD896" s="12"/>
      <c r="AU896" s="71"/>
      <c r="AZ896" s="3"/>
      <c r="BB896" s="26"/>
      <c r="BC896" s="26"/>
      <c r="BD896" s="14"/>
      <c r="BE896" s="14"/>
      <c r="BF896" s="14"/>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row>
    <row r="897" spans="1:110" ht="12.95" customHeight="1">
      <c r="X897" s="12"/>
      <c r="Y897" s="12"/>
      <c r="Z897" s="12"/>
      <c r="AA897" s="12"/>
      <c r="AB897" s="12"/>
      <c r="AC897" s="12"/>
      <c r="AD897" s="12"/>
      <c r="AF897" s="458"/>
      <c r="AG897" s="955"/>
      <c r="AH897" s="955"/>
      <c r="AI897" s="955"/>
      <c r="AU897" s="71"/>
      <c r="AZ897" s="3"/>
      <c r="BB897" s="26"/>
      <c r="BC897" s="26"/>
      <c r="BD897" s="14"/>
      <c r="BE897" s="14"/>
      <c r="BF897" s="14"/>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row>
    <row r="898" spans="1:110" ht="12.95" customHeight="1">
      <c r="B898" s="2"/>
      <c r="H898" s="88" t="s">
        <v>1663</v>
      </c>
      <c r="I898" s="5"/>
      <c r="J898" s="5"/>
      <c r="K898" s="5"/>
      <c r="L898" s="5"/>
      <c r="M898" s="5"/>
      <c r="N898" s="5"/>
      <c r="O898" s="5"/>
      <c r="P898" s="5"/>
      <c r="Q898" s="5"/>
      <c r="R898" s="5"/>
      <c r="S898" s="5"/>
      <c r="T898" s="5"/>
      <c r="U898" s="5"/>
      <c r="V898" s="5"/>
      <c r="W898" s="5"/>
      <c r="X898" s="5"/>
      <c r="Y898" s="39"/>
      <c r="Z898" s="1320"/>
      <c r="AA898" s="1321"/>
      <c r="AB898" s="1321"/>
      <c r="AC898" s="1321"/>
      <c r="AD898" s="1321"/>
      <c r="AE898" s="1322"/>
      <c r="AF898" s="458"/>
      <c r="AZ898" s="3"/>
      <c r="BB898" s="26"/>
      <c r="BC898" s="741"/>
      <c r="BD898" s="1410"/>
      <c r="BE898" s="1410"/>
      <c r="BF898" s="14"/>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row>
    <row r="899" spans="1:110" ht="12.95" customHeight="1">
      <c r="H899" s="88" t="s">
        <v>1664</v>
      </c>
      <c r="I899" s="5"/>
      <c r="J899" s="5"/>
      <c r="K899" s="5"/>
      <c r="L899" s="5"/>
      <c r="M899" s="5"/>
      <c r="N899" s="5"/>
      <c r="O899" s="5"/>
      <c r="P899" s="5"/>
      <c r="Q899" s="5"/>
      <c r="R899" s="5"/>
      <c r="S899" s="5"/>
      <c r="T899" s="5"/>
      <c r="U899" s="5"/>
      <c r="V899" s="5"/>
      <c r="W899" s="5"/>
      <c r="X899" s="5"/>
      <c r="Y899" s="5"/>
      <c r="Z899" s="1320"/>
      <c r="AA899" s="1321"/>
      <c r="AB899" s="1321"/>
      <c r="AC899" s="1321"/>
      <c r="AD899" s="1321"/>
      <c r="AE899" s="1322"/>
      <c r="AZ899" s="3"/>
      <c r="BB899" s="26"/>
      <c r="BC899" s="741"/>
      <c r="BD899" s="1410"/>
      <c r="BE899" s="1410"/>
      <c r="BF899" s="14"/>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row>
    <row r="900" spans="1:110" ht="12.95" customHeight="1">
      <c r="H900" s="88" t="s">
        <v>1665</v>
      </c>
      <c r="I900" s="5"/>
      <c r="J900" s="5"/>
      <c r="K900" s="5"/>
      <c r="L900" s="5"/>
      <c r="M900" s="5"/>
      <c r="N900" s="5"/>
      <c r="O900" s="5"/>
      <c r="P900" s="5"/>
      <c r="Q900" s="5"/>
      <c r="R900" s="5"/>
      <c r="S900" s="5"/>
      <c r="T900" s="5"/>
      <c r="U900" s="5"/>
      <c r="V900" s="5"/>
      <c r="W900" s="5"/>
      <c r="X900" s="5"/>
      <c r="Y900" s="5"/>
      <c r="Z900" s="1320"/>
      <c r="AA900" s="1321"/>
      <c r="AB900" s="1321"/>
      <c r="AC900" s="1321"/>
      <c r="AD900" s="1321"/>
      <c r="AE900" s="1322"/>
      <c r="AZ900" s="3"/>
      <c r="BB900" s="26"/>
      <c r="BC900" s="741"/>
      <c r="BD900" s="1411"/>
      <c r="BE900" s="1411"/>
      <c r="BF900" s="14"/>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row>
    <row r="901" spans="1:110" ht="12.95" customHeight="1">
      <c r="H901" s="38"/>
      <c r="I901" s="5"/>
      <c r="J901" s="5"/>
      <c r="K901" s="5"/>
      <c r="L901" s="5"/>
      <c r="M901" s="5"/>
      <c r="N901" s="5"/>
      <c r="O901" s="5"/>
      <c r="P901" s="5"/>
      <c r="Q901" s="5"/>
      <c r="R901" s="5"/>
      <c r="S901" s="5"/>
      <c r="T901" s="5"/>
      <c r="U901" s="5"/>
      <c r="V901" s="5"/>
      <c r="W901" s="5"/>
      <c r="X901" s="5"/>
      <c r="Y901" s="131" t="s">
        <v>1666</v>
      </c>
      <c r="Z901" s="1406">
        <f>Z898-(Z899+Z900)</f>
        <v>0</v>
      </c>
      <c r="AA901" s="1407"/>
      <c r="AB901" s="1407"/>
      <c r="AC901" s="1407"/>
      <c r="AD901" s="1407"/>
      <c r="AE901" s="1408"/>
      <c r="AZ901" s="3"/>
      <c r="BB901" s="26"/>
      <c r="BC901" s="741"/>
      <c r="BD901" s="1411"/>
      <c r="BE901" s="1411"/>
      <c r="BF901" s="14"/>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row>
    <row r="902" spans="1:110" ht="12.95" customHeight="1">
      <c r="C902" s="437"/>
      <c r="D902" s="279"/>
      <c r="E902" s="955"/>
      <c r="F902" s="955"/>
      <c r="G902" s="955"/>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955"/>
      <c r="AZ902" s="3"/>
      <c r="BB902" s="26"/>
      <c r="BC902" s="741"/>
      <c r="BD902" s="1411"/>
      <c r="BE902" s="1411"/>
      <c r="BF902" s="14"/>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row>
    <row r="903" spans="1:110" ht="12.95" customHeight="1">
      <c r="C903" t="s">
        <v>1667</v>
      </c>
      <c r="D903" s="15"/>
      <c r="E903" s="955"/>
      <c r="F903" s="955"/>
      <c r="G903" s="955"/>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955"/>
      <c r="AZ903" s="3"/>
      <c r="BB903" s="26"/>
      <c r="BC903" s="741"/>
      <c r="BD903" s="1410"/>
      <c r="BE903" s="1411"/>
      <c r="BF903" s="14"/>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row>
    <row r="904" spans="1:110" ht="12.95" customHeight="1">
      <c r="C904" s="132" t="s">
        <v>1668</v>
      </c>
      <c r="D904" s="15"/>
      <c r="E904" s="955"/>
      <c r="F904" s="955"/>
      <c r="G904" s="955"/>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955"/>
      <c r="AV904" s="71"/>
      <c r="AW904" s="71"/>
      <c r="AX904" s="71"/>
      <c r="AY904" s="71"/>
      <c r="AZ904" s="3"/>
      <c r="BB904" s="26"/>
      <c r="BC904" s="741"/>
      <c r="BD904" s="1424"/>
      <c r="BE904" s="1424"/>
      <c r="BF904" s="1424"/>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row>
    <row r="905" spans="1:110" ht="12.95" customHeight="1">
      <c r="C905" s="132" t="s">
        <v>1669</v>
      </c>
      <c r="D905" s="15"/>
      <c r="E905" s="955"/>
      <c r="F905" s="955"/>
      <c r="G905" s="955"/>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955"/>
      <c r="AV905" s="71"/>
      <c r="AW905" s="71"/>
      <c r="AX905" s="71"/>
      <c r="AY905" s="71"/>
      <c r="AZ905" s="3"/>
      <c r="BB905" s="26"/>
      <c r="BC905" s="741"/>
      <c r="BD905" s="1423"/>
      <c r="BE905" s="1423"/>
      <c r="BF905" s="142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row>
    <row r="906" spans="1:110" ht="12.95" customHeight="1">
      <c r="C906" s="262" t="s">
        <v>1670</v>
      </c>
      <c r="D906" s="15"/>
      <c r="E906" s="955"/>
      <c r="F906" s="955"/>
      <c r="G906" s="955"/>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955"/>
      <c r="AV906" s="71"/>
      <c r="AW906" s="71"/>
      <c r="AX906" s="71"/>
      <c r="AY906" s="71"/>
      <c r="AZ906" s="3"/>
      <c r="BB906" s="26"/>
      <c r="BC906" s="741"/>
      <c r="BD906" s="1411"/>
      <c r="BE906" s="1411"/>
      <c r="BF906" s="14"/>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row>
    <row r="907" spans="1:110" ht="12.95" customHeight="1">
      <c r="D907" s="15"/>
      <c r="E907" s="33"/>
      <c r="F907" s="33"/>
      <c r="G907" s="33"/>
      <c r="H907" s="33"/>
      <c r="I907" s="33"/>
      <c r="J907" s="33"/>
      <c r="K907" s="33"/>
      <c r="L907" s="33"/>
      <c r="M907" s="33"/>
      <c r="N907" s="33"/>
      <c r="O907" s="33"/>
      <c r="P907" s="33"/>
      <c r="Q907" s="33"/>
      <c r="R907" s="33"/>
      <c r="S907" s="33"/>
      <c r="T907" s="33"/>
      <c r="U907" s="33"/>
      <c r="V907" s="33"/>
      <c r="W907" s="33"/>
      <c r="X907" s="33"/>
      <c r="Y907" s="33"/>
      <c r="Z907" s="33"/>
      <c r="AA907" s="33"/>
      <c r="AB907" s="33"/>
      <c r="AC907" s="33"/>
      <c r="AD907" s="33"/>
      <c r="AE907" s="33"/>
      <c r="AF907" s="33"/>
      <c r="AG907" s="33"/>
      <c r="AH907" s="33"/>
      <c r="AI907" s="33"/>
      <c r="AV907" s="71"/>
      <c r="AW907" s="71"/>
      <c r="AX907" s="71"/>
      <c r="AY907" s="71"/>
      <c r="AZ907" s="3"/>
      <c r="BB907" s="26"/>
      <c r="BC907" s="741"/>
      <c r="BD907" s="1410"/>
      <c r="BE907" s="1411"/>
      <c r="BF907" s="14"/>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row>
    <row r="908" spans="1:110" ht="12.95" customHeight="1">
      <c r="AZ908" s="3"/>
      <c r="BB908" s="26"/>
      <c r="BC908" s="741"/>
      <c r="BG908" s="66"/>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row>
    <row r="909" spans="1:110" ht="12.95" customHeight="1">
      <c r="A909" s="1437" t="s">
        <v>1671</v>
      </c>
      <c r="B909" s="1437"/>
      <c r="C909" s="1437"/>
      <c r="D909" s="1437"/>
      <c r="E909" s="1437"/>
      <c r="F909" s="1437"/>
      <c r="G909" s="1437"/>
      <c r="H909" s="1437"/>
      <c r="I909" s="1437"/>
      <c r="J909" s="1437"/>
      <c r="K909" s="1437"/>
      <c r="L909" s="1437"/>
      <c r="M909" s="1437"/>
      <c r="N909" s="1437"/>
      <c r="O909" s="1437"/>
      <c r="P909" s="1437"/>
      <c r="Q909" s="1437"/>
      <c r="R909" s="1437"/>
      <c r="S909" s="1437"/>
      <c r="T909" s="1437"/>
      <c r="U909" s="1437"/>
      <c r="V909" s="1437"/>
      <c r="W909" s="1437"/>
      <c r="X909" s="1437"/>
      <c r="Y909" s="1437"/>
      <c r="Z909" s="1437"/>
      <c r="AA909" s="1437"/>
      <c r="AB909" s="1437"/>
      <c r="AC909" s="1437"/>
      <c r="AD909" s="1437"/>
      <c r="AE909" s="1437"/>
      <c r="AF909" s="1437"/>
      <c r="AG909" s="1437"/>
      <c r="AH909" s="1437"/>
      <c r="AI909" s="1437"/>
      <c r="AJ909" s="1437"/>
      <c r="AK909" s="1437"/>
      <c r="AL909" s="1437"/>
      <c r="AM909" s="1437"/>
      <c r="AN909" s="1437"/>
      <c r="AO909" s="1437"/>
      <c r="AP909" s="1437"/>
      <c r="AQ909" s="1437"/>
      <c r="AR909" s="1437"/>
      <c r="AS909" s="1437"/>
      <c r="AT909" s="1437"/>
      <c r="AZ909" s="3"/>
      <c r="BA909" s="3"/>
      <c r="BB909" s="26"/>
      <c r="BC909" s="26"/>
      <c r="BD909" s="1410"/>
      <c r="BE909" s="1411"/>
      <c r="BF909" s="83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row>
    <row r="910" spans="1:110" ht="12.95" customHeight="1">
      <c r="A910" s="1437"/>
      <c r="B910" s="1437"/>
      <c r="C910" s="1437"/>
      <c r="D910" s="1437"/>
      <c r="E910" s="1437"/>
      <c r="F910" s="1437"/>
      <c r="G910" s="1437"/>
      <c r="H910" s="1437"/>
      <c r="I910" s="1437"/>
      <c r="J910" s="1437"/>
      <c r="K910" s="1437"/>
      <c r="L910" s="1437"/>
      <c r="M910" s="1437"/>
      <c r="N910" s="1437"/>
      <c r="O910" s="1437"/>
      <c r="P910" s="1437"/>
      <c r="Q910" s="1437"/>
      <c r="R910" s="1437"/>
      <c r="S910" s="1437"/>
      <c r="T910" s="1437"/>
      <c r="U910" s="1437"/>
      <c r="V910" s="1437"/>
      <c r="W910" s="1437"/>
      <c r="X910" s="1437"/>
      <c r="Y910" s="1437"/>
      <c r="Z910" s="1437"/>
      <c r="AA910" s="1437"/>
      <c r="AB910" s="1437"/>
      <c r="AC910" s="1437"/>
      <c r="AD910" s="1437"/>
      <c r="AE910" s="1437"/>
      <c r="AF910" s="1437"/>
      <c r="AG910" s="1437"/>
      <c r="AH910" s="1437"/>
      <c r="AI910" s="1437"/>
      <c r="AJ910" s="1437"/>
      <c r="AK910" s="1437"/>
      <c r="AL910" s="1437"/>
      <c r="AM910" s="1437"/>
      <c r="AN910" s="1437"/>
      <c r="AO910" s="1437"/>
      <c r="AP910" s="1437"/>
      <c r="AQ910" s="1437"/>
      <c r="AR910" s="1437"/>
      <c r="AS910" s="1437"/>
      <c r="AT910" s="1437"/>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row>
    <row r="911" spans="1:110" ht="12.95" customHeight="1">
      <c r="D911" s="71"/>
      <c r="E911" s="71"/>
      <c r="F911" s="71"/>
      <c r="G911" s="71"/>
      <c r="H911" s="71"/>
      <c r="I911" s="71"/>
      <c r="J911" s="71"/>
      <c r="K911" s="71"/>
      <c r="L911" s="71"/>
      <c r="M911" s="71"/>
      <c r="N911" s="71"/>
      <c r="O911" s="71"/>
      <c r="P911" s="71"/>
      <c r="Q911" s="71"/>
      <c r="R911" s="71"/>
      <c r="S911" s="71"/>
      <c r="T911" s="71"/>
      <c r="U911" s="71"/>
      <c r="V911" s="71"/>
      <c r="W911" s="71"/>
      <c r="X911" s="71"/>
      <c r="Y911" s="71"/>
      <c r="Z911" s="71"/>
      <c r="AA911" s="71"/>
      <c r="AB911" s="71"/>
      <c r="AC911" s="71"/>
      <c r="AD911" s="71"/>
      <c r="AE911" s="71"/>
      <c r="AF911" s="71"/>
      <c r="AG911" s="71"/>
      <c r="AH911" s="71"/>
      <c r="AI911" s="71"/>
      <c r="AJ911" s="71"/>
      <c r="AK911" s="71"/>
      <c r="AL911" s="71"/>
      <c r="AM911" s="71"/>
      <c r="AN911" s="71"/>
      <c r="AO911" s="71"/>
      <c r="AP911" s="71"/>
      <c r="AQ911" s="71"/>
      <c r="AR911" s="71"/>
      <c r="AS911" s="71"/>
      <c r="AT911" s="71"/>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row>
    <row r="912" spans="1:110" ht="12.95" customHeight="1">
      <c r="A912" s="2" t="s">
        <v>921</v>
      </c>
      <c r="C912" s="2" t="s">
        <v>241</v>
      </c>
      <c r="D912" s="71"/>
      <c r="E912" s="71"/>
      <c r="F912" s="71"/>
      <c r="G912" s="71"/>
      <c r="H912" s="71"/>
      <c r="I912" s="71"/>
      <c r="J912" s="71"/>
      <c r="K912" s="71"/>
      <c r="L912" s="71"/>
      <c r="M912" s="71"/>
      <c r="N912" s="71"/>
      <c r="O912" s="71"/>
      <c r="P912" s="71"/>
      <c r="Q912" s="71"/>
      <c r="R912" s="71"/>
      <c r="S912" s="71"/>
      <c r="T912" s="71"/>
      <c r="U912" s="71"/>
      <c r="V912" s="71"/>
      <c r="W912" s="71"/>
      <c r="X912" s="71"/>
      <c r="Y912" s="71"/>
      <c r="Z912" s="71"/>
      <c r="AA912" s="71"/>
      <c r="AB912" s="71"/>
      <c r="AC912" s="71"/>
      <c r="AD912" s="71"/>
      <c r="AE912" s="71"/>
      <c r="AF912" s="71"/>
      <c r="AG912" s="71"/>
      <c r="AH912" s="71"/>
      <c r="AI912" s="71"/>
      <c r="AJ912" s="71"/>
      <c r="AK912" s="71"/>
      <c r="AL912" s="71"/>
      <c r="AM912" s="71"/>
      <c r="AN912" s="71"/>
      <c r="AO912" s="71"/>
      <c r="AP912" s="71"/>
      <c r="AQ912" s="71"/>
      <c r="AR912" s="71"/>
      <c r="AS912" s="71"/>
      <c r="AT912" s="71"/>
      <c r="AZ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row>
    <row r="913" spans="2:110" ht="12.95" customHeight="1">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row>
    <row r="914" spans="2:110" ht="12.95" customHeight="1">
      <c r="F914" s="1581" t="s">
        <v>1672</v>
      </c>
      <c r="G914" s="1582"/>
      <c r="H914" s="1582"/>
      <c r="I914" s="1582"/>
      <c r="J914" s="1582"/>
      <c r="K914" s="1582"/>
      <c r="L914" s="1582"/>
      <c r="M914" s="1582"/>
      <c r="N914" s="1582"/>
      <c r="O914" s="1582"/>
      <c r="P914" s="1582"/>
      <c r="Q914" s="1582"/>
      <c r="R914" s="1582"/>
      <c r="S914" s="1582"/>
      <c r="T914" s="1583"/>
      <c r="U914" s="1453" t="s">
        <v>1673</v>
      </c>
      <c r="V914" s="1397"/>
      <c r="W914" s="1397"/>
      <c r="X914" s="1397"/>
      <c r="Y914" s="1397"/>
      <c r="Z914" s="1397"/>
      <c r="AA914" s="36"/>
      <c r="AB914" s="232"/>
      <c r="AC914" s="232"/>
      <c r="AD914" s="232"/>
      <c r="AE914" s="232"/>
      <c r="AF914" s="2508"/>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row>
    <row r="915" spans="2:110" ht="12.95" customHeight="1">
      <c r="B915" s="2"/>
      <c r="F915" s="1454" t="s">
        <v>1674</v>
      </c>
      <c r="G915" s="1455"/>
      <c r="H915" s="1455"/>
      <c r="I915" s="1455"/>
      <c r="J915" s="1455"/>
      <c r="K915" s="1455"/>
      <c r="L915" s="1455"/>
      <c r="M915" s="1455"/>
      <c r="N915" s="1455"/>
      <c r="O915" s="1455"/>
      <c r="P915" s="1455"/>
      <c r="Q915" s="1455"/>
      <c r="R915" s="1455"/>
      <c r="S915" s="1455"/>
      <c r="T915" s="1571"/>
      <c r="U915" s="1454"/>
      <c r="V915" s="1455"/>
      <c r="W915" s="1455"/>
      <c r="X915" s="1455"/>
      <c r="Y915" s="1455"/>
      <c r="Z915" s="1455"/>
      <c r="AA915" s="37"/>
      <c r="AB915" s="3"/>
      <c r="AC915" s="3"/>
      <c r="AD915" s="3"/>
      <c r="AE915" s="3"/>
      <c r="AF915" s="2509"/>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row>
    <row r="916" spans="2:110" ht="12.95" customHeight="1">
      <c r="B916" s="2"/>
      <c r="F916" s="1456"/>
      <c r="G916" s="1399"/>
      <c r="H916" s="1399"/>
      <c r="I916" s="1399"/>
      <c r="J916" s="1399"/>
      <c r="K916" s="1399"/>
      <c r="L916" s="1399"/>
      <c r="M916" s="1399"/>
      <c r="N916" s="1399"/>
      <c r="O916" s="1399"/>
      <c r="P916" s="1399"/>
      <c r="Q916" s="1399"/>
      <c r="R916" s="1399"/>
      <c r="S916" s="1399"/>
      <c r="T916" s="1400"/>
      <c r="U916" s="1456"/>
      <c r="V916" s="1399"/>
      <c r="W916" s="1399"/>
      <c r="X916" s="1399"/>
      <c r="Y916" s="1399"/>
      <c r="Z916" s="1399"/>
      <c r="AA916" s="819"/>
      <c r="AB916" s="1262" t="s">
        <v>1675</v>
      </c>
      <c r="AC916" s="1262"/>
      <c r="AD916" s="1262"/>
      <c r="AE916" s="1262"/>
      <c r="AF916" s="2510"/>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row>
    <row r="917" spans="2:110" ht="12.95" customHeight="1">
      <c r="B917" s="2"/>
      <c r="F917" s="38" t="s">
        <v>1676</v>
      </c>
      <c r="G917" s="41"/>
      <c r="H917" s="41"/>
      <c r="I917" s="41"/>
      <c r="J917" s="41"/>
      <c r="K917" s="41"/>
      <c r="L917" s="41"/>
      <c r="M917" s="41"/>
      <c r="N917" s="41"/>
      <c r="O917" s="41"/>
      <c r="P917" s="41"/>
      <c r="Q917" s="41"/>
      <c r="R917" s="41"/>
      <c r="S917" s="41"/>
      <c r="T917" s="42"/>
      <c r="U917" s="1420" t="s">
        <v>837</v>
      </c>
      <c r="V917" s="1260"/>
      <c r="W917" s="1260"/>
      <c r="X917" s="1260"/>
      <c r="Y917" s="1260"/>
      <c r="Z917" s="1261"/>
      <c r="AA917" s="1421">
        <v>16993197</v>
      </c>
      <c r="AB917" s="1336"/>
      <c r="AC917" s="1336"/>
      <c r="AD917" s="1336"/>
      <c r="AE917" s="1336"/>
      <c r="AF917" s="1422"/>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row>
    <row r="918" spans="2:110" ht="12.95" customHeight="1">
      <c r="B918" s="2"/>
      <c r="F918" s="88" t="s">
        <v>1677</v>
      </c>
      <c r="G918" s="41"/>
      <c r="H918" s="41"/>
      <c r="I918" s="41"/>
      <c r="J918" s="41"/>
      <c r="K918" s="41"/>
      <c r="L918" s="41"/>
      <c r="M918" s="41"/>
      <c r="N918" s="41"/>
      <c r="O918" s="41"/>
      <c r="P918" s="41"/>
      <c r="Q918" s="41"/>
      <c r="R918" s="41"/>
      <c r="S918" s="41"/>
      <c r="T918" s="42"/>
      <c r="U918" s="1420" t="s">
        <v>837</v>
      </c>
      <c r="V918" s="1260"/>
      <c r="W918" s="1260"/>
      <c r="X918" s="1260"/>
      <c r="Y918" s="1260"/>
      <c r="Z918" s="1261"/>
      <c r="AA918" s="1421">
        <v>1809339</v>
      </c>
      <c r="AB918" s="1336"/>
      <c r="AC918" s="1336"/>
      <c r="AD918" s="1336"/>
      <c r="AE918" s="1336"/>
      <c r="AF918" s="1422"/>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row>
    <row r="919" spans="2:110" ht="12.95" customHeight="1">
      <c r="F919" s="38" t="s">
        <v>1678</v>
      </c>
      <c r="G919" s="5"/>
      <c r="H919" s="5"/>
      <c r="I919" s="5"/>
      <c r="J919" s="5"/>
      <c r="K919" s="5"/>
      <c r="L919" s="5"/>
      <c r="M919" s="5"/>
      <c r="N919" s="5"/>
      <c r="O919" s="5"/>
      <c r="P919" s="5"/>
      <c r="Q919" s="5"/>
      <c r="R919" s="5"/>
      <c r="S919" s="5"/>
      <c r="T919" s="39"/>
      <c r="U919" s="1420" t="s">
        <v>299</v>
      </c>
      <c r="V919" s="1260"/>
      <c r="W919" s="1260"/>
      <c r="X919" s="1260"/>
      <c r="Y919" s="1260"/>
      <c r="Z919" s="1261"/>
      <c r="AA919" s="1421"/>
      <c r="AB919" s="1336"/>
      <c r="AC919" s="1336"/>
      <c r="AD919" s="1336"/>
      <c r="AE919" s="1336"/>
      <c r="AF919" s="1422"/>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row>
    <row r="920" spans="2:110" ht="12.95" customHeight="1">
      <c r="F920" s="38" t="s">
        <v>1679</v>
      </c>
      <c r="G920" s="5"/>
      <c r="H920" s="5"/>
      <c r="I920" s="5"/>
      <c r="J920" s="5"/>
      <c r="K920" s="5"/>
      <c r="L920" s="5"/>
      <c r="M920" s="5"/>
      <c r="N920" s="5"/>
      <c r="O920" s="5"/>
      <c r="P920" s="5"/>
      <c r="Q920" s="5"/>
      <c r="R920" s="5"/>
      <c r="S920" s="5"/>
      <c r="T920" s="39"/>
      <c r="U920" s="1420" t="s">
        <v>299</v>
      </c>
      <c r="V920" s="1260"/>
      <c r="W920" s="1260"/>
      <c r="X920" s="1260"/>
      <c r="Y920" s="1260"/>
      <c r="Z920" s="1261"/>
      <c r="AA920" s="1421"/>
      <c r="AB920" s="1336"/>
      <c r="AC920" s="1336"/>
      <c r="AD920" s="1336"/>
      <c r="AE920" s="1336"/>
      <c r="AF920" s="1422"/>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row>
    <row r="921" spans="2:110" ht="12.95" customHeight="1">
      <c r="F921" s="88" t="s">
        <v>1680</v>
      </c>
      <c r="G921" s="5"/>
      <c r="H921" s="5"/>
      <c r="I921" s="5"/>
      <c r="J921" s="5"/>
      <c r="K921" s="5"/>
      <c r="L921" s="5"/>
      <c r="M921" s="5"/>
      <c r="N921" s="5"/>
      <c r="O921" s="5"/>
      <c r="P921" s="5"/>
      <c r="Q921" s="5"/>
      <c r="R921" s="5"/>
      <c r="S921" s="5"/>
      <c r="T921" s="39"/>
      <c r="U921" s="1420" t="s">
        <v>299</v>
      </c>
      <c r="V921" s="1260"/>
      <c r="W921" s="1260"/>
      <c r="X921" s="1260"/>
      <c r="Y921" s="1260"/>
      <c r="Z921" s="1261"/>
      <c r="AA921" s="1421"/>
      <c r="AB921" s="1336"/>
      <c r="AC921" s="1336"/>
      <c r="AD921" s="1336"/>
      <c r="AE921" s="1336"/>
      <c r="AF921" s="1422"/>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row>
    <row r="922" spans="2:110" ht="12.95" customHeight="1">
      <c r="F922" s="88" t="s">
        <v>1681</v>
      </c>
      <c r="G922" s="5"/>
      <c r="H922" s="5"/>
      <c r="I922" s="5"/>
      <c r="J922" s="5"/>
      <c r="K922" s="5"/>
      <c r="L922" s="5"/>
      <c r="M922" s="5"/>
      <c r="N922" s="5"/>
      <c r="O922" s="5"/>
      <c r="P922" s="5"/>
      <c r="Q922" s="5"/>
      <c r="R922" s="5"/>
      <c r="S922" s="5"/>
      <c r="T922" s="39"/>
      <c r="U922" s="1420" t="s">
        <v>299</v>
      </c>
      <c r="V922" s="1260"/>
      <c r="W922" s="1260"/>
      <c r="X922" s="1260"/>
      <c r="Y922" s="1260"/>
      <c r="Z922" s="1261"/>
      <c r="AA922" s="1421"/>
      <c r="AB922" s="1336"/>
      <c r="AC922" s="1336"/>
      <c r="AD922" s="1336"/>
      <c r="AE922" s="1336"/>
      <c r="AF922" s="1422"/>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row>
    <row r="923" spans="2:110" ht="12.95" customHeight="1">
      <c r="F923" s="88" t="s">
        <v>1682</v>
      </c>
      <c r="G923" s="5"/>
      <c r="H923" s="5"/>
      <c r="I923" s="5"/>
      <c r="J923" s="5"/>
      <c r="K923" s="5"/>
      <c r="L923" s="5"/>
      <c r="M923" s="5"/>
      <c r="N923" s="5"/>
      <c r="O923" s="5"/>
      <c r="P923" s="5"/>
      <c r="Q923" s="5"/>
      <c r="R923" s="5"/>
      <c r="S923" s="5"/>
      <c r="T923" s="39"/>
      <c r="U923" s="1420" t="s">
        <v>299</v>
      </c>
      <c r="V923" s="1260"/>
      <c r="W923" s="1260"/>
      <c r="X923" s="1260"/>
      <c r="Y923" s="1260"/>
      <c r="Z923" s="1261"/>
      <c r="AA923" s="1421"/>
      <c r="AB923" s="1336"/>
      <c r="AC923" s="1336"/>
      <c r="AD923" s="1336"/>
      <c r="AE923" s="1336"/>
      <c r="AF923" s="1422"/>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row>
    <row r="924" spans="2:110" ht="12.95" customHeight="1">
      <c r="F924" s="38" t="s">
        <v>1683</v>
      </c>
      <c r="G924" s="5"/>
      <c r="H924" s="5"/>
      <c r="I924" s="5"/>
      <c r="J924" s="5"/>
      <c r="K924" s="5"/>
      <c r="L924" s="5"/>
      <c r="M924" s="5"/>
      <c r="N924" s="5"/>
      <c r="O924" s="5"/>
      <c r="P924" s="5"/>
      <c r="Q924" s="5"/>
      <c r="R924" s="5"/>
      <c r="S924" s="5"/>
      <c r="T924" s="39"/>
      <c r="U924" s="1420" t="s">
        <v>299</v>
      </c>
      <c r="V924" s="1260"/>
      <c r="W924" s="1260"/>
      <c r="X924" s="1260"/>
      <c r="Y924" s="1260"/>
      <c r="Z924" s="1261"/>
      <c r="AA924" s="1421"/>
      <c r="AB924" s="1336"/>
      <c r="AC924" s="1336"/>
      <c r="AD924" s="1336"/>
      <c r="AE924" s="1336"/>
      <c r="AF924" s="1422"/>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row>
    <row r="925" spans="2:110" ht="12.95" customHeight="1">
      <c r="F925" s="2511" t="s">
        <v>1684</v>
      </c>
      <c r="G925" s="2512"/>
      <c r="H925" s="2512"/>
      <c r="I925" s="2512"/>
      <c r="J925" s="2512"/>
      <c r="K925" s="2512"/>
      <c r="L925" s="2512"/>
      <c r="M925" s="2512"/>
      <c r="N925" s="2512"/>
      <c r="O925" s="2512"/>
      <c r="P925" s="2512"/>
      <c r="Q925" s="2512"/>
      <c r="R925" s="2512"/>
      <c r="S925" s="2512"/>
      <c r="T925" s="2513"/>
      <c r="U925" s="1420" t="s">
        <v>299</v>
      </c>
      <c r="V925" s="1260"/>
      <c r="W925" s="1260"/>
      <c r="X925" s="1260"/>
      <c r="Y925" s="1260"/>
      <c r="Z925" s="1261"/>
      <c r="AA925" s="1421"/>
      <c r="AB925" s="1336"/>
      <c r="AC925" s="1336"/>
      <c r="AD925" s="1336"/>
      <c r="AE925" s="1336"/>
      <c r="AF925" s="1422"/>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row>
    <row r="926" spans="2:110" ht="12.95" customHeight="1">
      <c r="F926" s="2511" t="s">
        <v>1685</v>
      </c>
      <c r="G926" s="2512"/>
      <c r="H926" s="2512"/>
      <c r="I926" s="2512"/>
      <c r="J926" s="2512"/>
      <c r="K926" s="2512"/>
      <c r="L926" s="2512"/>
      <c r="M926" s="2512"/>
      <c r="N926" s="2512"/>
      <c r="O926" s="2512"/>
      <c r="P926" s="2512"/>
      <c r="Q926" s="2512"/>
      <c r="R926" s="2512"/>
      <c r="S926" s="2512"/>
      <c r="T926" s="2513"/>
      <c r="U926" s="1420" t="s">
        <v>299</v>
      </c>
      <c r="V926" s="1260"/>
      <c r="W926" s="1260"/>
      <c r="X926" s="1260"/>
      <c r="Y926" s="1260"/>
      <c r="Z926" s="1261"/>
      <c r="AA926" s="1421"/>
      <c r="AB926" s="1336"/>
      <c r="AC926" s="1336"/>
      <c r="AD926" s="1336"/>
      <c r="AE926" s="1336"/>
      <c r="AF926" s="1422"/>
      <c r="AU926" s="2"/>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row>
    <row r="927" spans="2:110" ht="12.95" customHeight="1">
      <c r="F927" s="2511" t="s">
        <v>1686</v>
      </c>
      <c r="G927" s="2512"/>
      <c r="H927" s="2512"/>
      <c r="I927" s="2512"/>
      <c r="J927" s="2512"/>
      <c r="K927" s="2512"/>
      <c r="L927" s="2512"/>
      <c r="M927" s="2512"/>
      <c r="N927" s="2512"/>
      <c r="O927" s="2512"/>
      <c r="P927" s="2512"/>
      <c r="Q927" s="2512"/>
      <c r="R927" s="2512"/>
      <c r="S927" s="2512"/>
      <c r="T927" s="2513"/>
      <c r="U927" s="1420" t="s">
        <v>299</v>
      </c>
      <c r="V927" s="1260"/>
      <c r="W927" s="1260"/>
      <c r="X927" s="1260"/>
      <c r="Y927" s="1260"/>
      <c r="Z927" s="1261"/>
      <c r="AA927" s="1421"/>
      <c r="AB927" s="1336"/>
      <c r="AC927" s="1336"/>
      <c r="AD927" s="1336"/>
      <c r="AE927" s="1336"/>
      <c r="AF927" s="1422"/>
      <c r="AU927" s="2"/>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row>
    <row r="928" spans="2:110" ht="12.95" customHeight="1">
      <c r="F928" s="2511" t="s">
        <v>1687</v>
      </c>
      <c r="G928" s="2512"/>
      <c r="H928" s="2512"/>
      <c r="I928" s="2512"/>
      <c r="J928" s="2512"/>
      <c r="K928" s="2512"/>
      <c r="L928" s="2512"/>
      <c r="M928" s="2512"/>
      <c r="N928" s="2512"/>
      <c r="O928" s="2512"/>
      <c r="P928" s="2512"/>
      <c r="Q928" s="2512"/>
      <c r="R928" s="2512"/>
      <c r="S928" s="2512"/>
      <c r="T928" s="2513"/>
      <c r="U928" s="1420" t="s">
        <v>299</v>
      </c>
      <c r="V928" s="1260"/>
      <c r="W928" s="1260"/>
      <c r="X928" s="1260"/>
      <c r="Y928" s="1260"/>
      <c r="Z928" s="1261"/>
      <c r="AA928" s="1421"/>
      <c r="AB928" s="1336"/>
      <c r="AC928" s="1336"/>
      <c r="AD928" s="1336"/>
      <c r="AE928" s="1336"/>
      <c r="AF928" s="1422"/>
      <c r="AU928" s="2"/>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row>
    <row r="929" spans="6:110" ht="12.95" customHeight="1">
      <c r="F929" s="2511" t="s">
        <v>1688</v>
      </c>
      <c r="G929" s="2512"/>
      <c r="H929" s="2512"/>
      <c r="I929" s="2512"/>
      <c r="J929" s="2512"/>
      <c r="K929" s="2512"/>
      <c r="L929" s="2512"/>
      <c r="M929" s="2512"/>
      <c r="N929" s="2512"/>
      <c r="O929" s="2512"/>
      <c r="P929" s="2512"/>
      <c r="Q929" s="2512"/>
      <c r="R929" s="2512"/>
      <c r="S929" s="2512"/>
      <c r="T929" s="2513"/>
      <c r="U929" s="1420" t="s">
        <v>299</v>
      </c>
      <c r="V929" s="1260"/>
      <c r="W929" s="1260"/>
      <c r="X929" s="1260"/>
      <c r="Y929" s="1260"/>
      <c r="Z929" s="1261"/>
      <c r="AA929" s="1421"/>
      <c r="AB929" s="1336"/>
      <c r="AC929" s="1336"/>
      <c r="AD929" s="1336"/>
      <c r="AE929" s="1336"/>
      <c r="AF929" s="1422"/>
      <c r="AU929" s="2"/>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row>
    <row r="930" spans="6:110" ht="12.95" customHeight="1">
      <c r="F930" s="2511" t="s">
        <v>1689</v>
      </c>
      <c r="G930" s="2512"/>
      <c r="H930" s="2512"/>
      <c r="I930" s="2512"/>
      <c r="J930" s="2512"/>
      <c r="K930" s="2512"/>
      <c r="L930" s="2512"/>
      <c r="M930" s="2512"/>
      <c r="N930" s="2512"/>
      <c r="O930" s="2512"/>
      <c r="P930" s="2512"/>
      <c r="Q930" s="2512"/>
      <c r="R930" s="2512"/>
      <c r="S930" s="2512"/>
      <c r="T930" s="2513"/>
      <c r="U930" s="1420" t="s">
        <v>299</v>
      </c>
      <c r="V930" s="1260"/>
      <c r="W930" s="1260"/>
      <c r="X930" s="1260"/>
      <c r="Y930" s="1260"/>
      <c r="Z930" s="1261"/>
      <c r="AA930" s="1421"/>
      <c r="AB930" s="1336"/>
      <c r="AC930" s="1336"/>
      <c r="AD930" s="1336"/>
      <c r="AE930" s="1336"/>
      <c r="AF930" s="1422"/>
      <c r="AU930" s="2"/>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row>
    <row r="931" spans="6:110" ht="12.95" customHeight="1">
      <c r="F931" s="2511" t="s">
        <v>1690</v>
      </c>
      <c r="G931" s="2512"/>
      <c r="H931" s="2512"/>
      <c r="I931" s="2512"/>
      <c r="J931" s="2512"/>
      <c r="K931" s="2512"/>
      <c r="L931" s="2512"/>
      <c r="M931" s="2512"/>
      <c r="N931" s="2512"/>
      <c r="O931" s="2512"/>
      <c r="P931" s="2512"/>
      <c r="Q931" s="2512"/>
      <c r="R931" s="2512"/>
      <c r="S931" s="2512"/>
      <c r="T931" s="2513"/>
      <c r="U931" s="1420" t="s">
        <v>299</v>
      </c>
      <c r="V931" s="1260"/>
      <c r="W931" s="1260"/>
      <c r="X931" s="1260"/>
      <c r="Y931" s="1260"/>
      <c r="Z931" s="1261"/>
      <c r="AA931" s="1421"/>
      <c r="AB931" s="1336"/>
      <c r="AC931" s="1336"/>
      <c r="AD931" s="1336"/>
      <c r="AE931" s="1336"/>
      <c r="AF931" s="1422"/>
      <c r="AZ931" s="26"/>
      <c r="BA931" s="26"/>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row>
    <row r="932" spans="6:110" ht="12.95" customHeight="1">
      <c r="F932" s="129" t="s">
        <v>1691</v>
      </c>
      <c r="G932" s="5"/>
      <c r="H932" s="5"/>
      <c r="I932" s="5"/>
      <c r="J932" s="5"/>
      <c r="K932" s="5"/>
      <c r="L932" s="5"/>
      <c r="M932" s="5"/>
      <c r="N932" s="5"/>
      <c r="O932" s="5"/>
      <c r="P932" s="5"/>
      <c r="Q932" s="5"/>
      <c r="R932" s="5"/>
      <c r="S932" s="5"/>
      <c r="T932" s="39"/>
      <c r="U932" s="1420" t="s">
        <v>299</v>
      </c>
      <c r="V932" s="1260"/>
      <c r="W932" s="1260"/>
      <c r="X932" s="1260"/>
      <c r="Y932" s="1260"/>
      <c r="Z932" s="1261"/>
      <c r="AA932" s="1421"/>
      <c r="AB932" s="1336"/>
      <c r="AC932" s="1336"/>
      <c r="AD932" s="1336"/>
      <c r="AE932" s="1336"/>
      <c r="AF932" s="1422"/>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row>
    <row r="933" spans="6:110" ht="12.95" customHeight="1">
      <c r="F933" s="88" t="s">
        <v>1692</v>
      </c>
      <c r="G933" s="5"/>
      <c r="H933" s="5"/>
      <c r="I933" s="5"/>
      <c r="J933" s="5"/>
      <c r="K933" s="5"/>
      <c r="L933" s="5"/>
      <c r="M933" s="5"/>
      <c r="N933" s="5"/>
      <c r="O933" s="5"/>
      <c r="P933" s="5"/>
      <c r="Q933" s="5"/>
      <c r="R933" s="5"/>
      <c r="S933" s="5"/>
      <c r="T933" s="39"/>
      <c r="U933" s="1420" t="s">
        <v>299</v>
      </c>
      <c r="V933" s="1260"/>
      <c r="W933" s="1260"/>
      <c r="X933" s="1260"/>
      <c r="Y933" s="1260"/>
      <c r="Z933" s="1261"/>
      <c r="AA933" s="1421"/>
      <c r="AB933" s="1336"/>
      <c r="AC933" s="1336"/>
      <c r="AD933" s="1336"/>
      <c r="AE933" s="1336"/>
      <c r="AF933" s="1422"/>
      <c r="AZ933" s="26"/>
      <c r="BA933" s="14"/>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row>
    <row r="934" spans="6:110" ht="12.95" customHeight="1">
      <c r="F934" s="88" t="s">
        <v>1693</v>
      </c>
      <c r="G934" s="5"/>
      <c r="H934" s="5"/>
      <c r="I934" s="5"/>
      <c r="J934" s="5"/>
      <c r="K934" s="5"/>
      <c r="L934" s="5"/>
      <c r="M934" s="5"/>
      <c r="N934" s="5"/>
      <c r="O934" s="5"/>
      <c r="P934" s="5"/>
      <c r="Q934" s="5"/>
      <c r="R934" s="5"/>
      <c r="S934" s="5"/>
      <c r="T934" s="39"/>
      <c r="U934" s="1420" t="s">
        <v>299</v>
      </c>
      <c r="V934" s="1260"/>
      <c r="W934" s="1260"/>
      <c r="X934" s="1260"/>
      <c r="Y934" s="1260"/>
      <c r="Z934" s="1261"/>
      <c r="AA934" s="1421"/>
      <c r="AB934" s="1336"/>
      <c r="AC934" s="1336"/>
      <c r="AD934" s="1336"/>
      <c r="AE934" s="1336"/>
      <c r="AF934" s="1422"/>
      <c r="AZ934" s="26"/>
      <c r="BA934" s="14"/>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row>
    <row r="935" spans="6:110" ht="12.95" customHeight="1">
      <c r="F935" s="2514" t="s">
        <v>1694</v>
      </c>
      <c r="G935" s="2515"/>
      <c r="H935" s="2515"/>
      <c r="I935" s="2515"/>
      <c r="J935" s="2515"/>
      <c r="K935" s="2515"/>
      <c r="L935" s="2515"/>
      <c r="M935" s="2515"/>
      <c r="N935" s="2515"/>
      <c r="O935" s="2515"/>
      <c r="P935" s="2515"/>
      <c r="Q935" s="2515"/>
      <c r="R935" s="2515"/>
      <c r="S935" s="2515"/>
      <c r="T935" s="2516"/>
      <c r="U935" s="1420" t="s">
        <v>299</v>
      </c>
      <c r="V935" s="1260"/>
      <c r="W935" s="1260"/>
      <c r="X935" s="1260"/>
      <c r="Y935" s="1260"/>
      <c r="Z935" s="1261"/>
      <c r="AA935" s="1421"/>
      <c r="AB935" s="1336"/>
      <c r="AC935" s="1336"/>
      <c r="AD935" s="1336"/>
      <c r="AE935" s="1336"/>
      <c r="AF935" s="1422"/>
      <c r="AZ935" s="26"/>
      <c r="BA935" s="14"/>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row>
    <row r="936" spans="6:110" ht="12.95" customHeight="1">
      <c r="F936" s="2514" t="s">
        <v>1695</v>
      </c>
      <c r="G936" s="2515"/>
      <c r="H936" s="2515"/>
      <c r="I936" s="2515"/>
      <c r="J936" s="2515"/>
      <c r="K936" s="2515"/>
      <c r="L936" s="2515"/>
      <c r="M936" s="2515"/>
      <c r="N936" s="2515"/>
      <c r="O936" s="2515"/>
      <c r="P936" s="2515"/>
      <c r="Q936" s="2515"/>
      <c r="R936" s="2515"/>
      <c r="S936" s="2515"/>
      <c r="T936" s="2516"/>
      <c r="U936" s="1420" t="s">
        <v>299</v>
      </c>
      <c r="V936" s="1260"/>
      <c r="W936" s="1260"/>
      <c r="X936" s="1260"/>
      <c r="Y936" s="1260"/>
      <c r="Z936" s="1261"/>
      <c r="AA936" s="1421"/>
      <c r="AB936" s="1336"/>
      <c r="AC936" s="1336"/>
      <c r="AD936" s="1336"/>
      <c r="AE936" s="1336"/>
      <c r="AF936" s="1422"/>
      <c r="AZ936" s="26"/>
      <c r="BA936" s="26"/>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row>
    <row r="937" spans="6:110" ht="12.95" customHeight="1">
      <c r="F937" s="2511" t="s">
        <v>1696</v>
      </c>
      <c r="G937" s="2512"/>
      <c r="H937" s="2512"/>
      <c r="I937" s="2512"/>
      <c r="J937" s="2512"/>
      <c r="K937" s="2512"/>
      <c r="L937" s="2512"/>
      <c r="M937" s="2512"/>
      <c r="N937" s="2512"/>
      <c r="O937" s="2512"/>
      <c r="P937" s="2512"/>
      <c r="Q937" s="2512"/>
      <c r="R937" s="2512"/>
      <c r="S937" s="2512"/>
      <c r="T937" s="2513"/>
      <c r="U937" s="1420" t="s">
        <v>299</v>
      </c>
      <c r="V937" s="1260"/>
      <c r="W937" s="1260"/>
      <c r="X937" s="1260"/>
      <c r="Y937" s="1260"/>
      <c r="Z937" s="1261"/>
      <c r="AA937" s="1421"/>
      <c r="AB937" s="1336"/>
      <c r="AC937" s="1336"/>
      <c r="AD937" s="1336"/>
      <c r="AE937" s="1336"/>
      <c r="AF937" s="1422"/>
      <c r="AZ937" s="26"/>
      <c r="BA937" s="26"/>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row>
    <row r="938" spans="6:110" ht="12.95" customHeight="1">
      <c r="F938" s="2511" t="s">
        <v>1697</v>
      </c>
      <c r="G938" s="2512"/>
      <c r="H938" s="2512"/>
      <c r="I938" s="2512"/>
      <c r="J938" s="2512"/>
      <c r="K938" s="2512"/>
      <c r="L938" s="2512"/>
      <c r="M938" s="2512"/>
      <c r="N938" s="2512"/>
      <c r="O938" s="2512"/>
      <c r="P938" s="2512"/>
      <c r="Q938" s="2512"/>
      <c r="R938" s="2512"/>
      <c r="S938" s="2512"/>
      <c r="T938" s="2513"/>
      <c r="U938" s="1420" t="s">
        <v>299</v>
      </c>
      <c r="V938" s="1260"/>
      <c r="W938" s="1260"/>
      <c r="X938" s="1260"/>
      <c r="Y938" s="1260"/>
      <c r="Z938" s="1261"/>
      <c r="AA938" s="1421"/>
      <c r="AB938" s="1336"/>
      <c r="AC938" s="1336"/>
      <c r="AD938" s="1336"/>
      <c r="AE938" s="1336"/>
      <c r="AF938" s="1422"/>
      <c r="AZ938" s="26"/>
      <c r="BA938" s="26"/>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row>
    <row r="939" spans="6:110" ht="12.95" customHeight="1">
      <c r="F939" s="2511" t="s">
        <v>1698</v>
      </c>
      <c r="G939" s="2512"/>
      <c r="H939" s="2512"/>
      <c r="I939" s="2512"/>
      <c r="J939" s="2512"/>
      <c r="K939" s="2512"/>
      <c r="L939" s="2512"/>
      <c r="M939" s="2512"/>
      <c r="N939" s="2512"/>
      <c r="O939" s="2512"/>
      <c r="P939" s="2512"/>
      <c r="Q939" s="2512"/>
      <c r="R939" s="2512"/>
      <c r="S939" s="2512"/>
      <c r="T939" s="2513"/>
      <c r="U939" s="1420" t="s">
        <v>299</v>
      </c>
      <c r="V939" s="1260"/>
      <c r="W939" s="1260"/>
      <c r="X939" s="1260"/>
      <c r="Y939" s="1260"/>
      <c r="Z939" s="1261"/>
      <c r="AA939" s="1421"/>
      <c r="AB939" s="1336"/>
      <c r="AC939" s="1336"/>
      <c r="AD939" s="1336"/>
      <c r="AE939" s="1336"/>
      <c r="AF939" s="1422"/>
      <c r="AZ939" s="3"/>
      <c r="BA939" s="3"/>
      <c r="BB939" s="14"/>
      <c r="BC939" s="14"/>
      <c r="BD939" s="14"/>
      <c r="BE939" s="14"/>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row>
    <row r="940" spans="6:110" ht="12.95" customHeight="1">
      <c r="F940" s="88" t="s">
        <v>1699</v>
      </c>
      <c r="G940" s="5"/>
      <c r="H940" s="5"/>
      <c r="I940" s="5"/>
      <c r="J940" s="5"/>
      <c r="K940" s="5"/>
      <c r="L940" s="5"/>
      <c r="M940" s="5"/>
      <c r="N940" s="5"/>
      <c r="O940" s="5"/>
      <c r="P940" s="5"/>
      <c r="Q940" s="5"/>
      <c r="R940" s="5"/>
      <c r="S940" s="5"/>
      <c r="T940" s="39"/>
      <c r="U940" s="1420" t="s">
        <v>299</v>
      </c>
      <c r="V940" s="1260"/>
      <c r="W940" s="1260"/>
      <c r="X940" s="1260"/>
      <c r="Y940" s="1260"/>
      <c r="Z940" s="1261"/>
      <c r="AA940" s="1421"/>
      <c r="AB940" s="1336"/>
      <c r="AC940" s="1336"/>
      <c r="AD940" s="1336"/>
      <c r="AE940" s="1336"/>
      <c r="AF940" s="1422"/>
      <c r="AZ940" s="3"/>
      <c r="BA940" s="3"/>
      <c r="BB940" s="14"/>
      <c r="BC940" s="14"/>
      <c r="BD940" s="14"/>
      <c r="BE940" s="14"/>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row>
    <row r="941" spans="6:110" ht="12.95" customHeight="1">
      <c r="F941" s="2514" t="s">
        <v>1700</v>
      </c>
      <c r="G941" s="2515"/>
      <c r="H941" s="2515"/>
      <c r="I941" s="2515"/>
      <c r="J941" s="2515"/>
      <c r="K941" s="2515"/>
      <c r="L941" s="2515"/>
      <c r="M941" s="2515"/>
      <c r="N941" s="2515"/>
      <c r="O941" s="2515"/>
      <c r="P941" s="2515"/>
      <c r="Q941" s="2515"/>
      <c r="R941" s="2515"/>
      <c r="S941" s="2515"/>
      <c r="T941" s="2516"/>
      <c r="U941" s="1420" t="s">
        <v>299</v>
      </c>
      <c r="V941" s="1260"/>
      <c r="W941" s="1260"/>
      <c r="X941" s="1260"/>
      <c r="Y941" s="1260"/>
      <c r="Z941" s="1261"/>
      <c r="AA941" s="1421"/>
      <c r="AB941" s="1336"/>
      <c r="AC941" s="1336"/>
      <c r="AD941" s="1336"/>
      <c r="AE941" s="1336"/>
      <c r="AF941" s="1422"/>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row>
    <row r="942" spans="6:110" ht="12.95" customHeight="1">
      <c r="F942" s="88" t="s">
        <v>1701</v>
      </c>
      <c r="G942" s="5"/>
      <c r="H942" s="5"/>
      <c r="I942" s="5"/>
      <c r="J942" s="5"/>
      <c r="K942" s="5"/>
      <c r="L942" s="5"/>
      <c r="M942" s="5"/>
      <c r="N942" s="5"/>
      <c r="O942" s="5"/>
      <c r="P942" s="5"/>
      <c r="Q942" s="5"/>
      <c r="R942" s="5"/>
      <c r="S942" s="5"/>
      <c r="T942" s="39"/>
      <c r="U942" s="1420" t="s">
        <v>299</v>
      </c>
      <c r="V942" s="1260"/>
      <c r="W942" s="1260"/>
      <c r="X942" s="1260"/>
      <c r="Y942" s="1260"/>
      <c r="Z942" s="1261"/>
      <c r="AA942" s="1421"/>
      <c r="AB942" s="1336"/>
      <c r="AC942" s="1336"/>
      <c r="AD942" s="1336"/>
      <c r="AE942" s="1336"/>
      <c r="AF942" s="1422"/>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row>
    <row r="943" spans="6:110" ht="12.95" customHeight="1">
      <c r="F943" s="2514" t="s">
        <v>1702</v>
      </c>
      <c r="G943" s="2515"/>
      <c r="H943" s="2515"/>
      <c r="I943" s="2515"/>
      <c r="J943" s="2515"/>
      <c r="K943" s="2515"/>
      <c r="L943" s="2515"/>
      <c r="M943" s="2515"/>
      <c r="N943" s="2515"/>
      <c r="O943" s="2515"/>
      <c r="P943" s="2515"/>
      <c r="Q943" s="2515"/>
      <c r="R943" s="2515"/>
      <c r="S943" s="2515"/>
      <c r="T943" s="2516"/>
      <c r="U943" s="1420" t="s">
        <v>299</v>
      </c>
      <c r="V943" s="1260"/>
      <c r="W943" s="1260"/>
      <c r="X943" s="1260"/>
      <c r="Y943" s="1260"/>
      <c r="Z943" s="1261"/>
      <c r="AA943" s="1421"/>
      <c r="AB943" s="1336"/>
      <c r="AC943" s="1336"/>
      <c r="AD943" s="1336"/>
      <c r="AE943" s="1336"/>
      <c r="AF943" s="1422"/>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row>
    <row r="944" spans="6:110" ht="12.95" customHeight="1">
      <c r="F944" s="38" t="s">
        <v>1703</v>
      </c>
      <c r="G944" s="5"/>
      <c r="H944" s="5"/>
      <c r="I944" s="5"/>
      <c r="J944" s="5"/>
      <c r="K944" s="5"/>
      <c r="L944" s="5"/>
      <c r="M944" s="5"/>
      <c r="N944" s="5"/>
      <c r="O944" s="5"/>
      <c r="P944" s="1420" t="s">
        <v>894</v>
      </c>
      <c r="Q944" s="1260"/>
      <c r="R944" s="1260"/>
      <c r="S944" s="1260"/>
      <c r="T944" s="1261"/>
      <c r="U944" s="1420" t="s">
        <v>299</v>
      </c>
      <c r="V944" s="1260"/>
      <c r="W944" s="1260"/>
      <c r="X944" s="1260"/>
      <c r="Y944" s="1260"/>
      <c r="Z944" s="1261"/>
      <c r="AA944" s="1421"/>
      <c r="AB944" s="1336"/>
      <c r="AC944" s="1336"/>
      <c r="AD944" s="1336"/>
      <c r="AE944" s="1336"/>
      <c r="AF944" s="1422"/>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row>
    <row r="945" spans="1:110" ht="12.95" customHeight="1">
      <c r="F945" s="2511" t="s">
        <v>1704</v>
      </c>
      <c r="G945" s="2512"/>
      <c r="H945" s="2513"/>
      <c r="I945" s="1387" t="s">
        <v>1705</v>
      </c>
      <c r="J945" s="1388"/>
      <c r="K945" s="1388"/>
      <c r="L945" s="1388"/>
      <c r="M945" s="1388"/>
      <c r="N945" s="1388"/>
      <c r="O945" s="1388"/>
      <c r="P945" s="1388"/>
      <c r="Q945" s="1388"/>
      <c r="R945" s="1388"/>
      <c r="S945" s="1388"/>
      <c r="T945" s="1389"/>
      <c r="U945" s="1420" t="s">
        <v>837</v>
      </c>
      <c r="V945" s="1260"/>
      <c r="W945" s="1260"/>
      <c r="X945" s="1260"/>
      <c r="Y945" s="1260"/>
      <c r="Z945" s="1261"/>
      <c r="AA945" s="1421">
        <v>13547005</v>
      </c>
      <c r="AB945" s="1336"/>
      <c r="AC945" s="1336"/>
      <c r="AD945" s="1336"/>
      <c r="AE945" s="1336"/>
      <c r="AF945" s="1422"/>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row>
    <row r="946" spans="1:110" ht="12.95" customHeight="1">
      <c r="F946" s="38" t="s">
        <v>1113</v>
      </c>
      <c r="G946" s="41"/>
      <c r="H946" s="41"/>
      <c r="I946" s="1387" t="s">
        <v>1706</v>
      </c>
      <c r="J946" s="1388"/>
      <c r="K946" s="1388"/>
      <c r="L946" s="1388"/>
      <c r="M946" s="1388"/>
      <c r="N946" s="1388"/>
      <c r="O946" s="1388"/>
      <c r="P946" s="1388"/>
      <c r="Q946" s="1388"/>
      <c r="R946" s="1388"/>
      <c r="S946" s="1388"/>
      <c r="T946" s="1389"/>
      <c r="U946" s="1420" t="s">
        <v>837</v>
      </c>
      <c r="V946" s="1260"/>
      <c r="W946" s="1260"/>
      <c r="X946" s="1260"/>
      <c r="Y946" s="1260"/>
      <c r="Z946" s="1261"/>
      <c r="AA946" s="1421">
        <v>7583070</v>
      </c>
      <c r="AB946" s="1336"/>
      <c r="AC946" s="1336"/>
      <c r="AD946" s="1336"/>
      <c r="AE946" s="1336"/>
      <c r="AF946" s="1422"/>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row>
    <row r="947" spans="1:110" ht="12.95" customHeight="1">
      <c r="F947" s="38" t="s">
        <v>1707</v>
      </c>
      <c r="G947" s="41"/>
      <c r="H947" s="41"/>
      <c r="I947" s="1387" t="str">
        <f>C558</f>
        <v xml:space="preserve">San Diego Housing Commission </v>
      </c>
      <c r="J947" s="1388"/>
      <c r="K947" s="1388"/>
      <c r="L947" s="1388"/>
      <c r="M947" s="1388"/>
      <c r="N947" s="1388"/>
      <c r="O947" s="1388"/>
      <c r="P947" s="1388"/>
      <c r="Q947" s="1388"/>
      <c r="R947" s="1388"/>
      <c r="S947" s="1388"/>
      <c r="T947" s="1389"/>
      <c r="U947" s="1420" t="s">
        <v>837</v>
      </c>
      <c r="V947" s="1260"/>
      <c r="W947" s="1260"/>
      <c r="X947" s="1260"/>
      <c r="Y947" s="1260"/>
      <c r="Z947" s="1261"/>
      <c r="AA947" s="1421">
        <v>2200000</v>
      </c>
      <c r="AB947" s="1336"/>
      <c r="AC947" s="1336"/>
      <c r="AD947" s="1336"/>
      <c r="AE947" s="1336"/>
      <c r="AF947" s="1422"/>
      <c r="AV947" s="2"/>
      <c r="AW947" s="2"/>
      <c r="AX947" s="2"/>
      <c r="AY947" s="2"/>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row>
    <row r="948" spans="1:110" ht="12.95" customHeight="1">
      <c r="F948" s="40" t="s">
        <v>232</v>
      </c>
      <c r="G948" s="41"/>
      <c r="H948" s="41"/>
      <c r="I948" s="1387" t="s">
        <v>1468</v>
      </c>
      <c r="J948" s="1388"/>
      <c r="K948" s="1388"/>
      <c r="L948" s="1388"/>
      <c r="M948" s="1388"/>
      <c r="N948" s="1388"/>
      <c r="O948" s="1388"/>
      <c r="P948" s="1388"/>
      <c r="Q948" s="1388"/>
      <c r="R948" s="1388"/>
      <c r="S948" s="1388"/>
      <c r="T948" s="1389"/>
      <c r="U948" s="1420" t="s">
        <v>837</v>
      </c>
      <c r="V948" s="1260"/>
      <c r="W948" s="1260"/>
      <c r="X948" s="1260"/>
      <c r="Y948" s="1260"/>
      <c r="Z948" s="1261"/>
      <c r="AA948" s="1421">
        <v>2500000</v>
      </c>
      <c r="AB948" s="1336"/>
      <c r="AC948" s="1336"/>
      <c r="AD948" s="1336"/>
      <c r="AE948" s="1336"/>
      <c r="AF948" s="1422"/>
      <c r="AU948" s="2"/>
      <c r="AZ948" s="3"/>
      <c r="BA948" s="3"/>
      <c r="BB948" s="3"/>
      <c r="BC948" s="3"/>
      <c r="BD948" s="3"/>
      <c r="BE948" s="3"/>
      <c r="BF948" s="3"/>
      <c r="BG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row>
    <row r="949" spans="1:110" ht="12.95" customHeight="1">
      <c r="F949" s="40" t="s">
        <v>232</v>
      </c>
      <c r="G949" s="41"/>
      <c r="H949" s="41"/>
      <c r="I949" s="1387" t="s">
        <v>1426</v>
      </c>
      <c r="J949" s="1388"/>
      <c r="K949" s="1388"/>
      <c r="L949" s="1388"/>
      <c r="M949" s="1388"/>
      <c r="N949" s="1388"/>
      <c r="O949" s="1388"/>
      <c r="P949" s="1388"/>
      <c r="Q949" s="1388"/>
      <c r="R949" s="1388"/>
      <c r="S949" s="1388"/>
      <c r="T949" s="1389"/>
      <c r="U949" s="1420" t="s">
        <v>837</v>
      </c>
      <c r="V949" s="1260"/>
      <c r="W949" s="1260"/>
      <c r="X949" s="1260"/>
      <c r="Y949" s="1260"/>
      <c r="Z949" s="1261"/>
      <c r="AA949" s="1421">
        <v>2750000</v>
      </c>
      <c r="AB949" s="1336"/>
      <c r="AC949" s="1336"/>
      <c r="AD949" s="1336"/>
      <c r="AE949" s="1336"/>
      <c r="AF949" s="1422"/>
      <c r="AU949" s="2"/>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row>
    <row r="950" spans="1:110" ht="12.95" customHeight="1">
      <c r="AU950" s="2"/>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row>
    <row r="951" spans="1:110" ht="12.95" customHeight="1">
      <c r="A951" s="2" t="s">
        <v>962</v>
      </c>
      <c r="C951" s="2" t="s">
        <v>246</v>
      </c>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row>
    <row r="952" spans="1:110" ht="12.95" customHeight="1">
      <c r="B952" s="2"/>
      <c r="C952" s="20" t="s">
        <v>1708</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row>
    <row r="953" spans="1:110" ht="12.95" customHeight="1">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row>
    <row r="954" spans="1:110" ht="12.95" customHeight="1">
      <c r="C954" s="88" t="s">
        <v>1709</v>
      </c>
      <c r="D954" s="5"/>
      <c r="E954" s="5"/>
      <c r="F954" s="5"/>
      <c r="G954" s="5"/>
      <c r="H954" s="5"/>
      <c r="I954" s="5"/>
      <c r="J954" s="5"/>
      <c r="K954" s="5"/>
      <c r="L954" s="39"/>
      <c r="M954" s="1442">
        <v>45370</v>
      </c>
      <c r="N954" s="1403"/>
      <c r="O954" s="1403"/>
      <c r="P954" s="1403"/>
      <c r="Q954" s="1403"/>
      <c r="R954" s="1403"/>
      <c r="S954" s="1404"/>
      <c r="U954" s="88" t="s">
        <v>1709</v>
      </c>
      <c r="V954" s="5"/>
      <c r="W954" s="5"/>
      <c r="X954" s="5"/>
      <c r="Y954" s="5"/>
      <c r="Z954" s="5"/>
      <c r="AA954" s="5"/>
      <c r="AB954" s="5"/>
      <c r="AC954" s="5"/>
      <c r="AD954" s="39"/>
      <c r="AE954" s="1442"/>
      <c r="AF954" s="1403"/>
      <c r="AG954" s="1403"/>
      <c r="AH954" s="1403"/>
      <c r="AI954" s="1403"/>
      <c r="AJ954" s="1403"/>
      <c r="AK954" s="1404"/>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row>
    <row r="955" spans="1:110" ht="12.95" customHeight="1">
      <c r="C955" s="88" t="s">
        <v>1710</v>
      </c>
      <c r="D955" s="5"/>
      <c r="E955" s="5"/>
      <c r="F955" s="5"/>
      <c r="G955" s="5"/>
      <c r="H955" s="5"/>
      <c r="I955" s="5"/>
      <c r="J955" s="5"/>
      <c r="K955" s="5"/>
      <c r="L955" s="39"/>
      <c r="M955" s="1508" t="s">
        <v>1465</v>
      </c>
      <c r="N955" s="1309"/>
      <c r="O955" s="1309"/>
      <c r="P955" s="1309"/>
      <c r="Q955" s="1309"/>
      <c r="R955" s="1309"/>
      <c r="S955" s="1509"/>
      <c r="U955" s="88" t="s">
        <v>1710</v>
      </c>
      <c r="V955" s="5"/>
      <c r="W955" s="5"/>
      <c r="X955" s="5"/>
      <c r="Y955" s="5"/>
      <c r="Z955" s="5"/>
      <c r="AA955" s="5"/>
      <c r="AB955" s="5"/>
      <c r="AC955" s="5"/>
      <c r="AD955" s="39"/>
      <c r="AE955" s="1508"/>
      <c r="AF955" s="1309"/>
      <c r="AG955" s="1309"/>
      <c r="AH955" s="1309"/>
      <c r="AI955" s="1309"/>
      <c r="AJ955" s="1309"/>
      <c r="AK955" s="1509"/>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row>
    <row r="956" spans="1:110" ht="12.95" customHeight="1">
      <c r="C956" s="88" t="s">
        <v>1711</v>
      </c>
      <c r="D956" s="5"/>
      <c r="E956" s="5"/>
      <c r="J956" s="1431" t="s">
        <v>1712</v>
      </c>
      <c r="K956" s="1432"/>
      <c r="L956" s="1432"/>
      <c r="M956" s="1432"/>
      <c r="N956" s="1432"/>
      <c r="O956" s="1432"/>
      <c r="P956" s="1432"/>
      <c r="Q956" s="1432"/>
      <c r="R956" s="1432"/>
      <c r="S956" s="1433"/>
      <c r="U956" s="88" t="s">
        <v>1711</v>
      </c>
      <c r="V956" s="5"/>
      <c r="W956" s="5"/>
      <c r="AB956" s="1431" t="s">
        <v>294</v>
      </c>
      <c r="AC956" s="1432"/>
      <c r="AD956" s="1432"/>
      <c r="AE956" s="1432"/>
      <c r="AF956" s="1432"/>
      <c r="AG956" s="1432"/>
      <c r="AH956" s="1432"/>
      <c r="AI956" s="1432"/>
      <c r="AJ956" s="1432"/>
      <c r="AK956" s="143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row>
    <row r="957" spans="1:110" ht="12.95" customHeight="1">
      <c r="C957" s="88" t="s">
        <v>1713</v>
      </c>
      <c r="D957" s="5"/>
      <c r="E957" s="5"/>
      <c r="F957" s="5"/>
      <c r="G957" s="5"/>
      <c r="H957" s="5"/>
      <c r="I957" s="5"/>
      <c r="J957" s="5"/>
      <c r="K957" s="5"/>
      <c r="L957" s="39"/>
      <c r="M957" s="1438">
        <v>0.12</v>
      </c>
      <c r="N957" s="1439"/>
      <c r="O957" s="1439"/>
      <c r="P957" s="1439"/>
      <c r="Q957" s="1439"/>
      <c r="R957" s="1439"/>
      <c r="S957" s="1440"/>
      <c r="U957" s="88" t="s">
        <v>1713</v>
      </c>
      <c r="V957" s="5"/>
      <c r="W957" s="5"/>
      <c r="X957" s="5"/>
      <c r="Y957" s="5"/>
      <c r="Z957" s="5"/>
      <c r="AA957" s="5"/>
      <c r="AB957" s="5"/>
      <c r="AC957" s="5"/>
      <c r="AD957" s="39"/>
      <c r="AE957" s="1441"/>
      <c r="AF957" s="1439"/>
      <c r="AG957" s="1439"/>
      <c r="AH957" s="1439"/>
      <c r="AI957" s="1439"/>
      <c r="AJ957" s="1439"/>
      <c r="AK957" s="1440"/>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row>
    <row r="958" spans="1:110" ht="12.95" customHeight="1">
      <c r="C958" s="88" t="s">
        <v>1714</v>
      </c>
      <c r="D958" s="5"/>
      <c r="E958" s="5"/>
      <c r="F958" s="5"/>
      <c r="G958" s="5"/>
      <c r="H958" s="5"/>
      <c r="I958" s="5"/>
      <c r="J958" s="5"/>
      <c r="K958" s="5"/>
      <c r="L958" s="39"/>
      <c r="M958" s="1500">
        <v>12</v>
      </c>
      <c r="N958" s="1501"/>
      <c r="O958" s="1501"/>
      <c r="P958" s="1501"/>
      <c r="Q958" s="1501"/>
      <c r="R958" s="1501"/>
      <c r="S958" s="1502"/>
      <c r="U958" s="88" t="s">
        <v>1714</v>
      </c>
      <c r="V958" s="5"/>
      <c r="W958" s="5"/>
      <c r="X958" s="5"/>
      <c r="Y958" s="5"/>
      <c r="Z958" s="5"/>
      <c r="AA958" s="5"/>
      <c r="AB958" s="5"/>
      <c r="AC958" s="5"/>
      <c r="AD958" s="39"/>
      <c r="AE958" s="1500"/>
      <c r="AF958" s="1501"/>
      <c r="AG958" s="1501"/>
      <c r="AH958" s="1501"/>
      <c r="AI958" s="1501"/>
      <c r="AJ958" s="1501"/>
      <c r="AK958" s="1502"/>
      <c r="AV958" s="2"/>
      <c r="AW958" s="2"/>
      <c r="AX958" s="2"/>
      <c r="AY958" s="2"/>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row>
    <row r="959" spans="1:110" ht="12.95" customHeight="1">
      <c r="C959" s="88" t="s">
        <v>1715</v>
      </c>
      <c r="D959" s="5"/>
      <c r="E959" s="5"/>
      <c r="F959" s="5"/>
      <c r="G959" s="5"/>
      <c r="H959" s="5"/>
      <c r="I959" s="5"/>
      <c r="J959" s="5"/>
      <c r="K959" s="5"/>
      <c r="L959" s="39"/>
      <c r="M959" s="1421">
        <v>330048</v>
      </c>
      <c r="N959" s="1336"/>
      <c r="O959" s="1336"/>
      <c r="P959" s="1336"/>
      <c r="Q959" s="1336"/>
      <c r="R959" s="1336"/>
      <c r="S959" s="1422"/>
      <c r="U959" s="88" t="s">
        <v>1715</v>
      </c>
      <c r="V959" s="5"/>
      <c r="W959" s="5"/>
      <c r="X959" s="5"/>
      <c r="Y959" s="5"/>
      <c r="Z959" s="5"/>
      <c r="AA959" s="5"/>
      <c r="AB959" s="5"/>
      <c r="AC959" s="5"/>
      <c r="AD959" s="39"/>
      <c r="AE959" s="1421"/>
      <c r="AF959" s="1336"/>
      <c r="AG959" s="1336"/>
      <c r="AH959" s="1336"/>
      <c r="AI959" s="1336"/>
      <c r="AJ959" s="1336"/>
      <c r="AK959" s="1422"/>
      <c r="AV959" s="2"/>
      <c r="AW959" s="2"/>
      <c r="AX959" s="2"/>
      <c r="AY959" s="2"/>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row>
    <row r="960" spans="1:110" ht="12.95" customHeight="1">
      <c r="C960" s="88" t="s">
        <v>1716</v>
      </c>
      <c r="D960" s="5"/>
      <c r="E960" s="5"/>
      <c r="F960" s="5"/>
      <c r="G960" s="5"/>
      <c r="H960" s="5"/>
      <c r="I960" s="5"/>
      <c r="J960" s="5"/>
      <c r="K960" s="5"/>
      <c r="L960" s="39"/>
      <c r="M960" s="1421">
        <v>4950720</v>
      </c>
      <c r="N960" s="1336"/>
      <c r="O960" s="1336"/>
      <c r="P960" s="1336"/>
      <c r="Q960" s="1336"/>
      <c r="R960" s="1336"/>
      <c r="S960" s="1422"/>
      <c r="U960" s="88" t="s">
        <v>1716</v>
      </c>
      <c r="V960" s="5"/>
      <c r="W960" s="5"/>
      <c r="X960" s="5"/>
      <c r="Y960" s="5"/>
      <c r="Z960" s="5"/>
      <c r="AA960" s="5"/>
      <c r="AB960" s="5"/>
      <c r="AC960" s="5"/>
      <c r="AD960" s="39"/>
      <c r="AE960" s="1421"/>
      <c r="AF960" s="1336"/>
      <c r="AG960" s="1336"/>
      <c r="AH960" s="1336"/>
      <c r="AI960" s="1336"/>
      <c r="AJ960" s="1336"/>
      <c r="AK960" s="1422"/>
      <c r="AV960" s="2"/>
      <c r="AW960" s="2"/>
      <c r="AX960" s="2"/>
      <c r="AY960" s="2"/>
      <c r="AZ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row>
    <row r="961" spans="1:159" ht="12.95" customHeight="1">
      <c r="C961" s="88" t="s">
        <v>1295</v>
      </c>
      <c r="D961" s="5"/>
      <c r="E961" s="5"/>
      <c r="F961" s="5"/>
      <c r="G961" s="5"/>
      <c r="H961" s="5"/>
      <c r="I961" s="5"/>
      <c r="J961" s="5"/>
      <c r="K961" s="5"/>
      <c r="L961" s="39"/>
      <c r="M961" s="1428">
        <v>15</v>
      </c>
      <c r="N961" s="1429"/>
      <c r="O961" s="1429"/>
      <c r="P961" s="1429"/>
      <c r="Q961" s="1429"/>
      <c r="R961" s="1429"/>
      <c r="S961" s="1430"/>
      <c r="U961" s="88" t="s">
        <v>1295</v>
      </c>
      <c r="V961" s="5"/>
      <c r="W961" s="5"/>
      <c r="X961" s="5"/>
      <c r="Y961" s="5"/>
      <c r="Z961" s="5"/>
      <c r="AA961" s="5"/>
      <c r="AB961" s="5"/>
      <c r="AC961" s="5"/>
      <c r="AD961" s="39"/>
      <c r="AE961" s="1428"/>
      <c r="AF961" s="1429"/>
      <c r="AG961" s="1429"/>
      <c r="AH961" s="1429"/>
      <c r="AI961" s="1429"/>
      <c r="AJ961" s="1429"/>
      <c r="AK961" s="1430"/>
      <c r="AZ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row>
    <row r="962" spans="1:159" ht="12.95" customHeight="1">
      <c r="AZ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row>
    <row r="963" spans="1:159" ht="12.95" customHeight="1">
      <c r="A963" s="2" t="s">
        <v>1039</v>
      </c>
      <c r="C963" s="2" t="s">
        <v>1717</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71"/>
      <c r="AZ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row>
    <row r="964" spans="1:159" s="14" customFormat="1" ht="12.95" customHeight="1">
      <c r="A964"/>
      <c r="B964" s="2"/>
      <c r="C964" s="20" t="s">
        <v>1718</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71"/>
      <c r="AV964"/>
      <c r="AW964"/>
      <c r="AX964"/>
      <c r="AY964"/>
      <c r="AZ964" s="3"/>
      <c r="BA964"/>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0"/>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517"/>
      <c r="AV965"/>
      <c r="AW965"/>
      <c r="AX965"/>
      <c r="AY965"/>
      <c r="AZ965" s="3"/>
      <c r="BA965"/>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38" t="s">
        <v>1719</v>
      </c>
      <c r="G966" s="5"/>
      <c r="H966" s="5"/>
      <c r="I966" s="5"/>
      <c r="J966" s="5"/>
      <c r="K966" s="5"/>
      <c r="L966" s="39"/>
      <c r="M966" s="1425"/>
      <c r="N966" s="1426"/>
      <c r="O966" s="1426"/>
      <c r="P966" s="1426"/>
      <c r="Q966" s="1426"/>
      <c r="R966" s="1426"/>
      <c r="S966" s="1427"/>
      <c r="T966" s="88" t="s">
        <v>1720</v>
      </c>
      <c r="U966" s="5"/>
      <c r="V966" s="5"/>
      <c r="W966" s="5"/>
      <c r="X966" s="5"/>
      <c r="Y966" s="5"/>
      <c r="Z966" s="39"/>
      <c r="AA966" s="1425"/>
      <c r="AB966" s="1426"/>
      <c r="AC966" s="1426"/>
      <c r="AD966" s="1426"/>
      <c r="AE966" s="1426"/>
      <c r="AF966" s="1426"/>
      <c r="AG966" s="1427"/>
      <c r="AH966"/>
      <c r="AI966"/>
      <c r="AJ966"/>
      <c r="AK966"/>
      <c r="AL966"/>
      <c r="AM966"/>
      <c r="AN966"/>
      <c r="AO966"/>
      <c r="AP966"/>
      <c r="AQ966"/>
      <c r="AR966"/>
      <c r="AS966"/>
      <c r="AT966"/>
      <c r="AU966" s="2517"/>
      <c r="AV966"/>
      <c r="AW966"/>
      <c r="AX966"/>
      <c r="AY966"/>
      <c r="AZ966" s="3"/>
      <c r="BA966"/>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38" t="s">
        <v>1721</v>
      </c>
      <c r="G967" s="5"/>
      <c r="H967" s="5"/>
      <c r="I967" s="5"/>
      <c r="J967" s="5"/>
      <c r="K967" s="5"/>
      <c r="L967" s="39"/>
      <c r="M967" s="1425"/>
      <c r="N967" s="1426"/>
      <c r="O967" s="1426"/>
      <c r="P967" s="1426"/>
      <c r="Q967" s="1426"/>
      <c r="R967" s="1426"/>
      <c r="S967" s="1427"/>
      <c r="T967" s="88" t="s">
        <v>1722</v>
      </c>
      <c r="U967" s="5"/>
      <c r="V967" s="5"/>
      <c r="W967" s="5"/>
      <c r="X967" s="5"/>
      <c r="Y967" s="5"/>
      <c r="Z967" s="39"/>
      <c r="AA967" s="1425"/>
      <c r="AB967" s="1426"/>
      <c r="AC967" s="1426"/>
      <c r="AD967" s="1426"/>
      <c r="AE967" s="1426"/>
      <c r="AF967" s="1426"/>
      <c r="AG967" s="1427"/>
      <c r="AH967"/>
      <c r="AI967"/>
      <c r="AJ967"/>
      <c r="AK967"/>
      <c r="AL967"/>
      <c r="AM967"/>
      <c r="AN967"/>
      <c r="AO967"/>
      <c r="AP967"/>
      <c r="AQ967"/>
      <c r="AR967"/>
      <c r="AS967"/>
      <c r="AT967"/>
      <c r="AU967" s="2517"/>
      <c r="AV967"/>
      <c r="AW967"/>
      <c r="AX967"/>
      <c r="AY967"/>
      <c r="AZ967" s="3"/>
      <c r="BA967"/>
      <c r="BB967" s="3"/>
      <c r="BC967" s="3"/>
      <c r="BD967" s="3"/>
      <c r="BE967" s="3"/>
      <c r="BF967"/>
      <c r="BG967"/>
      <c r="BH967"/>
      <c r="BI967"/>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38" t="s">
        <v>1723</v>
      </c>
      <c r="G968" s="5"/>
      <c r="H968" s="5"/>
      <c r="I968" s="5"/>
      <c r="J968" s="5"/>
      <c r="K968" s="5"/>
      <c r="L968" s="39"/>
      <c r="M968" s="1444" t="s">
        <v>299</v>
      </c>
      <c r="N968" s="1445"/>
      <c r="O968" s="1445"/>
      <c r="P968" s="1445"/>
      <c r="Q968" s="1445"/>
      <c r="R968" s="1445"/>
      <c r="S968" s="1446"/>
      <c r="T968" s="38" t="s">
        <v>1724</v>
      </c>
      <c r="U968" s="5"/>
      <c r="V968" s="5"/>
      <c r="W968" s="5"/>
      <c r="X968" s="5"/>
      <c r="Y968" s="5"/>
      <c r="Z968" s="39"/>
      <c r="AA968" s="1425"/>
      <c r="AB968" s="1426"/>
      <c r="AC968" s="1426"/>
      <c r="AD968" s="1426"/>
      <c r="AE968" s="1426"/>
      <c r="AF968" s="1426"/>
      <c r="AG968" s="1427"/>
      <c r="AH968"/>
      <c r="AI968"/>
      <c r="AJ968"/>
      <c r="AK968"/>
      <c r="AL968"/>
      <c r="AM968"/>
      <c r="AN968"/>
      <c r="AO968"/>
      <c r="AP968"/>
      <c r="AQ968"/>
      <c r="AR968"/>
      <c r="AS968"/>
      <c r="AT968"/>
      <c r="AU968" s="2517"/>
      <c r="AV968"/>
      <c r="AW968"/>
      <c r="AX968"/>
      <c r="AY968"/>
      <c r="AZ968" s="3"/>
      <c r="BA968"/>
      <c r="BB968" s="3"/>
      <c r="BC968" s="3"/>
      <c r="BD968" s="3"/>
      <c r="BE968" s="3"/>
      <c r="BF968"/>
      <c r="BG968"/>
      <c r="BH968"/>
      <c r="BI968"/>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38" t="s">
        <v>1725</v>
      </c>
      <c r="G969" s="5"/>
      <c r="H969" s="5"/>
      <c r="I969" s="5"/>
      <c r="J969" s="5"/>
      <c r="K969" s="5"/>
      <c r="L969" s="39"/>
      <c r="M969" s="1425"/>
      <c r="N969" s="1426"/>
      <c r="O969" s="1426"/>
      <c r="P969" s="1426"/>
      <c r="Q969" s="1426"/>
      <c r="R969" s="1426"/>
      <c r="S969" s="1427"/>
      <c r="T969" s="38" t="s">
        <v>1726</v>
      </c>
      <c r="U969" s="5"/>
      <c r="V969" s="5"/>
      <c r="W969" s="5"/>
      <c r="X969" s="5"/>
      <c r="Y969" s="5"/>
      <c r="Z969" s="39"/>
      <c r="AA969" s="1425"/>
      <c r="AB969" s="1426"/>
      <c r="AC969" s="1426"/>
      <c r="AD969" s="1426"/>
      <c r="AE969" s="1426"/>
      <c r="AF969" s="1426"/>
      <c r="AG969" s="1427"/>
      <c r="AH969"/>
      <c r="AI969"/>
      <c r="AJ969"/>
      <c r="AK969"/>
      <c r="AL969"/>
      <c r="AM969"/>
      <c r="AN969"/>
      <c r="AO969"/>
      <c r="AP969"/>
      <c r="AQ969"/>
      <c r="AR969"/>
      <c r="AS969"/>
      <c r="AT969"/>
      <c r="AU969" s="2517"/>
      <c r="AV969"/>
      <c r="AW969"/>
      <c r="AX969"/>
      <c r="AY969"/>
      <c r="AZ969" s="3"/>
      <c r="BA969"/>
      <c r="BB969" s="3"/>
      <c r="BC969" s="3"/>
      <c r="BD969" s="3"/>
      <c r="BE969" s="3"/>
      <c r="BF969"/>
      <c r="BG969"/>
      <c r="BH969"/>
      <c r="BI969"/>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38" t="s">
        <v>1727</v>
      </c>
      <c r="G970" s="5"/>
      <c r="H970" s="5"/>
      <c r="I970" s="5"/>
      <c r="J970" s="5"/>
      <c r="K970" s="5"/>
      <c r="L970" s="39"/>
      <c r="M970" s="1425"/>
      <c r="N970" s="1426"/>
      <c r="O970" s="1426"/>
      <c r="P970" s="1426"/>
      <c r="Q970" s="1426"/>
      <c r="R970" s="1426"/>
      <c r="S970" s="1427"/>
      <c r="T970" s="38" t="s">
        <v>1728</v>
      </c>
      <c r="U970" s="5"/>
      <c r="V970" s="5"/>
      <c r="W970" s="5"/>
      <c r="X970" s="5"/>
      <c r="Y970" s="5"/>
      <c r="Z970" s="39"/>
      <c r="AA970" s="1425"/>
      <c r="AB970" s="1426"/>
      <c r="AC970" s="1426"/>
      <c r="AD970" s="1426"/>
      <c r="AE970" s="1426"/>
      <c r="AF970" s="1426"/>
      <c r="AG970" s="1427"/>
      <c r="AH970"/>
      <c r="AI970"/>
      <c r="AJ970"/>
      <c r="AK970"/>
      <c r="AL970"/>
      <c r="AM970"/>
      <c r="AN970"/>
      <c r="AO970"/>
      <c r="AP970"/>
      <c r="AQ970"/>
      <c r="AR970"/>
      <c r="AS970"/>
      <c r="AT970"/>
      <c r="AU970" s="2517"/>
      <c r="AV970"/>
      <c r="AW970"/>
      <c r="AX970"/>
      <c r="AY970"/>
      <c r="AZ970" s="3"/>
      <c r="BA970"/>
      <c r="BB970" s="3"/>
      <c r="BC970" s="3"/>
      <c r="BD970" s="3"/>
      <c r="BE970" s="3"/>
      <c r="BF970"/>
      <c r="BG970"/>
      <c r="BH970"/>
      <c r="BI970"/>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518" t="s">
        <v>1711</v>
      </c>
      <c r="G971" s="35"/>
      <c r="H971" s="35"/>
      <c r="I971" s="35"/>
      <c r="J971" s="35"/>
      <c r="K971" s="35"/>
      <c r="L971" s="51"/>
      <c r="M971" s="1431" t="s">
        <v>294</v>
      </c>
      <c r="N971" s="1432"/>
      <c r="O971" s="1432"/>
      <c r="P971" s="1432"/>
      <c r="Q971" s="1432"/>
      <c r="R971" s="1432"/>
      <c r="S971" s="1433"/>
      <c r="T971" s="1434"/>
      <c r="U971" s="1435"/>
      <c r="V971" s="1435"/>
      <c r="W971" s="1435"/>
      <c r="X971" s="1435"/>
      <c r="Y971" s="1435"/>
      <c r="Z971" s="1436"/>
      <c r="AA971" s="1425"/>
      <c r="AB971" s="1426"/>
      <c r="AC971" s="1426"/>
      <c r="AD971" s="1426"/>
      <c r="AE971" s="1426"/>
      <c r="AF971" s="1426"/>
      <c r="AG971" s="1427"/>
      <c r="AH971"/>
      <c r="AI971"/>
      <c r="AJ971"/>
      <c r="AK971"/>
      <c r="AL971"/>
      <c r="AM971"/>
      <c r="AN971"/>
      <c r="AO971"/>
      <c r="AP971"/>
      <c r="AQ971"/>
      <c r="AR971"/>
      <c r="AS971"/>
      <c r="AT971"/>
      <c r="AU971" s="2517"/>
      <c r="AV971"/>
      <c r="AW971"/>
      <c r="AX971"/>
      <c r="AY971"/>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34" t="s">
        <v>1729</v>
      </c>
      <c r="G972" s="35"/>
      <c r="H972" s="35"/>
      <c r="I972" s="35"/>
      <c r="J972" s="35"/>
      <c r="K972" s="35"/>
      <c r="L972" s="51"/>
      <c r="M972" s="1425"/>
      <c r="N972" s="1426"/>
      <c r="O972" s="1426"/>
      <c r="P972" s="1426"/>
      <c r="Q972" s="1426"/>
      <c r="R972" s="1426"/>
      <c r="S972" s="1427"/>
      <c r="T972" s="1434"/>
      <c r="U972" s="1435"/>
      <c r="V972" s="1435"/>
      <c r="W972" s="1435"/>
      <c r="X972" s="1435"/>
      <c r="Y972" s="1435"/>
      <c r="Z972" s="1436"/>
      <c r="AA972" s="1425"/>
      <c r="AB972" s="1426"/>
      <c r="AC972" s="1426"/>
      <c r="AD972" s="1426"/>
      <c r="AE972" s="1426"/>
      <c r="AF972" s="1426"/>
      <c r="AG972" s="1427"/>
      <c r="AH972"/>
      <c r="AI972"/>
      <c r="AJ972"/>
      <c r="AK972"/>
      <c r="AL972"/>
      <c r="AM972"/>
      <c r="AN972"/>
      <c r="AO972"/>
      <c r="AP972"/>
      <c r="AQ972"/>
      <c r="AR972"/>
      <c r="AS972"/>
      <c r="AT972"/>
      <c r="AU972" s="2517"/>
      <c r="AV972"/>
      <c r="AW972"/>
      <c r="AX972"/>
      <c r="AY972"/>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34" t="s">
        <v>1730</v>
      </c>
      <c r="G973" s="35"/>
      <c r="H973" s="35"/>
      <c r="I973" s="35"/>
      <c r="J973" s="35"/>
      <c r="K973" s="35"/>
      <c r="L973" s="35"/>
      <c r="M973" s="35"/>
      <c r="N973" s="35"/>
      <c r="O973" s="1303" t="s">
        <v>894</v>
      </c>
      <c r="P973" s="1304"/>
      <c r="Q973" s="68"/>
      <c r="R973" s="68"/>
      <c r="S973" s="69"/>
      <c r="T973" s="34" t="s">
        <v>232</v>
      </c>
      <c r="U973" s="35"/>
      <c r="V973" s="35"/>
      <c r="W973" s="1503" t="s">
        <v>1401</v>
      </c>
      <c r="X973" s="1504"/>
      <c r="Y973" s="1504"/>
      <c r="Z973" s="1504"/>
      <c r="AA973" s="1504"/>
      <c r="AB973" s="1504"/>
      <c r="AC973" s="1504"/>
      <c r="AD973" s="1504"/>
      <c r="AE973" s="1504"/>
      <c r="AF973" s="1504"/>
      <c r="AG973" s="1505"/>
      <c r="AU973" s="2517"/>
      <c r="AV973" s="71"/>
      <c r="AW973" s="71"/>
      <c r="AX973" s="71"/>
      <c r="AY973" s="71"/>
      <c r="AZ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row>
    <row r="974" spans="1:159" ht="12.95" customHeight="1">
      <c r="F974" s="1443" t="s">
        <v>1731</v>
      </c>
      <c r="G974" s="1290"/>
      <c r="H974" s="1290"/>
      <c r="I974" s="1290"/>
      <c r="J974" s="1290"/>
      <c r="K974" s="1290"/>
      <c r="L974" s="1290"/>
      <c r="M974" s="1425"/>
      <c r="N974" s="1426"/>
      <c r="O974" s="1426"/>
      <c r="P974" s="1426"/>
      <c r="Q974" s="1426"/>
      <c r="R974" s="1426"/>
      <c r="S974" s="1427"/>
      <c r="T974" s="40"/>
      <c r="U974" s="41"/>
      <c r="V974" s="41"/>
      <c r="W974" s="41"/>
      <c r="X974" s="41"/>
      <c r="Y974" s="41"/>
      <c r="Z974" s="91" t="s">
        <v>1732</v>
      </c>
      <c r="AA974" s="1457"/>
      <c r="AB974" s="2519"/>
      <c r="AC974" s="2519"/>
      <c r="AD974" s="2519"/>
      <c r="AE974" s="2519"/>
      <c r="AF974" s="2519"/>
      <c r="AG974" s="2520"/>
      <c r="AU974" s="2517"/>
      <c r="AV974" s="71"/>
      <c r="AW974" s="71"/>
      <c r="AX974" s="71"/>
      <c r="AY974" s="71"/>
      <c r="AZ974" s="14"/>
      <c r="BA974" s="14"/>
      <c r="BB974" s="3"/>
      <c r="BC974" s="3"/>
      <c r="BD974" s="3"/>
      <c r="BE974" s="3"/>
      <c r="BF974" s="3"/>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2493"/>
      <c r="CC974" s="2493"/>
      <c r="CD974" s="2493"/>
      <c r="CE974" s="2493"/>
      <c r="CF974" s="2493"/>
      <c r="CG974" s="2493"/>
      <c r="CH974" s="2493"/>
      <c r="CI974" s="2493"/>
      <c r="CJ974" s="2493"/>
      <c r="CK974" s="2493"/>
      <c r="CL974" s="2493"/>
      <c r="CM974" s="2493"/>
      <c r="CN974" s="2493"/>
      <c r="CO974" s="2493"/>
      <c r="CP974" s="2493"/>
      <c r="CQ974" s="2493"/>
      <c r="CR974" s="2493"/>
      <c r="CS974" s="2493"/>
      <c r="CT974" s="2493"/>
      <c r="CU974" s="2493"/>
      <c r="CV974" s="2493"/>
      <c r="CW974" s="2493"/>
      <c r="CX974" s="2493"/>
      <c r="CY974" s="2493"/>
      <c r="CZ974" s="2493"/>
      <c r="DA974" s="2493"/>
      <c r="DB974" s="2493"/>
      <c r="DC974" s="2493"/>
      <c r="DD974" s="2493"/>
      <c r="DE974" s="2493"/>
      <c r="DF974" s="2493"/>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2517"/>
      <c r="AV975" s="2517"/>
      <c r="AW975" s="2517"/>
      <c r="AX975" s="2517"/>
      <c r="AY975" s="2517"/>
      <c r="AZ975" s="14"/>
      <c r="BA975" s="14"/>
      <c r="BB975" s="14"/>
      <c r="BC975" s="14"/>
      <c r="BD975" s="14"/>
      <c r="BE975" s="14"/>
      <c r="BF975" s="14"/>
      <c r="BG975" s="1411"/>
      <c r="BH975" s="1411"/>
      <c r="BI975" s="1411"/>
      <c r="BJ975" s="1411"/>
      <c r="BK975" s="1411"/>
      <c r="BL975" s="1411"/>
      <c r="BM975" s="14"/>
      <c r="BN975" s="14"/>
      <c r="BO975" s="14"/>
      <c r="BP975" s="14"/>
      <c r="BQ975" s="14"/>
      <c r="BR975" s="14"/>
      <c r="BS975" s="14"/>
      <c r="BT975" s="14"/>
      <c r="BU975" s="14"/>
      <c r="BV975" s="14"/>
      <c r="BW975" s="14"/>
      <c r="BX975" s="14"/>
      <c r="BY975" s="14"/>
      <c r="BZ975" s="14"/>
      <c r="CA975" s="14"/>
      <c r="CB975" s="2493"/>
      <c r="CC975" s="2493"/>
      <c r="CD975" s="2493"/>
      <c r="CE975" s="2493"/>
      <c r="CF975" s="2493"/>
      <c r="CG975" s="2493"/>
      <c r="CH975" s="2493"/>
      <c r="CI975" s="2493"/>
      <c r="CJ975" s="2493"/>
      <c r="CK975" s="2493"/>
      <c r="CL975" s="2493"/>
      <c r="CM975" s="2493"/>
      <c r="CN975" s="2493"/>
      <c r="CO975" s="2493"/>
      <c r="CP975" s="2493"/>
      <c r="CQ975" s="2493"/>
      <c r="CR975" s="2493"/>
      <c r="CS975" s="2493"/>
      <c r="CT975" s="2493"/>
      <c r="CU975" s="2493"/>
      <c r="CV975" s="2493"/>
      <c r="CW975" s="2493"/>
      <c r="CX975" s="2493"/>
      <c r="CY975" s="2493"/>
      <c r="CZ975" s="2493"/>
      <c r="DA975" s="2493"/>
      <c r="DB975" s="2493"/>
      <c r="DC975" s="2493"/>
      <c r="DD975" s="2493"/>
      <c r="DE975" s="2493"/>
      <c r="DF975" s="2493"/>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2517"/>
      <c r="AV976" s="2517"/>
      <c r="AW976" s="2517"/>
      <c r="AX976" s="2517"/>
      <c r="AY976" s="2517"/>
      <c r="AZ976" s="14"/>
      <c r="BA976" s="14"/>
      <c r="BB976" s="834"/>
      <c r="BC976" s="834"/>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2493"/>
      <c r="CC976" s="2493"/>
      <c r="CD976" s="2493"/>
      <c r="CE976" s="2493"/>
      <c r="CF976" s="2493"/>
      <c r="CG976" s="2493"/>
      <c r="CH976" s="2493"/>
      <c r="CI976" s="2493"/>
      <c r="CJ976" s="2493"/>
      <c r="CK976" s="2493"/>
      <c r="CL976" s="2493"/>
      <c r="CM976" s="2493"/>
      <c r="CN976" s="2493"/>
      <c r="CO976" s="2493"/>
      <c r="CP976" s="2493"/>
      <c r="CQ976" s="2493"/>
      <c r="CR976" s="2493"/>
      <c r="CS976" s="2493"/>
      <c r="CT976" s="2493"/>
      <c r="CU976" s="2493"/>
      <c r="CV976" s="2493"/>
      <c r="CW976" s="2493"/>
      <c r="CX976" s="2493"/>
      <c r="CY976" s="2493"/>
      <c r="CZ976" s="2493"/>
      <c r="DA976" s="2493"/>
      <c r="DB976" s="2493"/>
      <c r="DC976" s="2493"/>
      <c r="DD976" s="2493"/>
      <c r="DE976" s="2493"/>
      <c r="DF976" s="2493"/>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2517"/>
      <c r="AV977" s="2517"/>
      <c r="AW977" s="2517"/>
      <c r="AX977" s="2517"/>
      <c r="AY977" s="2517"/>
      <c r="AZ977" s="14"/>
      <c r="BA977" s="14"/>
      <c r="BB977" s="834"/>
      <c r="BC977" s="834"/>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2493"/>
      <c r="CC977" s="2493"/>
      <c r="CD977" s="2493"/>
      <c r="CE977" s="2493"/>
      <c r="CF977" s="2493"/>
      <c r="CG977" s="2493"/>
      <c r="CH977" s="2493"/>
      <c r="CI977" s="2493"/>
      <c r="CJ977" s="2493"/>
      <c r="CK977" s="2493"/>
      <c r="CL977" s="2493"/>
      <c r="CM977" s="2493"/>
      <c r="CN977" s="2493"/>
      <c r="CO977" s="2493"/>
      <c r="CP977" s="2493"/>
      <c r="CQ977" s="2493"/>
      <c r="CR977" s="2493"/>
      <c r="CS977" s="2493"/>
      <c r="CT977" s="2493"/>
      <c r="CU977" s="2493"/>
      <c r="CV977" s="2493"/>
      <c r="CW977" s="2493"/>
      <c r="CX977" s="2493"/>
      <c r="CY977" s="2493"/>
      <c r="CZ977" s="2493"/>
      <c r="DA977" s="2493"/>
      <c r="DB977" s="2493"/>
      <c r="DC977" s="2493"/>
      <c r="DD977" s="2493"/>
      <c r="DE977" s="2493"/>
      <c r="DF977" s="2493"/>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37" t="s">
        <v>1733</v>
      </c>
      <c r="B978" s="1437"/>
      <c r="C978" s="1437"/>
      <c r="D978" s="1437"/>
      <c r="E978" s="1437"/>
      <c r="F978" s="1437"/>
      <c r="G978" s="1437"/>
      <c r="H978" s="1437"/>
      <c r="I978" s="1437"/>
      <c r="J978" s="1437"/>
      <c r="K978" s="1437"/>
      <c r="L978" s="1437"/>
      <c r="M978" s="1437"/>
      <c r="N978" s="1437"/>
      <c r="O978" s="1437"/>
      <c r="P978" s="1437"/>
      <c r="Q978" s="1437"/>
      <c r="R978" s="1437"/>
      <c r="S978" s="1437"/>
      <c r="T978" s="1437"/>
      <c r="U978" s="1437"/>
      <c r="V978" s="1437"/>
      <c r="W978" s="1437"/>
      <c r="X978" s="1437"/>
      <c r="Y978" s="1437"/>
      <c r="Z978" s="1437"/>
      <c r="AA978" s="1437"/>
      <c r="AB978" s="1437"/>
      <c r="AC978" s="1437"/>
      <c r="AD978" s="1437"/>
      <c r="AE978" s="1437"/>
      <c r="AF978" s="1437"/>
      <c r="AG978" s="1437"/>
      <c r="AH978" s="1437"/>
      <c r="AI978" s="1437"/>
      <c r="AJ978" s="1437"/>
      <c r="AK978" s="1437"/>
      <c r="AL978" s="1437"/>
      <c r="AM978" s="1437"/>
      <c r="AN978" s="1437"/>
      <c r="AO978" s="1437"/>
      <c r="AP978" s="1437"/>
      <c r="AQ978" s="1437"/>
      <c r="AR978" s="1437"/>
      <c r="AS978" s="1437"/>
      <c r="AT978" s="1437"/>
      <c r="AU978" s="2517"/>
      <c r="AV978" s="2517"/>
      <c r="AW978" s="2517"/>
      <c r="AX978" s="2517"/>
      <c r="AY978" s="2517"/>
      <c r="AZ978" s="14"/>
      <c r="BA978" s="14"/>
      <c r="BB978" s="834"/>
      <c r="BC978" s="834"/>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2493"/>
      <c r="CC978" s="2493"/>
      <c r="CD978" s="2493"/>
      <c r="CE978" s="2493"/>
      <c r="CF978" s="2493"/>
      <c r="CG978" s="2493"/>
      <c r="CH978" s="2493"/>
      <c r="CI978" s="2493"/>
      <c r="CJ978" s="2493"/>
      <c r="CK978" s="2493"/>
      <c r="CL978" s="2493"/>
      <c r="CM978" s="2493"/>
      <c r="CN978" s="2493"/>
      <c r="CO978" s="2493"/>
      <c r="CP978" s="2493"/>
      <c r="CQ978" s="2493"/>
      <c r="CR978" s="2493"/>
      <c r="CS978" s="2493"/>
      <c r="CT978" s="2493"/>
      <c r="CU978" s="2493"/>
      <c r="CV978" s="2493"/>
      <c r="CW978" s="2493"/>
      <c r="CX978" s="2493"/>
      <c r="CY978" s="2493"/>
      <c r="CZ978" s="2493"/>
      <c r="DA978" s="2493"/>
      <c r="DB978" s="2493"/>
      <c r="DC978" s="2493"/>
      <c r="DD978" s="2493"/>
      <c r="DE978" s="2493"/>
      <c r="DF978" s="2493"/>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37"/>
      <c r="B979" s="1437"/>
      <c r="C979" s="1437"/>
      <c r="D979" s="1437"/>
      <c r="E979" s="1437"/>
      <c r="F979" s="1437"/>
      <c r="G979" s="1437"/>
      <c r="H979" s="1437"/>
      <c r="I979" s="1437"/>
      <c r="J979" s="1437"/>
      <c r="K979" s="1437"/>
      <c r="L979" s="1437"/>
      <c r="M979" s="1437"/>
      <c r="N979" s="1437"/>
      <c r="O979" s="1437"/>
      <c r="P979" s="1437"/>
      <c r="Q979" s="1437"/>
      <c r="R979" s="1437"/>
      <c r="S979" s="1437"/>
      <c r="T979" s="1437"/>
      <c r="U979" s="1437"/>
      <c r="V979" s="1437"/>
      <c r="W979" s="1437"/>
      <c r="X979" s="1437"/>
      <c r="Y979" s="1437"/>
      <c r="Z979" s="1437"/>
      <c r="AA979" s="1437"/>
      <c r="AB979" s="1437"/>
      <c r="AC979" s="1437"/>
      <c r="AD979" s="1437"/>
      <c r="AE979" s="1437"/>
      <c r="AF979" s="1437"/>
      <c r="AG979" s="1437"/>
      <c r="AH979" s="1437"/>
      <c r="AI979" s="1437"/>
      <c r="AJ979" s="1437"/>
      <c r="AK979" s="1437"/>
      <c r="AL979" s="1437"/>
      <c r="AM979" s="1437"/>
      <c r="AN979" s="1437"/>
      <c r="AO979" s="1437"/>
      <c r="AP979" s="1437"/>
      <c r="AQ979" s="1437"/>
      <c r="AR979" s="1437"/>
      <c r="AS979" s="1437"/>
      <c r="AT979" s="1437"/>
      <c r="AU979" s="2517"/>
      <c r="AV979" s="2517"/>
      <c r="AW979" s="2517"/>
      <c r="AX979" s="2517"/>
      <c r="AY979" s="2517"/>
      <c r="AZ979" s="26"/>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2493"/>
      <c r="CC979" s="2493"/>
      <c r="CD979" s="2493"/>
      <c r="CE979" s="2493"/>
      <c r="CF979" s="2493"/>
      <c r="CG979" s="2493"/>
      <c r="CH979" s="2493"/>
      <c r="CI979" s="2493"/>
      <c r="CJ979" s="2493"/>
      <c r="CK979" s="2493"/>
      <c r="CL979" s="2493"/>
      <c r="CM979" s="2493"/>
      <c r="CN979" s="2493"/>
      <c r="CO979" s="2493"/>
      <c r="CP979" s="2493"/>
      <c r="CQ979" s="2493"/>
      <c r="CR979" s="2493"/>
      <c r="CS979" s="2493"/>
      <c r="CT979" s="2493"/>
      <c r="CU979" s="2493"/>
      <c r="CV979" s="2493"/>
      <c r="CW979" s="2493"/>
      <c r="CX979" s="2493"/>
      <c r="CY979" s="2493"/>
      <c r="CZ979" s="2493"/>
      <c r="DA979" s="2493"/>
      <c r="DB979" s="2493"/>
      <c r="DC979" s="2493"/>
      <c r="DD979" s="2493"/>
      <c r="DE979" s="2493"/>
      <c r="DF979" s="2493"/>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37"/>
      <c r="B980" s="1437"/>
      <c r="C980" s="1437"/>
      <c r="D980" s="1437"/>
      <c r="E980" s="1437"/>
      <c r="F980" s="1437"/>
      <c r="G980" s="1437"/>
      <c r="H980" s="1437"/>
      <c r="I980" s="1437"/>
      <c r="J980" s="1437"/>
      <c r="K980" s="1437"/>
      <c r="L980" s="1437"/>
      <c r="M980" s="1437"/>
      <c r="N980" s="1437"/>
      <c r="O980" s="1437"/>
      <c r="P980" s="1437"/>
      <c r="Q980" s="1437"/>
      <c r="R980" s="1437"/>
      <c r="S980" s="1437"/>
      <c r="T980" s="1437"/>
      <c r="U980" s="1437"/>
      <c r="V980" s="1437"/>
      <c r="W980" s="1437"/>
      <c r="X980" s="1437"/>
      <c r="Y980" s="1437"/>
      <c r="Z980" s="1437"/>
      <c r="AA980" s="1437"/>
      <c r="AB980" s="1437"/>
      <c r="AC980" s="1437"/>
      <c r="AD980" s="1437"/>
      <c r="AE980" s="1437"/>
      <c r="AF980" s="1437"/>
      <c r="AG980" s="1437"/>
      <c r="AH980" s="1437"/>
      <c r="AI980" s="1437"/>
      <c r="AJ980" s="1437"/>
      <c r="AK980" s="1437"/>
      <c r="AL980" s="1437"/>
      <c r="AM980" s="1437"/>
      <c r="AN980" s="1437"/>
      <c r="AO980" s="1437"/>
      <c r="AP980" s="1437"/>
      <c r="AQ980" s="1437"/>
      <c r="AR980" s="1437"/>
      <c r="AS980" s="1437"/>
      <c r="AT980" s="1437"/>
      <c r="AU980" s="2517"/>
      <c r="AV980" s="2517"/>
      <c r="AW980" s="2517"/>
      <c r="AX980" s="2517"/>
      <c r="AY980" s="2517"/>
      <c r="AZ980" s="26"/>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2493"/>
      <c r="CC980" s="2493"/>
      <c r="CD980" s="2493"/>
      <c r="CE980" s="2493"/>
      <c r="CF980" s="2493"/>
      <c r="CG980" s="2493"/>
      <c r="CH980" s="2493"/>
      <c r="CI980" s="2493"/>
      <c r="CJ980" s="2493"/>
      <c r="CK980" s="2493"/>
      <c r="CL980" s="2493"/>
      <c r="CM980" s="2493"/>
      <c r="CN980" s="2493"/>
      <c r="CO980" s="2493"/>
      <c r="CP980" s="2493"/>
      <c r="CQ980" s="2493"/>
      <c r="CR980" s="2493"/>
      <c r="CS980" s="2493"/>
      <c r="CT980" s="2493"/>
      <c r="CU980" s="2493"/>
      <c r="CV980" s="2493"/>
      <c r="CW980" s="2493"/>
      <c r="CX980" s="2493"/>
      <c r="CY980" s="2493"/>
      <c r="CZ980" s="2493"/>
      <c r="DA980" s="2493"/>
      <c r="DB980" s="2493"/>
      <c r="DC980" s="2493"/>
      <c r="DD980" s="2493"/>
      <c r="DE980" s="2493"/>
      <c r="DF980" s="2493"/>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2517"/>
      <c r="AM981" s="2517"/>
      <c r="AN981" s="2517"/>
      <c r="AO981" s="2517"/>
      <c r="AP981" s="2517"/>
      <c r="AQ981" s="2517"/>
      <c r="AR981" s="2517"/>
      <c r="AS981" s="2517"/>
      <c r="AT981" s="2517"/>
      <c r="AU981" s="2517"/>
      <c r="AV981" s="2517"/>
      <c r="AW981" s="2517"/>
      <c r="AX981" s="2517"/>
      <c r="AY981" s="2517"/>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2493"/>
      <c r="CC981" s="2493"/>
      <c r="CD981" s="2493"/>
      <c r="CE981" s="2493"/>
      <c r="CF981" s="2493"/>
      <c r="CG981" s="2493"/>
      <c r="CH981" s="2493"/>
      <c r="CI981" s="2493"/>
      <c r="CJ981" s="2493"/>
      <c r="CK981" s="2493"/>
      <c r="CL981" s="2493"/>
      <c r="CM981" s="2493"/>
      <c r="CN981" s="2493"/>
      <c r="CO981" s="2493"/>
      <c r="CP981" s="2493"/>
      <c r="CQ981" s="2493"/>
      <c r="CR981" s="2493"/>
      <c r="CS981" s="2493"/>
      <c r="CT981" s="2493"/>
      <c r="CU981" s="2493"/>
      <c r="CV981" s="2493"/>
      <c r="CW981" s="2493"/>
      <c r="CX981" s="2493"/>
      <c r="CY981" s="2493"/>
      <c r="CZ981" s="2493"/>
      <c r="DA981" s="2493"/>
      <c r="DB981" s="2493"/>
      <c r="DC981" s="2493"/>
      <c r="DD981" s="2493"/>
      <c r="DE981" s="2493"/>
      <c r="DF981" s="2493"/>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921</v>
      </c>
      <c r="C982" s="2" t="s">
        <v>252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2517"/>
      <c r="AM982" s="2517"/>
      <c r="AN982" s="2517"/>
      <c r="AO982" s="2517"/>
      <c r="AP982" s="2517"/>
      <c r="AQ982" s="2517"/>
      <c r="AR982" s="2517"/>
      <c r="AS982" s="2517"/>
      <c r="AT982" s="2517"/>
      <c r="AU982" s="2517"/>
      <c r="AV982" s="2517"/>
      <c r="AW982" s="2517"/>
      <c r="AX982" s="2517"/>
      <c r="AY982" s="2517"/>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2493"/>
      <c r="CC982" s="2493"/>
      <c r="CD982" s="2493"/>
      <c r="CE982" s="2493"/>
      <c r="CF982" s="2493"/>
      <c r="CG982" s="2493"/>
      <c r="CH982" s="2493"/>
      <c r="CI982" s="2493"/>
      <c r="CJ982" s="2493"/>
      <c r="CK982" s="2493"/>
      <c r="CL982" s="2493"/>
      <c r="CM982" s="2493"/>
      <c r="CN982" s="2493"/>
      <c r="CO982" s="2493"/>
      <c r="CP982" s="2493"/>
      <c r="CQ982" s="2493"/>
      <c r="CR982" s="2493"/>
      <c r="CS982" s="2493"/>
      <c r="CT982" s="2493"/>
      <c r="CU982" s="2493"/>
      <c r="CV982" s="2493"/>
      <c r="CW982" s="2493"/>
      <c r="CX982" s="2493"/>
      <c r="CY982" s="2493"/>
      <c r="CZ982" s="2493"/>
      <c r="DA982" s="2493"/>
      <c r="DB982" s="2493"/>
      <c r="DC982" s="2493"/>
      <c r="DD982" s="2493"/>
      <c r="DE982" s="2493"/>
      <c r="DF982" s="2493"/>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2517"/>
      <c r="AM983" s="2517"/>
      <c r="AN983" s="2517"/>
      <c r="AO983" s="2517"/>
      <c r="AP983" s="2517"/>
      <c r="AQ983" s="2517"/>
      <c r="AR983" s="2517"/>
      <c r="AS983" s="2517"/>
      <c r="AT983" s="2517"/>
      <c r="AU983" s="2517"/>
      <c r="AV983" s="2517"/>
      <c r="AW983" s="2517"/>
      <c r="AX983" s="2517"/>
      <c r="AY983" s="2517"/>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2493"/>
      <c r="CC983" s="2493"/>
      <c r="CD983" s="2493"/>
      <c r="CE983" s="2493"/>
      <c r="CF983" s="2493"/>
      <c r="CG983" s="2493"/>
      <c r="CH983" s="2493"/>
      <c r="CI983" s="2493"/>
      <c r="CJ983" s="2493"/>
      <c r="CK983" s="2493"/>
      <c r="CL983" s="2493"/>
      <c r="CM983" s="2493"/>
      <c r="CN983" s="2493"/>
      <c r="CO983" s="2493"/>
      <c r="CP983" s="2493"/>
      <c r="CQ983" s="2493"/>
      <c r="CR983" s="2493"/>
      <c r="CS983" s="2493"/>
      <c r="CT983" s="2493"/>
      <c r="CU983" s="2493"/>
      <c r="CV983" s="2493"/>
      <c r="CW983" s="2493"/>
      <c r="CX983" s="2493"/>
      <c r="CY983" s="2493"/>
      <c r="CZ983" s="2493"/>
      <c r="DA983" s="2493"/>
      <c r="DB983" s="2493"/>
      <c r="DC983" s="2493"/>
      <c r="DD983" s="2493"/>
      <c r="DE983" s="2493"/>
      <c r="DF983" s="2493"/>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2493"/>
      <c r="B984" s="62"/>
      <c r="C984" s="2521"/>
      <c r="D984" s="2522" t="s">
        <v>1734</v>
      </c>
      <c r="E984" s="2523"/>
      <c r="F984" s="2523"/>
      <c r="G984" s="2523"/>
      <c r="H984" s="2523"/>
      <c r="I984" s="2523"/>
      <c r="J984" s="2523"/>
      <c r="K984" s="2523"/>
      <c r="L984" s="2523"/>
      <c r="M984" s="2523"/>
      <c r="N984" s="2523"/>
      <c r="O984" s="2523"/>
      <c r="P984" s="2523"/>
      <c r="Q984" s="2524"/>
      <c r="R984" s="2522" t="s">
        <v>1735</v>
      </c>
      <c r="S984" s="2523"/>
      <c r="T984" s="2523"/>
      <c r="U984" s="2523"/>
      <c r="V984" s="2523"/>
      <c r="W984" s="2523"/>
      <c r="X984" s="2523"/>
      <c r="Y984" s="2523"/>
      <c r="Z984" s="2523"/>
      <c r="AA984" s="2524"/>
      <c r="AB984" s="2522" t="s">
        <v>1736</v>
      </c>
      <c r="AC984" s="2523"/>
      <c r="AD984" s="2523"/>
      <c r="AE984" s="2523"/>
      <c r="AF984" s="2523"/>
      <c r="AG984" s="2523"/>
      <c r="AH984" s="2523"/>
      <c r="AI984" s="2524"/>
      <c r="AJ984" s="2522" t="s">
        <v>1737</v>
      </c>
      <c r="AK984" s="2523"/>
      <c r="AL984" s="2523"/>
      <c r="AM984" s="2523"/>
      <c r="AN984" s="2523"/>
      <c r="AO984" s="2523"/>
      <c r="AP984" s="2523"/>
      <c r="AQ984" s="2524"/>
      <c r="AR984" s="2517"/>
      <c r="AS984" s="2517"/>
      <c r="AT984" s="2517"/>
      <c r="AU984" s="2517"/>
      <c r="AV984" s="2517"/>
      <c r="AW984" s="2517"/>
      <c r="AX984" s="2517"/>
      <c r="AY984" s="2517"/>
      <c r="AZ984" s="26"/>
      <c r="BB984" s="14"/>
      <c r="BC984" s="14"/>
      <c r="BD984" s="14"/>
      <c r="BE984" s="14"/>
      <c r="BF984" s="14"/>
      <c r="BG984" s="14"/>
      <c r="BH984" s="14"/>
      <c r="BI984" s="14"/>
      <c r="BJ984" s="14"/>
      <c r="BK984" s="14"/>
      <c r="BL984" s="14"/>
      <c r="BM984" s="14"/>
      <c r="BN984" s="14"/>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row>
    <row r="985" spans="1:159" ht="12.95" customHeight="1">
      <c r="A985" s="14"/>
      <c r="B985" s="59"/>
      <c r="C985" s="849"/>
      <c r="D985" s="1326" t="s">
        <v>1503</v>
      </c>
      <c r="E985" s="1327"/>
      <c r="F985" s="1327"/>
      <c r="G985" s="1327"/>
      <c r="H985" s="1327"/>
      <c r="I985" s="1327"/>
      <c r="J985" s="1327"/>
      <c r="K985" s="1327"/>
      <c r="L985" s="1327"/>
      <c r="M985" s="1327"/>
      <c r="N985" s="1327"/>
      <c r="O985" s="1327"/>
      <c r="P985" s="1327"/>
      <c r="Q985" s="1328"/>
      <c r="R985" s="1499">
        <f>IF(ISNA(IF($BN$796="4%",(INDEX($BP$806:$BT$863,MATCH($CB$796,$BO$806:$BO$863,0),MATCH(D985,$BP$805:$BT$805,0))),(INDEX($BW$806:$CA$863,MATCH($CB$796,$BV$806:$BV$863,0),MATCH(D985,$BW$805:$CA$805,0))))),0,IF($BN$796="4%",(INDEX($BP$806:$BT$863,MATCH($CB$796,$BO$806:$BO$863,0),MATCH(D985,$BP$805:$BT$805,0))),(INDEX($BW$806:$CA$863,MATCH($CB$796,$BV$806:$BV$863,0),MATCH(D985,$BW$805:$CA$805,0)))))</f>
        <v>353173</v>
      </c>
      <c r="S985" s="1499"/>
      <c r="T985" s="1499"/>
      <c r="U985" s="1499"/>
      <c r="V985" s="1499"/>
      <c r="W985" s="1499"/>
      <c r="X985" s="1499"/>
      <c r="Y985" s="1499"/>
      <c r="Z985" s="1499"/>
      <c r="AA985" s="1499"/>
      <c r="AB985" s="1565">
        <f>BN660</f>
        <v>0</v>
      </c>
      <c r="AC985" s="1566"/>
      <c r="AD985" s="1566"/>
      <c r="AE985" s="1566"/>
      <c r="AF985" s="1566"/>
      <c r="AG985" s="1566"/>
      <c r="AH985" s="1566"/>
      <c r="AI985" s="1567"/>
      <c r="AJ985" s="1513">
        <f>IF(ISERROR((R985*AB985)),0,(R985*AB985))</f>
        <v>0</v>
      </c>
      <c r="AK985" s="1514"/>
      <c r="AL985" s="1514"/>
      <c r="AM985" s="1514"/>
      <c r="AN985" s="1514"/>
      <c r="AO985" s="1514"/>
      <c r="AP985" s="1514"/>
      <c r="AQ985" s="1515"/>
      <c r="AR985" s="2517"/>
      <c r="AS985" s="2517"/>
      <c r="AT985" s="2517"/>
      <c r="AU985" s="2517"/>
      <c r="AV985" s="2517"/>
      <c r="AW985" s="2517"/>
      <c r="AX985" s="2517"/>
      <c r="AY985" s="2517"/>
      <c r="AZ985" s="26"/>
      <c r="BB985" s="14"/>
      <c r="BC985" s="14"/>
      <c r="BD985" s="14"/>
      <c r="BE985" s="14"/>
      <c r="BF985" s="14"/>
      <c r="BG985" s="14"/>
      <c r="BH985" s="14"/>
      <c r="BI985" s="14"/>
      <c r="BJ985" s="14"/>
      <c r="BK985" s="14"/>
      <c r="BL985" s="14"/>
      <c r="BM985" s="14"/>
      <c r="BN985" s="14"/>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59"/>
      <c r="C986" s="63"/>
      <c r="D986" s="1326" t="s">
        <v>1376</v>
      </c>
      <c r="E986" s="1327"/>
      <c r="F986" s="1327"/>
      <c r="G986" s="1327"/>
      <c r="H986" s="1327"/>
      <c r="I986" s="1327"/>
      <c r="J986" s="1327"/>
      <c r="K986" s="1327"/>
      <c r="L986" s="1327"/>
      <c r="M986" s="1327"/>
      <c r="N986" s="1327"/>
      <c r="O986" s="1327"/>
      <c r="P986" s="1327"/>
      <c r="Q986" s="1328"/>
      <c r="R986" s="1499">
        <f>IF(ISNA(IF($BN$796="4%",(INDEX($BP$806:$BT$863,MATCH($CB$796,$BO$806:$BO$863,0),MATCH(D986,$BP$805:$BT$805,0))),(INDEX($BW$806:$CA$863,MATCH($CB$796,$BV$806:$BV$863,0),MATCH(D986,$BW$805:$CA$805,0))))),0,IF($BN$796="4%",(INDEX($BP$806:$BT$863,MATCH($CB$796,$BO$806:$BO$863,0),MATCH(D986,$BP$805:$BT$805,0))),(INDEX($BW$806:$CA$863,MATCH($CB$796,$BV$806:$BV$863,0),MATCH(D986,$BW$805:$CA$805,0)))))</f>
        <v>407205</v>
      </c>
      <c r="S986" s="1499"/>
      <c r="T986" s="1499"/>
      <c r="U986" s="1499"/>
      <c r="V986" s="1499"/>
      <c r="W986" s="1499"/>
      <c r="X986" s="1499"/>
      <c r="Y986" s="1499"/>
      <c r="Z986" s="1499"/>
      <c r="AA986" s="1499"/>
      <c r="AB986" s="1565">
        <f>BS660</f>
        <v>12</v>
      </c>
      <c r="AC986" s="1566"/>
      <c r="AD986" s="1566"/>
      <c r="AE986" s="1566"/>
      <c r="AF986" s="1566"/>
      <c r="AG986" s="1566"/>
      <c r="AH986" s="1566"/>
      <c r="AI986" s="1567"/>
      <c r="AJ986" s="1513">
        <f>IF(ISERROR((R986*AB986)),0,(R986*AB986))</f>
        <v>4886460</v>
      </c>
      <c r="AK986" s="1514"/>
      <c r="AL986" s="1514"/>
      <c r="AM986" s="1514"/>
      <c r="AN986" s="1514"/>
      <c r="AO986" s="1514"/>
      <c r="AP986" s="1514"/>
      <c r="AQ986" s="1515"/>
      <c r="AR986" s="2517"/>
      <c r="AS986" s="2517"/>
      <c r="AT986" s="2517"/>
      <c r="AU986" s="2517"/>
      <c r="AV986" s="2517"/>
      <c r="AW986" s="2517"/>
      <c r="AX986" s="2517"/>
      <c r="AY986" s="2517"/>
      <c r="AZ986" s="26"/>
      <c r="BB986" s="14"/>
      <c r="BC986" s="14"/>
      <c r="BD986" s="14"/>
      <c r="BE986" s="14"/>
      <c r="BF986" s="14"/>
      <c r="BG986" s="14"/>
      <c r="BH986" s="14"/>
      <c r="BI986" s="14"/>
      <c r="BJ986" s="14"/>
      <c r="BK986" s="14"/>
      <c r="BL986" s="14"/>
      <c r="BM986" s="14"/>
      <c r="BN986" s="14"/>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59"/>
      <c r="C987" s="63"/>
      <c r="D987" s="1326" t="s">
        <v>1377</v>
      </c>
      <c r="E987" s="1327"/>
      <c r="F987" s="1327"/>
      <c r="G987" s="1327"/>
      <c r="H987" s="1327"/>
      <c r="I987" s="1327"/>
      <c r="J987" s="1327"/>
      <c r="K987" s="1327"/>
      <c r="L987" s="1327"/>
      <c r="M987" s="1327"/>
      <c r="N987" s="1327"/>
      <c r="O987" s="1327"/>
      <c r="P987" s="1327"/>
      <c r="Q987" s="1328"/>
      <c r="R987" s="1499">
        <f>IF(ISNA(IF($BN$796="4%",(INDEX($BP$806:$BT$863,MATCH($CB$796,$BO$806:$BO$863,0),MATCH(D987,$BP$805:$BT$805,0))),(INDEX($BW$806:$CA$863,MATCH($CB$796,$BV$806:$BV$863,0),MATCH(D987,$BW$805:$CA$805,0))))),0,IF($BN$796="4%",(INDEX($BP$806:$BT$863,MATCH($CB$796,$BO$806:$BO$863,0),MATCH(D987,$BP$805:$BT$805,0))),(INDEX($BW$806:$CA$863,MATCH($CB$796,$BV$806:$BV$863,0),MATCH(D987,$BW$805:$CA$805,0)))))</f>
        <v>491200</v>
      </c>
      <c r="S987" s="1499"/>
      <c r="T987" s="1499"/>
      <c r="U987" s="1499"/>
      <c r="V987" s="1499"/>
      <c r="W987" s="1499"/>
      <c r="X987" s="1499"/>
      <c r="Y987" s="1499"/>
      <c r="Z987" s="1499"/>
      <c r="AA987" s="1499"/>
      <c r="AB987" s="1565">
        <f>BX660</f>
        <v>24</v>
      </c>
      <c r="AC987" s="1566"/>
      <c r="AD987" s="1566"/>
      <c r="AE987" s="1566"/>
      <c r="AF987" s="1566"/>
      <c r="AG987" s="1566"/>
      <c r="AH987" s="1566"/>
      <c r="AI987" s="1567"/>
      <c r="AJ987" s="1513">
        <f>IF(ISERROR((R987*AB987)),0,(R987*AB987))</f>
        <v>11788800</v>
      </c>
      <c r="AK987" s="1514"/>
      <c r="AL987" s="1514"/>
      <c r="AM987" s="1514"/>
      <c r="AN987" s="1514"/>
      <c r="AO987" s="1514"/>
      <c r="AP987" s="1514"/>
      <c r="AQ987" s="1515"/>
      <c r="AR987" s="2517"/>
      <c r="AS987" s="2517"/>
      <c r="AT987" s="2517"/>
      <c r="AU987" s="2517"/>
      <c r="AV987" s="2517"/>
      <c r="AW987" s="2517"/>
      <c r="AX987" s="2517"/>
      <c r="AY987" s="2517"/>
      <c r="AZ987" s="26"/>
      <c r="BB987" s="14"/>
      <c r="BC987" s="14"/>
      <c r="BD987" s="14"/>
      <c r="BE987" s="14"/>
      <c r="BF987" s="14"/>
      <c r="BG987" s="14"/>
      <c r="BH987" s="14"/>
      <c r="BI987" s="14"/>
      <c r="BJ987" s="14"/>
      <c r="BK987" s="14"/>
      <c r="BL987" s="14"/>
      <c r="BM987" s="14"/>
      <c r="BN987" s="14"/>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59"/>
      <c r="C988" s="63"/>
      <c r="D988" s="1326" t="s">
        <v>1378</v>
      </c>
      <c r="E988" s="1327"/>
      <c r="F988" s="1327"/>
      <c r="G988" s="1327"/>
      <c r="H988" s="1327"/>
      <c r="I988" s="1327"/>
      <c r="J988" s="1327"/>
      <c r="K988" s="1327"/>
      <c r="L988" s="1327"/>
      <c r="M988" s="1327"/>
      <c r="N988" s="1327"/>
      <c r="O988" s="1327"/>
      <c r="P988" s="1327"/>
      <c r="Q988" s="1328"/>
      <c r="R988" s="1499">
        <f>IF(ISNA(IF($BN$796="4%",(INDEX($BP$806:$BT$863,MATCH($CB$796,$BO$806:$BO$863,0),MATCH(D988,$BP$805:$BT$805,0))),(INDEX($BW$806:$CA$863,MATCH($CB$796,$BV$806:$BV$863,0),MATCH(D988,$BW$805:$CA$805,0))))),0,IF($BN$796="4%",(INDEX($BP$806:$BT$863,MATCH($CB$796,$BO$806:$BO$863,0),MATCH(D988,$BP$805:$BT$805,0))),(INDEX($BW$806:$CA$863,MATCH($CB$796,$BV$806:$BV$863,0),MATCH(D988,$BW$805:$CA$805,0)))))</f>
        <v>628736</v>
      </c>
      <c r="S988" s="1499"/>
      <c r="T988" s="1499"/>
      <c r="U988" s="1499"/>
      <c r="V988" s="1499"/>
      <c r="W988" s="1499"/>
      <c r="X988" s="1499"/>
      <c r="Y988" s="1499"/>
      <c r="Z988" s="1499"/>
      <c r="AA988" s="1499"/>
      <c r="AB988" s="1565">
        <f>CC660</f>
        <v>12</v>
      </c>
      <c r="AC988" s="1566"/>
      <c r="AD988" s="1566"/>
      <c r="AE988" s="1566"/>
      <c r="AF988" s="1566"/>
      <c r="AG988" s="1566"/>
      <c r="AH988" s="1566"/>
      <c r="AI988" s="1567"/>
      <c r="AJ988" s="1513">
        <f>IF(ISERROR((R988*AB988)),0,(R988*AB988))</f>
        <v>7544832</v>
      </c>
      <c r="AK988" s="1514"/>
      <c r="AL988" s="1514"/>
      <c r="AM988" s="1514"/>
      <c r="AN988" s="1514"/>
      <c r="AO988" s="1514"/>
      <c r="AP988" s="1514"/>
      <c r="AQ988" s="1515"/>
      <c r="AR988" s="2517"/>
      <c r="AS988" s="2517"/>
      <c r="AT988" s="2517"/>
      <c r="AU988" s="2517"/>
      <c r="AV988" s="2517"/>
      <c r="AW988" s="2517"/>
      <c r="AX988" s="2517"/>
      <c r="AY988" s="2517"/>
      <c r="AZ988" s="26"/>
      <c r="BA988" s="3"/>
      <c r="BB988" s="14"/>
      <c r="BC988" s="14"/>
      <c r="BD988" s="14"/>
      <c r="BE988" s="14"/>
      <c r="BF988" s="14"/>
      <c r="BG988" s="14"/>
      <c r="BH988" s="14"/>
      <c r="BI988" s="14"/>
      <c r="BJ988" s="14"/>
      <c r="BK988" s="14"/>
      <c r="BL988" s="14"/>
      <c r="BM988" s="14"/>
      <c r="BN988" s="14"/>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0"/>
      <c r="C989" s="61"/>
      <c r="D989" s="1326" t="s">
        <v>1504</v>
      </c>
      <c r="E989" s="1327"/>
      <c r="F989" s="1327"/>
      <c r="G989" s="1327"/>
      <c r="H989" s="1327"/>
      <c r="I989" s="1327"/>
      <c r="J989" s="1327"/>
      <c r="K989" s="1327"/>
      <c r="L989" s="1327"/>
      <c r="M989" s="1327"/>
      <c r="N989" s="1327"/>
      <c r="O989" s="1327"/>
      <c r="P989" s="1327"/>
      <c r="Q989" s="1328"/>
      <c r="R989" s="1499">
        <f>IF(ISNA(IF($BN$796="4%",(INDEX($BP$806:$BT$863,MATCH($CB$796,$BO$806:$BO$863,0),MATCH(D989,$BP$805:$BT$805,0))),(INDEX($BW$806:$CA$863,MATCH($CB$796,$BV$806:$BV$863,0),MATCH(D989,$BW$805:$CA$805,0))))),0,IF($BN$796="4%",(INDEX($BP$806:$BT$863,MATCH($CB$796,$BO$806:$BO$863,0),MATCH(D989,$BP$805:$BT$805,0))),(INDEX($BW$806:$CA$863,MATCH($CB$796,$BV$806:$BV$863,0),MATCH(D989,$BW$805:$CA$805,0)))))</f>
        <v>700451</v>
      </c>
      <c r="S989" s="1499"/>
      <c r="T989" s="1499"/>
      <c r="U989" s="1499"/>
      <c r="V989" s="1499"/>
      <c r="W989" s="1499"/>
      <c r="X989" s="1499"/>
      <c r="Y989" s="1499"/>
      <c r="Z989" s="1499"/>
      <c r="AA989" s="1499"/>
      <c r="AB989" s="1565">
        <f>CM660+CH660</f>
        <v>0</v>
      </c>
      <c r="AC989" s="1566"/>
      <c r="AD989" s="1566"/>
      <c r="AE989" s="1566"/>
      <c r="AF989" s="1566"/>
      <c r="AG989" s="1566"/>
      <c r="AH989" s="1566"/>
      <c r="AI989" s="1567"/>
      <c r="AJ989" s="1513">
        <f>IF(ISERROR((R989*AB989)),0,(R989*AB989))</f>
        <v>0</v>
      </c>
      <c r="AK989" s="1514"/>
      <c r="AL989" s="1514"/>
      <c r="AM989" s="1514"/>
      <c r="AN989" s="1514"/>
      <c r="AO989" s="1514"/>
      <c r="AP989" s="1514"/>
      <c r="AQ989" s="1515"/>
      <c r="AR989" s="2517"/>
      <c r="AS989" s="2517"/>
      <c r="AT989" s="2517"/>
      <c r="AU989" s="2517"/>
      <c r="AV989" s="2517"/>
      <c r="AW989" s="2517"/>
      <c r="AX989" s="2517"/>
      <c r="AY989" s="2517"/>
      <c r="AZ989" s="26"/>
      <c r="BB989" s="14"/>
      <c r="BC989" s="14"/>
      <c r="BD989" s="14"/>
      <c r="BE989" s="14"/>
      <c r="BF989" s="14"/>
      <c r="BG989" s="14"/>
      <c r="BH989" s="14"/>
      <c r="BI989" s="14"/>
      <c r="BJ989" s="14"/>
      <c r="BK989" s="14"/>
      <c r="BL989" s="14"/>
      <c r="BM989" s="14"/>
      <c r="BN989" s="14"/>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551" t="s">
        <v>1738</v>
      </c>
      <c r="C990" s="1552"/>
      <c r="D990" s="1552"/>
      <c r="E990" s="1552"/>
      <c r="F990" s="1552"/>
      <c r="G990" s="1552"/>
      <c r="H990" s="1552"/>
      <c r="I990" s="1552"/>
      <c r="J990" s="1552"/>
      <c r="K990" s="1552"/>
      <c r="L990" s="1552"/>
      <c r="M990" s="1552"/>
      <c r="N990" s="1552"/>
      <c r="O990" s="1552"/>
      <c r="P990" s="1552"/>
      <c r="Q990" s="1552"/>
      <c r="R990" s="1552"/>
      <c r="S990" s="1552"/>
      <c r="T990" s="1552"/>
      <c r="U990" s="1552"/>
      <c r="V990" s="1552"/>
      <c r="W990" s="1552"/>
      <c r="X990" s="1552"/>
      <c r="Y990" s="1552"/>
      <c r="Z990" s="1552"/>
      <c r="AA990" s="1553"/>
      <c r="AB990" s="1565">
        <f>SUM(AB985:AI989)</f>
        <v>48</v>
      </c>
      <c r="AC990" s="1566"/>
      <c r="AD990" s="1566"/>
      <c r="AE990" s="1566"/>
      <c r="AF990" s="1566"/>
      <c r="AG990" s="1566"/>
      <c r="AH990" s="1566"/>
      <c r="AI990" s="1567"/>
      <c r="AJ990" s="1513"/>
      <c r="AK990" s="1514"/>
      <c r="AL990" s="1514"/>
      <c r="AM990" s="1514"/>
      <c r="AN990" s="1514"/>
      <c r="AO990" s="1514"/>
      <c r="AP990" s="1514"/>
      <c r="AQ990" s="1515"/>
      <c r="AR990" s="2517"/>
      <c r="AS990" s="2517"/>
      <c r="AT990" s="2517"/>
      <c r="AU990" s="2517"/>
      <c r="AV990" s="2517"/>
      <c r="AW990" s="2517"/>
      <c r="AX990" s="2517"/>
      <c r="AY990" s="2517"/>
      <c r="AZ990" s="3"/>
      <c r="BA990" s="3"/>
      <c r="BB990" s="14"/>
      <c r="BC990" s="14"/>
      <c r="BD990" s="14"/>
      <c r="BE990" s="14"/>
      <c r="BF990" s="14"/>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2525" t="s">
        <v>1739</v>
      </c>
      <c r="C991" s="2526"/>
      <c r="D991" s="2526"/>
      <c r="E991" s="2526"/>
      <c r="F991" s="2526"/>
      <c r="G991" s="2526"/>
      <c r="H991" s="2526"/>
      <c r="I991" s="2526"/>
      <c r="J991" s="2526"/>
      <c r="K991" s="2526"/>
      <c r="L991" s="2526"/>
      <c r="M991" s="2526"/>
      <c r="N991" s="2526"/>
      <c r="O991" s="2526"/>
      <c r="P991" s="2526"/>
      <c r="Q991" s="2526"/>
      <c r="R991" s="2526"/>
      <c r="S991" s="2526"/>
      <c r="T991" s="2526"/>
      <c r="U991" s="2526"/>
      <c r="V991" s="2526"/>
      <c r="W991" s="2526"/>
      <c r="X991" s="2526"/>
      <c r="Y991" s="2526"/>
      <c r="Z991" s="2526"/>
      <c r="AA991" s="2526"/>
      <c r="AB991" s="2526"/>
      <c r="AC991" s="2526"/>
      <c r="AD991" s="2526"/>
      <c r="AE991" s="2526"/>
      <c r="AF991" s="2526"/>
      <c r="AG991" s="2526"/>
      <c r="AH991" s="2526"/>
      <c r="AI991" s="2527"/>
      <c r="AJ991" s="1513">
        <f>SUM(AJ985:AQ989)</f>
        <v>24220092</v>
      </c>
      <c r="AK991" s="1514"/>
      <c r="AL991" s="1514"/>
      <c r="AM991" s="1514"/>
      <c r="AN991" s="1514"/>
      <c r="AO991" s="1514"/>
      <c r="AP991" s="1514"/>
      <c r="AQ991" s="1515"/>
      <c r="AR991" s="2517"/>
      <c r="AS991" s="2517"/>
      <c r="AT991" s="2517"/>
      <c r="AU991" s="2517"/>
      <c r="AV991" s="2517"/>
      <c r="AW991" s="2517"/>
      <c r="AX991" s="2517"/>
      <c r="AY991" s="2517"/>
      <c r="AZ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45"/>
      <c r="C992" s="1546"/>
      <c r="D992" s="1546"/>
      <c r="E992" s="1546"/>
      <c r="F992" s="1546"/>
      <c r="G992" s="1546"/>
      <c r="H992" s="1546"/>
      <c r="I992" s="1546"/>
      <c r="J992" s="1546"/>
      <c r="K992" s="1546"/>
      <c r="L992" s="1546"/>
      <c r="M992" s="1546"/>
      <c r="N992" s="1546"/>
      <c r="O992" s="1546"/>
      <c r="P992" s="1546"/>
      <c r="Q992" s="1546"/>
      <c r="R992" s="1546"/>
      <c r="S992" s="1546"/>
      <c r="T992" s="1546"/>
      <c r="U992" s="1546"/>
      <c r="V992" s="1546"/>
      <c r="W992" s="1546"/>
      <c r="X992" s="1546"/>
      <c r="Y992" s="1546"/>
      <c r="Z992" s="1546"/>
      <c r="AA992" s="1546"/>
      <c r="AB992" s="1546"/>
      <c r="AC992" s="1546"/>
      <c r="AD992" s="1546"/>
      <c r="AE992" s="1547"/>
      <c r="AF992" s="1575" t="s">
        <v>1740</v>
      </c>
      <c r="AG992" s="1576"/>
      <c r="AH992" s="1576"/>
      <c r="AI992" s="1577"/>
      <c r="AJ992" s="1545"/>
      <c r="AK992" s="1546"/>
      <c r="AL992" s="1546"/>
      <c r="AM992" s="1546"/>
      <c r="AN992" s="1546"/>
      <c r="AO992" s="1546"/>
      <c r="AP992" s="1546"/>
      <c r="AQ992" s="1547"/>
      <c r="AR992" s="2517"/>
      <c r="AS992" s="2517"/>
      <c r="AT992" s="2517"/>
      <c r="AU992" s="2517"/>
      <c r="AV992" s="2517"/>
      <c r="AW992" s="2517"/>
      <c r="AX992" s="2517"/>
      <c r="AY992" s="2517"/>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59"/>
      <c r="C993" s="2528" t="s">
        <v>1741</v>
      </c>
      <c r="D993" s="1548" t="s">
        <v>1742</v>
      </c>
      <c r="E993" s="1549"/>
      <c r="F993" s="1549"/>
      <c r="G993" s="1549"/>
      <c r="H993" s="1549"/>
      <c r="I993" s="1549"/>
      <c r="J993" s="1549"/>
      <c r="K993" s="1549"/>
      <c r="L993" s="1549"/>
      <c r="M993" s="1549"/>
      <c r="N993" s="1549"/>
      <c r="O993" s="1549"/>
      <c r="P993" s="1549"/>
      <c r="Q993" s="1549"/>
      <c r="R993" s="1549"/>
      <c r="S993" s="1549"/>
      <c r="T993" s="1549"/>
      <c r="U993" s="1549"/>
      <c r="V993" s="1549"/>
      <c r="W993" s="1549"/>
      <c r="X993" s="1549"/>
      <c r="Y993" s="1549"/>
      <c r="Z993" s="1549"/>
      <c r="AA993" s="1549"/>
      <c r="AB993" s="1549"/>
      <c r="AC993" s="1549"/>
      <c r="AD993" s="1549"/>
      <c r="AE993" s="1550"/>
      <c r="AF993" s="62"/>
      <c r="AG993" s="2529" t="s">
        <v>837</v>
      </c>
      <c r="AH993" s="2530"/>
      <c r="AI993" s="65"/>
      <c r="AJ993" s="1536">
        <f>ROUND(IF(AND(AG993="yes",D999&gt;0),AJ991*0.2,0),0)</f>
        <v>4844018</v>
      </c>
      <c r="AK993" s="1537"/>
      <c r="AL993" s="1537"/>
      <c r="AM993" s="1537"/>
      <c r="AN993" s="1537"/>
      <c r="AO993" s="1537"/>
      <c r="AP993" s="1537"/>
      <c r="AQ993" s="1538"/>
      <c r="AR993" s="2517"/>
      <c r="AS993" s="2517"/>
      <c r="AT993" s="2517"/>
      <c r="AU993" s="2517"/>
      <c r="AV993" s="2517"/>
      <c r="AW993" s="2517"/>
      <c r="AX993" s="2517"/>
      <c r="AY993" s="2517"/>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531"/>
      <c r="C994" s="2532"/>
      <c r="D994" s="1521" t="s">
        <v>1743</v>
      </c>
      <c r="E994" s="1522"/>
      <c r="F994" s="1522"/>
      <c r="G994" s="1522"/>
      <c r="H994" s="1522"/>
      <c r="I994" s="1522"/>
      <c r="J994" s="1522"/>
      <c r="K994" s="1522"/>
      <c r="L994" s="1522"/>
      <c r="M994" s="1522"/>
      <c r="N994" s="1522"/>
      <c r="O994" s="1522"/>
      <c r="P994" s="1522"/>
      <c r="Q994" s="1522"/>
      <c r="R994" s="1522"/>
      <c r="S994" s="1522"/>
      <c r="T994" s="1522"/>
      <c r="U994" s="1522"/>
      <c r="V994" s="1522"/>
      <c r="W994" s="1522"/>
      <c r="X994" s="1522"/>
      <c r="Y994" s="1522"/>
      <c r="Z994" s="1522"/>
      <c r="AA994" s="1522"/>
      <c r="AB994" s="1522"/>
      <c r="AC994" s="1522"/>
      <c r="AD994" s="1522"/>
      <c r="AE994" s="1523"/>
      <c r="AF994" s="59"/>
      <c r="AG994" s="14"/>
      <c r="AH994" s="14"/>
      <c r="AI994" s="63"/>
      <c r="AJ994" s="1539"/>
      <c r="AK994" s="1540"/>
      <c r="AL994" s="1540"/>
      <c r="AM994" s="1540"/>
      <c r="AN994" s="1540"/>
      <c r="AO994" s="1540"/>
      <c r="AP994" s="1540"/>
      <c r="AQ994" s="1541"/>
      <c r="AR994" s="2517"/>
      <c r="AS994" s="2517"/>
      <c r="AT994" s="2517"/>
      <c r="AU994" s="2517"/>
      <c r="AV994" s="2517"/>
      <c r="AW994" s="2517"/>
      <c r="AX994" s="2517"/>
      <c r="AY994" s="2517"/>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531"/>
      <c r="C995" s="2532"/>
      <c r="D995" s="1521"/>
      <c r="E995" s="1522"/>
      <c r="F995" s="1522"/>
      <c r="G995" s="1522"/>
      <c r="H995" s="1522"/>
      <c r="I995" s="1522"/>
      <c r="J995" s="1522"/>
      <c r="K995" s="1522"/>
      <c r="L995" s="1522"/>
      <c r="M995" s="1522"/>
      <c r="N995" s="1522"/>
      <c r="O995" s="1522"/>
      <c r="P995" s="1522"/>
      <c r="Q995" s="1522"/>
      <c r="R995" s="1522"/>
      <c r="S995" s="1522"/>
      <c r="T995" s="1522"/>
      <c r="U995" s="1522"/>
      <c r="V995" s="1522"/>
      <c r="W995" s="1522"/>
      <c r="X995" s="1522"/>
      <c r="Y995" s="1522"/>
      <c r="Z995" s="1522"/>
      <c r="AA995" s="1522"/>
      <c r="AB995" s="1522"/>
      <c r="AC995" s="1522"/>
      <c r="AD995" s="1522"/>
      <c r="AE995" s="1523"/>
      <c r="AF995" s="59"/>
      <c r="AG995" s="14"/>
      <c r="AH995" s="14"/>
      <c r="AI995" s="63"/>
      <c r="AJ995" s="1539"/>
      <c r="AK995" s="1540"/>
      <c r="AL995" s="1540"/>
      <c r="AM995" s="1540"/>
      <c r="AN995" s="1540"/>
      <c r="AO995" s="1540"/>
      <c r="AP995" s="1540"/>
      <c r="AQ995" s="1541"/>
      <c r="AR995" s="2517"/>
      <c r="AS995" s="2517"/>
      <c r="AT995" s="2517"/>
      <c r="AU995" s="2517"/>
      <c r="AV995" s="2517"/>
      <c r="AW995" s="2517"/>
      <c r="AX995" s="2517"/>
      <c r="AY995" s="2517"/>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531"/>
      <c r="C996" s="2532"/>
      <c r="D996" s="1521"/>
      <c r="E996" s="1522"/>
      <c r="F996" s="1522"/>
      <c r="G996" s="1522"/>
      <c r="H996" s="1522"/>
      <c r="I996" s="1522"/>
      <c r="J996" s="1522"/>
      <c r="K996" s="1522"/>
      <c r="L996" s="1522"/>
      <c r="M996" s="1522"/>
      <c r="N996" s="1522"/>
      <c r="O996" s="1522"/>
      <c r="P996" s="1522"/>
      <c r="Q996" s="1522"/>
      <c r="R996" s="1522"/>
      <c r="S996" s="1522"/>
      <c r="T996" s="1522"/>
      <c r="U996" s="1522"/>
      <c r="V996" s="1522"/>
      <c r="W996" s="1522"/>
      <c r="X996" s="1522"/>
      <c r="Y996" s="1522"/>
      <c r="Z996" s="1522"/>
      <c r="AA996" s="1522"/>
      <c r="AB996" s="1522"/>
      <c r="AC996" s="1522"/>
      <c r="AD996" s="1522"/>
      <c r="AE996" s="1523"/>
      <c r="AF996" s="59"/>
      <c r="AG996" s="14"/>
      <c r="AH996" s="14"/>
      <c r="AI996" s="63"/>
      <c r="AJ996" s="1539"/>
      <c r="AK996" s="1540"/>
      <c r="AL996" s="1540"/>
      <c r="AM996" s="1540"/>
      <c r="AN996" s="1540"/>
      <c r="AO996" s="1540"/>
      <c r="AP996" s="1540"/>
      <c r="AQ996" s="1541"/>
      <c r="AR996" s="2517"/>
      <c r="AS996" s="2517"/>
      <c r="AT996" s="2517"/>
      <c r="AU996" s="2517"/>
      <c r="AV996" s="2517"/>
      <c r="AW996" s="2517"/>
      <c r="AX996" s="2517"/>
      <c r="AY996" s="2517"/>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531"/>
      <c r="C997" s="2532"/>
      <c r="D997" s="1521"/>
      <c r="E997" s="1522"/>
      <c r="F997" s="1522"/>
      <c r="G997" s="1522"/>
      <c r="H997" s="1522"/>
      <c r="I997" s="1522"/>
      <c r="J997" s="1522"/>
      <c r="K997" s="1522"/>
      <c r="L997" s="1522"/>
      <c r="M997" s="1522"/>
      <c r="N997" s="1522"/>
      <c r="O997" s="1522"/>
      <c r="P997" s="1522"/>
      <c r="Q997" s="1522"/>
      <c r="R997" s="1522"/>
      <c r="S997" s="1522"/>
      <c r="T997" s="1522"/>
      <c r="U997" s="1522"/>
      <c r="V997" s="1522"/>
      <c r="W997" s="1522"/>
      <c r="X997" s="1522"/>
      <c r="Y997" s="1522"/>
      <c r="Z997" s="1522"/>
      <c r="AA997" s="1522"/>
      <c r="AB997" s="1522"/>
      <c r="AC997" s="1522"/>
      <c r="AD997" s="1522"/>
      <c r="AE997" s="1523"/>
      <c r="AF997" s="59"/>
      <c r="AG997" s="14"/>
      <c r="AH997" s="14"/>
      <c r="AI997" s="63"/>
      <c r="AJ997" s="1539"/>
      <c r="AK997" s="1540"/>
      <c r="AL997" s="1540"/>
      <c r="AM997" s="1540"/>
      <c r="AN997" s="1540"/>
      <c r="AO997" s="1540"/>
      <c r="AP997" s="1540"/>
      <c r="AQ997" s="1541"/>
      <c r="AR997" s="2517"/>
      <c r="AS997" s="2517"/>
      <c r="AT997" s="2517"/>
      <c r="AU997" s="2517"/>
      <c r="AV997" s="2517"/>
      <c r="AW997" s="2517"/>
      <c r="AX997" s="2517"/>
      <c r="AY997" s="2517"/>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531"/>
      <c r="C998" s="2532"/>
      <c r="D998" s="1524" t="s">
        <v>1744</v>
      </c>
      <c r="E998" s="1525"/>
      <c r="F998" s="1525"/>
      <c r="G998" s="1525"/>
      <c r="H998" s="1525"/>
      <c r="I998" s="1525"/>
      <c r="J998" s="1525"/>
      <c r="K998" s="1525"/>
      <c r="L998" s="1525"/>
      <c r="M998" s="1525"/>
      <c r="N998" s="1525"/>
      <c r="O998" s="1525"/>
      <c r="P998" s="1525"/>
      <c r="Q998" s="1525"/>
      <c r="R998" s="1525"/>
      <c r="S998" s="1525"/>
      <c r="T998" s="1525"/>
      <c r="U998" s="1525"/>
      <c r="V998" s="1525"/>
      <c r="W998" s="1525"/>
      <c r="X998" s="1525"/>
      <c r="Y998" s="1525"/>
      <c r="Z998" s="1525"/>
      <c r="AA998" s="1525"/>
      <c r="AB998" s="1525"/>
      <c r="AC998" s="1525"/>
      <c r="AD998" s="1525"/>
      <c r="AE998" s="1526"/>
      <c r="AF998" s="59"/>
      <c r="AG998" s="14"/>
      <c r="AH998" s="14"/>
      <c r="AI998" s="63"/>
      <c r="AJ998" s="1539"/>
      <c r="AK998" s="1540"/>
      <c r="AL998" s="1540"/>
      <c r="AM998" s="1540"/>
      <c r="AN998" s="1540"/>
      <c r="AO998" s="1540"/>
      <c r="AP998" s="1540"/>
      <c r="AQ998" s="1541"/>
      <c r="AR998" s="2517"/>
      <c r="AS998" s="2517"/>
      <c r="AT998" s="2517"/>
      <c r="AU998" s="2517"/>
      <c r="AV998" s="2517"/>
      <c r="AW998" s="2517"/>
      <c r="AX998" s="2517"/>
      <c r="AY998" s="2517"/>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row>
    <row r="999" spans="1:157" ht="12.95" customHeight="1">
      <c r="A999" s="14"/>
      <c r="B999" s="2531"/>
      <c r="C999" s="2532"/>
      <c r="D999" s="1554" t="s">
        <v>869</v>
      </c>
      <c r="E999" s="2533"/>
      <c r="F999" s="2533"/>
      <c r="G999" s="2533"/>
      <c r="H999" s="2533"/>
      <c r="I999" s="2533"/>
      <c r="J999" s="2533"/>
      <c r="K999" s="2533"/>
      <c r="L999" s="2533"/>
      <c r="M999" s="2533"/>
      <c r="N999" s="2533"/>
      <c r="O999" s="2533"/>
      <c r="P999" s="2533"/>
      <c r="Q999" s="2533"/>
      <c r="R999" s="2533"/>
      <c r="S999" s="2533"/>
      <c r="T999" s="2533"/>
      <c r="U999" s="2533"/>
      <c r="V999" s="2533"/>
      <c r="W999" s="2533"/>
      <c r="X999" s="2533"/>
      <c r="Y999" s="2533"/>
      <c r="Z999" s="2533"/>
      <c r="AA999" s="2533"/>
      <c r="AB999" s="2533"/>
      <c r="AC999" s="2533"/>
      <c r="AD999" s="2533"/>
      <c r="AE999" s="2534"/>
      <c r="AF999" s="60"/>
      <c r="AG999" s="7"/>
      <c r="AH999" s="7"/>
      <c r="AI999" s="61"/>
      <c r="AJ999" s="1542"/>
      <c r="AK999" s="1543"/>
      <c r="AL999" s="1543"/>
      <c r="AM999" s="1543"/>
      <c r="AN999" s="1543"/>
      <c r="AO999" s="1543"/>
      <c r="AP999" s="1543"/>
      <c r="AQ999" s="1544"/>
      <c r="AR999" s="2517"/>
      <c r="AS999" s="2517"/>
      <c r="AT999" s="2517"/>
      <c r="AU999" s="2517"/>
      <c r="AV999" s="2517"/>
      <c r="AW999" s="2517"/>
      <c r="AX999" s="2517"/>
      <c r="AY999" s="2517"/>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row>
    <row r="1000" spans="1:157" ht="12.95" customHeight="1">
      <c r="A1000" s="14"/>
      <c r="B1000" s="2535"/>
      <c r="C1000" s="2536"/>
      <c r="D1000" s="1518" t="s">
        <v>1745</v>
      </c>
      <c r="E1000" s="1519"/>
      <c r="F1000" s="1519"/>
      <c r="G1000" s="1519"/>
      <c r="H1000" s="1519"/>
      <c r="I1000" s="1519"/>
      <c r="J1000" s="1519"/>
      <c r="K1000" s="1519"/>
      <c r="L1000" s="1519"/>
      <c r="M1000" s="1519"/>
      <c r="N1000" s="1519"/>
      <c r="O1000" s="1519"/>
      <c r="P1000" s="1519"/>
      <c r="Q1000" s="1519"/>
      <c r="R1000" s="1519"/>
      <c r="S1000" s="1519"/>
      <c r="T1000" s="1519"/>
      <c r="U1000" s="1519"/>
      <c r="V1000" s="1519"/>
      <c r="W1000" s="1519"/>
      <c r="X1000" s="1519"/>
      <c r="Y1000" s="1519"/>
      <c r="Z1000" s="1519"/>
      <c r="AA1000" s="1519"/>
      <c r="AB1000" s="1519"/>
      <c r="AC1000" s="1519"/>
      <c r="AD1000" s="1519"/>
      <c r="AE1000" s="1520"/>
      <c r="AF1000" s="62"/>
      <c r="AG1000" s="2537" t="s">
        <v>894</v>
      </c>
      <c r="AH1000" s="2538"/>
      <c r="AI1000" s="65"/>
      <c r="AJ1000" s="1536">
        <f>ROUND(IF(AG1000="yes",AJ991*0.05,0),0)</f>
        <v>0</v>
      </c>
      <c r="AK1000" s="1537"/>
      <c r="AL1000" s="1537"/>
      <c r="AM1000" s="1537"/>
      <c r="AN1000" s="1537"/>
      <c r="AO1000" s="1537"/>
      <c r="AP1000" s="1537"/>
      <c r="AQ1000" s="1538"/>
      <c r="AR1000" s="2517"/>
      <c r="AS1000" s="2517"/>
      <c r="AT1000" s="2517"/>
      <c r="AU1000" s="2517"/>
      <c r="AV1000" s="2517"/>
      <c r="AW1000" s="2517"/>
      <c r="AX1000" s="2517"/>
      <c r="AY1000" s="2517"/>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row>
    <row r="1001" spans="1:157" ht="12.95" customHeight="1">
      <c r="A1001" s="14"/>
      <c r="B1001" s="2531"/>
      <c r="C1001" s="2539"/>
      <c r="D1001" s="1521" t="s">
        <v>1746</v>
      </c>
      <c r="E1001" s="1522"/>
      <c r="F1001" s="1522"/>
      <c r="G1001" s="1522"/>
      <c r="H1001" s="1522"/>
      <c r="I1001" s="1522"/>
      <c r="J1001" s="1522"/>
      <c r="K1001" s="1522"/>
      <c r="L1001" s="1522"/>
      <c r="M1001" s="1522"/>
      <c r="N1001" s="1522"/>
      <c r="O1001" s="1522"/>
      <c r="P1001" s="1522"/>
      <c r="Q1001" s="1522"/>
      <c r="R1001" s="1522"/>
      <c r="S1001" s="1522"/>
      <c r="T1001" s="1522"/>
      <c r="U1001" s="1522"/>
      <c r="V1001" s="1522"/>
      <c r="W1001" s="1522"/>
      <c r="X1001" s="1522"/>
      <c r="Y1001" s="1522"/>
      <c r="Z1001" s="1522"/>
      <c r="AA1001" s="1522"/>
      <c r="AB1001" s="1522"/>
      <c r="AC1001" s="1522"/>
      <c r="AD1001" s="1522"/>
      <c r="AE1001" s="1523"/>
      <c r="AF1001" s="59"/>
      <c r="AG1001" s="14"/>
      <c r="AH1001" s="14"/>
      <c r="AI1001" s="63"/>
      <c r="AJ1001" s="1539"/>
      <c r="AK1001" s="1540"/>
      <c r="AL1001" s="1540"/>
      <c r="AM1001" s="1540"/>
      <c r="AN1001" s="1540"/>
      <c r="AO1001" s="1540"/>
      <c r="AP1001" s="1540"/>
      <c r="AQ1001" s="1541"/>
      <c r="AR1001" s="2517"/>
      <c r="AS1001" s="2517"/>
      <c r="AT1001" s="2517"/>
      <c r="AU1001" s="2517"/>
      <c r="AV1001" s="2517"/>
      <c r="AW1001" s="2517"/>
      <c r="AX1001" s="2517"/>
      <c r="AY1001" s="3"/>
      <c r="AZ1001" s="3"/>
      <c r="BB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row>
    <row r="1002" spans="1:157" ht="12.95" customHeight="1">
      <c r="A1002" s="14"/>
      <c r="B1002" s="2531"/>
      <c r="C1002" s="2539"/>
      <c r="D1002" s="1521"/>
      <c r="E1002" s="1522"/>
      <c r="F1002" s="1522"/>
      <c r="G1002" s="1522"/>
      <c r="H1002" s="1522"/>
      <c r="I1002" s="1522"/>
      <c r="J1002" s="1522"/>
      <c r="K1002" s="1522"/>
      <c r="L1002" s="1522"/>
      <c r="M1002" s="1522"/>
      <c r="N1002" s="1522"/>
      <c r="O1002" s="1522"/>
      <c r="P1002" s="1522"/>
      <c r="Q1002" s="1522"/>
      <c r="R1002" s="1522"/>
      <c r="S1002" s="1522"/>
      <c r="T1002" s="1522"/>
      <c r="U1002" s="1522"/>
      <c r="V1002" s="1522"/>
      <c r="W1002" s="1522"/>
      <c r="X1002" s="1522"/>
      <c r="Y1002" s="1522"/>
      <c r="Z1002" s="1522"/>
      <c r="AA1002" s="1522"/>
      <c r="AB1002" s="1522"/>
      <c r="AC1002" s="1522"/>
      <c r="AD1002" s="1522"/>
      <c r="AE1002" s="1523"/>
      <c r="AF1002" s="59"/>
      <c r="AG1002" s="14"/>
      <c r="AH1002" s="14"/>
      <c r="AI1002" s="63"/>
      <c r="AJ1002" s="1539"/>
      <c r="AK1002" s="1540"/>
      <c r="AL1002" s="1540"/>
      <c r="AM1002" s="1540"/>
      <c r="AN1002" s="1540"/>
      <c r="AO1002" s="1540"/>
      <c r="AP1002" s="1540"/>
      <c r="AQ1002" s="1541"/>
      <c r="AR1002" s="2517"/>
      <c r="AS1002" s="2517"/>
      <c r="AT1002" s="2517"/>
      <c r="AU1002" s="2517"/>
      <c r="AV1002" s="2517"/>
      <c r="AW1002" s="2517"/>
      <c r="AX1002" s="2517"/>
      <c r="AY1002" s="836">
        <f>G753+O797</f>
        <v>47</v>
      </c>
      <c r="AZ1002" s="3"/>
      <c r="BB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row>
    <row r="1003" spans="1:157" ht="12.95" customHeight="1">
      <c r="A1003" s="14"/>
      <c r="B1003" s="2531"/>
      <c r="C1003" s="2539"/>
      <c r="D1003" s="1521"/>
      <c r="E1003" s="1522"/>
      <c r="F1003" s="1522"/>
      <c r="G1003" s="1522"/>
      <c r="H1003" s="1522"/>
      <c r="I1003" s="1522"/>
      <c r="J1003" s="1522"/>
      <c r="K1003" s="1522"/>
      <c r="L1003" s="1522"/>
      <c r="M1003" s="1522"/>
      <c r="N1003" s="1522"/>
      <c r="O1003" s="1522"/>
      <c r="P1003" s="1522"/>
      <c r="Q1003" s="1522"/>
      <c r="R1003" s="1522"/>
      <c r="S1003" s="1522"/>
      <c r="T1003" s="1522"/>
      <c r="U1003" s="1522"/>
      <c r="V1003" s="1522"/>
      <c r="W1003" s="1522"/>
      <c r="X1003" s="1522"/>
      <c r="Y1003" s="1522"/>
      <c r="Z1003" s="1522"/>
      <c r="AA1003" s="1522"/>
      <c r="AB1003" s="1522"/>
      <c r="AC1003" s="1522"/>
      <c r="AD1003" s="1522"/>
      <c r="AE1003" s="1523"/>
      <c r="AF1003" s="59"/>
      <c r="AG1003" s="14"/>
      <c r="AH1003" s="14"/>
      <c r="AI1003" s="63"/>
      <c r="AJ1003" s="1539"/>
      <c r="AK1003" s="1540"/>
      <c r="AL1003" s="1540"/>
      <c r="AM1003" s="1540"/>
      <c r="AN1003" s="1540"/>
      <c r="AO1003" s="1540"/>
      <c r="AP1003" s="1540"/>
      <c r="AQ1003" s="1541"/>
      <c r="AR1003" s="2517"/>
      <c r="AS1003" s="2517"/>
      <c r="AT1003" s="2517"/>
      <c r="AU1003" s="2517"/>
      <c r="AV1003" s="2517"/>
      <c r="AW1003" s="2517"/>
      <c r="AX1003" s="2517"/>
      <c r="AY1003" s="14"/>
      <c r="AZ1003" s="3"/>
      <c r="BB1003" s="3"/>
      <c r="BD1003" s="3"/>
      <c r="BE1003" s="3"/>
      <c r="BF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row>
    <row r="1004" spans="1:157" ht="12.95" customHeight="1">
      <c r="A1004" s="14"/>
      <c r="B1004" s="2531"/>
      <c r="C1004" s="2539"/>
      <c r="D1004" s="1521"/>
      <c r="E1004" s="1522"/>
      <c r="F1004" s="1522"/>
      <c r="G1004" s="1522"/>
      <c r="H1004" s="1522"/>
      <c r="I1004" s="1522"/>
      <c r="J1004" s="1522"/>
      <c r="K1004" s="1522"/>
      <c r="L1004" s="1522"/>
      <c r="M1004" s="1522"/>
      <c r="N1004" s="1522"/>
      <c r="O1004" s="1522"/>
      <c r="P1004" s="1522"/>
      <c r="Q1004" s="1522"/>
      <c r="R1004" s="1522"/>
      <c r="S1004" s="1522"/>
      <c r="T1004" s="1522"/>
      <c r="U1004" s="1522"/>
      <c r="V1004" s="1522"/>
      <c r="W1004" s="1522"/>
      <c r="X1004" s="1522"/>
      <c r="Y1004" s="1522"/>
      <c r="Z1004" s="1522"/>
      <c r="AA1004" s="1522"/>
      <c r="AB1004" s="1522"/>
      <c r="AC1004" s="1522"/>
      <c r="AD1004" s="1522"/>
      <c r="AE1004" s="1523"/>
      <c r="AF1004" s="59"/>
      <c r="AG1004" s="14"/>
      <c r="AH1004" s="14"/>
      <c r="AI1004" s="63"/>
      <c r="AJ1004" s="1539"/>
      <c r="AK1004" s="1540"/>
      <c r="AL1004" s="1540"/>
      <c r="AM1004" s="1540"/>
      <c r="AN1004" s="1540"/>
      <c r="AO1004" s="1540"/>
      <c r="AP1004" s="1540"/>
      <c r="AQ1004" s="1541"/>
      <c r="AR1004" s="2517"/>
      <c r="AS1004" s="2517"/>
      <c r="AT1004" s="2517"/>
      <c r="AU1004" s="2517"/>
      <c r="AV1004" s="2517"/>
      <c r="AW1004" s="2517"/>
      <c r="AX1004" s="2517"/>
      <c r="AY1004" s="835">
        <f>ROUNDDOWN(X1047/I1047,2)</f>
        <v>0.25</v>
      </c>
      <c r="AZ1004" s="3"/>
      <c r="BB1004" s="3"/>
      <c r="BD1004" s="3"/>
      <c r="BE1004" s="3"/>
      <c r="BF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row>
    <row r="1005" spans="1:157" ht="12.95" customHeight="1">
      <c r="A1005" s="14"/>
      <c r="B1005" s="2540"/>
      <c r="C1005" s="2541"/>
      <c r="D1005" s="1524"/>
      <c r="E1005" s="1525"/>
      <c r="F1005" s="1525"/>
      <c r="G1005" s="1525"/>
      <c r="H1005" s="1525"/>
      <c r="I1005" s="1525"/>
      <c r="J1005" s="1525"/>
      <c r="K1005" s="1525"/>
      <c r="L1005" s="1525"/>
      <c r="M1005" s="1525"/>
      <c r="N1005" s="1525"/>
      <c r="O1005" s="1525"/>
      <c r="P1005" s="1525"/>
      <c r="Q1005" s="1525"/>
      <c r="R1005" s="1525"/>
      <c r="S1005" s="1525"/>
      <c r="T1005" s="1525"/>
      <c r="U1005" s="1525"/>
      <c r="V1005" s="1525"/>
      <c r="W1005" s="1525"/>
      <c r="X1005" s="1525"/>
      <c r="Y1005" s="1525"/>
      <c r="Z1005" s="1525"/>
      <c r="AA1005" s="1525"/>
      <c r="AB1005" s="1525"/>
      <c r="AC1005" s="1525"/>
      <c r="AD1005" s="1525"/>
      <c r="AE1005" s="1526"/>
      <c r="AF1005" s="60"/>
      <c r="AG1005" s="7"/>
      <c r="AH1005" s="7"/>
      <c r="AI1005" s="61"/>
      <c r="AJ1005" s="1542"/>
      <c r="AK1005" s="1543"/>
      <c r="AL1005" s="1543"/>
      <c r="AM1005" s="1543"/>
      <c r="AN1005" s="1543"/>
      <c r="AO1005" s="1543"/>
      <c r="AP1005" s="1543"/>
      <c r="AQ1005" s="1544"/>
      <c r="AR1005" s="2517"/>
      <c r="AS1005" s="2517"/>
      <c r="AT1005" s="2517"/>
      <c r="AU1005" s="2517"/>
      <c r="AV1005" s="2517"/>
      <c r="AW1005" s="2517"/>
      <c r="AX1005" s="2517"/>
      <c r="AY1005" s="835">
        <f>ROUNDDOWN(X1051/I1051,2)</f>
        <v>0.36</v>
      </c>
      <c r="AZ1005" s="3"/>
      <c r="BB1005" s="3"/>
      <c r="BD1005" s="3"/>
      <c r="BE1005" s="3"/>
      <c r="BF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row>
    <row r="1006" spans="1:157" ht="12.95" customHeight="1">
      <c r="A1006" s="14"/>
      <c r="B1006" s="2535"/>
      <c r="C1006" s="261" t="s">
        <v>1747</v>
      </c>
      <c r="D1006" s="1518" t="s">
        <v>1748</v>
      </c>
      <c r="E1006" s="1519"/>
      <c r="F1006" s="1519"/>
      <c r="G1006" s="1519"/>
      <c r="H1006" s="1519"/>
      <c r="I1006" s="1519"/>
      <c r="J1006" s="1519"/>
      <c r="K1006" s="1519"/>
      <c r="L1006" s="1519"/>
      <c r="M1006" s="1519"/>
      <c r="N1006" s="1519"/>
      <c r="O1006" s="1519"/>
      <c r="P1006" s="1519"/>
      <c r="Q1006" s="1519"/>
      <c r="R1006" s="1519"/>
      <c r="S1006" s="1519"/>
      <c r="T1006" s="1519"/>
      <c r="U1006" s="1519"/>
      <c r="V1006" s="1519"/>
      <c r="W1006" s="1519"/>
      <c r="X1006" s="1519"/>
      <c r="Y1006" s="1519"/>
      <c r="Z1006" s="1519"/>
      <c r="AA1006" s="1519"/>
      <c r="AB1006" s="1519"/>
      <c r="AC1006" s="1519"/>
      <c r="AD1006" s="1519"/>
      <c r="AE1006" s="1520"/>
      <c r="AF1006" s="64"/>
      <c r="AG1006" s="2537" t="s">
        <v>894</v>
      </c>
      <c r="AH1006" s="2538"/>
      <c r="AI1006" s="65"/>
      <c r="AJ1006" s="1536">
        <f>ROUND(IF(AG1006="yes",AJ991*0.1,0),0)</f>
        <v>0</v>
      </c>
      <c r="AK1006" s="1537"/>
      <c r="AL1006" s="1537"/>
      <c r="AM1006" s="1537"/>
      <c r="AN1006" s="1537"/>
      <c r="AO1006" s="1537"/>
      <c r="AP1006" s="1537"/>
      <c r="AQ1006" s="1538"/>
      <c r="AR1006" s="2517"/>
      <c r="AS1006" s="2517"/>
      <c r="AT1006" s="2517"/>
      <c r="AU1006" s="2517"/>
      <c r="AV1006" s="2517"/>
      <c r="AW1006" s="2517"/>
      <c r="AX1006" s="2517"/>
      <c r="BB1006" s="3"/>
      <c r="BD1006" s="3"/>
      <c r="BE1006" s="3"/>
      <c r="BF1006" s="3"/>
    </row>
    <row r="1007" spans="1:157" ht="12.95" customHeight="1">
      <c r="A1007" s="14"/>
      <c r="B1007" s="59"/>
      <c r="C1007" s="2542"/>
      <c r="D1007" s="1447" t="s">
        <v>1749</v>
      </c>
      <c r="E1007" s="1448"/>
      <c r="F1007" s="1448"/>
      <c r="G1007" s="1448"/>
      <c r="H1007" s="1448"/>
      <c r="I1007" s="1448"/>
      <c r="J1007" s="1448"/>
      <c r="K1007" s="1448"/>
      <c r="L1007" s="1448"/>
      <c r="M1007" s="1448"/>
      <c r="N1007" s="1448"/>
      <c r="O1007" s="1448"/>
      <c r="P1007" s="1448"/>
      <c r="Q1007" s="1448"/>
      <c r="R1007" s="1448"/>
      <c r="S1007" s="1448"/>
      <c r="T1007" s="1448"/>
      <c r="U1007" s="1448"/>
      <c r="V1007" s="1448"/>
      <c r="W1007" s="1448"/>
      <c r="X1007" s="1448"/>
      <c r="Y1007" s="1448"/>
      <c r="Z1007" s="1448"/>
      <c r="AA1007" s="1448"/>
      <c r="AB1007" s="1448"/>
      <c r="AC1007" s="1448"/>
      <c r="AD1007" s="1448"/>
      <c r="AE1007" s="1449"/>
      <c r="AF1007" s="59"/>
      <c r="AI1007" s="63"/>
      <c r="AJ1007" s="1539"/>
      <c r="AK1007" s="1540"/>
      <c r="AL1007" s="1540"/>
      <c r="AM1007" s="1540"/>
      <c r="AN1007" s="1540"/>
      <c r="AO1007" s="1540"/>
      <c r="AP1007" s="1540"/>
      <c r="AQ1007" s="1541"/>
      <c r="AR1007" s="2517"/>
      <c r="AS1007" s="2517"/>
      <c r="AT1007" s="2517"/>
      <c r="AU1007" s="2517"/>
      <c r="AV1007" s="2517"/>
      <c r="AW1007" s="2517"/>
      <c r="AX1007" s="2517"/>
    </row>
    <row r="1008" spans="1:157" ht="12.95" customHeight="1">
      <c r="A1008" s="14"/>
      <c r="B1008" s="59"/>
      <c r="C1008" s="2542"/>
      <c r="D1008" s="1447"/>
      <c r="E1008" s="1448"/>
      <c r="F1008" s="1448"/>
      <c r="G1008" s="1448"/>
      <c r="H1008" s="1448"/>
      <c r="I1008" s="1448"/>
      <c r="J1008" s="1448"/>
      <c r="K1008" s="1448"/>
      <c r="L1008" s="1448"/>
      <c r="M1008" s="1448"/>
      <c r="N1008" s="1448"/>
      <c r="O1008" s="1448"/>
      <c r="P1008" s="1448"/>
      <c r="Q1008" s="1448"/>
      <c r="R1008" s="1448"/>
      <c r="S1008" s="1448"/>
      <c r="T1008" s="1448"/>
      <c r="U1008" s="1448"/>
      <c r="V1008" s="1448"/>
      <c r="W1008" s="1448"/>
      <c r="X1008" s="1448"/>
      <c r="Y1008" s="1448"/>
      <c r="Z1008" s="1448"/>
      <c r="AA1008" s="1448"/>
      <c r="AB1008" s="1448"/>
      <c r="AC1008" s="1448"/>
      <c r="AD1008" s="1448"/>
      <c r="AE1008" s="1449"/>
      <c r="AF1008" s="59"/>
      <c r="AG1008" s="14"/>
      <c r="AH1008" s="14"/>
      <c r="AI1008" s="63"/>
      <c r="AJ1008" s="1539"/>
      <c r="AK1008" s="1540"/>
      <c r="AL1008" s="1540"/>
      <c r="AM1008" s="1540"/>
      <c r="AN1008" s="1540"/>
      <c r="AO1008" s="1540"/>
      <c r="AP1008" s="1540"/>
      <c r="AQ1008" s="1541"/>
      <c r="AR1008" s="2517"/>
      <c r="AS1008" s="2517"/>
      <c r="AT1008" s="2517"/>
      <c r="AU1008" s="2517"/>
      <c r="AV1008" s="2517"/>
      <c r="AW1008" s="2517"/>
      <c r="AX1008" s="2517"/>
    </row>
    <row r="1009" spans="1:51" ht="12.95" customHeight="1">
      <c r="A1009" s="14"/>
      <c r="B1009" s="2543"/>
      <c r="C1009" s="2541"/>
      <c r="D1009" s="1450"/>
      <c r="E1009" s="1451"/>
      <c r="F1009" s="1451"/>
      <c r="G1009" s="1451"/>
      <c r="H1009" s="1451"/>
      <c r="I1009" s="1451"/>
      <c r="J1009" s="1451"/>
      <c r="K1009" s="1451"/>
      <c r="L1009" s="1451"/>
      <c r="M1009" s="1451"/>
      <c r="N1009" s="1451"/>
      <c r="O1009" s="1451"/>
      <c r="P1009" s="1451"/>
      <c r="Q1009" s="1451"/>
      <c r="R1009" s="1451"/>
      <c r="S1009" s="1451"/>
      <c r="T1009" s="1451"/>
      <c r="U1009" s="1451"/>
      <c r="V1009" s="1451"/>
      <c r="W1009" s="1451"/>
      <c r="X1009" s="1451"/>
      <c r="Y1009" s="1451"/>
      <c r="Z1009" s="1451"/>
      <c r="AA1009" s="1451"/>
      <c r="AB1009" s="1451"/>
      <c r="AC1009" s="1451"/>
      <c r="AD1009" s="1451"/>
      <c r="AE1009" s="1452"/>
      <c r="AF1009" s="60"/>
      <c r="AG1009" s="7"/>
      <c r="AH1009" s="7"/>
      <c r="AI1009" s="61"/>
      <c r="AJ1009" s="1542"/>
      <c r="AK1009" s="1543"/>
      <c r="AL1009" s="1543"/>
      <c r="AM1009" s="1543"/>
      <c r="AN1009" s="1543"/>
      <c r="AO1009" s="1543"/>
      <c r="AP1009" s="1543"/>
      <c r="AQ1009" s="1544"/>
      <c r="AR1009" s="2517"/>
      <c r="AS1009" s="2517"/>
      <c r="AT1009" s="2517"/>
      <c r="AU1009" s="2517"/>
      <c r="AV1009" s="2517"/>
      <c r="AW1009" s="2517"/>
      <c r="AX1009" s="2517"/>
    </row>
    <row r="1010" spans="1:51" ht="12.95" customHeight="1">
      <c r="A1010" s="14"/>
      <c r="B1010" s="62"/>
      <c r="C1010" s="261" t="s">
        <v>1750</v>
      </c>
      <c r="D1010" s="1518" t="s">
        <v>1751</v>
      </c>
      <c r="E1010" s="1519"/>
      <c r="F1010" s="1519"/>
      <c r="G1010" s="1519"/>
      <c r="H1010" s="1519"/>
      <c r="I1010" s="1519"/>
      <c r="J1010" s="1519"/>
      <c r="K1010" s="1519"/>
      <c r="L1010" s="1519"/>
      <c r="M1010" s="1519"/>
      <c r="N1010" s="1519"/>
      <c r="O1010" s="1519"/>
      <c r="P1010" s="1519"/>
      <c r="Q1010" s="1519"/>
      <c r="R1010" s="1519"/>
      <c r="S1010" s="1519"/>
      <c r="T1010" s="1519"/>
      <c r="U1010" s="1519"/>
      <c r="V1010" s="1519"/>
      <c r="W1010" s="1519"/>
      <c r="X1010" s="1519"/>
      <c r="Y1010" s="1519"/>
      <c r="Z1010" s="1519"/>
      <c r="AA1010" s="1519"/>
      <c r="AB1010" s="1519"/>
      <c r="AC1010" s="1519"/>
      <c r="AD1010" s="1519"/>
      <c r="AE1010" s="1520"/>
      <c r="AF1010" s="62"/>
      <c r="AG1010" s="2537" t="s">
        <v>894</v>
      </c>
      <c r="AH1010" s="2538"/>
      <c r="AI1010" s="65"/>
      <c r="AJ1010" s="1536">
        <f>ROUND(IF(AG1010="yes",AJ991*0.02,0),0)</f>
        <v>0</v>
      </c>
      <c r="AK1010" s="1537"/>
      <c r="AL1010" s="1537"/>
      <c r="AM1010" s="1537"/>
      <c r="AN1010" s="1537"/>
      <c r="AO1010" s="1537"/>
      <c r="AP1010" s="1537"/>
      <c r="AQ1010" s="1538"/>
      <c r="AR1010" s="2517"/>
      <c r="AS1010" s="2517"/>
      <c r="AT1010" s="2517"/>
      <c r="AU1010" s="2517"/>
      <c r="AV1010" s="2517"/>
      <c r="AW1010" s="2517"/>
      <c r="AX1010" s="2517"/>
      <c r="AY1010" s="2544">
        <f>IF(SUM(AY1012:AY1020)&lt;=0.1,SUM(AY1012:AY1020),0.1)</f>
        <v>0</v>
      </c>
    </row>
    <row r="1011" spans="1:51" ht="14.25" customHeight="1">
      <c r="A1011" s="14"/>
      <c r="B1011" s="59"/>
      <c r="C1011" s="2542"/>
      <c r="D1011" s="1450" t="s">
        <v>1752</v>
      </c>
      <c r="E1011" s="1451"/>
      <c r="F1011" s="1451"/>
      <c r="G1011" s="1451"/>
      <c r="H1011" s="1451"/>
      <c r="I1011" s="1451"/>
      <c r="J1011" s="1451"/>
      <c r="K1011" s="1451"/>
      <c r="L1011" s="1451"/>
      <c r="M1011" s="1451"/>
      <c r="N1011" s="1451"/>
      <c r="O1011" s="1451"/>
      <c r="P1011" s="1451"/>
      <c r="Q1011" s="1451"/>
      <c r="R1011" s="1451"/>
      <c r="S1011" s="1451"/>
      <c r="T1011" s="1451"/>
      <c r="U1011" s="1451"/>
      <c r="V1011" s="1451"/>
      <c r="W1011" s="1451"/>
      <c r="X1011" s="1451"/>
      <c r="Y1011" s="1451"/>
      <c r="Z1011" s="1451"/>
      <c r="AA1011" s="1451"/>
      <c r="AB1011" s="1451"/>
      <c r="AC1011" s="1451"/>
      <c r="AD1011" s="1451"/>
      <c r="AE1011" s="1452"/>
      <c r="AF1011" s="60"/>
      <c r="AG1011" s="7"/>
      <c r="AH1011" s="7"/>
      <c r="AI1011" s="61"/>
      <c r="AJ1011" s="1542"/>
      <c r="AK1011" s="1543"/>
      <c r="AL1011" s="1543"/>
      <c r="AM1011" s="1543"/>
      <c r="AN1011" s="1543"/>
      <c r="AO1011" s="1543"/>
      <c r="AP1011" s="1543"/>
      <c r="AQ1011" s="1544"/>
      <c r="AR1011" s="2517"/>
      <c r="AS1011" s="2517"/>
      <c r="AT1011" s="2517"/>
      <c r="AU1011" s="2517"/>
      <c r="AV1011" s="2517"/>
      <c r="AW1011" s="2517"/>
      <c r="AX1011" s="2517"/>
    </row>
    <row r="1012" spans="1:51" ht="12.95" customHeight="1">
      <c r="A1012" s="14"/>
      <c r="B1012" s="62"/>
      <c r="C1012" s="261" t="s">
        <v>1753</v>
      </c>
      <c r="D1012" s="1518" t="s">
        <v>1754</v>
      </c>
      <c r="E1012" s="1519"/>
      <c r="F1012" s="1519"/>
      <c r="G1012" s="1519"/>
      <c r="H1012" s="1519"/>
      <c r="I1012" s="1519"/>
      <c r="J1012" s="1519"/>
      <c r="K1012" s="1519"/>
      <c r="L1012" s="1519"/>
      <c r="M1012" s="1519"/>
      <c r="N1012" s="1519"/>
      <c r="O1012" s="1519"/>
      <c r="P1012" s="1519"/>
      <c r="Q1012" s="1519"/>
      <c r="R1012" s="1519"/>
      <c r="S1012" s="1519"/>
      <c r="T1012" s="1519"/>
      <c r="U1012" s="1519"/>
      <c r="V1012" s="1519"/>
      <c r="W1012" s="1519"/>
      <c r="X1012" s="1519"/>
      <c r="Y1012" s="1519"/>
      <c r="Z1012" s="1519"/>
      <c r="AA1012" s="1519"/>
      <c r="AB1012" s="1519"/>
      <c r="AC1012" s="1519"/>
      <c r="AD1012" s="1519"/>
      <c r="AE1012" s="1520"/>
      <c r="AF1012" s="62"/>
      <c r="AG1012" s="2537" t="s">
        <v>894</v>
      </c>
      <c r="AH1012" s="2538"/>
      <c r="AI1012" s="62"/>
      <c r="AJ1012" s="1536">
        <f>ROUND(IF(AG1012="yes",AJ991*0.02,0),0)</f>
        <v>0</v>
      </c>
      <c r="AK1012" s="1537"/>
      <c r="AL1012" s="1537"/>
      <c r="AM1012" s="1537"/>
      <c r="AN1012" s="1537"/>
      <c r="AO1012" s="1537"/>
      <c r="AP1012" s="1537"/>
      <c r="AQ1012" s="1538"/>
      <c r="AR1012" s="2517"/>
      <c r="AS1012" s="2517"/>
      <c r="AT1012" s="2517"/>
      <c r="AU1012" s="2517"/>
      <c r="AV1012" s="2517"/>
      <c r="AW1012" s="2517"/>
      <c r="AX1012" s="2517"/>
      <c r="AY1012" s="2545">
        <f>IF(A1064="Yes",0.05,0)</f>
        <v>0</v>
      </c>
    </row>
    <row r="1013" spans="1:51" ht="12.95" customHeight="1">
      <c r="A1013" s="14"/>
      <c r="B1013" s="59"/>
      <c r="C1013" s="2542"/>
      <c r="D1013" s="1447" t="s">
        <v>1755</v>
      </c>
      <c r="E1013" s="1448"/>
      <c r="F1013" s="1448"/>
      <c r="G1013" s="1448"/>
      <c r="H1013" s="1448"/>
      <c r="I1013" s="1448"/>
      <c r="J1013" s="1448"/>
      <c r="K1013" s="1448"/>
      <c r="L1013" s="1448"/>
      <c r="M1013" s="1448"/>
      <c r="N1013" s="1448"/>
      <c r="O1013" s="1448"/>
      <c r="P1013" s="1448"/>
      <c r="Q1013" s="1448"/>
      <c r="R1013" s="1448"/>
      <c r="S1013" s="1448"/>
      <c r="T1013" s="1448"/>
      <c r="U1013" s="1448"/>
      <c r="V1013" s="1448"/>
      <c r="W1013" s="1448"/>
      <c r="X1013" s="1448"/>
      <c r="Y1013" s="1448"/>
      <c r="Z1013" s="1448"/>
      <c r="AA1013" s="1448"/>
      <c r="AB1013" s="1448"/>
      <c r="AC1013" s="1448"/>
      <c r="AD1013" s="1448"/>
      <c r="AE1013" s="1449"/>
      <c r="AF1013" s="1607" t="str">
        <f>IF(AND(AG1012="yes",AB212&lt;&gt;1),"The project may not be eligible for this boost","")</f>
        <v/>
      </c>
      <c r="AG1013" s="1608"/>
      <c r="AH1013" s="1608"/>
      <c r="AI1013" s="1609"/>
      <c r="AJ1013" s="1539"/>
      <c r="AK1013" s="1540"/>
      <c r="AL1013" s="1540"/>
      <c r="AM1013" s="1540"/>
      <c r="AN1013" s="1540"/>
      <c r="AO1013" s="1540"/>
      <c r="AP1013" s="1540"/>
      <c r="AQ1013" s="1541"/>
      <c r="AR1013" s="2517"/>
      <c r="AS1013" s="2517"/>
      <c r="AT1013" s="2517"/>
      <c r="AU1013" s="2517"/>
      <c r="AV1013" s="2517"/>
      <c r="AW1013" s="2517"/>
      <c r="AX1013" s="2517"/>
      <c r="AY1013" s="2545">
        <f>IF(A1070="Yes",0.02,0)</f>
        <v>0</v>
      </c>
    </row>
    <row r="1014" spans="1:51" ht="12.95" customHeight="1">
      <c r="A1014" s="14"/>
      <c r="B1014" s="2540"/>
      <c r="C1014" s="2541"/>
      <c r="D1014" s="1450"/>
      <c r="E1014" s="1451"/>
      <c r="F1014" s="1451"/>
      <c r="G1014" s="1451"/>
      <c r="H1014" s="1451"/>
      <c r="I1014" s="1451"/>
      <c r="J1014" s="1451"/>
      <c r="K1014" s="1451"/>
      <c r="L1014" s="1451"/>
      <c r="M1014" s="1451"/>
      <c r="N1014" s="1451"/>
      <c r="O1014" s="1451"/>
      <c r="P1014" s="1451"/>
      <c r="Q1014" s="1451"/>
      <c r="R1014" s="1451"/>
      <c r="S1014" s="1451"/>
      <c r="T1014" s="1451"/>
      <c r="U1014" s="1451"/>
      <c r="V1014" s="1451"/>
      <c r="W1014" s="1451"/>
      <c r="X1014" s="1451"/>
      <c r="Y1014" s="1451"/>
      <c r="Z1014" s="1451"/>
      <c r="AA1014" s="1451"/>
      <c r="AB1014" s="1451"/>
      <c r="AC1014" s="1451"/>
      <c r="AD1014" s="1451"/>
      <c r="AE1014" s="1452"/>
      <c r="AF1014" s="1610"/>
      <c r="AG1014" s="1611"/>
      <c r="AH1014" s="1611"/>
      <c r="AI1014" s="1612"/>
      <c r="AJ1014" s="1542"/>
      <c r="AK1014" s="1543"/>
      <c r="AL1014" s="1543"/>
      <c r="AM1014" s="1543"/>
      <c r="AN1014" s="1543"/>
      <c r="AO1014" s="1543"/>
      <c r="AP1014" s="1543"/>
      <c r="AQ1014" s="1544"/>
      <c r="AR1014" s="2517"/>
      <c r="AS1014" s="2517"/>
      <c r="AT1014" s="2517"/>
      <c r="AU1014" s="2517"/>
      <c r="AV1014" s="2517"/>
      <c r="AW1014" s="2517"/>
      <c r="AX1014" s="2517"/>
      <c r="AY1014" s="2545">
        <f>IF(A1076="Yes",0.04,0)</f>
        <v>0</v>
      </c>
    </row>
    <row r="1015" spans="1:51" ht="12.95" customHeight="1">
      <c r="A1015" s="14"/>
      <c r="B1015" s="62"/>
      <c r="C1015" s="261" t="s">
        <v>1756</v>
      </c>
      <c r="D1015" s="1548" t="s">
        <v>1757</v>
      </c>
      <c r="E1015" s="1549"/>
      <c r="F1015" s="1549"/>
      <c r="G1015" s="1549"/>
      <c r="H1015" s="1549"/>
      <c r="I1015" s="1549"/>
      <c r="J1015" s="1549"/>
      <c r="K1015" s="1549"/>
      <c r="L1015" s="1549"/>
      <c r="M1015" s="1549"/>
      <c r="N1015" s="1549"/>
      <c r="O1015" s="1549"/>
      <c r="P1015" s="1549"/>
      <c r="Q1015" s="1549"/>
      <c r="R1015" s="1549"/>
      <c r="S1015" s="1549"/>
      <c r="T1015" s="1549"/>
      <c r="U1015" s="1549"/>
      <c r="V1015" s="1549"/>
      <c r="W1015" s="1549"/>
      <c r="X1015" s="1549"/>
      <c r="Y1015" s="1549"/>
      <c r="Z1015" s="1549"/>
      <c r="AA1015" s="1549"/>
      <c r="AB1015" s="1549"/>
      <c r="AC1015" s="1549"/>
      <c r="AD1015" s="1549"/>
      <c r="AE1015" s="1550"/>
      <c r="AF1015" s="62"/>
      <c r="AG1015" s="2537" t="s">
        <v>894</v>
      </c>
      <c r="AH1015" s="2538"/>
      <c r="AI1015" s="65"/>
      <c r="AJ1015" s="1536">
        <f>IF(AG1015="yes",AJ991*AY1010,0)</f>
        <v>0</v>
      </c>
      <c r="AK1015" s="1537"/>
      <c r="AL1015" s="1537"/>
      <c r="AM1015" s="1537"/>
      <c r="AN1015" s="1537"/>
      <c r="AO1015" s="1537"/>
      <c r="AP1015" s="1537"/>
      <c r="AQ1015" s="1538"/>
      <c r="AR1015" s="2517"/>
      <c r="AS1015" s="2517"/>
      <c r="AT1015" s="2517"/>
      <c r="AU1015" s="2517"/>
      <c r="AV1015" s="2517"/>
      <c r="AW1015" s="2517"/>
      <c r="AX1015" s="2517"/>
      <c r="AY1015" s="2545">
        <f>IF(A1083="Yes",0.04,0)</f>
        <v>0</v>
      </c>
    </row>
    <row r="1016" spans="1:51" ht="12.95" customHeight="1">
      <c r="A1016" s="14"/>
      <c r="B1016" s="59"/>
      <c r="C1016" s="2542"/>
      <c r="D1016" s="1447" t="s">
        <v>1758</v>
      </c>
      <c r="E1016" s="1448"/>
      <c r="F1016" s="1448"/>
      <c r="G1016" s="1448"/>
      <c r="H1016" s="1448"/>
      <c r="I1016" s="1448"/>
      <c r="J1016" s="1448"/>
      <c r="K1016" s="1448"/>
      <c r="L1016" s="1448"/>
      <c r="M1016" s="1448"/>
      <c r="N1016" s="1448"/>
      <c r="O1016" s="1448"/>
      <c r="P1016" s="1448"/>
      <c r="Q1016" s="1448"/>
      <c r="R1016" s="1448"/>
      <c r="S1016" s="1448"/>
      <c r="T1016" s="1448"/>
      <c r="U1016" s="1448"/>
      <c r="V1016" s="1448"/>
      <c r="W1016" s="1448"/>
      <c r="X1016" s="1448"/>
      <c r="Y1016" s="1448"/>
      <c r="Z1016" s="1448"/>
      <c r="AA1016" s="1448"/>
      <c r="AB1016" s="1448"/>
      <c r="AC1016" s="1448"/>
      <c r="AD1016" s="1448"/>
      <c r="AE1016" s="1449"/>
      <c r="AF1016" s="1601" t="str">
        <f>IF(AND(AG1015="Yes",AY1010=0),AY1022,"")</f>
        <v/>
      </c>
      <c r="AG1016" s="1602"/>
      <c r="AH1016" s="1602"/>
      <c r="AI1016" s="1603"/>
      <c r="AJ1016" s="1539"/>
      <c r="AK1016" s="1540"/>
      <c r="AL1016" s="1540"/>
      <c r="AM1016" s="1540"/>
      <c r="AN1016" s="1540"/>
      <c r="AO1016" s="1540"/>
      <c r="AP1016" s="1540"/>
      <c r="AQ1016" s="1541"/>
      <c r="AR1016" s="2517"/>
      <c r="AS1016" s="2517"/>
      <c r="AT1016" s="2517"/>
      <c r="AU1016" s="2517"/>
      <c r="AV1016" s="2517"/>
      <c r="AW1016" s="2517"/>
      <c r="AX1016" s="2517"/>
      <c r="AY1016" s="2545">
        <f>IF(A1086="Yes",0.01,0)</f>
        <v>0</v>
      </c>
    </row>
    <row r="1017" spans="1:51" ht="12.95" customHeight="1">
      <c r="A1017" s="14"/>
      <c r="B1017" s="59"/>
      <c r="C1017" s="2542"/>
      <c r="D1017" s="1447"/>
      <c r="E1017" s="1448"/>
      <c r="F1017" s="1448"/>
      <c r="G1017" s="1448"/>
      <c r="H1017" s="1448"/>
      <c r="I1017" s="1448"/>
      <c r="J1017" s="1448"/>
      <c r="K1017" s="1448"/>
      <c r="L1017" s="1448"/>
      <c r="M1017" s="1448"/>
      <c r="N1017" s="1448"/>
      <c r="O1017" s="1448"/>
      <c r="P1017" s="1448"/>
      <c r="Q1017" s="1448"/>
      <c r="R1017" s="1448"/>
      <c r="S1017" s="1448"/>
      <c r="T1017" s="1448"/>
      <c r="U1017" s="1448"/>
      <c r="V1017" s="1448"/>
      <c r="W1017" s="1448"/>
      <c r="X1017" s="1448"/>
      <c r="Y1017" s="1448"/>
      <c r="Z1017" s="1448"/>
      <c r="AA1017" s="1448"/>
      <c r="AB1017" s="1448"/>
      <c r="AC1017" s="1448"/>
      <c r="AD1017" s="1448"/>
      <c r="AE1017" s="1449"/>
      <c r="AF1017" s="1601"/>
      <c r="AG1017" s="1602"/>
      <c r="AH1017" s="1602"/>
      <c r="AI1017" s="1603"/>
      <c r="AJ1017" s="1539"/>
      <c r="AK1017" s="1540"/>
      <c r="AL1017" s="1540"/>
      <c r="AM1017" s="1540"/>
      <c r="AN1017" s="1540"/>
      <c r="AO1017" s="1540"/>
      <c r="AP1017" s="1540"/>
      <c r="AQ1017" s="1541"/>
      <c r="AR1017" s="2517"/>
      <c r="AS1017" s="2517"/>
      <c r="AT1017" s="2517"/>
      <c r="AU1017" s="2517"/>
      <c r="AV1017" s="2517"/>
      <c r="AW1017" s="2517"/>
      <c r="AX1017" s="2517"/>
      <c r="AY1017" s="2545">
        <f>IF(A1091="Yes",0.01,0)</f>
        <v>0</v>
      </c>
    </row>
    <row r="1018" spans="1:51" ht="12.95" customHeight="1">
      <c r="A1018" s="14"/>
      <c r="B1018" s="2546"/>
      <c r="C1018" s="2539"/>
      <c r="D1018" s="1450"/>
      <c r="E1018" s="1451"/>
      <c r="F1018" s="1451"/>
      <c r="G1018" s="1451"/>
      <c r="H1018" s="1451"/>
      <c r="I1018" s="1451"/>
      <c r="J1018" s="1451"/>
      <c r="K1018" s="1451"/>
      <c r="L1018" s="1451"/>
      <c r="M1018" s="1451"/>
      <c r="N1018" s="1451"/>
      <c r="O1018" s="1451"/>
      <c r="P1018" s="1451"/>
      <c r="Q1018" s="1451"/>
      <c r="R1018" s="1451"/>
      <c r="S1018" s="1451"/>
      <c r="T1018" s="1451"/>
      <c r="U1018" s="1451"/>
      <c r="V1018" s="1451"/>
      <c r="W1018" s="1451"/>
      <c r="X1018" s="1451"/>
      <c r="Y1018" s="1451"/>
      <c r="Z1018" s="1451"/>
      <c r="AA1018" s="1451"/>
      <c r="AB1018" s="1451"/>
      <c r="AC1018" s="1451"/>
      <c r="AD1018" s="1451"/>
      <c r="AE1018" s="1452"/>
      <c r="AF1018" s="1604"/>
      <c r="AG1018" s="1605"/>
      <c r="AH1018" s="1605"/>
      <c r="AI1018" s="1606"/>
      <c r="AJ1018" s="1542"/>
      <c r="AK1018" s="1543"/>
      <c r="AL1018" s="1543"/>
      <c r="AM1018" s="1543"/>
      <c r="AN1018" s="1543"/>
      <c r="AO1018" s="1543"/>
      <c r="AP1018" s="1543"/>
      <c r="AQ1018" s="1544"/>
      <c r="AR1018" s="2517"/>
      <c r="AS1018" s="2517"/>
      <c r="AT1018" s="2517"/>
      <c r="AU1018" s="2517"/>
      <c r="AV1018" s="2517"/>
      <c r="AW1018" s="2517"/>
      <c r="AX1018" s="2517"/>
      <c r="AY1018" s="2545">
        <f>IF(A1094="Yes",0.01,0)</f>
        <v>0</v>
      </c>
    </row>
    <row r="1019" spans="1:51" ht="12.95" customHeight="1">
      <c r="A1019" s="14"/>
      <c r="B1019" s="62"/>
      <c r="C1019" s="261" t="s">
        <v>1759</v>
      </c>
      <c r="D1019" s="1559" t="s">
        <v>1760</v>
      </c>
      <c r="E1019" s="1560"/>
      <c r="F1019" s="1560"/>
      <c r="G1019" s="1560"/>
      <c r="H1019" s="1560"/>
      <c r="I1019" s="1560"/>
      <c r="J1019" s="1560"/>
      <c r="K1019" s="1560"/>
      <c r="L1019" s="1560"/>
      <c r="M1019" s="1560"/>
      <c r="N1019" s="1560"/>
      <c r="O1019" s="1560"/>
      <c r="P1019" s="1560"/>
      <c r="Q1019" s="1560"/>
      <c r="R1019" s="1560"/>
      <c r="S1019" s="1560"/>
      <c r="T1019" s="1560"/>
      <c r="U1019" s="1560"/>
      <c r="V1019" s="1560"/>
      <c r="W1019" s="1560"/>
      <c r="X1019" s="1560"/>
      <c r="Y1019" s="1560"/>
      <c r="Z1019" s="1560"/>
      <c r="AA1019" s="1560"/>
      <c r="AB1019" s="1560"/>
      <c r="AC1019" s="1560"/>
      <c r="AD1019" s="1560"/>
      <c r="AE1019" s="1561"/>
      <c r="AF1019" s="62"/>
      <c r="AG1019" s="2537" t="s">
        <v>894</v>
      </c>
      <c r="AH1019" s="2538"/>
      <c r="AI1019" s="65"/>
      <c r="AJ1019" s="1536">
        <f>ROUND(IF(AND(AG1019="Yes",J1023&lt;&gt;"N/A",AF1022&lt;&gt;""),MIN(AF1022,(0.15*AJ991)),0),0)</f>
        <v>0</v>
      </c>
      <c r="AK1019" s="1537"/>
      <c r="AL1019" s="1537"/>
      <c r="AM1019" s="1537"/>
      <c r="AN1019" s="1537"/>
      <c r="AO1019" s="1537"/>
      <c r="AP1019" s="1537"/>
      <c r="AQ1019" s="1538"/>
      <c r="AR1019" s="2517"/>
      <c r="AS1019" s="2517"/>
      <c r="AT1019" s="2517"/>
      <c r="AU1019" s="2517"/>
      <c r="AV1019" s="2517"/>
      <c r="AW1019" s="2517"/>
      <c r="AX1019" s="2517"/>
      <c r="AY1019" s="2545">
        <f>IF(A1098="Yes",0.02,0)</f>
        <v>0</v>
      </c>
    </row>
    <row r="1020" spans="1:51" ht="12.95" customHeight="1">
      <c r="A1020" s="14"/>
      <c r="B1020" s="2546"/>
      <c r="C1020" s="2547"/>
      <c r="D1020" s="1562"/>
      <c r="E1020" s="1563"/>
      <c r="F1020" s="1563"/>
      <c r="G1020" s="1563"/>
      <c r="H1020" s="1563"/>
      <c r="I1020" s="1563"/>
      <c r="J1020" s="1563"/>
      <c r="K1020" s="1563"/>
      <c r="L1020" s="1563"/>
      <c r="M1020" s="1563"/>
      <c r="N1020" s="1563"/>
      <c r="O1020" s="1563"/>
      <c r="P1020" s="1563"/>
      <c r="Q1020" s="1563"/>
      <c r="R1020" s="1563"/>
      <c r="S1020" s="1563"/>
      <c r="T1020" s="1563"/>
      <c r="U1020" s="1563"/>
      <c r="V1020" s="1563"/>
      <c r="W1020" s="1563"/>
      <c r="X1020" s="1563"/>
      <c r="Y1020" s="1563"/>
      <c r="Z1020" s="1563"/>
      <c r="AA1020" s="1563"/>
      <c r="AB1020" s="1563"/>
      <c r="AC1020" s="1563"/>
      <c r="AD1020" s="1563"/>
      <c r="AE1020" s="1564"/>
      <c r="AF1020" s="1578" t="str">
        <f>IF(AG1019="yes","Please Select Type and Enter Amount:","")</f>
        <v/>
      </c>
      <c r="AG1020" s="1579"/>
      <c r="AH1020" s="1579"/>
      <c r="AI1020" s="1580"/>
      <c r="AJ1020" s="1539"/>
      <c r="AK1020" s="1540"/>
      <c r="AL1020" s="1540"/>
      <c r="AM1020" s="1540"/>
      <c r="AN1020" s="1540"/>
      <c r="AO1020" s="1540"/>
      <c r="AP1020" s="1540"/>
      <c r="AQ1020" s="1541"/>
      <c r="AR1020" s="2517"/>
      <c r="AS1020" s="2517"/>
      <c r="AT1020" s="2517"/>
      <c r="AU1020" s="2517"/>
      <c r="AV1020" s="2517"/>
      <c r="AW1020" s="2517"/>
      <c r="AX1020" s="2517"/>
      <c r="AY1020" s="785">
        <f>IF(A1103="Yes",0.02,0)</f>
        <v>0</v>
      </c>
    </row>
    <row r="1021" spans="1:51" ht="12.95" customHeight="1">
      <c r="A1021" s="14"/>
      <c r="B1021" s="2546"/>
      <c r="C1021" s="2547"/>
      <c r="D1021" s="1447" t="s">
        <v>1761</v>
      </c>
      <c r="E1021" s="1448"/>
      <c r="F1021" s="1448"/>
      <c r="G1021" s="1448"/>
      <c r="H1021" s="1448"/>
      <c r="I1021" s="1448"/>
      <c r="J1021" s="1448"/>
      <c r="K1021" s="1448"/>
      <c r="L1021" s="1448"/>
      <c r="M1021" s="1448"/>
      <c r="N1021" s="1448"/>
      <c r="O1021" s="1448"/>
      <c r="P1021" s="1448"/>
      <c r="Q1021" s="1448"/>
      <c r="R1021" s="1448"/>
      <c r="S1021" s="1448"/>
      <c r="T1021" s="1448"/>
      <c r="U1021" s="1448"/>
      <c r="V1021" s="1448"/>
      <c r="W1021" s="1448"/>
      <c r="X1021" s="1448"/>
      <c r="Y1021" s="1448"/>
      <c r="Z1021" s="1448"/>
      <c r="AA1021" s="1448"/>
      <c r="AB1021" s="1448"/>
      <c r="AC1021" s="1448"/>
      <c r="AD1021" s="1448"/>
      <c r="AE1021" s="1449"/>
      <c r="AF1021" s="1578"/>
      <c r="AG1021" s="1579"/>
      <c r="AH1021" s="1579"/>
      <c r="AI1021" s="1580"/>
      <c r="AJ1021" s="1539"/>
      <c r="AK1021" s="1540"/>
      <c r="AL1021" s="1540"/>
      <c r="AM1021" s="1540"/>
      <c r="AN1021" s="1540"/>
      <c r="AO1021" s="1540"/>
      <c r="AP1021" s="1540"/>
      <c r="AQ1021" s="1541"/>
      <c r="AR1021" s="2517"/>
      <c r="AS1021" s="2517"/>
      <c r="AT1021" s="2517"/>
      <c r="AU1021" s="2517"/>
      <c r="AV1021" s="2517"/>
      <c r="AW1021" s="2517"/>
      <c r="AX1021" s="2517"/>
      <c r="AY1021" s="2517"/>
    </row>
    <row r="1022" spans="1:51" ht="12.95" customHeight="1">
      <c r="A1022" s="14"/>
      <c r="B1022" s="2546"/>
      <c r="C1022" s="2547"/>
      <c r="D1022" s="1447"/>
      <c r="E1022" s="1448"/>
      <c r="F1022" s="1448"/>
      <c r="G1022" s="1448"/>
      <c r="H1022" s="1448"/>
      <c r="I1022" s="1448"/>
      <c r="J1022" s="1448"/>
      <c r="K1022" s="1448"/>
      <c r="L1022" s="1448"/>
      <c r="M1022" s="1448"/>
      <c r="N1022" s="1448"/>
      <c r="O1022" s="1448"/>
      <c r="P1022" s="1448"/>
      <c r="Q1022" s="1448"/>
      <c r="R1022" s="1448"/>
      <c r="S1022" s="1448"/>
      <c r="T1022" s="1448"/>
      <c r="U1022" s="1448"/>
      <c r="V1022" s="1448"/>
      <c r="W1022" s="1448"/>
      <c r="X1022" s="1448"/>
      <c r="Y1022" s="1448"/>
      <c r="Z1022" s="1448"/>
      <c r="AA1022" s="1448"/>
      <c r="AB1022" s="1448"/>
      <c r="AC1022" s="1448"/>
      <c r="AD1022" s="1448"/>
      <c r="AE1022" s="1449"/>
      <c r="AF1022" s="1527"/>
      <c r="AG1022" s="1527"/>
      <c r="AH1022" s="1527"/>
      <c r="AI1022" s="1527"/>
      <c r="AJ1022" s="1539"/>
      <c r="AK1022" s="1540"/>
      <c r="AL1022" s="1540"/>
      <c r="AM1022" s="1540"/>
      <c r="AN1022" s="1540"/>
      <c r="AO1022" s="1540"/>
      <c r="AP1022" s="1540"/>
      <c r="AQ1022" s="1541"/>
      <c r="AR1022" s="2517"/>
      <c r="AS1022" s="2517"/>
      <c r="AT1022" s="2517"/>
      <c r="AU1022" s="2517"/>
      <c r="AV1022" s="2517"/>
      <c r="AW1022" s="2517"/>
      <c r="AX1022" s="2517"/>
      <c r="AY1022" s="2517" t="str">
        <f>"Select items beginning on row #"&amp;TEXT(ROW(A1060),"#")&amp;" to claim this boost"</f>
        <v>Select items beginning on row #1060 to claim this boost</v>
      </c>
    </row>
    <row r="1023" spans="1:51" ht="12.95" customHeight="1">
      <c r="A1023" s="14"/>
      <c r="B1023" s="2546"/>
      <c r="C1023" s="2547"/>
      <c r="D1023" s="451" t="s">
        <v>1762</v>
      </c>
      <c r="E1023" s="67"/>
      <c r="F1023" s="67"/>
      <c r="G1023" s="818"/>
      <c r="H1023" s="818"/>
      <c r="I1023" s="42"/>
      <c r="J1023" s="1572" t="s">
        <v>299</v>
      </c>
      <c r="K1023" s="1573"/>
      <c r="L1023" s="1573"/>
      <c r="M1023" s="1573"/>
      <c r="N1023" s="1573"/>
      <c r="O1023" s="1573"/>
      <c r="P1023" s="1573"/>
      <c r="Q1023" s="1573"/>
      <c r="R1023" s="1573"/>
      <c r="S1023" s="1573"/>
      <c r="T1023" s="1573"/>
      <c r="U1023" s="1573"/>
      <c r="V1023" s="1573"/>
      <c r="W1023" s="1573"/>
      <c r="X1023" s="1573"/>
      <c r="Y1023" s="1573"/>
      <c r="Z1023" s="1573"/>
      <c r="AA1023" s="1573"/>
      <c r="AB1023" s="1573"/>
      <c r="AC1023" s="1573"/>
      <c r="AD1023" s="1573"/>
      <c r="AE1023" s="1574"/>
      <c r="AF1023" s="1527"/>
      <c r="AG1023" s="1527"/>
      <c r="AH1023" s="1527"/>
      <c r="AI1023" s="1527"/>
      <c r="AJ1023" s="1542"/>
      <c r="AK1023" s="1543"/>
      <c r="AL1023" s="1543"/>
      <c r="AM1023" s="1543"/>
      <c r="AN1023" s="1543"/>
      <c r="AO1023" s="1543"/>
      <c r="AP1023" s="1543"/>
      <c r="AQ1023" s="1544"/>
      <c r="AR1023" s="2517"/>
      <c r="AS1023" s="2517"/>
      <c r="AT1023" s="2517"/>
      <c r="AU1023" s="2517"/>
      <c r="AV1023" s="2517"/>
      <c r="AW1023" s="2517"/>
      <c r="AX1023" s="2517"/>
      <c r="AY1023" s="2517"/>
    </row>
    <row r="1024" spans="1:51" ht="12.95" customHeight="1">
      <c r="A1024" s="14"/>
      <c r="B1024" s="62"/>
      <c r="C1024" s="261" t="s">
        <v>1763</v>
      </c>
      <c r="D1024" s="1518" t="s">
        <v>1764</v>
      </c>
      <c r="E1024" s="1519"/>
      <c r="F1024" s="1519"/>
      <c r="G1024" s="1519"/>
      <c r="H1024" s="1519"/>
      <c r="I1024" s="1519"/>
      <c r="J1024" s="1519"/>
      <c r="K1024" s="1519"/>
      <c r="L1024" s="1519"/>
      <c r="M1024" s="1519"/>
      <c r="N1024" s="1519"/>
      <c r="O1024" s="1519"/>
      <c r="P1024" s="1519"/>
      <c r="Q1024" s="1519"/>
      <c r="R1024" s="1519"/>
      <c r="S1024" s="1519"/>
      <c r="T1024" s="1519"/>
      <c r="U1024" s="1519"/>
      <c r="V1024" s="1519"/>
      <c r="W1024" s="1519"/>
      <c r="X1024" s="1519"/>
      <c r="Y1024" s="1519"/>
      <c r="Z1024" s="1519"/>
      <c r="AA1024" s="1519"/>
      <c r="AB1024" s="1519"/>
      <c r="AC1024" s="1519"/>
      <c r="AD1024" s="1519"/>
      <c r="AE1024" s="1520"/>
      <c r="AF1024" s="62"/>
      <c r="AG1024" s="2537" t="s">
        <v>837</v>
      </c>
      <c r="AH1024" s="2538"/>
      <c r="AI1024" s="65"/>
      <c r="AJ1024" s="1536">
        <f>ROUND(IF(AG1024="Yes",AF1026,0),0)</f>
        <v>887409</v>
      </c>
      <c r="AK1024" s="1537"/>
      <c r="AL1024" s="1537"/>
      <c r="AM1024" s="1537"/>
      <c r="AN1024" s="1537"/>
      <c r="AO1024" s="1537"/>
      <c r="AP1024" s="1537"/>
      <c r="AQ1024" s="1538"/>
      <c r="AR1024" s="2517"/>
      <c r="AS1024" s="2517"/>
      <c r="AT1024" s="2517"/>
      <c r="AU1024" s="2517"/>
      <c r="AV1024" s="2517"/>
      <c r="AW1024" s="2517"/>
      <c r="AX1024" s="2517"/>
      <c r="AY1024" s="2517"/>
    </row>
    <row r="1025" spans="1:51" ht="12.95" customHeight="1">
      <c r="A1025" s="14"/>
      <c r="B1025" s="59"/>
      <c r="C1025" s="2542"/>
      <c r="D1025" s="1447" t="s">
        <v>1765</v>
      </c>
      <c r="E1025" s="1448"/>
      <c r="F1025" s="1448"/>
      <c r="G1025" s="1448"/>
      <c r="H1025" s="1448"/>
      <c r="I1025" s="1448"/>
      <c r="J1025" s="1448"/>
      <c r="K1025" s="1448"/>
      <c r="L1025" s="1448"/>
      <c r="M1025" s="1448"/>
      <c r="N1025" s="1448"/>
      <c r="O1025" s="1448"/>
      <c r="P1025" s="1448"/>
      <c r="Q1025" s="1448"/>
      <c r="R1025" s="1448"/>
      <c r="S1025" s="1448"/>
      <c r="T1025" s="1448"/>
      <c r="U1025" s="1448"/>
      <c r="V1025" s="1448"/>
      <c r="W1025" s="1448"/>
      <c r="X1025" s="1448"/>
      <c r="Y1025" s="1448"/>
      <c r="Z1025" s="1448"/>
      <c r="AA1025" s="1448"/>
      <c r="AB1025" s="1448"/>
      <c r="AC1025" s="1448"/>
      <c r="AD1025" s="1448"/>
      <c r="AE1025" s="1449"/>
      <c r="AF1025" s="1568" t="str">
        <f>IF(AG1024="yes","Enter Amount:","")</f>
        <v>Enter Amount:</v>
      </c>
      <c r="AG1025" s="1569"/>
      <c r="AH1025" s="1569"/>
      <c r="AI1025" s="1570"/>
      <c r="AJ1025" s="1539"/>
      <c r="AK1025" s="1540"/>
      <c r="AL1025" s="1540"/>
      <c r="AM1025" s="1540"/>
      <c r="AN1025" s="1540"/>
      <c r="AO1025" s="1540"/>
      <c r="AP1025" s="1540"/>
      <c r="AQ1025" s="1541"/>
      <c r="AR1025" s="2517"/>
      <c r="AS1025" s="2517"/>
      <c r="AT1025" s="2517"/>
      <c r="AU1025" s="2517"/>
      <c r="AV1025" s="2517"/>
      <c r="AW1025" s="2517"/>
      <c r="AX1025" s="2517"/>
      <c r="AY1025" s="2517"/>
    </row>
    <row r="1026" spans="1:51" ht="12.95" customHeight="1">
      <c r="A1026" s="14"/>
      <c r="B1026" s="59"/>
      <c r="C1026" s="2542"/>
      <c r="D1026" s="1447"/>
      <c r="E1026" s="1448"/>
      <c r="F1026" s="1448"/>
      <c r="G1026" s="1448"/>
      <c r="H1026" s="1448"/>
      <c r="I1026" s="1448"/>
      <c r="J1026" s="1448"/>
      <c r="K1026" s="1448"/>
      <c r="L1026" s="1448"/>
      <c r="M1026" s="1448"/>
      <c r="N1026" s="1448"/>
      <c r="O1026" s="1448"/>
      <c r="P1026" s="1448"/>
      <c r="Q1026" s="1448"/>
      <c r="R1026" s="1448"/>
      <c r="S1026" s="1448"/>
      <c r="T1026" s="1448"/>
      <c r="U1026" s="1448"/>
      <c r="V1026" s="1448"/>
      <c r="W1026" s="1448"/>
      <c r="X1026" s="1448"/>
      <c r="Y1026" s="1448"/>
      <c r="Z1026" s="1448"/>
      <c r="AA1026" s="1448"/>
      <c r="AB1026" s="1448"/>
      <c r="AC1026" s="1448"/>
      <c r="AD1026" s="1448"/>
      <c r="AE1026" s="1449"/>
      <c r="AF1026" s="1527">
        <v>887409</v>
      </c>
      <c r="AG1026" s="1527"/>
      <c r="AH1026" s="1527"/>
      <c r="AI1026" s="1527"/>
      <c r="AJ1026" s="1539"/>
      <c r="AK1026" s="1540"/>
      <c r="AL1026" s="1540"/>
      <c r="AM1026" s="1540"/>
      <c r="AN1026" s="1540"/>
      <c r="AO1026" s="1540"/>
      <c r="AP1026" s="1540"/>
      <c r="AQ1026" s="1541"/>
      <c r="AR1026" s="2517"/>
      <c r="AS1026" s="2517"/>
      <c r="AT1026" s="2517"/>
      <c r="AU1026" s="2517"/>
      <c r="AV1026" s="2517"/>
      <c r="AW1026" s="2517"/>
      <c r="AX1026" s="2517"/>
      <c r="AY1026" s="2517"/>
    </row>
    <row r="1027" spans="1:51" ht="12.95" customHeight="1">
      <c r="A1027" s="14"/>
      <c r="B1027" s="2543"/>
      <c r="C1027" s="2547"/>
      <c r="D1027" s="1450"/>
      <c r="E1027" s="1451"/>
      <c r="F1027" s="1451"/>
      <c r="G1027" s="1451"/>
      <c r="H1027" s="1451"/>
      <c r="I1027" s="1451"/>
      <c r="J1027" s="1451"/>
      <c r="K1027" s="1451"/>
      <c r="L1027" s="1451"/>
      <c r="M1027" s="1451"/>
      <c r="N1027" s="1451"/>
      <c r="O1027" s="1451"/>
      <c r="P1027" s="1451"/>
      <c r="Q1027" s="1451"/>
      <c r="R1027" s="1451"/>
      <c r="S1027" s="1451"/>
      <c r="T1027" s="1451"/>
      <c r="U1027" s="1451"/>
      <c r="V1027" s="1451"/>
      <c r="W1027" s="1451"/>
      <c r="X1027" s="1451"/>
      <c r="Y1027" s="1451"/>
      <c r="Z1027" s="1451"/>
      <c r="AA1027" s="1451"/>
      <c r="AB1027" s="1451"/>
      <c r="AC1027" s="1451"/>
      <c r="AD1027" s="1451"/>
      <c r="AE1027" s="1452"/>
      <c r="AF1027" s="1527"/>
      <c r="AG1027" s="1527"/>
      <c r="AH1027" s="1527"/>
      <c r="AI1027" s="1527"/>
      <c r="AJ1027" s="1542"/>
      <c r="AK1027" s="1543"/>
      <c r="AL1027" s="1543"/>
      <c r="AM1027" s="1543"/>
      <c r="AN1027" s="1543"/>
      <c r="AO1027" s="1543"/>
      <c r="AP1027" s="1543"/>
      <c r="AQ1027" s="1544"/>
      <c r="AR1027" s="2517"/>
      <c r="AS1027" s="2517"/>
      <c r="AT1027" s="2517"/>
      <c r="AU1027" s="2517"/>
      <c r="AV1027" s="2517"/>
      <c r="AW1027" s="2517"/>
      <c r="AX1027" s="2517"/>
      <c r="AY1027" s="2517"/>
    </row>
    <row r="1028" spans="1:51" ht="12.95" customHeight="1">
      <c r="A1028" s="14"/>
      <c r="B1028" s="62"/>
      <c r="C1028" s="261" t="s">
        <v>1766</v>
      </c>
      <c r="D1028" s="1548" t="s">
        <v>1767</v>
      </c>
      <c r="E1028" s="1549"/>
      <c r="F1028" s="1549"/>
      <c r="G1028" s="1549"/>
      <c r="H1028" s="1549"/>
      <c r="I1028" s="1549"/>
      <c r="J1028" s="1549"/>
      <c r="K1028" s="1549"/>
      <c r="L1028" s="1549"/>
      <c r="M1028" s="1549"/>
      <c r="N1028" s="1549"/>
      <c r="O1028" s="1549"/>
      <c r="P1028" s="1549"/>
      <c r="Q1028" s="1549"/>
      <c r="R1028" s="1549"/>
      <c r="S1028" s="1549"/>
      <c r="T1028" s="1549"/>
      <c r="U1028" s="1549"/>
      <c r="V1028" s="1549"/>
      <c r="W1028" s="1549"/>
      <c r="X1028" s="1549"/>
      <c r="Y1028" s="1549"/>
      <c r="Z1028" s="1549"/>
      <c r="AA1028" s="1549"/>
      <c r="AB1028" s="1549"/>
      <c r="AC1028" s="1549"/>
      <c r="AD1028" s="1549"/>
      <c r="AE1028" s="1550"/>
      <c r="AF1028" s="62"/>
      <c r="AG1028" s="2537" t="s">
        <v>894</v>
      </c>
      <c r="AH1028" s="2538"/>
      <c r="AI1028" s="65"/>
      <c r="AJ1028" s="1536">
        <f>ROUND(IF(AG1028="yes",(AJ991*0.1),0),0)</f>
        <v>0</v>
      </c>
      <c r="AK1028" s="1537"/>
      <c r="AL1028" s="1537"/>
      <c r="AM1028" s="1537"/>
      <c r="AN1028" s="1537"/>
      <c r="AO1028" s="1537"/>
      <c r="AP1028" s="1537"/>
      <c r="AQ1028" s="1538"/>
      <c r="AR1028" s="2517"/>
      <c r="AS1028" s="2517"/>
      <c r="AT1028" s="2517"/>
      <c r="AU1028" s="2517"/>
      <c r="AV1028" s="2517"/>
      <c r="AW1028" s="2517"/>
      <c r="AX1028" s="2517"/>
      <c r="AY1028" s="2517"/>
    </row>
    <row r="1029" spans="1:51" ht="12.95" customHeight="1">
      <c r="A1029" s="14"/>
      <c r="B1029" s="59"/>
      <c r="C1029" s="2542"/>
      <c r="D1029" s="1447" t="s">
        <v>1768</v>
      </c>
      <c r="E1029" s="1448"/>
      <c r="F1029" s="1448"/>
      <c r="G1029" s="1448"/>
      <c r="H1029" s="1448"/>
      <c r="I1029" s="1448"/>
      <c r="J1029" s="1448"/>
      <c r="K1029" s="1448"/>
      <c r="L1029" s="1448"/>
      <c r="M1029" s="1448"/>
      <c r="N1029" s="1448"/>
      <c r="O1029" s="1448"/>
      <c r="P1029" s="1448"/>
      <c r="Q1029" s="1448"/>
      <c r="R1029" s="1448"/>
      <c r="S1029" s="1448"/>
      <c r="T1029" s="1448"/>
      <c r="U1029" s="1448"/>
      <c r="V1029" s="1448"/>
      <c r="W1029" s="1448"/>
      <c r="X1029" s="1448"/>
      <c r="Y1029" s="1448"/>
      <c r="Z1029" s="1448"/>
      <c r="AA1029" s="1448"/>
      <c r="AB1029" s="1448"/>
      <c r="AC1029" s="1448"/>
      <c r="AD1029" s="1448"/>
      <c r="AE1029" s="1449"/>
      <c r="AF1029" s="59"/>
      <c r="AG1029" s="14"/>
      <c r="AH1029" s="14"/>
      <c r="AI1029" s="63"/>
      <c r="AJ1029" s="1539"/>
      <c r="AK1029" s="1540"/>
      <c r="AL1029" s="1540"/>
      <c r="AM1029" s="1540"/>
      <c r="AN1029" s="1540"/>
      <c r="AO1029" s="1540"/>
      <c r="AP1029" s="1540"/>
      <c r="AQ1029" s="1541"/>
      <c r="AR1029" s="2517"/>
      <c r="AS1029" s="2517"/>
      <c r="AT1029" s="2517"/>
      <c r="AU1029" s="2517"/>
      <c r="AV1029" s="2517"/>
      <c r="AW1029" s="2517"/>
      <c r="AX1029" s="2517"/>
      <c r="AY1029" s="2517"/>
    </row>
    <row r="1030" spans="1:51" ht="12.95" customHeight="1">
      <c r="A1030" s="14"/>
      <c r="B1030" s="60"/>
      <c r="C1030" s="2542"/>
      <c r="D1030" s="1450"/>
      <c r="E1030" s="1451"/>
      <c r="F1030" s="1451"/>
      <c r="G1030" s="1451"/>
      <c r="H1030" s="1451"/>
      <c r="I1030" s="1451"/>
      <c r="J1030" s="1451"/>
      <c r="K1030" s="1451"/>
      <c r="L1030" s="1451"/>
      <c r="M1030" s="1451"/>
      <c r="N1030" s="1451"/>
      <c r="O1030" s="1451"/>
      <c r="P1030" s="1451"/>
      <c r="Q1030" s="1451"/>
      <c r="R1030" s="1451"/>
      <c r="S1030" s="1451"/>
      <c r="T1030" s="1451"/>
      <c r="U1030" s="1451"/>
      <c r="V1030" s="1451"/>
      <c r="W1030" s="1451"/>
      <c r="X1030" s="1451"/>
      <c r="Y1030" s="1451"/>
      <c r="Z1030" s="1451"/>
      <c r="AA1030" s="1451"/>
      <c r="AB1030" s="1451"/>
      <c r="AC1030" s="1451"/>
      <c r="AD1030" s="1451"/>
      <c r="AE1030" s="1452"/>
      <c r="AF1030" s="59"/>
      <c r="AG1030" s="14"/>
      <c r="AH1030" s="14"/>
      <c r="AI1030" s="63"/>
      <c r="AJ1030" s="1542"/>
      <c r="AK1030" s="1543"/>
      <c r="AL1030" s="1543"/>
      <c r="AM1030" s="1543"/>
      <c r="AN1030" s="1543"/>
      <c r="AO1030" s="1543"/>
      <c r="AP1030" s="1543"/>
      <c r="AQ1030" s="1544"/>
      <c r="AR1030" s="2517"/>
      <c r="AS1030" s="2517"/>
      <c r="AT1030" s="2517"/>
      <c r="AU1030" s="2517"/>
      <c r="AV1030" s="2517"/>
      <c r="AW1030" s="2517"/>
      <c r="AX1030" s="2517"/>
      <c r="AY1030" s="2517"/>
    </row>
    <row r="1031" spans="1:51" ht="12.95" customHeight="1">
      <c r="A1031" s="14"/>
      <c r="B1031" s="59"/>
      <c r="C1031" s="261" t="s">
        <v>21</v>
      </c>
      <c r="D1031" s="1518" t="s">
        <v>1769</v>
      </c>
      <c r="E1031" s="1519"/>
      <c r="F1031" s="1519"/>
      <c r="G1031" s="1519"/>
      <c r="H1031" s="1519"/>
      <c r="I1031" s="1519"/>
      <c r="J1031" s="1519"/>
      <c r="K1031" s="1519"/>
      <c r="L1031" s="1519"/>
      <c r="M1031" s="1519"/>
      <c r="N1031" s="1519"/>
      <c r="O1031" s="1519"/>
      <c r="P1031" s="1519"/>
      <c r="Q1031" s="1519"/>
      <c r="R1031" s="1519"/>
      <c r="S1031" s="1519"/>
      <c r="T1031" s="1519"/>
      <c r="U1031" s="1519"/>
      <c r="V1031" s="1519"/>
      <c r="W1031" s="1519"/>
      <c r="X1031" s="1519"/>
      <c r="Y1031" s="1519"/>
      <c r="Z1031" s="1519"/>
      <c r="AA1031" s="1519"/>
      <c r="AB1031" s="1519"/>
      <c r="AC1031" s="1519"/>
      <c r="AD1031" s="1519"/>
      <c r="AE1031" s="1520"/>
      <c r="AF1031" s="62"/>
      <c r="AG1031" s="2537" t="s">
        <v>894</v>
      </c>
      <c r="AH1031" s="2538"/>
      <c r="AI1031" s="65"/>
      <c r="AJ1031" s="1536">
        <f>ROUND(IF(AG1031="yes",(AJ991*0.15),0),0)</f>
        <v>0</v>
      </c>
      <c r="AK1031" s="1537"/>
      <c r="AL1031" s="1537"/>
      <c r="AM1031" s="1537"/>
      <c r="AN1031" s="1537"/>
      <c r="AO1031" s="1537"/>
      <c r="AP1031" s="1537"/>
      <c r="AQ1031" s="1538"/>
      <c r="AR1031" s="2517"/>
      <c r="AS1031" s="2517"/>
      <c r="AT1031" s="2517"/>
      <c r="AU1031" s="2517"/>
      <c r="AV1031" s="2517"/>
      <c r="AW1031" s="2517"/>
      <c r="AX1031" s="2517"/>
      <c r="AY1031" s="2517"/>
    </row>
    <row r="1032" spans="1:51" ht="12.95" customHeight="1">
      <c r="A1032" s="14"/>
      <c r="B1032" s="59"/>
      <c r="C1032" s="2542"/>
      <c r="D1032" s="1531" t="s">
        <v>1770</v>
      </c>
      <c r="E1032" s="1153"/>
      <c r="F1032" s="1153"/>
      <c r="G1032" s="1153"/>
      <c r="H1032" s="1153"/>
      <c r="I1032" s="1153"/>
      <c r="J1032" s="1153"/>
      <c r="K1032" s="1153"/>
      <c r="L1032" s="1153"/>
      <c r="M1032" s="1153"/>
      <c r="N1032" s="1153"/>
      <c r="O1032" s="1153"/>
      <c r="P1032" s="1153"/>
      <c r="Q1032" s="1153"/>
      <c r="R1032" s="1153"/>
      <c r="S1032" s="1153"/>
      <c r="T1032" s="1153"/>
      <c r="U1032" s="1153"/>
      <c r="V1032" s="1153"/>
      <c r="W1032" s="1153"/>
      <c r="X1032" s="1153"/>
      <c r="Y1032" s="1153"/>
      <c r="Z1032" s="1153"/>
      <c r="AA1032" s="1153"/>
      <c r="AB1032" s="1153"/>
      <c r="AC1032" s="1153"/>
      <c r="AD1032" s="1153"/>
      <c r="AE1032" s="1532"/>
      <c r="AF1032" s="837"/>
      <c r="AG1032" s="838"/>
      <c r="AH1032" s="838"/>
      <c r="AI1032" s="839"/>
      <c r="AJ1032" s="1539"/>
      <c r="AK1032" s="1540"/>
      <c r="AL1032" s="1540"/>
      <c r="AM1032" s="1540"/>
      <c r="AN1032" s="1540"/>
      <c r="AO1032" s="1540"/>
      <c r="AP1032" s="1540"/>
      <c r="AQ1032" s="1541"/>
      <c r="AR1032" s="2517"/>
      <c r="AS1032" s="2517"/>
      <c r="AT1032" s="2517"/>
      <c r="AU1032" s="2517"/>
      <c r="AV1032" s="2517"/>
      <c r="AW1032" s="2517"/>
      <c r="AX1032" s="2517"/>
      <c r="AY1032" s="2517"/>
    </row>
    <row r="1033" spans="1:51" ht="12.95" customHeight="1">
      <c r="A1033" s="14"/>
      <c r="B1033" s="59"/>
      <c r="C1033" s="2542"/>
      <c r="D1033" s="1531"/>
      <c r="E1033" s="1153"/>
      <c r="F1033" s="1153"/>
      <c r="G1033" s="1153"/>
      <c r="H1033" s="1153"/>
      <c r="I1033" s="1153"/>
      <c r="J1033" s="1153"/>
      <c r="K1033" s="1153"/>
      <c r="L1033" s="1153"/>
      <c r="M1033" s="1153"/>
      <c r="N1033" s="1153"/>
      <c r="O1033" s="1153"/>
      <c r="P1033" s="1153"/>
      <c r="Q1033" s="1153"/>
      <c r="R1033" s="1153"/>
      <c r="S1033" s="1153"/>
      <c r="T1033" s="1153"/>
      <c r="U1033" s="1153"/>
      <c r="V1033" s="1153"/>
      <c r="W1033" s="1153"/>
      <c r="X1033" s="1153"/>
      <c r="Y1033" s="1153"/>
      <c r="Z1033" s="1153"/>
      <c r="AA1033" s="1153"/>
      <c r="AB1033" s="1153"/>
      <c r="AC1033" s="1153"/>
      <c r="AD1033" s="1153"/>
      <c r="AE1033" s="1532"/>
      <c r="AF1033" s="837"/>
      <c r="AG1033" s="838"/>
      <c r="AH1033" s="838"/>
      <c r="AI1033" s="839"/>
      <c r="AJ1033" s="1539"/>
      <c r="AK1033" s="1540"/>
      <c r="AL1033" s="1540"/>
      <c r="AM1033" s="1540"/>
      <c r="AN1033" s="1540"/>
      <c r="AO1033" s="1540"/>
      <c r="AP1033" s="1540"/>
      <c r="AQ1033" s="1541"/>
      <c r="AR1033" s="2517"/>
      <c r="AS1033" s="2517"/>
      <c r="AT1033" s="2517"/>
      <c r="AU1033" s="2517"/>
      <c r="AV1033" s="2517"/>
      <c r="AW1033" s="2517"/>
      <c r="AX1033" s="2517"/>
      <c r="AY1033" s="2517"/>
    </row>
    <row r="1034" spans="1:51" ht="12.95" customHeight="1">
      <c r="A1034" s="14"/>
      <c r="B1034" s="59"/>
      <c r="C1034" s="2542"/>
      <c r="D1034" s="1533"/>
      <c r="E1034" s="1534"/>
      <c r="F1034" s="1534"/>
      <c r="G1034" s="1534"/>
      <c r="H1034" s="1534"/>
      <c r="I1034" s="1534"/>
      <c r="J1034" s="1534"/>
      <c r="K1034" s="1534"/>
      <c r="L1034" s="1534"/>
      <c r="M1034" s="1534"/>
      <c r="N1034" s="1534"/>
      <c r="O1034" s="1534"/>
      <c r="P1034" s="1534"/>
      <c r="Q1034" s="1534"/>
      <c r="R1034" s="1534"/>
      <c r="S1034" s="1534"/>
      <c r="T1034" s="1534"/>
      <c r="U1034" s="1534"/>
      <c r="V1034" s="1534"/>
      <c r="W1034" s="1534"/>
      <c r="X1034" s="1534"/>
      <c r="Y1034" s="1534"/>
      <c r="Z1034" s="1534"/>
      <c r="AA1034" s="1534"/>
      <c r="AB1034" s="1534"/>
      <c r="AC1034" s="1534"/>
      <c r="AD1034" s="1534"/>
      <c r="AE1034" s="1535"/>
      <c r="AF1034" s="840"/>
      <c r="AG1034" s="841"/>
      <c r="AH1034" s="841"/>
      <c r="AI1034" s="842"/>
      <c r="AJ1034" s="1542"/>
      <c r="AK1034" s="1543"/>
      <c r="AL1034" s="1543"/>
      <c r="AM1034" s="1543"/>
      <c r="AN1034" s="1543"/>
      <c r="AO1034" s="1543"/>
      <c r="AP1034" s="1543"/>
      <c r="AQ1034" s="1544"/>
      <c r="AR1034" s="2517"/>
      <c r="AS1034" s="2517"/>
      <c r="AT1034" s="2517"/>
      <c r="AU1034" s="2517"/>
      <c r="AV1034" s="2517"/>
      <c r="AW1034" s="2517"/>
      <c r="AX1034" s="2517"/>
      <c r="AY1034" s="2517"/>
    </row>
    <row r="1035" spans="1:51" ht="12.95" customHeight="1">
      <c r="A1035" s="14"/>
      <c r="B1035" s="59"/>
      <c r="C1035" s="261" t="s">
        <v>21</v>
      </c>
      <c r="D1035" s="1548" t="s">
        <v>1771</v>
      </c>
      <c r="E1035" s="1549"/>
      <c r="F1035" s="1549"/>
      <c r="G1035" s="1549"/>
      <c r="H1035" s="1549"/>
      <c r="I1035" s="1549"/>
      <c r="J1035" s="1549"/>
      <c r="K1035" s="1549"/>
      <c r="L1035" s="1549"/>
      <c r="M1035" s="1549"/>
      <c r="N1035" s="1549"/>
      <c r="O1035" s="1549"/>
      <c r="P1035" s="1549"/>
      <c r="Q1035" s="1549"/>
      <c r="R1035" s="1549"/>
      <c r="S1035" s="1549"/>
      <c r="T1035" s="1549"/>
      <c r="U1035" s="1549"/>
      <c r="V1035" s="1549"/>
      <c r="W1035" s="1549"/>
      <c r="X1035" s="1549"/>
      <c r="Y1035" s="1549"/>
      <c r="Z1035" s="1549"/>
      <c r="AA1035" s="1549"/>
      <c r="AB1035" s="1549"/>
      <c r="AC1035" s="1549"/>
      <c r="AD1035" s="1549"/>
      <c r="AE1035" s="1550"/>
      <c r="AF1035" s="59"/>
      <c r="AG1035" s="2548" t="s">
        <v>837</v>
      </c>
      <c r="AH1035" s="2549"/>
      <c r="AI1035" s="63"/>
      <c r="AJ1035" s="1536">
        <f>ROUND(IF(AND(AG1035="yes",AJ1031=0),(AJ991*0.1),0),0)</f>
        <v>2422009</v>
      </c>
      <c r="AK1035" s="1537"/>
      <c r="AL1035" s="1537"/>
      <c r="AM1035" s="1537"/>
      <c r="AN1035" s="1537"/>
      <c r="AO1035" s="1537"/>
      <c r="AP1035" s="1537"/>
      <c r="AQ1035" s="1538"/>
      <c r="AR1035" s="2517"/>
      <c r="AS1035" s="2517"/>
      <c r="AT1035" s="2517"/>
      <c r="AU1035" s="2517"/>
      <c r="AV1035" s="2517"/>
      <c r="AW1035" s="2517"/>
      <c r="AX1035" s="2517"/>
      <c r="AY1035" s="2517"/>
    </row>
    <row r="1036" spans="1:51" ht="12.95" customHeight="1">
      <c r="A1036" s="14"/>
      <c r="B1036" s="59"/>
      <c r="C1036" s="2542"/>
      <c r="D1036" s="1531" t="s">
        <v>1772</v>
      </c>
      <c r="E1036" s="1153"/>
      <c r="F1036" s="1153"/>
      <c r="G1036" s="1153"/>
      <c r="H1036" s="1153"/>
      <c r="I1036" s="1153"/>
      <c r="J1036" s="1153"/>
      <c r="K1036" s="1153"/>
      <c r="L1036" s="1153"/>
      <c r="M1036" s="1153"/>
      <c r="N1036" s="1153"/>
      <c r="O1036" s="1153"/>
      <c r="P1036" s="1153"/>
      <c r="Q1036" s="1153"/>
      <c r="R1036" s="1153"/>
      <c r="S1036" s="1153"/>
      <c r="T1036" s="1153"/>
      <c r="U1036" s="1153"/>
      <c r="V1036" s="1153"/>
      <c r="W1036" s="1153"/>
      <c r="X1036" s="1153"/>
      <c r="Y1036" s="1153"/>
      <c r="Z1036" s="1153"/>
      <c r="AA1036" s="1153"/>
      <c r="AB1036" s="1153"/>
      <c r="AC1036" s="1153"/>
      <c r="AD1036" s="1153"/>
      <c r="AE1036" s="1532"/>
      <c r="AF1036" s="59"/>
      <c r="AG1036" s="14"/>
      <c r="AH1036" s="14"/>
      <c r="AI1036" s="63"/>
      <c r="AJ1036" s="1539"/>
      <c r="AK1036" s="1540"/>
      <c r="AL1036" s="1540"/>
      <c r="AM1036" s="1540"/>
      <c r="AN1036" s="1540"/>
      <c r="AO1036" s="1540"/>
      <c r="AP1036" s="1540"/>
      <c r="AQ1036" s="1541"/>
      <c r="AR1036" s="2517"/>
      <c r="AS1036" s="2517"/>
      <c r="AT1036" s="2517"/>
      <c r="AU1036" s="2517"/>
      <c r="AV1036" s="2517"/>
      <c r="AW1036" s="2517"/>
      <c r="AX1036" s="2517"/>
      <c r="AY1036" s="2517"/>
    </row>
    <row r="1037" spans="1:51" ht="12.95" customHeight="1">
      <c r="A1037" s="14"/>
      <c r="B1037" s="59"/>
      <c r="C1037" s="2542"/>
      <c r="D1037" s="1531"/>
      <c r="E1037" s="1153"/>
      <c r="F1037" s="1153"/>
      <c r="G1037" s="1153"/>
      <c r="H1037" s="1153"/>
      <c r="I1037" s="1153"/>
      <c r="J1037" s="1153"/>
      <c r="K1037" s="1153"/>
      <c r="L1037" s="1153"/>
      <c r="M1037" s="1153"/>
      <c r="N1037" s="1153"/>
      <c r="O1037" s="1153"/>
      <c r="P1037" s="1153"/>
      <c r="Q1037" s="1153"/>
      <c r="R1037" s="1153"/>
      <c r="S1037" s="1153"/>
      <c r="T1037" s="1153"/>
      <c r="U1037" s="1153"/>
      <c r="V1037" s="1153"/>
      <c r="W1037" s="1153"/>
      <c r="X1037" s="1153"/>
      <c r="Y1037" s="1153"/>
      <c r="Z1037" s="1153"/>
      <c r="AA1037" s="1153"/>
      <c r="AB1037" s="1153"/>
      <c r="AC1037" s="1153"/>
      <c r="AD1037" s="1153"/>
      <c r="AE1037" s="1532"/>
      <c r="AF1037" s="59"/>
      <c r="AG1037" s="14"/>
      <c r="AH1037" s="14"/>
      <c r="AI1037" s="63"/>
      <c r="AJ1037" s="1539"/>
      <c r="AK1037" s="1540"/>
      <c r="AL1037" s="1540"/>
      <c r="AM1037" s="1540"/>
      <c r="AN1037" s="1540"/>
      <c r="AO1037" s="1540"/>
      <c r="AP1037" s="1540"/>
      <c r="AQ1037" s="1541"/>
      <c r="AR1037" s="2517"/>
      <c r="AS1037" s="2517"/>
      <c r="AT1037" s="2517"/>
      <c r="AU1037" s="2517"/>
      <c r="AV1037" s="2517"/>
      <c r="AW1037" s="2517"/>
      <c r="AX1037" s="2517"/>
      <c r="AY1037" s="2517"/>
    </row>
    <row r="1038" spans="1:51" ht="12.95" customHeight="1">
      <c r="A1038" s="14"/>
      <c r="B1038" s="59"/>
      <c r="C1038" s="2542"/>
      <c r="D1038" s="1531"/>
      <c r="E1038" s="1153"/>
      <c r="F1038" s="1153"/>
      <c r="G1038" s="1153"/>
      <c r="H1038" s="1153"/>
      <c r="I1038" s="1153"/>
      <c r="J1038" s="1153"/>
      <c r="K1038" s="1153"/>
      <c r="L1038" s="1153"/>
      <c r="M1038" s="1153"/>
      <c r="N1038" s="1153"/>
      <c r="O1038" s="1153"/>
      <c r="P1038" s="1153"/>
      <c r="Q1038" s="1153"/>
      <c r="R1038" s="1153"/>
      <c r="S1038" s="1153"/>
      <c r="T1038" s="1153"/>
      <c r="U1038" s="1153"/>
      <c r="V1038" s="1153"/>
      <c r="W1038" s="1153"/>
      <c r="X1038" s="1153"/>
      <c r="Y1038" s="1153"/>
      <c r="Z1038" s="1153"/>
      <c r="AA1038" s="1153"/>
      <c r="AB1038" s="1153"/>
      <c r="AC1038" s="1153"/>
      <c r="AD1038" s="1153"/>
      <c r="AE1038" s="1532"/>
      <c r="AF1038" s="59"/>
      <c r="AG1038" s="14"/>
      <c r="AH1038" s="14"/>
      <c r="AI1038" s="63"/>
      <c r="AJ1038" s="1539"/>
      <c r="AK1038" s="1540"/>
      <c r="AL1038" s="1540"/>
      <c r="AM1038" s="1540"/>
      <c r="AN1038" s="1540"/>
      <c r="AO1038" s="1540"/>
      <c r="AP1038" s="1540"/>
      <c r="AQ1038" s="1541"/>
      <c r="AR1038" s="2517"/>
      <c r="AS1038" s="2517"/>
      <c r="AT1038" s="2517"/>
      <c r="AU1038" s="2517"/>
      <c r="AV1038" s="2517"/>
      <c r="AW1038" s="2517"/>
      <c r="AX1038" s="2517"/>
      <c r="AY1038" s="2517"/>
    </row>
    <row r="1039" spans="1:51" ht="12.95" customHeight="1">
      <c r="A1039" s="14"/>
      <c r="B1039" s="59"/>
      <c r="C1039" s="2542"/>
      <c r="D1039" s="1533"/>
      <c r="E1039" s="1534"/>
      <c r="F1039" s="1534"/>
      <c r="G1039" s="1534"/>
      <c r="H1039" s="1534"/>
      <c r="I1039" s="1534"/>
      <c r="J1039" s="1534"/>
      <c r="K1039" s="1534"/>
      <c r="L1039" s="1534"/>
      <c r="M1039" s="1534"/>
      <c r="N1039" s="1534"/>
      <c r="O1039" s="1534"/>
      <c r="P1039" s="1534"/>
      <c r="Q1039" s="1534"/>
      <c r="R1039" s="1534"/>
      <c r="S1039" s="1534"/>
      <c r="T1039" s="1534"/>
      <c r="U1039" s="1534"/>
      <c r="V1039" s="1534"/>
      <c r="W1039" s="1534"/>
      <c r="X1039" s="1534"/>
      <c r="Y1039" s="1534"/>
      <c r="Z1039" s="1534"/>
      <c r="AA1039" s="1534"/>
      <c r="AB1039" s="1534"/>
      <c r="AC1039" s="1534"/>
      <c r="AD1039" s="1534"/>
      <c r="AE1039" s="1535"/>
      <c r="AF1039" s="59"/>
      <c r="AG1039" s="14"/>
      <c r="AH1039" s="14"/>
      <c r="AI1039" s="63"/>
      <c r="AJ1039" s="1539"/>
      <c r="AK1039" s="1540"/>
      <c r="AL1039" s="1540"/>
      <c r="AM1039" s="1540"/>
      <c r="AN1039" s="1540"/>
      <c r="AO1039" s="1540"/>
      <c r="AP1039" s="1540"/>
      <c r="AQ1039" s="1541"/>
      <c r="AR1039" s="2517"/>
      <c r="AS1039" s="2517"/>
      <c r="AT1039" s="2517"/>
      <c r="AU1039" s="2517"/>
      <c r="AV1039" s="2517"/>
      <c r="AW1039" s="2517"/>
      <c r="AX1039" s="2517"/>
      <c r="AY1039" s="2517"/>
    </row>
    <row r="1040" spans="1:51" ht="12.95" customHeight="1">
      <c r="A1040" s="14"/>
      <c r="B1040" s="62"/>
      <c r="C1040" s="97" t="s">
        <v>1773</v>
      </c>
      <c r="D1040" s="1518" t="s">
        <v>1774</v>
      </c>
      <c r="E1040" s="1519"/>
      <c r="F1040" s="1519"/>
      <c r="G1040" s="1519"/>
      <c r="H1040" s="1519"/>
      <c r="I1040" s="1519"/>
      <c r="J1040" s="1519"/>
      <c r="K1040" s="1519"/>
      <c r="L1040" s="1519"/>
      <c r="M1040" s="1519"/>
      <c r="N1040" s="1519"/>
      <c r="O1040" s="1519"/>
      <c r="P1040" s="1519"/>
      <c r="Q1040" s="1519"/>
      <c r="R1040" s="1519"/>
      <c r="S1040" s="1519"/>
      <c r="T1040" s="1519"/>
      <c r="U1040" s="1519"/>
      <c r="V1040" s="1519"/>
      <c r="W1040" s="1519"/>
      <c r="X1040" s="1519"/>
      <c r="Y1040" s="1519"/>
      <c r="Z1040" s="1519"/>
      <c r="AA1040" s="1519"/>
      <c r="AB1040" s="1519"/>
      <c r="AC1040" s="1519"/>
      <c r="AD1040" s="1519"/>
      <c r="AE1040" s="1520"/>
      <c r="AF1040" s="62"/>
      <c r="AG1040" s="2537" t="s">
        <v>894</v>
      </c>
      <c r="AH1040" s="2538"/>
      <c r="AI1040" s="65"/>
      <c r="AJ1040" s="1536">
        <f>ROUND(IF(AG1040="yes",(AJ991*0.1),0),0)</f>
        <v>0</v>
      </c>
      <c r="AK1040" s="1537"/>
      <c r="AL1040" s="1537"/>
      <c r="AM1040" s="1537"/>
      <c r="AN1040" s="1537"/>
      <c r="AO1040" s="1537"/>
      <c r="AP1040" s="1537"/>
      <c r="AQ1040" s="1538"/>
      <c r="AR1040" s="2517"/>
      <c r="AS1040" s="2517"/>
      <c r="AT1040" s="2517"/>
      <c r="AU1040" s="2517"/>
      <c r="AV1040" s="2517"/>
      <c r="AW1040" s="2517"/>
      <c r="AX1040" s="2517"/>
      <c r="AY1040" s="2517"/>
    </row>
    <row r="1041" spans="1:51" ht="12.95" customHeight="1">
      <c r="A1041" s="14"/>
      <c r="B1041" s="59"/>
      <c r="C1041" s="2542"/>
      <c r="D1041" s="1447" t="s">
        <v>1775</v>
      </c>
      <c r="E1041" s="1448"/>
      <c r="F1041" s="1448"/>
      <c r="G1041" s="1448"/>
      <c r="H1041" s="1448"/>
      <c r="I1041" s="1448"/>
      <c r="J1041" s="1448"/>
      <c r="K1041" s="1448"/>
      <c r="L1041" s="1448"/>
      <c r="M1041" s="1448"/>
      <c r="N1041" s="1448"/>
      <c r="O1041" s="1448"/>
      <c r="P1041" s="1448"/>
      <c r="Q1041" s="1448"/>
      <c r="R1041" s="1448"/>
      <c r="S1041" s="1448"/>
      <c r="T1041" s="1448"/>
      <c r="U1041" s="1448"/>
      <c r="V1041" s="1448"/>
      <c r="W1041" s="1448"/>
      <c r="X1041" s="1448"/>
      <c r="Y1041" s="1448"/>
      <c r="Z1041" s="1448"/>
      <c r="AA1041" s="1448"/>
      <c r="AB1041" s="1448"/>
      <c r="AC1041" s="1448"/>
      <c r="AD1041" s="1448"/>
      <c r="AE1041" s="1449"/>
      <c r="AF1041" s="59"/>
      <c r="AG1041" s="14"/>
      <c r="AH1041" s="14"/>
      <c r="AI1041" s="63"/>
      <c r="AJ1041" s="1539"/>
      <c r="AK1041" s="1540"/>
      <c r="AL1041" s="1540"/>
      <c r="AM1041" s="1540"/>
      <c r="AN1041" s="1540"/>
      <c r="AO1041" s="1540"/>
      <c r="AP1041" s="1540"/>
      <c r="AQ1041" s="1541"/>
      <c r="AR1041" s="2517"/>
      <c r="AS1041" s="2517"/>
      <c r="AT1041" s="2517"/>
      <c r="AU1041" s="2517"/>
      <c r="AV1041" s="2517"/>
      <c r="AW1041" s="2517"/>
      <c r="AX1041" s="2517"/>
      <c r="AY1041" s="2517"/>
    </row>
    <row r="1042" spans="1:51" ht="12.95" customHeight="1">
      <c r="A1042" s="14"/>
      <c r="B1042" s="59"/>
      <c r="C1042" s="2542"/>
      <c r="D1042" s="1447"/>
      <c r="E1042" s="1448"/>
      <c r="F1042" s="1448"/>
      <c r="G1042" s="1448"/>
      <c r="H1042" s="1448"/>
      <c r="I1042" s="1448"/>
      <c r="J1042" s="1448"/>
      <c r="K1042" s="1448"/>
      <c r="L1042" s="1448"/>
      <c r="M1042" s="1448"/>
      <c r="N1042" s="1448"/>
      <c r="O1042" s="1448"/>
      <c r="P1042" s="1448"/>
      <c r="Q1042" s="1448"/>
      <c r="R1042" s="1448"/>
      <c r="S1042" s="1448"/>
      <c r="T1042" s="1448"/>
      <c r="U1042" s="1448"/>
      <c r="V1042" s="1448"/>
      <c r="W1042" s="1448"/>
      <c r="X1042" s="1448"/>
      <c r="Y1042" s="1448"/>
      <c r="Z1042" s="1448"/>
      <c r="AA1042" s="1448"/>
      <c r="AB1042" s="1448"/>
      <c r="AC1042" s="1448"/>
      <c r="AD1042" s="1448"/>
      <c r="AE1042" s="1449"/>
      <c r="AF1042" s="59"/>
      <c r="AG1042" s="14"/>
      <c r="AH1042" s="14"/>
      <c r="AI1042" s="63"/>
      <c r="AJ1042" s="1539"/>
      <c r="AK1042" s="1540"/>
      <c r="AL1042" s="1540"/>
      <c r="AM1042" s="1540"/>
      <c r="AN1042" s="1540"/>
      <c r="AO1042" s="1540"/>
      <c r="AP1042" s="1540"/>
      <c r="AQ1042" s="1541"/>
      <c r="AR1042" s="2517"/>
      <c r="AS1042" s="2517"/>
      <c r="AT1042" s="2517"/>
      <c r="AU1042" s="2517"/>
      <c r="AV1042" s="2517"/>
      <c r="AW1042" s="2517"/>
      <c r="AX1042" s="2517"/>
      <c r="AY1042" s="2517"/>
    </row>
    <row r="1043" spans="1:51" ht="12.95" customHeight="1">
      <c r="A1043" s="14"/>
      <c r="B1043" s="59"/>
      <c r="C1043" s="2542"/>
      <c r="D1043" s="1450"/>
      <c r="E1043" s="1451"/>
      <c r="F1043" s="1451"/>
      <c r="G1043" s="1451"/>
      <c r="H1043" s="1451"/>
      <c r="I1043" s="1451"/>
      <c r="J1043" s="1451"/>
      <c r="K1043" s="1451"/>
      <c r="L1043" s="1451"/>
      <c r="M1043" s="1451"/>
      <c r="N1043" s="1451"/>
      <c r="O1043" s="1451"/>
      <c r="P1043" s="1451"/>
      <c r="Q1043" s="1451"/>
      <c r="R1043" s="1451"/>
      <c r="S1043" s="1451"/>
      <c r="T1043" s="1451"/>
      <c r="U1043" s="1451"/>
      <c r="V1043" s="1451"/>
      <c r="W1043" s="1451"/>
      <c r="X1043" s="1451"/>
      <c r="Y1043" s="1451"/>
      <c r="Z1043" s="1451"/>
      <c r="AA1043" s="1451"/>
      <c r="AB1043" s="1451"/>
      <c r="AC1043" s="1451"/>
      <c r="AD1043" s="1451"/>
      <c r="AE1043" s="1452"/>
      <c r="AF1043" s="59"/>
      <c r="AG1043" s="14"/>
      <c r="AH1043" s="14"/>
      <c r="AI1043" s="63"/>
      <c r="AJ1043" s="1542"/>
      <c r="AK1043" s="1543"/>
      <c r="AL1043" s="1543"/>
      <c r="AM1043" s="1543"/>
      <c r="AN1043" s="1543"/>
      <c r="AO1043" s="1543"/>
      <c r="AP1043" s="1543"/>
      <c r="AQ1043" s="1544"/>
      <c r="AR1043" s="2517"/>
      <c r="AS1043" s="2517"/>
      <c r="AT1043" s="2517"/>
      <c r="AU1043" s="2517"/>
      <c r="AV1043" s="2517"/>
      <c r="AW1043" s="2517"/>
      <c r="AX1043" s="2517"/>
      <c r="AY1043" s="2517"/>
    </row>
    <row r="1044" spans="1:51" ht="12.95" customHeight="1">
      <c r="A1044" s="14"/>
      <c r="B1044" s="62"/>
      <c r="C1044" s="97" t="s">
        <v>1776</v>
      </c>
      <c r="D1044" s="1548" t="s">
        <v>1777</v>
      </c>
      <c r="E1044" s="1549"/>
      <c r="F1044" s="1549"/>
      <c r="G1044" s="1549"/>
      <c r="H1044" s="1549"/>
      <c r="I1044" s="1549"/>
      <c r="J1044" s="1549"/>
      <c r="K1044" s="1549"/>
      <c r="L1044" s="1549"/>
      <c r="M1044" s="1549"/>
      <c r="N1044" s="1549"/>
      <c r="O1044" s="1549"/>
      <c r="P1044" s="1549"/>
      <c r="Q1044" s="1549"/>
      <c r="R1044" s="1549"/>
      <c r="S1044" s="1549"/>
      <c r="T1044" s="1549"/>
      <c r="U1044" s="1549"/>
      <c r="V1044" s="1549"/>
      <c r="W1044" s="1549"/>
      <c r="X1044" s="1549"/>
      <c r="Y1044" s="1549"/>
      <c r="Z1044" s="1549"/>
      <c r="AA1044" s="1549"/>
      <c r="AB1044" s="1549"/>
      <c r="AC1044" s="1549"/>
      <c r="AD1044" s="1549"/>
      <c r="AE1044" s="1550"/>
      <c r="AF1044" s="62"/>
      <c r="AG1044" s="1555" t="str">
        <f>IF(X1047&gt;0,"Yes","No")</f>
        <v>Yes</v>
      </c>
      <c r="AH1044" s="1556"/>
      <c r="AI1044" s="65"/>
      <c r="AJ1044" s="1536">
        <f>IF((X1047=0),0,AY1004*AJ991)</f>
        <v>6055023</v>
      </c>
      <c r="AK1044" s="1537"/>
      <c r="AL1044" s="1537"/>
      <c r="AM1044" s="1537"/>
      <c r="AN1044" s="1537"/>
      <c r="AO1044" s="1537"/>
      <c r="AP1044" s="1537"/>
      <c r="AQ1044" s="1538"/>
      <c r="AR1044" s="2517"/>
      <c r="AS1044" s="2517"/>
      <c r="AT1044" s="2517"/>
      <c r="AU1044" s="2517"/>
      <c r="AV1044" s="2517"/>
      <c r="AW1044" s="2517"/>
      <c r="AX1044" s="2517"/>
      <c r="AY1044" s="2517"/>
    </row>
    <row r="1045" spans="1:51" ht="12.95" customHeight="1">
      <c r="A1045" s="14"/>
      <c r="B1045" s="59"/>
      <c r="C1045" s="370"/>
      <c r="D1045" s="1447" t="s">
        <v>1778</v>
      </c>
      <c r="E1045" s="1448"/>
      <c r="F1045" s="1448"/>
      <c r="G1045" s="1448"/>
      <c r="H1045" s="1448"/>
      <c r="I1045" s="1448"/>
      <c r="J1045" s="1448"/>
      <c r="K1045" s="1448"/>
      <c r="L1045" s="1448"/>
      <c r="M1045" s="1448"/>
      <c r="N1045" s="1448"/>
      <c r="O1045" s="1448"/>
      <c r="P1045" s="1448"/>
      <c r="Q1045" s="1448"/>
      <c r="R1045" s="1448"/>
      <c r="S1045" s="1448"/>
      <c r="T1045" s="1448"/>
      <c r="U1045" s="1448"/>
      <c r="V1045" s="1448"/>
      <c r="W1045" s="1448"/>
      <c r="X1045" s="1448"/>
      <c r="Y1045" s="1448"/>
      <c r="Z1045" s="1448"/>
      <c r="AA1045" s="1448"/>
      <c r="AB1045" s="1448"/>
      <c r="AC1045" s="1448"/>
      <c r="AD1045" s="1448"/>
      <c r="AE1045" s="1449"/>
      <c r="AF1045" s="59"/>
      <c r="AG1045" s="2550"/>
      <c r="AH1045" s="2550"/>
      <c r="AI1045" s="63"/>
      <c r="AJ1045" s="1539"/>
      <c r="AK1045" s="1540"/>
      <c r="AL1045" s="1540"/>
      <c r="AM1045" s="1540"/>
      <c r="AN1045" s="1540"/>
      <c r="AO1045" s="1540"/>
      <c r="AP1045" s="1540"/>
      <c r="AQ1045" s="1541"/>
      <c r="AR1045" s="2517"/>
      <c r="AS1045" s="2517"/>
      <c r="AT1045" s="2517"/>
      <c r="AU1045" s="13"/>
      <c r="AV1045" s="2517"/>
      <c r="AW1045" s="2517"/>
      <c r="AX1045" s="2517"/>
      <c r="AY1045" s="2517"/>
    </row>
    <row r="1046" spans="1:51" ht="12.95" customHeight="1">
      <c r="A1046" s="14"/>
      <c r="B1046" s="59"/>
      <c r="C1046" s="370"/>
      <c r="D1046" s="1447"/>
      <c r="E1046" s="1448"/>
      <c r="F1046" s="1448"/>
      <c r="G1046" s="1448"/>
      <c r="H1046" s="1448"/>
      <c r="I1046" s="1448"/>
      <c r="J1046" s="1448"/>
      <c r="K1046" s="1448"/>
      <c r="L1046" s="1448"/>
      <c r="M1046" s="1448"/>
      <c r="N1046" s="1448"/>
      <c r="O1046" s="1448"/>
      <c r="P1046" s="1448"/>
      <c r="Q1046" s="1448"/>
      <c r="R1046" s="1448"/>
      <c r="S1046" s="1448"/>
      <c r="T1046" s="1448"/>
      <c r="U1046" s="1448"/>
      <c r="V1046" s="1448"/>
      <c r="W1046" s="1448"/>
      <c r="X1046" s="1448"/>
      <c r="Y1046" s="1448"/>
      <c r="Z1046" s="1448"/>
      <c r="AA1046" s="1448"/>
      <c r="AB1046" s="1448"/>
      <c r="AC1046" s="1448"/>
      <c r="AD1046" s="1448"/>
      <c r="AE1046" s="1449"/>
      <c r="AF1046" s="59"/>
      <c r="AG1046" s="2550"/>
      <c r="AH1046" s="2550"/>
      <c r="AI1046" s="63"/>
      <c r="AJ1046" s="1539"/>
      <c r="AK1046" s="1540"/>
      <c r="AL1046" s="1540"/>
      <c r="AM1046" s="1540"/>
      <c r="AN1046" s="1540"/>
      <c r="AO1046" s="1540"/>
      <c r="AP1046" s="1540"/>
      <c r="AQ1046" s="1541"/>
      <c r="AR1046" s="2517"/>
      <c r="AS1046" s="2517"/>
      <c r="AT1046" s="2517"/>
      <c r="AU1046" s="13"/>
      <c r="AV1046" s="2517"/>
      <c r="AW1046" s="2517"/>
      <c r="AX1046" s="2517"/>
      <c r="AY1046" s="2517"/>
    </row>
    <row r="1047" spans="1:51" ht="12.95" customHeight="1">
      <c r="A1047" s="14"/>
      <c r="B1047" s="60"/>
      <c r="C1047" s="61"/>
      <c r="D1047" s="98" t="s">
        <v>1779</v>
      </c>
      <c r="E1047" s="2551"/>
      <c r="F1047" s="2551"/>
      <c r="G1047" s="2551"/>
      <c r="H1047" s="2551"/>
      <c r="I1047" s="1557">
        <f>AY1002</f>
        <v>47</v>
      </c>
      <c r="J1047" s="1558"/>
      <c r="K1047" s="7"/>
      <c r="L1047" s="2551"/>
      <c r="M1047" s="2551"/>
      <c r="N1047" s="2551"/>
      <c r="O1047" s="2551"/>
      <c r="P1047" s="2551"/>
      <c r="Q1047" s="2551"/>
      <c r="R1047" s="2551"/>
      <c r="S1047" s="2551"/>
      <c r="T1047" s="2551"/>
      <c r="U1047" s="2551"/>
      <c r="V1047" s="99" t="s">
        <v>1780</v>
      </c>
      <c r="W1047" s="41"/>
      <c r="X1047" s="1555">
        <f>BG632</f>
        <v>12</v>
      </c>
      <c r="Y1047" s="1556"/>
      <c r="Z1047" s="41"/>
      <c r="AA1047" s="41"/>
      <c r="AB1047" s="41"/>
      <c r="AC1047" s="41"/>
      <c r="AD1047" s="41"/>
      <c r="AE1047" s="42"/>
      <c r="AF1047" s="846"/>
      <c r="AG1047" s="847"/>
      <c r="AH1047" s="847"/>
      <c r="AI1047" s="848"/>
      <c r="AJ1047" s="1542"/>
      <c r="AK1047" s="1543"/>
      <c r="AL1047" s="1543"/>
      <c r="AM1047" s="1543"/>
      <c r="AN1047" s="1543"/>
      <c r="AO1047" s="1543"/>
      <c r="AP1047" s="1543"/>
      <c r="AQ1047" s="1544"/>
      <c r="AR1047" s="2517"/>
      <c r="AS1047" s="2517"/>
      <c r="AT1047" s="2517"/>
      <c r="AU1047" s="14"/>
      <c r="AV1047" s="2517"/>
      <c r="AW1047" s="2517"/>
      <c r="AX1047" s="2517"/>
      <c r="AY1047" s="2517"/>
    </row>
    <row r="1048" spans="1:51" ht="12.95" customHeight="1">
      <c r="A1048" s="14"/>
      <c r="B1048" s="62"/>
      <c r="C1048" s="97" t="s">
        <v>1781</v>
      </c>
      <c r="D1048" s="1518" t="s">
        <v>1782</v>
      </c>
      <c r="E1048" s="1519"/>
      <c r="F1048" s="1519"/>
      <c r="G1048" s="1519"/>
      <c r="H1048" s="1519"/>
      <c r="I1048" s="1519"/>
      <c r="J1048" s="1519"/>
      <c r="K1048" s="1519"/>
      <c r="L1048" s="1519"/>
      <c r="M1048" s="1519"/>
      <c r="N1048" s="1519"/>
      <c r="O1048" s="1519"/>
      <c r="P1048" s="1519"/>
      <c r="Q1048" s="1519"/>
      <c r="R1048" s="1519"/>
      <c r="S1048" s="1519"/>
      <c r="T1048" s="1519"/>
      <c r="U1048" s="1519"/>
      <c r="V1048" s="1519"/>
      <c r="W1048" s="1519"/>
      <c r="X1048" s="1519"/>
      <c r="Y1048" s="1519"/>
      <c r="Z1048" s="1519"/>
      <c r="AA1048" s="1519"/>
      <c r="AB1048" s="1519"/>
      <c r="AC1048" s="1519"/>
      <c r="AD1048" s="1519"/>
      <c r="AE1048" s="1520"/>
      <c r="AF1048" s="59"/>
      <c r="AG1048" s="1555" t="str">
        <f>IF(X1051&gt;0,"Yes","No")</f>
        <v>Yes</v>
      </c>
      <c r="AH1048" s="1556"/>
      <c r="AI1048" s="63"/>
      <c r="AJ1048" s="1536">
        <f>IF((X1051=0),0,(2*AY1005)*AJ991)</f>
        <v>17438466.239999998</v>
      </c>
      <c r="AK1048" s="1537"/>
      <c r="AL1048" s="1537"/>
      <c r="AM1048" s="1537"/>
      <c r="AN1048" s="1537"/>
      <c r="AO1048" s="1537"/>
      <c r="AP1048" s="1537"/>
      <c r="AQ1048" s="1538"/>
      <c r="AR1048" s="2517"/>
      <c r="AS1048" s="2517"/>
      <c r="AT1048" s="2517"/>
      <c r="AU1048" s="14"/>
      <c r="AV1048" s="2517"/>
      <c r="AW1048" s="2517"/>
      <c r="AX1048" s="2517"/>
      <c r="AY1048" s="2517"/>
    </row>
    <row r="1049" spans="1:51" ht="12.95" customHeight="1">
      <c r="A1049" s="14"/>
      <c r="B1049" s="59"/>
      <c r="C1049" s="370"/>
      <c r="D1049" s="1447" t="s">
        <v>1783</v>
      </c>
      <c r="E1049" s="1448"/>
      <c r="F1049" s="1448"/>
      <c r="G1049" s="1448"/>
      <c r="H1049" s="1448"/>
      <c r="I1049" s="1448"/>
      <c r="J1049" s="1448"/>
      <c r="K1049" s="1448"/>
      <c r="L1049" s="1448"/>
      <c r="M1049" s="1448"/>
      <c r="N1049" s="1448"/>
      <c r="O1049" s="1448"/>
      <c r="P1049" s="1448"/>
      <c r="Q1049" s="1448"/>
      <c r="R1049" s="1448"/>
      <c r="S1049" s="1448"/>
      <c r="T1049" s="1448"/>
      <c r="U1049" s="1448"/>
      <c r="V1049" s="1448"/>
      <c r="W1049" s="1448"/>
      <c r="X1049" s="1448"/>
      <c r="Y1049" s="1448"/>
      <c r="Z1049" s="1448"/>
      <c r="AA1049" s="1448"/>
      <c r="AB1049" s="1448"/>
      <c r="AC1049" s="1448"/>
      <c r="AD1049" s="1448"/>
      <c r="AE1049" s="1449"/>
      <c r="AF1049" s="59"/>
      <c r="AG1049" s="2550"/>
      <c r="AH1049" s="2550"/>
      <c r="AI1049" s="63"/>
      <c r="AJ1049" s="1539"/>
      <c r="AK1049" s="1540"/>
      <c r="AL1049" s="1540"/>
      <c r="AM1049" s="1540"/>
      <c r="AN1049" s="1540"/>
      <c r="AO1049" s="1540"/>
      <c r="AP1049" s="1540"/>
      <c r="AQ1049" s="1541"/>
      <c r="AR1049" s="2517"/>
      <c r="AS1049" s="2517"/>
      <c r="AT1049" s="2517"/>
      <c r="AU1049" s="2517"/>
      <c r="AV1049" s="2517"/>
      <c r="AW1049" s="2517"/>
      <c r="AX1049" s="2517"/>
      <c r="AY1049" s="2517"/>
    </row>
    <row r="1050" spans="1:51" ht="12.95" customHeight="1">
      <c r="A1050" s="14"/>
      <c r="B1050" s="59"/>
      <c r="C1050" s="63"/>
      <c r="D1050" s="1447"/>
      <c r="E1050" s="1448"/>
      <c r="F1050" s="1448"/>
      <c r="G1050" s="1448"/>
      <c r="H1050" s="1448"/>
      <c r="I1050" s="1448"/>
      <c r="J1050" s="1448"/>
      <c r="K1050" s="1448"/>
      <c r="L1050" s="1448"/>
      <c r="M1050" s="1448"/>
      <c r="N1050" s="1448"/>
      <c r="O1050" s="1448"/>
      <c r="P1050" s="1448"/>
      <c r="Q1050" s="1448"/>
      <c r="R1050" s="1448"/>
      <c r="S1050" s="1448"/>
      <c r="T1050" s="1448"/>
      <c r="U1050" s="1448"/>
      <c r="V1050" s="1448"/>
      <c r="W1050" s="1448"/>
      <c r="X1050" s="1448"/>
      <c r="Y1050" s="1448"/>
      <c r="Z1050" s="1448"/>
      <c r="AA1050" s="1448"/>
      <c r="AB1050" s="1448"/>
      <c r="AC1050" s="1448"/>
      <c r="AD1050" s="1448"/>
      <c r="AE1050" s="1449"/>
      <c r="AF1050" s="843"/>
      <c r="AG1050" s="844"/>
      <c r="AH1050" s="844"/>
      <c r="AI1050" s="845"/>
      <c r="AJ1050" s="1539"/>
      <c r="AK1050" s="1540"/>
      <c r="AL1050" s="1540"/>
      <c r="AM1050" s="1540"/>
      <c r="AN1050" s="1540"/>
      <c r="AO1050" s="1540"/>
      <c r="AP1050" s="1540"/>
      <c r="AQ1050" s="1541"/>
      <c r="AR1050" s="2517"/>
      <c r="AS1050" s="2517"/>
      <c r="AT1050" s="2517"/>
      <c r="AU1050" s="2517"/>
      <c r="AV1050" s="2517"/>
      <c r="AW1050" s="2517"/>
      <c r="AX1050" s="2517"/>
      <c r="AY1050" s="2517"/>
    </row>
    <row r="1051" spans="1:51" ht="12.95" customHeight="1">
      <c r="A1051" s="14"/>
      <c r="B1051" s="60"/>
      <c r="C1051" s="61"/>
      <c r="D1051" s="98" t="s">
        <v>1779</v>
      </c>
      <c r="E1051" s="2551"/>
      <c r="F1051" s="2551"/>
      <c r="G1051" s="2551"/>
      <c r="H1051" s="2551"/>
      <c r="I1051" s="1557">
        <f>AY1002</f>
        <v>47</v>
      </c>
      <c r="J1051" s="1558"/>
      <c r="K1051" s="14"/>
      <c r="L1051" s="2551"/>
      <c r="M1051" s="2551"/>
      <c r="N1051" s="2551"/>
      <c r="O1051" s="2551"/>
      <c r="P1051" s="2551"/>
      <c r="Q1051" s="2551"/>
      <c r="R1051" s="2551"/>
      <c r="S1051" s="2551"/>
      <c r="T1051" s="2551"/>
      <c r="U1051" s="2551"/>
      <c r="V1051" s="99" t="s">
        <v>1784</v>
      </c>
      <c r="X1051" s="1555">
        <f>BK632</f>
        <v>17</v>
      </c>
      <c r="Y1051" s="1556"/>
      <c r="AF1051" s="846"/>
      <c r="AG1051" s="847"/>
      <c r="AH1051" s="847"/>
      <c r="AI1051" s="848"/>
      <c r="AJ1051" s="1542"/>
      <c r="AK1051" s="1543"/>
      <c r="AL1051" s="1543"/>
      <c r="AM1051" s="1543"/>
      <c r="AN1051" s="1543"/>
      <c r="AO1051" s="1543"/>
      <c r="AP1051" s="1543"/>
      <c r="AQ1051" s="1544"/>
      <c r="AR1051" s="2517"/>
      <c r="AS1051" s="2517"/>
      <c r="AT1051" s="2517"/>
      <c r="AU1051" s="2517"/>
      <c r="AV1051" s="2517"/>
      <c r="AW1051" s="2517"/>
      <c r="AX1051" s="2517"/>
      <c r="AY1051" s="2517"/>
    </row>
    <row r="1052" spans="1:51" ht="12.95" customHeight="1">
      <c r="A1052" s="14"/>
      <c r="B1052" s="78"/>
      <c r="C1052" s="2552"/>
      <c r="D1052" s="2553" t="s">
        <v>1785</v>
      </c>
      <c r="E1052" s="2553"/>
      <c r="F1052" s="2553"/>
      <c r="G1052" s="2553"/>
      <c r="H1052" s="2553"/>
      <c r="I1052" s="2553"/>
      <c r="J1052" s="2553"/>
      <c r="K1052" s="2553"/>
      <c r="L1052" s="2553"/>
      <c r="M1052" s="2553"/>
      <c r="N1052" s="2553"/>
      <c r="O1052" s="2553"/>
      <c r="P1052" s="2553"/>
      <c r="Q1052" s="2553"/>
      <c r="R1052" s="2553"/>
      <c r="S1052" s="2553"/>
      <c r="T1052" s="2553"/>
      <c r="U1052" s="2553"/>
      <c r="V1052" s="2553"/>
      <c r="W1052" s="2553"/>
      <c r="X1052" s="2553"/>
      <c r="Y1052" s="2553"/>
      <c r="Z1052" s="2553"/>
      <c r="AA1052" s="2553"/>
      <c r="AB1052" s="2553"/>
      <c r="AC1052" s="2553"/>
      <c r="AD1052" s="2553"/>
      <c r="AE1052" s="2553"/>
      <c r="AF1052" s="2553"/>
      <c r="AG1052" s="2553"/>
      <c r="AH1052" s="2553"/>
      <c r="AI1052" s="2554"/>
      <c r="AJ1052" s="1528">
        <f>SUM(AJ991:AQ1051)</f>
        <v>55867017.239999995</v>
      </c>
      <c r="AK1052" s="1529"/>
      <c r="AL1052" s="1529"/>
      <c r="AM1052" s="1529"/>
      <c r="AN1052" s="1529"/>
      <c r="AO1052" s="1529"/>
      <c r="AP1052" s="1529"/>
      <c r="AQ1052" s="1530"/>
      <c r="AR1052" s="2517"/>
      <c r="AS1052" s="2517"/>
      <c r="AT1052" s="2517"/>
      <c r="AU1052" s="2517"/>
      <c r="AV1052" s="2517"/>
      <c r="AW1052" s="2517"/>
      <c r="AX1052" s="2517"/>
      <c r="AY1052" s="2517"/>
    </row>
    <row r="1053" spans="1:51" ht="12.95" customHeight="1">
      <c r="A1053" s="14"/>
      <c r="B1053" s="14"/>
      <c r="C1053" s="2555"/>
      <c r="D1053" s="2556"/>
      <c r="E1053" s="2556"/>
      <c r="F1053" s="2556"/>
      <c r="G1053" s="2556"/>
      <c r="H1053" s="2556"/>
      <c r="I1053" s="2556"/>
      <c r="J1053" s="2556"/>
      <c r="K1053" s="2556"/>
      <c r="L1053" s="2556"/>
      <c r="M1053" s="2556"/>
      <c r="N1053" s="2556"/>
      <c r="O1053" s="2556"/>
      <c r="P1053" s="2556"/>
      <c r="Q1053" s="2556"/>
      <c r="R1053" s="2556"/>
      <c r="S1053" s="2556"/>
      <c r="T1053" s="2557"/>
      <c r="U1053" s="2557"/>
      <c r="V1053" s="2557"/>
      <c r="W1053" s="2557"/>
      <c r="X1053" s="2557"/>
      <c r="Y1053" s="2557"/>
      <c r="Z1053" s="2557"/>
      <c r="AA1053" s="2557"/>
      <c r="AB1053" s="2557"/>
      <c r="AC1053" s="2557"/>
      <c r="AD1053" s="147"/>
      <c r="AE1053" s="147"/>
      <c r="AF1053" s="147"/>
      <c r="AG1053" s="147"/>
      <c r="AH1053" s="147"/>
      <c r="AI1053" s="147"/>
      <c r="AJ1053" s="147"/>
      <c r="AK1053" s="147"/>
      <c r="AL1053" s="2517"/>
      <c r="AM1053" s="2517"/>
      <c r="AN1053" s="2517"/>
      <c r="AO1053" s="2517"/>
      <c r="AP1053" s="2517"/>
      <c r="AQ1053" s="2517"/>
      <c r="AR1053" s="2517"/>
      <c r="AS1053" s="2517"/>
      <c r="AT1053" s="2517"/>
      <c r="AU1053" s="2517"/>
      <c r="AV1053" s="2517"/>
      <c r="AW1053" s="2517"/>
      <c r="AX1053" s="2517"/>
      <c r="AY1053" s="2517"/>
    </row>
    <row r="1054" spans="1:51" ht="12.95" customHeight="1">
      <c r="A1054" s="14"/>
      <c r="B1054" s="2517"/>
      <c r="C1054" s="2517"/>
      <c r="D1054" s="2517"/>
      <c r="E1054" s="2517"/>
      <c r="F1054" s="2517"/>
      <c r="G1054" s="2517"/>
      <c r="H1054" s="2517"/>
      <c r="I1054" s="2517"/>
      <c r="J1054" s="2517"/>
      <c r="K1054" s="2517"/>
      <c r="L1054" s="2517"/>
      <c r="M1054" s="2517"/>
      <c r="N1054" s="2517"/>
      <c r="O1054" s="2517"/>
      <c r="P1054" s="2517"/>
      <c r="Q1054" s="2517"/>
      <c r="R1054" s="2517"/>
      <c r="S1054" s="2517"/>
      <c r="T1054" s="2517"/>
      <c r="U1054" s="2517"/>
      <c r="V1054" s="2517"/>
      <c r="W1054" s="2517"/>
      <c r="X1054" s="2517"/>
      <c r="Y1054" s="2517"/>
      <c r="Z1054" s="2517"/>
      <c r="AA1054" s="2517"/>
      <c r="AB1054" s="2517"/>
      <c r="AC1054" s="2517"/>
      <c r="AD1054" s="2517"/>
      <c r="AE1054" s="2517"/>
      <c r="AF1054" s="2517"/>
      <c r="AG1054" s="2517"/>
      <c r="AH1054" s="2517"/>
      <c r="AI1054" s="2517"/>
      <c r="AJ1054" s="2517"/>
      <c r="AK1054" s="2517"/>
      <c r="AL1054" s="2517"/>
      <c r="AM1054" s="2517"/>
      <c r="AN1054" s="2517"/>
      <c r="AO1054" s="2517"/>
      <c r="AP1054" s="2517"/>
      <c r="AQ1054" s="2517"/>
      <c r="AR1054" s="2517"/>
      <c r="AS1054" s="2517"/>
      <c r="AT1054" s="2517"/>
      <c r="AU1054" s="2517"/>
      <c r="AV1054" s="2517"/>
      <c r="AW1054" s="2517"/>
      <c r="AX1054" s="2517"/>
      <c r="AY1054" s="2517"/>
    </row>
    <row r="1055" spans="1:51" ht="12.95" customHeight="1">
      <c r="A1055" s="14"/>
      <c r="B1055" s="2517"/>
      <c r="C1055" s="2517"/>
      <c r="D1055" s="2517"/>
      <c r="E1055" s="2517"/>
      <c r="F1055" s="2517"/>
      <c r="G1055" s="2517"/>
      <c r="H1055" s="2517"/>
      <c r="I1055" s="2517"/>
      <c r="J1055" s="2517"/>
      <c r="K1055" s="2517"/>
      <c r="L1055" s="2517"/>
      <c r="M1055" s="2517"/>
      <c r="N1055" s="2517"/>
      <c r="O1055" s="2517"/>
      <c r="P1055" s="2517"/>
      <c r="Q1055" s="2517"/>
      <c r="R1055" s="2517"/>
      <c r="S1055" s="2517"/>
      <c r="T1055" s="2517"/>
      <c r="U1055" s="2517"/>
      <c r="V1055" s="2517"/>
      <c r="W1055" s="2517"/>
      <c r="X1055" s="2517"/>
      <c r="Y1055" s="2517"/>
      <c r="Z1055" s="2517"/>
      <c r="AA1055" s="2517"/>
      <c r="AB1055" s="2517"/>
      <c r="AC1055" s="2517"/>
      <c r="AD1055" s="2517"/>
      <c r="AE1055" s="2517"/>
      <c r="AF1055" s="2517"/>
      <c r="AG1055" s="2517"/>
      <c r="AH1055" s="2517"/>
      <c r="AI1055" s="2517"/>
      <c r="AJ1055" s="2517"/>
      <c r="AK1055" s="2517"/>
      <c r="AL1055" s="2517"/>
      <c r="AM1055" s="2517"/>
      <c r="AN1055" s="2517"/>
      <c r="AO1055" s="2517"/>
      <c r="AP1055" s="2517"/>
      <c r="AQ1055" s="2517"/>
      <c r="AR1055" s="2517"/>
      <c r="AS1055" s="2517"/>
      <c r="AT1055" s="2517"/>
      <c r="AU1055" s="2517"/>
      <c r="AV1055" s="13"/>
      <c r="AW1055" s="13"/>
      <c r="AX1055" s="13"/>
      <c r="AY1055" s="13"/>
    </row>
    <row r="1056" spans="1:51" ht="12.95" customHeight="1">
      <c r="A1056" s="14"/>
      <c r="B1056" s="2517"/>
      <c r="C1056" s="2517"/>
      <c r="D1056" s="2517"/>
      <c r="E1056" s="2517"/>
      <c r="F1056" s="2517"/>
      <c r="G1056" s="2517"/>
      <c r="H1056" s="2517"/>
      <c r="I1056" s="2517"/>
      <c r="J1056" s="2517"/>
      <c r="K1056" s="2517"/>
      <c r="L1056" s="2517"/>
      <c r="M1056" s="2517"/>
      <c r="N1056" s="2517"/>
      <c r="O1056" s="2517"/>
      <c r="P1056" s="2517"/>
      <c r="Q1056" s="2517"/>
      <c r="R1056" s="2517"/>
      <c r="S1056" s="2517"/>
      <c r="T1056" s="2517"/>
      <c r="U1056" s="2517"/>
      <c r="V1056" s="2517"/>
      <c r="W1056" s="2517"/>
      <c r="X1056" s="2517"/>
      <c r="Y1056" s="2517"/>
      <c r="Z1056" s="2517"/>
      <c r="AA1056" s="2517"/>
      <c r="AB1056" s="2517"/>
      <c r="AC1056" s="2517"/>
      <c r="AD1056" s="2517"/>
      <c r="AE1056" s="2517"/>
      <c r="AF1056" s="2517"/>
      <c r="AG1056" s="2517"/>
      <c r="AH1056" s="2517"/>
      <c r="AI1056" s="2517"/>
      <c r="AJ1056" s="2517"/>
      <c r="AK1056" s="2517"/>
      <c r="AL1056" s="2517"/>
      <c r="AM1056" s="2517"/>
      <c r="AN1056" s="2517"/>
      <c r="AO1056" s="2517"/>
      <c r="AP1056" s="2517"/>
      <c r="AQ1056" s="2517"/>
      <c r="AR1056" s="2517"/>
      <c r="AS1056" s="2517"/>
      <c r="AT1056" s="2517"/>
      <c r="AU1056" s="2517"/>
      <c r="AV1056" s="13"/>
      <c r="AW1056" s="13"/>
      <c r="AX1056" s="13"/>
      <c r="AY1056" s="13"/>
    </row>
    <row r="1057" spans="1:51" ht="12.95" customHeight="1">
      <c r="A1057" s="14"/>
      <c r="B1057" s="2517"/>
      <c r="C1057" s="2517"/>
      <c r="D1057" s="2517"/>
      <c r="E1057" s="2517"/>
      <c r="F1057" s="2517"/>
      <c r="G1057" s="2517"/>
      <c r="H1057" s="2517"/>
      <c r="I1057" s="2517"/>
      <c r="J1057" s="2517"/>
      <c r="K1057" s="2517"/>
      <c r="L1057" s="2517"/>
      <c r="M1057" s="2517"/>
      <c r="N1057" s="2517"/>
      <c r="O1057" s="2517"/>
      <c r="P1057" s="2517"/>
      <c r="Q1057" s="2517"/>
      <c r="R1057" s="2517"/>
      <c r="S1057" s="2517"/>
      <c r="T1057" s="2517"/>
      <c r="U1057" s="2517"/>
      <c r="V1057" s="2517"/>
      <c r="W1057" s="2517"/>
      <c r="X1057" s="2517"/>
      <c r="Y1057" s="2517"/>
      <c r="Z1057" s="2517"/>
      <c r="AA1057" s="2517"/>
      <c r="AB1057" s="2517"/>
      <c r="AC1057" s="2517"/>
      <c r="AD1057" s="2517"/>
      <c r="AE1057" s="2517"/>
      <c r="AF1057" s="2517"/>
      <c r="AG1057" s="2517"/>
      <c r="AH1057" s="2517"/>
      <c r="AI1057" s="2517"/>
      <c r="AJ1057" s="2517"/>
      <c r="AK1057" s="2517"/>
      <c r="AL1057" s="2517"/>
      <c r="AM1057" s="2517"/>
      <c r="AN1057" s="2517"/>
      <c r="AO1057" s="2517"/>
      <c r="AP1057" s="2517"/>
      <c r="AQ1057" s="2517"/>
      <c r="AR1057" s="2517"/>
      <c r="AS1057" s="2517"/>
      <c r="AT1057" s="2517"/>
      <c r="AU1057" s="2517"/>
      <c r="AV1057" s="14"/>
      <c r="AW1057" s="14"/>
      <c r="AX1057" s="14"/>
      <c r="AY1057" s="14"/>
    </row>
    <row r="1058" spans="1:51" ht="12.95" customHeight="1">
      <c r="A1058" s="14"/>
      <c r="B1058" s="14"/>
      <c r="C1058" s="2555"/>
      <c r="D1058" s="2558"/>
      <c r="E1058" s="2558"/>
      <c r="F1058" s="2558"/>
      <c r="G1058" s="2558"/>
      <c r="H1058" s="2558"/>
      <c r="I1058" s="2558"/>
      <c r="J1058" s="2558"/>
      <c r="K1058" s="2558"/>
      <c r="L1058" s="2558"/>
      <c r="M1058" s="2558"/>
      <c r="N1058" s="2558"/>
      <c r="O1058" s="2558"/>
      <c r="P1058" s="2558"/>
      <c r="Q1058" s="2558"/>
      <c r="R1058" s="2558"/>
      <c r="S1058" s="2558"/>
      <c r="T1058" s="2558"/>
      <c r="U1058" s="2558"/>
      <c r="V1058" s="2558"/>
      <c r="W1058" s="2558"/>
      <c r="X1058" s="2558"/>
      <c r="Y1058" s="2558"/>
      <c r="Z1058" s="2558"/>
      <c r="AA1058" s="2558"/>
      <c r="AB1058" s="2558"/>
      <c r="AC1058" s="2558"/>
      <c r="AD1058" s="2558"/>
      <c r="AE1058" s="2558"/>
      <c r="AF1058" s="2558"/>
      <c r="AG1058" s="2558"/>
      <c r="AH1058" s="2558"/>
      <c r="AI1058" s="2558"/>
      <c r="AJ1058" s="2558"/>
      <c r="AK1058" s="2558"/>
      <c r="AL1058" s="2517"/>
      <c r="AM1058" s="2517"/>
      <c r="AN1058" s="2517"/>
      <c r="AO1058" s="2517"/>
      <c r="AP1058" s="2517"/>
      <c r="AQ1058" s="2517"/>
      <c r="AR1058" s="2517"/>
      <c r="AS1058" s="2517"/>
      <c r="AT1058" s="2517"/>
      <c r="AU1058" s="2517"/>
      <c r="AV1058" s="14"/>
      <c r="AW1058" s="14"/>
      <c r="AX1058" s="14"/>
      <c r="AY1058" s="14"/>
    </row>
    <row r="1059" spans="1:51" ht="12.95" customHeight="1">
      <c r="A1059" s="2559"/>
      <c r="B1059" s="1600">
        <f>IF(ISNA(IF((AJ1019&gt;(AJ991*0.15)),"(f) cannot be greater than 15% of unadjusted eligible basis.",0)),"",(IF((AJ1019&gt;(AJ991*0.15)),"(f) cannot be greater than 15% of unadjusted eligible basis.",0)))</f>
        <v>0</v>
      </c>
      <c r="C1059" s="1600"/>
      <c r="D1059" s="1600"/>
      <c r="E1059" s="1600"/>
      <c r="F1059" s="1600"/>
      <c r="G1059" s="1600"/>
      <c r="H1059" s="1600"/>
      <c r="I1059" s="1600"/>
      <c r="J1059" s="1600"/>
      <c r="K1059" s="1600"/>
      <c r="L1059" s="1600"/>
      <c r="M1059" s="1600"/>
      <c r="N1059" s="1600"/>
      <c r="O1059" s="1600"/>
      <c r="P1059" s="1600"/>
      <c r="Q1059" s="1600"/>
      <c r="R1059" s="1600"/>
      <c r="S1059" s="1600"/>
      <c r="T1059" s="1600"/>
      <c r="U1059" s="1600"/>
      <c r="V1059" s="1600"/>
      <c r="W1059" s="1600"/>
      <c r="X1059" s="1600"/>
      <c r="Y1059" s="1600"/>
      <c r="Z1059" s="1600"/>
      <c r="AA1059" s="1600"/>
      <c r="AB1059" s="1600"/>
      <c r="AC1059" s="1600"/>
      <c r="AD1059" s="1600"/>
      <c r="AE1059" s="1600"/>
      <c r="AF1059" s="1600"/>
      <c r="AG1059" s="1600"/>
      <c r="AH1059" s="1600"/>
      <c r="AI1059" s="1600"/>
      <c r="AJ1059" s="1600"/>
      <c r="AK1059" s="1600"/>
      <c r="AL1059" s="1600"/>
      <c r="AM1059" s="1600"/>
      <c r="AN1059" s="1600"/>
      <c r="AO1059" s="1600"/>
      <c r="AP1059" s="1600"/>
      <c r="AQ1059" s="2517"/>
      <c r="AR1059" s="2517"/>
      <c r="AS1059" s="2517"/>
      <c r="AT1059" s="2517"/>
      <c r="AU1059" s="2517"/>
      <c r="AV1059" s="2517"/>
      <c r="AW1059" s="2517"/>
      <c r="AX1059" s="2517"/>
      <c r="AY1059" s="2517"/>
    </row>
    <row r="1060" spans="1:51" ht="12.95" customHeight="1">
      <c r="A1060" s="1185" t="s">
        <v>1786</v>
      </c>
      <c r="B1060" s="1185"/>
      <c r="C1060" s="1185"/>
      <c r="D1060" s="1185"/>
      <c r="E1060" s="1185"/>
      <c r="F1060" s="1185"/>
      <c r="G1060" s="1185"/>
      <c r="H1060" s="1185"/>
      <c r="I1060" s="1185"/>
      <c r="J1060" s="1185"/>
      <c r="K1060" s="1185"/>
      <c r="L1060" s="1185"/>
      <c r="M1060" s="1185"/>
      <c r="N1060" s="1185"/>
      <c r="O1060" s="1185"/>
      <c r="P1060" s="1185"/>
      <c r="Q1060" s="1185"/>
      <c r="R1060" s="1185"/>
      <c r="S1060" s="1185"/>
      <c r="T1060" s="1185"/>
      <c r="U1060" s="1185"/>
      <c r="V1060" s="1185"/>
      <c r="W1060" s="1185"/>
      <c r="X1060" s="1185"/>
      <c r="Y1060" s="1185"/>
      <c r="Z1060" s="1185"/>
      <c r="AA1060" s="1185"/>
      <c r="AB1060" s="1185"/>
      <c r="AC1060" s="1185"/>
      <c r="AD1060" s="1185"/>
      <c r="AE1060" s="1185"/>
      <c r="AF1060" s="1185"/>
      <c r="AG1060" s="1185"/>
      <c r="AH1060" s="1185"/>
      <c r="AI1060" s="1185"/>
      <c r="AJ1060" s="1185"/>
      <c r="AK1060" s="1185"/>
      <c r="AL1060" s="1185"/>
      <c r="AM1060" s="1185"/>
      <c r="AN1060" s="1185"/>
      <c r="AO1060" s="1185"/>
      <c r="AP1060" s="1185"/>
      <c r="AQ1060" s="1185"/>
      <c r="AR1060" s="13"/>
      <c r="AS1060" s="13"/>
      <c r="AT1060" s="13"/>
      <c r="AV1060" s="2517"/>
      <c r="AW1060" s="2517"/>
      <c r="AX1060" s="2517"/>
      <c r="AY1060" s="2517"/>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2517"/>
      <c r="AW1061" s="2517"/>
      <c r="AX1061" s="2517"/>
      <c r="AY1061" s="2517"/>
    </row>
    <row r="1062" spans="1:51" ht="12.95" customHeight="1">
      <c r="A1062" s="50" t="s">
        <v>1787</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2517"/>
      <c r="AW1062" s="2517"/>
      <c r="AX1062" s="2517"/>
      <c r="AY1062" s="2517"/>
    </row>
    <row r="1063" spans="1:51" ht="12.95" customHeight="1">
      <c r="A1063" s="140" t="s">
        <v>1788</v>
      </c>
      <c r="B1063" s="2493"/>
      <c r="C1063" s="2493"/>
      <c r="D1063" s="2493"/>
      <c r="E1063" s="2493"/>
      <c r="F1063" s="2493"/>
      <c r="G1063" s="2493"/>
      <c r="H1063" s="2493"/>
      <c r="I1063" s="2493"/>
      <c r="J1063" s="2493"/>
      <c r="K1063" s="2493"/>
      <c r="L1063" s="2493"/>
      <c r="M1063" s="2493"/>
      <c r="N1063" s="2493"/>
      <c r="O1063" s="2493"/>
      <c r="P1063" s="2493"/>
      <c r="Q1063" s="13"/>
      <c r="R1063" s="13"/>
      <c r="S1063" s="13"/>
      <c r="T1063" s="13"/>
      <c r="U1063" s="13"/>
      <c r="V1063" s="13"/>
      <c r="W1063" s="13"/>
      <c r="X1063" s="13"/>
      <c r="Y1063" s="3"/>
      <c r="Z1063" s="3"/>
      <c r="AA1063" s="3"/>
      <c r="AB1063" s="3"/>
      <c r="AC1063" s="3"/>
      <c r="AD1063" s="3"/>
      <c r="AE1063" s="3"/>
      <c r="AF1063" s="3"/>
      <c r="AG1063" s="3"/>
      <c r="AH1063" s="3"/>
      <c r="AI1063" s="3"/>
      <c r="AJ1063" s="14"/>
      <c r="AK1063" s="14"/>
      <c r="AL1063" s="14"/>
      <c r="AM1063" s="14"/>
      <c r="AN1063" s="14"/>
      <c r="AO1063" s="14"/>
      <c r="AP1063" s="14"/>
      <c r="AQ1063" s="14"/>
      <c r="AR1063" s="14"/>
      <c r="AS1063" s="14"/>
      <c r="AT1063" s="14"/>
      <c r="AV1063" s="2517"/>
      <c r="AW1063" s="2517"/>
      <c r="AX1063" s="2517"/>
      <c r="AY1063" s="2517"/>
    </row>
    <row r="1064" spans="1:51" ht="12.95" customHeight="1">
      <c r="A1064" s="1234" t="s">
        <v>299</v>
      </c>
      <c r="B1064" s="1234"/>
      <c r="C1064" s="8">
        <v>1</v>
      </c>
      <c r="D1064" s="1149" t="s">
        <v>1789</v>
      </c>
      <c r="E1064" s="1149"/>
      <c r="F1064" s="1149"/>
      <c r="G1064" s="1149"/>
      <c r="H1064" s="1149"/>
      <c r="I1064" s="1149"/>
      <c r="J1064" s="1149"/>
      <c r="K1064" s="1149"/>
      <c r="L1064" s="1149"/>
      <c r="M1064" s="1149"/>
      <c r="N1064" s="1149"/>
      <c r="O1064" s="1149"/>
      <c r="P1064" s="1149"/>
      <c r="Q1064" s="1149"/>
      <c r="R1064" s="1149"/>
      <c r="S1064" s="1149"/>
      <c r="T1064" s="1149"/>
      <c r="U1064" s="1149"/>
      <c r="V1064" s="1149"/>
      <c r="W1064" s="1149"/>
      <c r="X1064" s="1149"/>
      <c r="Y1064" s="1149"/>
      <c r="Z1064" s="1149"/>
      <c r="AA1064" s="1149"/>
      <c r="AB1064" s="1149"/>
      <c r="AC1064" s="1149"/>
      <c r="AD1064" s="1149"/>
      <c r="AE1064" s="1149"/>
      <c r="AF1064" s="1149"/>
      <c r="AG1064" s="1149"/>
      <c r="AH1064" s="1149"/>
      <c r="AI1064" s="1149"/>
      <c r="AJ1064" s="1149"/>
      <c r="AK1064" s="1149"/>
      <c r="AL1064" s="2517"/>
      <c r="AM1064" s="2517"/>
      <c r="AN1064" s="2517"/>
      <c r="AO1064" s="2517"/>
      <c r="AP1064" s="2517"/>
      <c r="AQ1064" s="2517"/>
      <c r="AR1064" s="2517"/>
      <c r="AS1064" s="2517"/>
      <c r="AT1064" s="2517"/>
      <c r="AV1064" s="2517"/>
      <c r="AW1064" s="2517"/>
      <c r="AX1064" s="2517"/>
      <c r="AY1064" s="2517"/>
    </row>
    <row r="1065" spans="1:51" ht="12.95" customHeight="1">
      <c r="A1065" s="1"/>
      <c r="B1065" s="1"/>
      <c r="C1065" s="8"/>
      <c r="D1065" s="1149"/>
      <c r="E1065" s="1149"/>
      <c r="F1065" s="1149"/>
      <c r="G1065" s="1149"/>
      <c r="H1065" s="1149"/>
      <c r="I1065" s="1149"/>
      <c r="J1065" s="1149"/>
      <c r="K1065" s="1149"/>
      <c r="L1065" s="1149"/>
      <c r="M1065" s="1149"/>
      <c r="N1065" s="1149"/>
      <c r="O1065" s="1149"/>
      <c r="P1065" s="1149"/>
      <c r="Q1065" s="1149"/>
      <c r="R1065" s="1149"/>
      <c r="S1065" s="1149"/>
      <c r="T1065" s="1149"/>
      <c r="U1065" s="1149"/>
      <c r="V1065" s="1149"/>
      <c r="W1065" s="1149"/>
      <c r="X1065" s="1149"/>
      <c r="Y1065" s="1149"/>
      <c r="Z1065" s="1149"/>
      <c r="AA1065" s="1149"/>
      <c r="AB1065" s="1149"/>
      <c r="AC1065" s="1149"/>
      <c r="AD1065" s="1149"/>
      <c r="AE1065" s="1149"/>
      <c r="AF1065" s="1149"/>
      <c r="AG1065" s="1149"/>
      <c r="AH1065" s="1149"/>
      <c r="AI1065" s="1149"/>
      <c r="AJ1065" s="1149"/>
      <c r="AK1065" s="1149"/>
      <c r="AL1065" s="2517"/>
      <c r="AM1065" s="2517"/>
      <c r="AN1065" s="2517"/>
      <c r="AO1065" s="2517"/>
      <c r="AP1065" s="2517"/>
      <c r="AQ1065" s="2517"/>
      <c r="AR1065" s="2517"/>
      <c r="AS1065" s="2517"/>
      <c r="AT1065" s="2517"/>
      <c r="AV1065" s="2517"/>
      <c r="AW1065" s="2517"/>
      <c r="AX1065" s="2517"/>
      <c r="AY1065" s="2517"/>
    </row>
    <row r="1066" spans="1:51" ht="12.95" customHeight="1">
      <c r="A1066" s="1"/>
      <c r="B1066" s="1"/>
      <c r="C1066" s="8"/>
      <c r="D1066" s="1149"/>
      <c r="E1066" s="1149"/>
      <c r="F1066" s="1149"/>
      <c r="G1066" s="1149"/>
      <c r="H1066" s="1149"/>
      <c r="I1066" s="1149"/>
      <c r="J1066" s="1149"/>
      <c r="K1066" s="1149"/>
      <c r="L1066" s="1149"/>
      <c r="M1066" s="1149"/>
      <c r="N1066" s="1149"/>
      <c r="O1066" s="1149"/>
      <c r="P1066" s="1149"/>
      <c r="Q1066" s="1149"/>
      <c r="R1066" s="1149"/>
      <c r="S1066" s="1149"/>
      <c r="T1066" s="1149"/>
      <c r="U1066" s="1149"/>
      <c r="V1066" s="1149"/>
      <c r="W1066" s="1149"/>
      <c r="X1066" s="1149"/>
      <c r="Y1066" s="1149"/>
      <c r="Z1066" s="1149"/>
      <c r="AA1066" s="1149"/>
      <c r="AB1066" s="1149"/>
      <c r="AC1066" s="1149"/>
      <c r="AD1066" s="1149"/>
      <c r="AE1066" s="1149"/>
      <c r="AF1066" s="1149"/>
      <c r="AG1066" s="1149"/>
      <c r="AH1066" s="1149"/>
      <c r="AI1066" s="1149"/>
      <c r="AJ1066" s="1149"/>
      <c r="AK1066" s="1149"/>
      <c r="AL1066" s="2517"/>
      <c r="AM1066" s="2517"/>
      <c r="AN1066" s="2517"/>
      <c r="AO1066" s="2517"/>
      <c r="AP1066" s="2517"/>
      <c r="AQ1066" s="2517"/>
      <c r="AR1066" s="2517"/>
      <c r="AS1066" s="2517"/>
      <c r="AT1066" s="2517"/>
      <c r="AV1066" s="2517"/>
      <c r="AW1066" s="2517"/>
      <c r="AX1066" s="2517"/>
      <c r="AY1066" s="2517"/>
    </row>
    <row r="1067" spans="1:51" ht="12.95" customHeight="1">
      <c r="A1067" s="1"/>
      <c r="B1067" s="1"/>
      <c r="C1067" s="8"/>
      <c r="D1067" s="1149"/>
      <c r="E1067" s="1149"/>
      <c r="F1067" s="1149"/>
      <c r="G1067" s="1149"/>
      <c r="H1067" s="1149"/>
      <c r="I1067" s="1149"/>
      <c r="J1067" s="1149"/>
      <c r="K1067" s="1149"/>
      <c r="L1067" s="1149"/>
      <c r="M1067" s="1149"/>
      <c r="N1067" s="1149"/>
      <c r="O1067" s="1149"/>
      <c r="P1067" s="1149"/>
      <c r="Q1067" s="1149"/>
      <c r="R1067" s="1149"/>
      <c r="S1067" s="1149"/>
      <c r="T1067" s="1149"/>
      <c r="U1067" s="1149"/>
      <c r="V1067" s="1149"/>
      <c r="W1067" s="1149"/>
      <c r="X1067" s="1149"/>
      <c r="Y1067" s="1149"/>
      <c r="Z1067" s="1149"/>
      <c r="AA1067" s="1149"/>
      <c r="AB1067" s="1149"/>
      <c r="AC1067" s="1149"/>
      <c r="AD1067" s="1149"/>
      <c r="AE1067" s="1149"/>
      <c r="AF1067" s="1149"/>
      <c r="AG1067" s="1149"/>
      <c r="AH1067" s="1149"/>
      <c r="AI1067" s="1149"/>
      <c r="AJ1067" s="1149"/>
      <c r="AK1067" s="1149"/>
      <c r="AL1067" s="2517"/>
      <c r="AM1067" s="2517"/>
      <c r="AN1067" s="2517"/>
      <c r="AO1067" s="2517"/>
      <c r="AP1067" s="2517"/>
      <c r="AQ1067" s="2517"/>
      <c r="AR1067" s="2517"/>
      <c r="AS1067" s="2517"/>
      <c r="AT1067" s="2517"/>
      <c r="AV1067" s="2517"/>
      <c r="AW1067" s="2517"/>
      <c r="AX1067" s="2517"/>
      <c r="AY1067" s="2517"/>
    </row>
    <row r="1068" spans="1:51" ht="12.95" customHeight="1">
      <c r="A1068" s="1"/>
      <c r="B1068" s="1"/>
      <c r="C1068" s="8"/>
      <c r="D1068" s="1149"/>
      <c r="E1068" s="1149"/>
      <c r="F1068" s="1149"/>
      <c r="G1068" s="1149"/>
      <c r="H1068" s="1149"/>
      <c r="I1068" s="1149"/>
      <c r="J1068" s="1149"/>
      <c r="K1068" s="1149"/>
      <c r="L1068" s="1149"/>
      <c r="M1068" s="1149"/>
      <c r="N1068" s="1149"/>
      <c r="O1068" s="1149"/>
      <c r="P1068" s="1149"/>
      <c r="Q1068" s="1149"/>
      <c r="R1068" s="1149"/>
      <c r="S1068" s="1149"/>
      <c r="T1068" s="1149"/>
      <c r="U1068" s="1149"/>
      <c r="V1068" s="1149"/>
      <c r="W1068" s="1149"/>
      <c r="X1068" s="1149"/>
      <c r="Y1068" s="1149"/>
      <c r="Z1068" s="1149"/>
      <c r="AA1068" s="1149"/>
      <c r="AB1068" s="1149"/>
      <c r="AC1068" s="1149"/>
      <c r="AD1068" s="1149"/>
      <c r="AE1068" s="1149"/>
      <c r="AF1068" s="1149"/>
      <c r="AG1068" s="1149"/>
      <c r="AH1068" s="1149"/>
      <c r="AI1068" s="1149"/>
      <c r="AJ1068" s="1149"/>
      <c r="AK1068" s="1149"/>
      <c r="AL1068" s="2517"/>
      <c r="AM1068" s="2517"/>
      <c r="AN1068" s="2517"/>
      <c r="AO1068" s="2517"/>
      <c r="AP1068" s="2517"/>
      <c r="AQ1068" s="2517"/>
      <c r="AR1068" s="2517"/>
      <c r="AS1068" s="2517"/>
      <c r="AT1068" s="2517"/>
      <c r="AV1068" s="2517"/>
      <c r="AW1068" s="2517"/>
      <c r="AX1068" s="2517"/>
      <c r="AY1068" s="2517"/>
    </row>
    <row r="1069" spans="1:51" ht="12.95" customHeight="1">
      <c r="A1069" s="2"/>
      <c r="B1069" s="22"/>
      <c r="C1069" s="8"/>
      <c r="D1069" s="1149"/>
      <c r="E1069" s="1149"/>
      <c r="F1069" s="1149"/>
      <c r="G1069" s="1149"/>
      <c r="H1069" s="1149"/>
      <c r="I1069" s="1149"/>
      <c r="J1069" s="1149"/>
      <c r="K1069" s="1149"/>
      <c r="L1069" s="1149"/>
      <c r="M1069" s="1149"/>
      <c r="N1069" s="1149"/>
      <c r="O1069" s="1149"/>
      <c r="P1069" s="1149"/>
      <c r="Q1069" s="1149"/>
      <c r="R1069" s="1149"/>
      <c r="S1069" s="1149"/>
      <c r="T1069" s="1149"/>
      <c r="U1069" s="1149"/>
      <c r="V1069" s="1149"/>
      <c r="W1069" s="1149"/>
      <c r="X1069" s="1149"/>
      <c r="Y1069" s="1149"/>
      <c r="Z1069" s="1149"/>
      <c r="AA1069" s="1149"/>
      <c r="AB1069" s="1149"/>
      <c r="AC1069" s="1149"/>
      <c r="AD1069" s="1149"/>
      <c r="AE1069" s="1149"/>
      <c r="AF1069" s="1149"/>
      <c r="AG1069" s="1149"/>
      <c r="AH1069" s="1149"/>
      <c r="AI1069" s="1149"/>
      <c r="AJ1069" s="1149"/>
      <c r="AK1069" s="1149"/>
      <c r="AL1069" s="2517"/>
      <c r="AM1069" s="2517"/>
      <c r="AN1069" s="2517"/>
      <c r="AO1069" s="2517"/>
      <c r="AP1069" s="2517"/>
      <c r="AQ1069" s="2517"/>
      <c r="AR1069" s="2517"/>
      <c r="AS1069" s="2517"/>
      <c r="AT1069" s="2517"/>
      <c r="AV1069" s="2517"/>
      <c r="AW1069" s="2517"/>
      <c r="AX1069" s="2517"/>
      <c r="AY1069" s="2517"/>
    </row>
    <row r="1070" spans="1:51" ht="12.95" customHeight="1">
      <c r="A1070" s="1234" t="s">
        <v>299</v>
      </c>
      <c r="B1070" s="1234"/>
      <c r="C1070" s="8">
        <v>2</v>
      </c>
      <c r="D1070" s="1149" t="s">
        <v>1790</v>
      </c>
      <c r="E1070" s="1149"/>
      <c r="F1070" s="1149"/>
      <c r="G1070" s="1149"/>
      <c r="H1070" s="1149"/>
      <c r="I1070" s="1149"/>
      <c r="J1070" s="1149"/>
      <c r="K1070" s="1149"/>
      <c r="L1070" s="1149"/>
      <c r="M1070" s="1149"/>
      <c r="N1070" s="1149"/>
      <c r="O1070" s="1149"/>
      <c r="P1070" s="1149"/>
      <c r="Q1070" s="1149"/>
      <c r="R1070" s="1149"/>
      <c r="S1070" s="1149"/>
      <c r="T1070" s="1149"/>
      <c r="U1070" s="1149"/>
      <c r="V1070" s="1149"/>
      <c r="W1070" s="1149"/>
      <c r="X1070" s="1149"/>
      <c r="Y1070" s="1149"/>
      <c r="Z1070" s="1149"/>
      <c r="AA1070" s="1149"/>
      <c r="AB1070" s="1149"/>
      <c r="AC1070" s="1149"/>
      <c r="AD1070" s="1149"/>
      <c r="AE1070" s="1149"/>
      <c r="AF1070" s="1149"/>
      <c r="AG1070" s="1149"/>
      <c r="AH1070" s="1149"/>
      <c r="AI1070" s="1149"/>
      <c r="AJ1070" s="1149"/>
      <c r="AK1070" s="1149"/>
      <c r="AL1070" s="2517"/>
      <c r="AM1070" s="2517"/>
      <c r="AN1070" s="2517"/>
      <c r="AO1070" s="2517"/>
      <c r="AP1070" s="2517"/>
      <c r="AQ1070" s="2517"/>
      <c r="AR1070" s="2517"/>
      <c r="AS1070" s="2517"/>
      <c r="AT1070" s="2517"/>
    </row>
    <row r="1071" spans="1:51" ht="12.95" customHeight="1">
      <c r="A1071" s="1"/>
      <c r="B1071" s="1"/>
      <c r="C1071" s="8"/>
      <c r="D1071" s="1149"/>
      <c r="E1071" s="1149"/>
      <c r="F1071" s="1149"/>
      <c r="G1071" s="1149"/>
      <c r="H1071" s="1149"/>
      <c r="I1071" s="1149"/>
      <c r="J1071" s="1149"/>
      <c r="K1071" s="1149"/>
      <c r="L1071" s="1149"/>
      <c r="M1071" s="1149"/>
      <c r="N1071" s="1149"/>
      <c r="O1071" s="1149"/>
      <c r="P1071" s="1149"/>
      <c r="Q1071" s="1149"/>
      <c r="R1071" s="1149"/>
      <c r="S1071" s="1149"/>
      <c r="T1071" s="1149"/>
      <c r="U1071" s="1149"/>
      <c r="V1071" s="1149"/>
      <c r="W1071" s="1149"/>
      <c r="X1071" s="1149"/>
      <c r="Y1071" s="1149"/>
      <c r="Z1071" s="1149"/>
      <c r="AA1071" s="1149"/>
      <c r="AB1071" s="1149"/>
      <c r="AC1071" s="1149"/>
      <c r="AD1071" s="1149"/>
      <c r="AE1071" s="1149"/>
      <c r="AF1071" s="1149"/>
      <c r="AG1071" s="1149"/>
      <c r="AH1071" s="1149"/>
      <c r="AI1071" s="1149"/>
      <c r="AJ1071" s="1149"/>
      <c r="AK1071" s="1149"/>
      <c r="AL1071" s="2517"/>
      <c r="AM1071" s="2517"/>
      <c r="AN1071" s="2517"/>
      <c r="AO1071" s="2517"/>
      <c r="AP1071" s="2517"/>
      <c r="AQ1071" s="2517"/>
      <c r="AR1071" s="2517"/>
      <c r="AS1071" s="2517"/>
      <c r="AT1071" s="2517"/>
    </row>
    <row r="1072" spans="1:51" ht="12.95" customHeight="1">
      <c r="A1072" s="1"/>
      <c r="B1072" s="1"/>
      <c r="C1072" s="8"/>
      <c r="D1072" s="1149"/>
      <c r="E1072" s="1149"/>
      <c r="F1072" s="1149"/>
      <c r="G1072" s="1149"/>
      <c r="H1072" s="1149"/>
      <c r="I1072" s="1149"/>
      <c r="J1072" s="1149"/>
      <c r="K1072" s="1149"/>
      <c r="L1072" s="1149"/>
      <c r="M1072" s="1149"/>
      <c r="N1072" s="1149"/>
      <c r="O1072" s="1149"/>
      <c r="P1072" s="1149"/>
      <c r="Q1072" s="1149"/>
      <c r="R1072" s="1149"/>
      <c r="S1072" s="1149"/>
      <c r="T1072" s="1149"/>
      <c r="U1072" s="1149"/>
      <c r="V1072" s="1149"/>
      <c r="W1072" s="1149"/>
      <c r="X1072" s="1149"/>
      <c r="Y1072" s="1149"/>
      <c r="Z1072" s="1149"/>
      <c r="AA1072" s="1149"/>
      <c r="AB1072" s="1149"/>
      <c r="AC1072" s="1149"/>
      <c r="AD1072" s="1149"/>
      <c r="AE1072" s="1149"/>
      <c r="AF1072" s="1149"/>
      <c r="AG1072" s="1149"/>
      <c r="AH1072" s="1149"/>
      <c r="AI1072" s="1149"/>
      <c r="AJ1072" s="1149"/>
      <c r="AK1072" s="1149"/>
      <c r="AL1072" s="2517"/>
      <c r="AM1072" s="2517"/>
      <c r="AN1072" s="2517"/>
      <c r="AO1072" s="2517"/>
      <c r="AP1072" s="2517"/>
      <c r="AQ1072" s="2517"/>
      <c r="AR1072" s="2517"/>
      <c r="AS1072" s="2517"/>
      <c r="AT1072" s="2517"/>
    </row>
    <row r="1073" spans="1:46" ht="12.95" customHeight="1">
      <c r="A1073" s="1"/>
      <c r="B1073" s="1"/>
      <c r="C1073" s="8"/>
      <c r="D1073" s="1149"/>
      <c r="E1073" s="1149"/>
      <c r="F1073" s="1149"/>
      <c r="G1073" s="1149"/>
      <c r="H1073" s="1149"/>
      <c r="I1073" s="1149"/>
      <c r="J1073" s="1149"/>
      <c r="K1073" s="1149"/>
      <c r="L1073" s="1149"/>
      <c r="M1073" s="1149"/>
      <c r="N1073" s="1149"/>
      <c r="O1073" s="1149"/>
      <c r="P1073" s="1149"/>
      <c r="Q1073" s="1149"/>
      <c r="R1073" s="1149"/>
      <c r="S1073" s="1149"/>
      <c r="T1073" s="1149"/>
      <c r="U1073" s="1149"/>
      <c r="V1073" s="1149"/>
      <c r="W1073" s="1149"/>
      <c r="X1073" s="1149"/>
      <c r="Y1073" s="1149"/>
      <c r="Z1073" s="1149"/>
      <c r="AA1073" s="1149"/>
      <c r="AB1073" s="1149"/>
      <c r="AC1073" s="1149"/>
      <c r="AD1073" s="1149"/>
      <c r="AE1073" s="1149"/>
      <c r="AF1073" s="1149"/>
      <c r="AG1073" s="1149"/>
      <c r="AH1073" s="1149"/>
      <c r="AI1073" s="1149"/>
      <c r="AJ1073" s="1149"/>
      <c r="AK1073" s="1149"/>
      <c r="AL1073" s="2517"/>
      <c r="AM1073" s="2517"/>
      <c r="AN1073" s="2517"/>
      <c r="AO1073" s="2517"/>
      <c r="AP1073" s="2517"/>
      <c r="AQ1073" s="2517"/>
      <c r="AR1073" s="2517"/>
      <c r="AS1073" s="2517"/>
      <c r="AT1073" s="2517"/>
    </row>
    <row r="1074" spans="1:46" ht="12.95" hidden="1" customHeight="1">
      <c r="A1074" s="1"/>
      <c r="B1074" s="1"/>
      <c r="C1074" s="8"/>
      <c r="D1074" s="1149"/>
      <c r="E1074" s="1149"/>
      <c r="F1074" s="1149"/>
      <c r="G1074" s="1149"/>
      <c r="H1074" s="1149"/>
      <c r="I1074" s="1149"/>
      <c r="J1074" s="1149"/>
      <c r="K1074" s="1149"/>
      <c r="L1074" s="1149"/>
      <c r="M1074" s="1149"/>
      <c r="N1074" s="1149"/>
      <c r="O1074" s="1149"/>
      <c r="P1074" s="1149"/>
      <c r="Q1074" s="1149"/>
      <c r="R1074" s="1149"/>
      <c r="S1074" s="1149"/>
      <c r="T1074" s="1149"/>
      <c r="U1074" s="1149"/>
      <c r="V1074" s="1149"/>
      <c r="W1074" s="1149"/>
      <c r="X1074" s="1149"/>
      <c r="Y1074" s="1149"/>
      <c r="Z1074" s="1149"/>
      <c r="AA1074" s="1149"/>
      <c r="AB1074" s="1149"/>
      <c r="AC1074" s="1149"/>
      <c r="AD1074" s="1149"/>
      <c r="AE1074" s="1149"/>
      <c r="AF1074" s="1149"/>
      <c r="AG1074" s="1149"/>
      <c r="AH1074" s="1149"/>
      <c r="AI1074" s="1149"/>
      <c r="AJ1074" s="1149"/>
      <c r="AK1074" s="1149"/>
      <c r="AL1074" s="2517"/>
      <c r="AM1074" s="2517"/>
      <c r="AN1074" s="2517"/>
      <c r="AO1074" s="2517"/>
      <c r="AP1074" s="2517"/>
      <c r="AQ1074" s="2517"/>
      <c r="AR1074" s="2517"/>
      <c r="AS1074" s="2517"/>
      <c r="AT1074" s="2517"/>
    </row>
    <row r="1075" spans="1:46" ht="12.95" customHeight="1">
      <c r="A1075" s="1"/>
      <c r="B1075" s="1"/>
      <c r="C1075" s="8"/>
      <c r="D1075" s="1149"/>
      <c r="E1075" s="1149"/>
      <c r="F1075" s="1149"/>
      <c r="G1075" s="1149"/>
      <c r="H1075" s="1149"/>
      <c r="I1075" s="1149"/>
      <c r="J1075" s="1149"/>
      <c r="K1075" s="1149"/>
      <c r="L1075" s="1149"/>
      <c r="M1075" s="1149"/>
      <c r="N1075" s="1149"/>
      <c r="O1075" s="1149"/>
      <c r="P1075" s="1149"/>
      <c r="Q1075" s="1149"/>
      <c r="R1075" s="1149"/>
      <c r="S1075" s="1149"/>
      <c r="T1075" s="1149"/>
      <c r="U1075" s="1149"/>
      <c r="V1075" s="1149"/>
      <c r="W1075" s="1149"/>
      <c r="X1075" s="1149"/>
      <c r="Y1075" s="1149"/>
      <c r="Z1075" s="1149"/>
      <c r="AA1075" s="1149"/>
      <c r="AB1075" s="1149"/>
      <c r="AC1075" s="1149"/>
      <c r="AD1075" s="1149"/>
      <c r="AE1075" s="1149"/>
      <c r="AF1075" s="1149"/>
      <c r="AG1075" s="1149"/>
      <c r="AH1075" s="1149"/>
      <c r="AI1075" s="1149"/>
      <c r="AJ1075" s="1149"/>
      <c r="AK1075" s="1149"/>
    </row>
    <row r="1076" spans="1:46" ht="12.95" customHeight="1">
      <c r="A1076" s="1234" t="s">
        <v>299</v>
      </c>
      <c r="B1076" s="1234"/>
      <c r="C1076" s="8">
        <v>3</v>
      </c>
      <c r="D1076" s="1149" t="s">
        <v>1791</v>
      </c>
      <c r="E1076" s="1149"/>
      <c r="F1076" s="1149"/>
      <c r="G1076" s="1149"/>
      <c r="H1076" s="1149"/>
      <c r="I1076" s="1149"/>
      <c r="J1076" s="1149"/>
      <c r="K1076" s="1149"/>
      <c r="L1076" s="1149"/>
      <c r="M1076" s="1149"/>
      <c r="N1076" s="1149"/>
      <c r="O1076" s="1149"/>
      <c r="P1076" s="1149"/>
      <c r="Q1076" s="1149"/>
      <c r="R1076" s="1149"/>
      <c r="S1076" s="1149"/>
      <c r="T1076" s="1149"/>
      <c r="U1076" s="1149"/>
      <c r="V1076" s="1149"/>
      <c r="W1076" s="1149"/>
      <c r="X1076" s="1149"/>
      <c r="Y1076" s="1149"/>
      <c r="Z1076" s="1149"/>
      <c r="AA1076" s="1149"/>
      <c r="AB1076" s="1149"/>
      <c r="AC1076" s="1149"/>
      <c r="AD1076" s="1149"/>
      <c r="AE1076" s="1149"/>
      <c r="AF1076" s="1149"/>
      <c r="AG1076" s="1149"/>
      <c r="AH1076" s="1149"/>
      <c r="AI1076" s="1149"/>
      <c r="AJ1076" s="1149"/>
      <c r="AK1076" s="1149"/>
    </row>
    <row r="1077" spans="1:46" ht="12.95" customHeight="1">
      <c r="A1077" s="3"/>
      <c r="B1077" s="3"/>
      <c r="C1077" s="8"/>
      <c r="D1077" s="1149"/>
      <c r="E1077" s="1149"/>
      <c r="F1077" s="1149"/>
      <c r="G1077" s="1149"/>
      <c r="H1077" s="1149"/>
      <c r="I1077" s="1149"/>
      <c r="J1077" s="1149"/>
      <c r="K1077" s="1149"/>
      <c r="L1077" s="1149"/>
      <c r="M1077" s="1149"/>
      <c r="N1077" s="1149"/>
      <c r="O1077" s="1149"/>
      <c r="P1077" s="1149"/>
      <c r="Q1077" s="1149"/>
      <c r="R1077" s="1149"/>
      <c r="S1077" s="1149"/>
      <c r="T1077" s="1149"/>
      <c r="U1077" s="1149"/>
      <c r="V1077" s="1149"/>
      <c r="W1077" s="1149"/>
      <c r="X1077" s="1149"/>
      <c r="Y1077" s="1149"/>
      <c r="Z1077" s="1149"/>
      <c r="AA1077" s="1149"/>
      <c r="AB1077" s="1149"/>
      <c r="AC1077" s="1149"/>
      <c r="AD1077" s="1149"/>
      <c r="AE1077" s="1149"/>
      <c r="AF1077" s="1149"/>
      <c r="AG1077" s="1149"/>
      <c r="AH1077" s="1149"/>
      <c r="AI1077" s="1149"/>
      <c r="AJ1077" s="1149"/>
      <c r="AK1077" s="1149"/>
    </row>
    <row r="1078" spans="1:46" ht="12.95" customHeight="1">
      <c r="A1078" s="3"/>
      <c r="B1078" s="3"/>
      <c r="C1078" s="8"/>
      <c r="D1078" s="1149"/>
      <c r="E1078" s="1149"/>
      <c r="F1078" s="1149"/>
      <c r="G1078" s="1149"/>
      <c r="H1078" s="1149"/>
      <c r="I1078" s="1149"/>
      <c r="J1078" s="1149"/>
      <c r="K1078" s="1149"/>
      <c r="L1078" s="1149"/>
      <c r="M1078" s="1149"/>
      <c r="N1078" s="1149"/>
      <c r="O1078" s="1149"/>
      <c r="P1078" s="1149"/>
      <c r="Q1078" s="1149"/>
      <c r="R1078" s="1149"/>
      <c r="S1078" s="1149"/>
      <c r="T1078" s="1149"/>
      <c r="U1078" s="1149"/>
      <c r="V1078" s="1149"/>
      <c r="W1078" s="1149"/>
      <c r="X1078" s="1149"/>
      <c r="Y1078" s="1149"/>
      <c r="Z1078" s="1149"/>
      <c r="AA1078" s="1149"/>
      <c r="AB1078" s="1149"/>
      <c r="AC1078" s="1149"/>
      <c r="AD1078" s="1149"/>
      <c r="AE1078" s="1149"/>
      <c r="AF1078" s="1149"/>
      <c r="AG1078" s="1149"/>
      <c r="AH1078" s="1149"/>
      <c r="AI1078" s="1149"/>
      <c r="AJ1078" s="1149"/>
      <c r="AK1078" s="1149"/>
    </row>
    <row r="1079" spans="1:46" ht="12.95" customHeight="1">
      <c r="A1079" s="85"/>
      <c r="B1079" s="22"/>
      <c r="C1079" s="8"/>
      <c r="D1079" s="1149"/>
      <c r="E1079" s="1149"/>
      <c r="F1079" s="1149"/>
      <c r="G1079" s="1149"/>
      <c r="H1079" s="1149"/>
      <c r="I1079" s="1149"/>
      <c r="J1079" s="1149"/>
      <c r="K1079" s="1149"/>
      <c r="L1079" s="1149"/>
      <c r="M1079" s="1149"/>
      <c r="N1079" s="1149"/>
      <c r="O1079" s="1149"/>
      <c r="P1079" s="1149"/>
      <c r="Q1079" s="1149"/>
      <c r="R1079" s="1149"/>
      <c r="S1079" s="1149"/>
      <c r="T1079" s="1149"/>
      <c r="U1079" s="1149"/>
      <c r="V1079" s="1149"/>
      <c r="W1079" s="1149"/>
      <c r="X1079" s="1149"/>
      <c r="Y1079" s="1149"/>
      <c r="Z1079" s="1149"/>
      <c r="AA1079" s="1149"/>
      <c r="AB1079" s="1149"/>
      <c r="AC1079" s="1149"/>
      <c r="AD1079" s="1149"/>
      <c r="AE1079" s="1149"/>
      <c r="AF1079" s="1149"/>
      <c r="AG1079" s="1149"/>
      <c r="AH1079" s="1149"/>
      <c r="AI1079" s="1149"/>
      <c r="AJ1079" s="1149"/>
      <c r="AK1079" s="1149"/>
    </row>
    <row r="1080" spans="1:46" ht="12.95" customHeight="1">
      <c r="A1080" s="85"/>
      <c r="B1080" s="22"/>
      <c r="C1080" s="8"/>
      <c r="D1080" s="1149"/>
      <c r="E1080" s="1149"/>
      <c r="F1080" s="1149"/>
      <c r="G1080" s="1149"/>
      <c r="H1080" s="1149"/>
      <c r="I1080" s="1149"/>
      <c r="J1080" s="1149"/>
      <c r="K1080" s="1149"/>
      <c r="L1080" s="1149"/>
      <c r="M1080" s="1149"/>
      <c r="N1080" s="1149"/>
      <c r="O1080" s="1149"/>
      <c r="P1080" s="1149"/>
      <c r="Q1080" s="1149"/>
      <c r="R1080" s="1149"/>
      <c r="S1080" s="1149"/>
      <c r="T1080" s="1149"/>
      <c r="U1080" s="1149"/>
      <c r="V1080" s="1149"/>
      <c r="W1080" s="1149"/>
      <c r="X1080" s="1149"/>
      <c r="Y1080" s="1149"/>
      <c r="Z1080" s="1149"/>
      <c r="AA1080" s="1149"/>
      <c r="AB1080" s="1149"/>
      <c r="AC1080" s="1149"/>
      <c r="AD1080" s="1149"/>
      <c r="AE1080" s="1149"/>
      <c r="AF1080" s="1149"/>
      <c r="AG1080" s="1149"/>
      <c r="AH1080" s="1149"/>
      <c r="AI1080" s="1149"/>
      <c r="AJ1080" s="1149"/>
      <c r="AK1080" s="1149"/>
    </row>
    <row r="1081" spans="1:46" ht="12.95" customHeight="1">
      <c r="A1081" s="85"/>
      <c r="B1081" s="22"/>
      <c r="C1081" s="8"/>
      <c r="D1081" s="1149"/>
      <c r="E1081" s="1149"/>
      <c r="F1081" s="1149"/>
      <c r="G1081" s="1149"/>
      <c r="H1081" s="1149"/>
      <c r="I1081" s="1149"/>
      <c r="J1081" s="1149"/>
      <c r="K1081" s="1149"/>
      <c r="L1081" s="1149"/>
      <c r="M1081" s="1149"/>
      <c r="N1081" s="1149"/>
      <c r="O1081" s="1149"/>
      <c r="P1081" s="1149"/>
      <c r="Q1081" s="1149"/>
      <c r="R1081" s="1149"/>
      <c r="S1081" s="1149"/>
      <c r="T1081" s="1149"/>
      <c r="U1081" s="1149"/>
      <c r="V1081" s="1149"/>
      <c r="W1081" s="1149"/>
      <c r="X1081" s="1149"/>
      <c r="Y1081" s="1149"/>
      <c r="Z1081" s="1149"/>
      <c r="AA1081" s="1149"/>
      <c r="AB1081" s="1149"/>
      <c r="AC1081" s="1149"/>
      <c r="AD1081" s="1149"/>
      <c r="AE1081" s="1149"/>
      <c r="AF1081" s="1149"/>
      <c r="AG1081" s="1149"/>
      <c r="AH1081" s="1149"/>
      <c r="AI1081" s="1149"/>
      <c r="AJ1081" s="1149"/>
      <c r="AK1081" s="1149"/>
    </row>
    <row r="1082" spans="1:46" ht="12.95" customHeight="1">
      <c r="A1082" s="85"/>
      <c r="B1082" s="22"/>
      <c r="C1082" s="8"/>
      <c r="D1082" s="1149"/>
      <c r="E1082" s="1149"/>
      <c r="F1082" s="1149"/>
      <c r="G1082" s="1149"/>
      <c r="H1082" s="1149"/>
      <c r="I1082" s="1149"/>
      <c r="J1082" s="1149"/>
      <c r="K1082" s="1149"/>
      <c r="L1082" s="1149"/>
      <c r="M1082" s="1149"/>
      <c r="N1082" s="1149"/>
      <c r="O1082" s="1149"/>
      <c r="P1082" s="1149"/>
      <c r="Q1082" s="1149"/>
      <c r="R1082" s="1149"/>
      <c r="S1082" s="1149"/>
      <c r="T1082" s="1149"/>
      <c r="U1082" s="1149"/>
      <c r="V1082" s="1149"/>
      <c r="W1082" s="1149"/>
      <c r="X1082" s="1149"/>
      <c r="Y1082" s="1149"/>
      <c r="Z1082" s="1149"/>
      <c r="AA1082" s="1149"/>
      <c r="AB1082" s="1149"/>
      <c r="AC1082" s="1149"/>
      <c r="AD1082" s="1149"/>
      <c r="AE1082" s="1149"/>
      <c r="AF1082" s="1149"/>
      <c r="AG1082" s="1149"/>
      <c r="AH1082" s="1149"/>
      <c r="AI1082" s="1149"/>
      <c r="AJ1082" s="1149"/>
      <c r="AK1082" s="1149"/>
    </row>
    <row r="1083" spans="1:46" ht="12.95" customHeight="1">
      <c r="A1083" s="1234" t="s">
        <v>299</v>
      </c>
      <c r="B1083" s="1234"/>
      <c r="C1083" s="8">
        <v>4</v>
      </c>
      <c r="D1083" s="1149" t="s">
        <v>1792</v>
      </c>
      <c r="E1083" s="1149"/>
      <c r="F1083" s="1149"/>
      <c r="G1083" s="1149"/>
      <c r="H1083" s="1149"/>
      <c r="I1083" s="1149"/>
      <c r="J1083" s="1149"/>
      <c r="K1083" s="1149"/>
      <c r="L1083" s="1149"/>
      <c r="M1083" s="1149"/>
      <c r="N1083" s="1149"/>
      <c r="O1083" s="1149"/>
      <c r="P1083" s="1149"/>
      <c r="Q1083" s="1149"/>
      <c r="R1083" s="1149"/>
      <c r="S1083" s="1149"/>
      <c r="T1083" s="1149"/>
      <c r="U1083" s="1149"/>
      <c r="V1083" s="1149"/>
      <c r="W1083" s="1149"/>
      <c r="X1083" s="1149"/>
      <c r="Y1083" s="1149"/>
      <c r="Z1083" s="1149"/>
      <c r="AA1083" s="1149"/>
      <c r="AB1083" s="1149"/>
      <c r="AC1083" s="1149"/>
      <c r="AD1083" s="1149"/>
      <c r="AE1083" s="1149"/>
      <c r="AF1083" s="1149"/>
      <c r="AG1083" s="1149"/>
      <c r="AH1083" s="1149"/>
      <c r="AI1083" s="1149"/>
      <c r="AJ1083" s="1149"/>
      <c r="AK1083" s="1149"/>
    </row>
    <row r="1084" spans="1:46" ht="12.95" customHeight="1">
      <c r="A1084" s="1"/>
      <c r="B1084" s="1"/>
      <c r="C1084" s="8"/>
      <c r="D1084" s="1149"/>
      <c r="E1084" s="1149"/>
      <c r="F1084" s="1149"/>
      <c r="G1084" s="1149"/>
      <c r="H1084" s="1149"/>
      <c r="I1084" s="1149"/>
      <c r="J1084" s="1149"/>
      <c r="K1084" s="1149"/>
      <c r="L1084" s="1149"/>
      <c r="M1084" s="1149"/>
      <c r="N1084" s="1149"/>
      <c r="O1084" s="1149"/>
      <c r="P1084" s="1149"/>
      <c r="Q1084" s="1149"/>
      <c r="R1084" s="1149"/>
      <c r="S1084" s="1149"/>
      <c r="T1084" s="1149"/>
      <c r="U1084" s="1149"/>
      <c r="V1084" s="1149"/>
      <c r="W1084" s="1149"/>
      <c r="X1084" s="1149"/>
      <c r="Y1084" s="1149"/>
      <c r="Z1084" s="1149"/>
      <c r="AA1084" s="1149"/>
      <c r="AB1084" s="1149"/>
      <c r="AC1084" s="1149"/>
      <c r="AD1084" s="1149"/>
      <c r="AE1084" s="1149"/>
      <c r="AF1084" s="1149"/>
      <c r="AG1084" s="1149"/>
      <c r="AH1084" s="1149"/>
      <c r="AI1084" s="1149"/>
      <c r="AJ1084" s="1149"/>
      <c r="AK1084" s="1149"/>
    </row>
    <row r="1085" spans="1:46" ht="12.95" customHeight="1">
      <c r="A1085" s="85"/>
      <c r="B1085" s="22"/>
      <c r="C1085" s="8"/>
      <c r="D1085" s="1149"/>
      <c r="E1085" s="1149"/>
      <c r="F1085" s="1149"/>
      <c r="G1085" s="1149"/>
      <c r="H1085" s="1149"/>
      <c r="I1085" s="1149"/>
      <c r="J1085" s="1149"/>
      <c r="K1085" s="1149"/>
      <c r="L1085" s="1149"/>
      <c r="M1085" s="1149"/>
      <c r="N1085" s="1149"/>
      <c r="O1085" s="1149"/>
      <c r="P1085" s="1149"/>
      <c r="Q1085" s="1149"/>
      <c r="R1085" s="1149"/>
      <c r="S1085" s="1149"/>
      <c r="T1085" s="1149"/>
      <c r="U1085" s="1149"/>
      <c r="V1085" s="1149"/>
      <c r="W1085" s="1149"/>
      <c r="X1085" s="1149"/>
      <c r="Y1085" s="1149"/>
      <c r="Z1085" s="1149"/>
      <c r="AA1085" s="1149"/>
      <c r="AB1085" s="1149"/>
      <c r="AC1085" s="1149"/>
      <c r="AD1085" s="1149"/>
      <c r="AE1085" s="1149"/>
      <c r="AF1085" s="1149"/>
      <c r="AG1085" s="1149"/>
      <c r="AH1085" s="1149"/>
      <c r="AI1085" s="1149"/>
      <c r="AJ1085" s="1149"/>
      <c r="AK1085" s="1149"/>
    </row>
    <row r="1086" spans="1:46" ht="12.95" customHeight="1">
      <c r="A1086" s="1234" t="s">
        <v>299</v>
      </c>
      <c r="B1086" s="1234"/>
      <c r="C1086" s="8">
        <v>5</v>
      </c>
      <c r="D1086" s="1149" t="s">
        <v>1793</v>
      </c>
      <c r="E1086" s="1149"/>
      <c r="F1086" s="1149"/>
      <c r="G1086" s="1149"/>
      <c r="H1086" s="1149"/>
      <c r="I1086" s="1149"/>
      <c r="J1086" s="1149"/>
      <c r="K1086" s="1149"/>
      <c r="L1086" s="1149"/>
      <c r="M1086" s="1149"/>
      <c r="N1086" s="1149"/>
      <c r="O1086" s="1149"/>
      <c r="P1086" s="1149"/>
      <c r="Q1086" s="1149"/>
      <c r="R1086" s="1149"/>
      <c r="S1086" s="1149"/>
      <c r="T1086" s="1149"/>
      <c r="U1086" s="1149"/>
      <c r="V1086" s="1149"/>
      <c r="W1086" s="1149"/>
      <c r="X1086" s="1149"/>
      <c r="Y1086" s="1149"/>
      <c r="Z1086" s="1149"/>
      <c r="AA1086" s="1149"/>
      <c r="AB1086" s="1149"/>
      <c r="AC1086" s="1149"/>
      <c r="AD1086" s="1149"/>
      <c r="AE1086" s="1149"/>
      <c r="AF1086" s="1149"/>
      <c r="AG1086" s="1149"/>
      <c r="AH1086" s="1149"/>
      <c r="AI1086" s="1149"/>
      <c r="AJ1086" s="1149"/>
      <c r="AK1086" s="1149"/>
    </row>
    <row r="1087" spans="1:46" ht="12.95" customHeight="1">
      <c r="A1087" s="1"/>
      <c r="B1087" s="1"/>
      <c r="C1087" s="8"/>
      <c r="D1087" s="1149"/>
      <c r="E1087" s="1149"/>
      <c r="F1087" s="1149"/>
      <c r="G1087" s="1149"/>
      <c r="H1087" s="1149"/>
      <c r="I1087" s="1149"/>
      <c r="J1087" s="1149"/>
      <c r="K1087" s="1149"/>
      <c r="L1087" s="1149"/>
      <c r="M1087" s="1149"/>
      <c r="N1087" s="1149"/>
      <c r="O1087" s="1149"/>
      <c r="P1087" s="1149"/>
      <c r="Q1087" s="1149"/>
      <c r="R1087" s="1149"/>
      <c r="S1087" s="1149"/>
      <c r="T1087" s="1149"/>
      <c r="U1087" s="1149"/>
      <c r="V1087" s="1149"/>
      <c r="W1087" s="1149"/>
      <c r="X1087" s="1149"/>
      <c r="Y1087" s="1149"/>
      <c r="Z1087" s="1149"/>
      <c r="AA1087" s="1149"/>
      <c r="AB1087" s="1149"/>
      <c r="AC1087" s="1149"/>
      <c r="AD1087" s="1149"/>
      <c r="AE1087" s="1149"/>
      <c r="AF1087" s="1149"/>
      <c r="AG1087" s="1149"/>
      <c r="AH1087" s="1149"/>
      <c r="AI1087" s="1149"/>
      <c r="AJ1087" s="1149"/>
      <c r="AK1087" s="1149"/>
    </row>
    <row r="1088" spans="1:46" ht="12.95" customHeight="1">
      <c r="A1088" s="1"/>
      <c r="B1088" s="1"/>
      <c r="C1088" s="8"/>
      <c r="D1088" s="1149"/>
      <c r="E1088" s="1149"/>
      <c r="F1088" s="1149"/>
      <c r="G1088" s="1149"/>
      <c r="H1088" s="1149"/>
      <c r="I1088" s="1149"/>
      <c r="J1088" s="1149"/>
      <c r="K1088" s="1149"/>
      <c r="L1088" s="1149"/>
      <c r="M1088" s="1149"/>
      <c r="N1088" s="1149"/>
      <c r="O1088" s="1149"/>
      <c r="P1088" s="1149"/>
      <c r="Q1088" s="1149"/>
      <c r="R1088" s="1149"/>
      <c r="S1088" s="1149"/>
      <c r="T1088" s="1149"/>
      <c r="U1088" s="1149"/>
      <c r="V1088" s="1149"/>
      <c r="W1088" s="1149"/>
      <c r="X1088" s="1149"/>
      <c r="Y1088" s="1149"/>
      <c r="Z1088" s="1149"/>
      <c r="AA1088" s="1149"/>
      <c r="AB1088" s="1149"/>
      <c r="AC1088" s="1149"/>
      <c r="AD1088" s="1149"/>
      <c r="AE1088" s="1149"/>
      <c r="AF1088" s="1149"/>
      <c r="AG1088" s="1149"/>
      <c r="AH1088" s="1149"/>
      <c r="AI1088" s="1149"/>
      <c r="AJ1088" s="1149"/>
      <c r="AK1088" s="1149"/>
    </row>
    <row r="1089" spans="1:37" ht="12.95" hidden="1" customHeight="1">
      <c r="A1089" s="1"/>
      <c r="B1089" s="1"/>
      <c r="C1089" s="8"/>
      <c r="D1089" s="1149"/>
      <c r="E1089" s="1149"/>
      <c r="F1089" s="1149"/>
      <c r="G1089" s="1149"/>
      <c r="H1089" s="1149"/>
      <c r="I1089" s="1149"/>
      <c r="J1089" s="1149"/>
      <c r="K1089" s="1149"/>
      <c r="L1089" s="1149"/>
      <c r="M1089" s="1149"/>
      <c r="N1089" s="1149"/>
      <c r="O1089" s="1149"/>
      <c r="P1089" s="1149"/>
      <c r="Q1089" s="1149"/>
      <c r="R1089" s="1149"/>
      <c r="S1089" s="1149"/>
      <c r="T1089" s="1149"/>
      <c r="U1089" s="1149"/>
      <c r="V1089" s="1149"/>
      <c r="W1089" s="1149"/>
      <c r="X1089" s="1149"/>
      <c r="Y1089" s="1149"/>
      <c r="Z1089" s="1149"/>
      <c r="AA1089" s="1149"/>
      <c r="AB1089" s="1149"/>
      <c r="AC1089" s="1149"/>
      <c r="AD1089" s="1149"/>
      <c r="AE1089" s="1149"/>
      <c r="AF1089" s="1149"/>
      <c r="AG1089" s="1149"/>
      <c r="AH1089" s="1149"/>
      <c r="AI1089" s="1149"/>
      <c r="AJ1089" s="1149"/>
      <c r="AK1089" s="1149"/>
    </row>
    <row r="1090" spans="1:37" ht="12.95" customHeight="1">
      <c r="A1090" s="85"/>
      <c r="B1090" s="22"/>
      <c r="C1090" s="8"/>
      <c r="D1090" s="1149"/>
      <c r="E1090" s="1149"/>
      <c r="F1090" s="1149"/>
      <c r="G1090" s="1149"/>
      <c r="H1090" s="1149"/>
      <c r="I1090" s="1149"/>
      <c r="J1090" s="1149"/>
      <c r="K1090" s="1149"/>
      <c r="L1090" s="1149"/>
      <c r="M1090" s="1149"/>
      <c r="N1090" s="1149"/>
      <c r="O1090" s="1149"/>
      <c r="P1090" s="1149"/>
      <c r="Q1090" s="1149"/>
      <c r="R1090" s="1149"/>
      <c r="S1090" s="1149"/>
      <c r="T1090" s="1149"/>
      <c r="U1090" s="1149"/>
      <c r="V1090" s="1149"/>
      <c r="W1090" s="1149"/>
      <c r="X1090" s="1149"/>
      <c r="Y1090" s="1149"/>
      <c r="Z1090" s="1149"/>
      <c r="AA1090" s="1149"/>
      <c r="AB1090" s="1149"/>
      <c r="AC1090" s="1149"/>
      <c r="AD1090" s="1149"/>
      <c r="AE1090" s="1149"/>
      <c r="AF1090" s="1149"/>
      <c r="AG1090" s="1149"/>
      <c r="AH1090" s="1149"/>
      <c r="AI1090" s="1149"/>
      <c r="AJ1090" s="1149"/>
      <c r="AK1090" s="1149"/>
    </row>
    <row r="1091" spans="1:37" ht="12.95" customHeight="1">
      <c r="A1091" s="1234" t="s">
        <v>299</v>
      </c>
      <c r="B1091" s="1234"/>
      <c r="C1091" s="8">
        <v>6</v>
      </c>
      <c r="D1091" s="1149" t="s">
        <v>1794</v>
      </c>
      <c r="E1091" s="1149"/>
      <c r="F1091" s="1149"/>
      <c r="G1091" s="1149"/>
      <c r="H1091" s="1149"/>
      <c r="I1091" s="1149"/>
      <c r="J1091" s="1149"/>
      <c r="K1091" s="1149"/>
      <c r="L1091" s="1149"/>
      <c r="M1091" s="1149"/>
      <c r="N1091" s="1149"/>
      <c r="O1091" s="1149"/>
      <c r="P1091" s="1149"/>
      <c r="Q1091" s="1149"/>
      <c r="R1091" s="1149"/>
      <c r="S1091" s="1149"/>
      <c r="T1091" s="1149"/>
      <c r="U1091" s="1149"/>
      <c r="V1091" s="1149"/>
      <c r="W1091" s="1149"/>
      <c r="X1091" s="1149"/>
      <c r="Y1091" s="1149"/>
      <c r="Z1091" s="1149"/>
      <c r="AA1091" s="1149"/>
      <c r="AB1091" s="1149"/>
      <c r="AC1091" s="1149"/>
      <c r="AD1091" s="1149"/>
      <c r="AE1091" s="1149"/>
      <c r="AF1091" s="1149"/>
      <c r="AG1091" s="1149"/>
      <c r="AH1091" s="1149"/>
      <c r="AI1091" s="1149"/>
      <c r="AJ1091" s="1149"/>
      <c r="AK1091" s="1149"/>
    </row>
    <row r="1092" spans="1:37" ht="12.95" customHeight="1">
      <c r="A1092" s="85"/>
      <c r="B1092" s="22"/>
      <c r="C1092" s="8"/>
      <c r="D1092" s="1149"/>
      <c r="E1092" s="1149"/>
      <c r="F1092" s="1149"/>
      <c r="G1092" s="1149"/>
      <c r="H1092" s="1149"/>
      <c r="I1092" s="1149"/>
      <c r="J1092" s="1149"/>
      <c r="K1092" s="1149"/>
      <c r="L1092" s="1149"/>
      <c r="M1092" s="1149"/>
      <c r="N1092" s="1149"/>
      <c r="O1092" s="1149"/>
      <c r="P1092" s="1149"/>
      <c r="Q1092" s="1149"/>
      <c r="R1092" s="1149"/>
      <c r="S1092" s="1149"/>
      <c r="T1092" s="1149"/>
      <c r="U1092" s="1149"/>
      <c r="V1092" s="1149"/>
      <c r="W1092" s="1149"/>
      <c r="X1092" s="1149"/>
      <c r="Y1092" s="1149"/>
      <c r="Z1092" s="1149"/>
      <c r="AA1092" s="1149"/>
      <c r="AB1092" s="1149"/>
      <c r="AC1092" s="1149"/>
      <c r="AD1092" s="1149"/>
      <c r="AE1092" s="1149"/>
      <c r="AF1092" s="1149"/>
      <c r="AG1092" s="1149"/>
      <c r="AH1092" s="1149"/>
      <c r="AI1092" s="1149"/>
      <c r="AJ1092" s="1149"/>
      <c r="AK1092" s="1149"/>
    </row>
    <row r="1093" spans="1:37" ht="12.95" customHeight="1">
      <c r="A1093" s="85"/>
      <c r="B1093" s="22"/>
      <c r="C1093" s="8"/>
      <c r="D1093" s="1149"/>
      <c r="E1093" s="1149"/>
      <c r="F1093" s="1149"/>
      <c r="G1093" s="1149"/>
      <c r="H1093" s="1149"/>
      <c r="I1093" s="1149"/>
      <c r="J1093" s="1149"/>
      <c r="K1093" s="1149"/>
      <c r="L1093" s="1149"/>
      <c r="M1093" s="1149"/>
      <c r="N1093" s="1149"/>
      <c r="O1093" s="1149"/>
      <c r="P1093" s="1149"/>
      <c r="Q1093" s="1149"/>
      <c r="R1093" s="1149"/>
      <c r="S1093" s="1149"/>
      <c r="T1093" s="1149"/>
      <c r="U1093" s="1149"/>
      <c r="V1093" s="1149"/>
      <c r="W1093" s="1149"/>
      <c r="X1093" s="1149"/>
      <c r="Y1093" s="1149"/>
      <c r="Z1093" s="1149"/>
      <c r="AA1093" s="1149"/>
      <c r="AB1093" s="1149"/>
      <c r="AC1093" s="1149"/>
      <c r="AD1093" s="1149"/>
      <c r="AE1093" s="1149"/>
      <c r="AF1093" s="1149"/>
      <c r="AG1093" s="1149"/>
      <c r="AH1093" s="1149"/>
      <c r="AI1093" s="1149"/>
      <c r="AJ1093" s="1149"/>
      <c r="AK1093" s="1149"/>
    </row>
    <row r="1094" spans="1:37" ht="12.95" customHeight="1">
      <c r="A1094" s="1234" t="s">
        <v>299</v>
      </c>
      <c r="B1094" s="1234"/>
      <c r="C1094" s="2560">
        <v>7</v>
      </c>
      <c r="D1094" s="1149" t="s">
        <v>1795</v>
      </c>
      <c r="E1094" s="1149"/>
      <c r="F1094" s="1149"/>
      <c r="G1094" s="1149"/>
      <c r="H1094" s="1149"/>
      <c r="I1094" s="1149"/>
      <c r="J1094" s="1149"/>
      <c r="K1094" s="1149"/>
      <c r="L1094" s="1149"/>
      <c r="M1094" s="1149"/>
      <c r="N1094" s="1149"/>
      <c r="O1094" s="1149"/>
      <c r="P1094" s="1149"/>
      <c r="Q1094" s="1149"/>
      <c r="R1094" s="1149"/>
      <c r="S1094" s="1149"/>
      <c r="T1094" s="1149"/>
      <c r="U1094" s="1149"/>
      <c r="V1094" s="1149"/>
      <c r="W1094" s="1149"/>
      <c r="X1094" s="1149"/>
      <c r="Y1094" s="1149"/>
      <c r="Z1094" s="1149"/>
      <c r="AA1094" s="1149"/>
      <c r="AB1094" s="1149"/>
      <c r="AC1094" s="1149"/>
      <c r="AD1094" s="1149"/>
      <c r="AE1094" s="1149"/>
      <c r="AF1094" s="1149"/>
      <c r="AG1094" s="1149"/>
      <c r="AH1094" s="1149"/>
      <c r="AI1094" s="1149"/>
      <c r="AJ1094" s="1149"/>
      <c r="AK1094" s="1149"/>
    </row>
    <row r="1095" spans="1:37" ht="12.95" customHeight="1">
      <c r="A1095" s="1"/>
      <c r="B1095" s="1"/>
      <c r="C1095" s="2560"/>
      <c r="D1095" s="1149"/>
      <c r="E1095" s="1149"/>
      <c r="F1095" s="1149"/>
      <c r="G1095" s="1149"/>
      <c r="H1095" s="1149"/>
      <c r="I1095" s="1149"/>
      <c r="J1095" s="1149"/>
      <c r="K1095" s="1149"/>
      <c r="L1095" s="1149"/>
      <c r="M1095" s="1149"/>
      <c r="N1095" s="1149"/>
      <c r="O1095" s="1149"/>
      <c r="P1095" s="1149"/>
      <c r="Q1095" s="1149"/>
      <c r="R1095" s="1149"/>
      <c r="S1095" s="1149"/>
      <c r="T1095" s="1149"/>
      <c r="U1095" s="1149"/>
      <c r="V1095" s="1149"/>
      <c r="W1095" s="1149"/>
      <c r="X1095" s="1149"/>
      <c r="Y1095" s="1149"/>
      <c r="Z1095" s="1149"/>
      <c r="AA1095" s="1149"/>
      <c r="AB1095" s="1149"/>
      <c r="AC1095" s="1149"/>
      <c r="AD1095" s="1149"/>
      <c r="AE1095" s="1149"/>
      <c r="AF1095" s="1149"/>
      <c r="AG1095" s="1149"/>
      <c r="AH1095" s="1149"/>
      <c r="AI1095" s="1149"/>
      <c r="AJ1095" s="1149"/>
      <c r="AK1095" s="1149"/>
    </row>
    <row r="1096" spans="1:37" ht="12.95" customHeight="1">
      <c r="A1096" s="1"/>
      <c r="B1096" s="1"/>
      <c r="C1096" s="2560"/>
      <c r="D1096" s="1149"/>
      <c r="E1096" s="1149"/>
      <c r="F1096" s="1149"/>
      <c r="G1096" s="1149"/>
      <c r="H1096" s="1149"/>
      <c r="I1096" s="1149"/>
      <c r="J1096" s="1149"/>
      <c r="K1096" s="1149"/>
      <c r="L1096" s="1149"/>
      <c r="M1096" s="1149"/>
      <c r="N1096" s="1149"/>
      <c r="O1096" s="1149"/>
      <c r="P1096" s="1149"/>
      <c r="Q1096" s="1149"/>
      <c r="R1096" s="1149"/>
      <c r="S1096" s="1149"/>
      <c r="T1096" s="1149"/>
      <c r="U1096" s="1149"/>
      <c r="V1096" s="1149"/>
      <c r="W1096" s="1149"/>
      <c r="X1096" s="1149"/>
      <c r="Y1096" s="1149"/>
      <c r="Z1096" s="1149"/>
      <c r="AA1096" s="1149"/>
      <c r="AB1096" s="1149"/>
      <c r="AC1096" s="1149"/>
      <c r="AD1096" s="1149"/>
      <c r="AE1096" s="1149"/>
      <c r="AF1096" s="1149"/>
      <c r="AG1096" s="1149"/>
      <c r="AH1096" s="1149"/>
      <c r="AI1096" s="1149"/>
      <c r="AJ1096" s="1149"/>
      <c r="AK1096" s="1149"/>
    </row>
    <row r="1097" spans="1:37" ht="12.95" customHeight="1">
      <c r="A1097" s="85"/>
      <c r="B1097" s="22"/>
      <c r="C1097" s="2560"/>
      <c r="D1097" s="1149"/>
      <c r="E1097" s="1149"/>
      <c r="F1097" s="1149"/>
      <c r="G1097" s="1149"/>
      <c r="H1097" s="1149"/>
      <c r="I1097" s="1149"/>
      <c r="J1097" s="1149"/>
      <c r="K1097" s="1149"/>
      <c r="L1097" s="1149"/>
      <c r="M1097" s="1149"/>
      <c r="N1097" s="1149"/>
      <c r="O1097" s="1149"/>
      <c r="P1097" s="1149"/>
      <c r="Q1097" s="1149"/>
      <c r="R1097" s="1149"/>
      <c r="S1097" s="1149"/>
      <c r="T1097" s="1149"/>
      <c r="U1097" s="1149"/>
      <c r="V1097" s="1149"/>
      <c r="W1097" s="1149"/>
      <c r="X1097" s="1149"/>
      <c r="Y1097" s="1149"/>
      <c r="Z1097" s="1149"/>
      <c r="AA1097" s="1149"/>
      <c r="AB1097" s="1149"/>
      <c r="AC1097" s="1149"/>
      <c r="AD1097" s="1149"/>
      <c r="AE1097" s="1149"/>
      <c r="AF1097" s="1149"/>
      <c r="AG1097" s="1149"/>
      <c r="AH1097" s="1149"/>
      <c r="AI1097" s="1149"/>
      <c r="AJ1097" s="1149"/>
      <c r="AK1097" s="1149"/>
    </row>
    <row r="1098" spans="1:37" ht="12.95" customHeight="1">
      <c r="A1098" s="1234" t="s">
        <v>299</v>
      </c>
      <c r="B1098" s="1234"/>
      <c r="C1098" s="2560">
        <v>8</v>
      </c>
      <c r="D1098" s="1227" t="s">
        <v>1796</v>
      </c>
      <c r="E1098" s="1227"/>
      <c r="F1098" s="1227"/>
      <c r="G1098" s="1227"/>
      <c r="H1098" s="1227"/>
      <c r="I1098" s="1227"/>
      <c r="J1098" s="1227"/>
      <c r="K1098" s="1227"/>
      <c r="L1098" s="1227"/>
      <c r="M1098" s="1227"/>
      <c r="N1098" s="1227"/>
      <c r="O1098" s="1227"/>
      <c r="P1098" s="1227"/>
      <c r="Q1098" s="1227"/>
      <c r="R1098" s="1227"/>
      <c r="S1098" s="1227"/>
      <c r="T1098" s="1227"/>
      <c r="U1098" s="1227"/>
      <c r="V1098" s="1227"/>
      <c r="W1098" s="1227"/>
      <c r="X1098" s="1227"/>
      <c r="Y1098" s="1227"/>
      <c r="Z1098" s="1227"/>
      <c r="AA1098" s="1227"/>
      <c r="AB1098" s="1227"/>
      <c r="AC1098" s="1227"/>
      <c r="AD1098" s="1227"/>
      <c r="AE1098" s="1227"/>
      <c r="AF1098" s="1227"/>
      <c r="AG1098" s="1227"/>
      <c r="AH1098" s="1227"/>
      <c r="AI1098" s="1227"/>
      <c r="AJ1098" s="1227"/>
      <c r="AK1098" s="1227"/>
    </row>
    <row r="1099" spans="1:37" ht="12.95" customHeight="1">
      <c r="A1099" s="1"/>
      <c r="B1099" s="1"/>
      <c r="C1099" s="2560"/>
      <c r="D1099" s="1227"/>
      <c r="E1099" s="1227"/>
      <c r="F1099" s="1227"/>
      <c r="G1099" s="1227"/>
      <c r="H1099" s="1227"/>
      <c r="I1099" s="1227"/>
      <c r="J1099" s="1227"/>
      <c r="K1099" s="1227"/>
      <c r="L1099" s="1227"/>
      <c r="M1099" s="1227"/>
      <c r="N1099" s="1227"/>
      <c r="O1099" s="1227"/>
      <c r="P1099" s="1227"/>
      <c r="Q1099" s="1227"/>
      <c r="R1099" s="1227"/>
      <c r="S1099" s="1227"/>
      <c r="T1099" s="1227"/>
      <c r="U1099" s="1227"/>
      <c r="V1099" s="1227"/>
      <c r="W1099" s="1227"/>
      <c r="X1099" s="1227"/>
      <c r="Y1099" s="1227"/>
      <c r="Z1099" s="1227"/>
      <c r="AA1099" s="1227"/>
      <c r="AB1099" s="1227"/>
      <c r="AC1099" s="1227"/>
      <c r="AD1099" s="1227"/>
      <c r="AE1099" s="1227"/>
      <c r="AF1099" s="1227"/>
      <c r="AG1099" s="1227"/>
      <c r="AH1099" s="1227"/>
      <c r="AI1099" s="1227"/>
      <c r="AJ1099" s="1227"/>
      <c r="AK1099" s="1227"/>
    </row>
    <row r="1100" spans="1:37" ht="12.95" customHeight="1">
      <c r="A1100" s="1"/>
      <c r="B1100" s="1"/>
      <c r="C1100" s="2560"/>
      <c r="D1100" s="1227"/>
      <c r="E1100" s="1227"/>
      <c r="F1100" s="1227"/>
      <c r="G1100" s="1227"/>
      <c r="H1100" s="1227"/>
      <c r="I1100" s="1227"/>
      <c r="J1100" s="1227"/>
      <c r="K1100" s="1227"/>
      <c r="L1100" s="1227"/>
      <c r="M1100" s="1227"/>
      <c r="N1100" s="1227"/>
      <c r="O1100" s="1227"/>
      <c r="P1100" s="1227"/>
      <c r="Q1100" s="1227"/>
      <c r="R1100" s="1227"/>
      <c r="S1100" s="1227"/>
      <c r="T1100" s="1227"/>
      <c r="U1100" s="1227"/>
      <c r="V1100" s="1227"/>
      <c r="W1100" s="1227"/>
      <c r="X1100" s="1227"/>
      <c r="Y1100" s="1227"/>
      <c r="Z1100" s="1227"/>
      <c r="AA1100" s="1227"/>
      <c r="AB1100" s="1227"/>
      <c r="AC1100" s="1227"/>
      <c r="AD1100" s="1227"/>
      <c r="AE1100" s="1227"/>
      <c r="AF1100" s="1227"/>
      <c r="AG1100" s="1227"/>
      <c r="AH1100" s="1227"/>
      <c r="AI1100" s="1227"/>
      <c r="AJ1100" s="1227"/>
      <c r="AK1100" s="1227"/>
    </row>
    <row r="1101" spans="1:37" ht="0" hidden="1" customHeight="1">
      <c r="A1101" s="1"/>
      <c r="B1101" s="1"/>
      <c r="C1101" s="2560"/>
      <c r="D1101" s="1227"/>
      <c r="E1101" s="1227"/>
      <c r="F1101" s="1227"/>
      <c r="G1101" s="1227"/>
      <c r="H1101" s="1227"/>
      <c r="I1101" s="1227"/>
      <c r="J1101" s="1227"/>
      <c r="K1101" s="1227"/>
      <c r="L1101" s="1227"/>
      <c r="M1101" s="1227"/>
      <c r="N1101" s="1227"/>
      <c r="O1101" s="1227"/>
      <c r="P1101" s="1227"/>
      <c r="Q1101" s="1227"/>
      <c r="R1101" s="1227"/>
      <c r="S1101" s="1227"/>
      <c r="T1101" s="1227"/>
      <c r="U1101" s="1227"/>
      <c r="V1101" s="1227"/>
      <c r="W1101" s="1227"/>
      <c r="X1101" s="1227"/>
      <c r="Y1101" s="1227"/>
      <c r="Z1101" s="1227"/>
      <c r="AA1101" s="1227"/>
      <c r="AB1101" s="1227"/>
      <c r="AC1101" s="1227"/>
      <c r="AD1101" s="1227"/>
      <c r="AE1101" s="1227"/>
      <c r="AF1101" s="1227"/>
      <c r="AG1101" s="1227"/>
      <c r="AH1101" s="1227"/>
      <c r="AI1101" s="1227"/>
      <c r="AJ1101" s="1227"/>
      <c r="AK1101" s="1227"/>
    </row>
    <row r="1102" spans="1:37" ht="0" hidden="1" customHeight="1">
      <c r="A1102" s="85"/>
      <c r="B1102" s="22"/>
      <c r="C1102" s="2560"/>
      <c r="D1102" s="1227"/>
      <c r="E1102" s="1227"/>
      <c r="F1102" s="1227"/>
      <c r="G1102" s="1227"/>
      <c r="H1102" s="1227"/>
      <c r="I1102" s="1227"/>
      <c r="J1102" s="1227"/>
      <c r="K1102" s="1227"/>
      <c r="L1102" s="1227"/>
      <c r="M1102" s="1227"/>
      <c r="N1102" s="1227"/>
      <c r="O1102" s="1227"/>
      <c r="P1102" s="1227"/>
      <c r="Q1102" s="1227"/>
      <c r="R1102" s="1227"/>
      <c r="S1102" s="1227"/>
      <c r="T1102" s="1227"/>
      <c r="U1102" s="1227"/>
      <c r="V1102" s="1227"/>
      <c r="W1102" s="1227"/>
      <c r="X1102" s="1227"/>
      <c r="Y1102" s="1227"/>
      <c r="Z1102" s="1227"/>
      <c r="AA1102" s="1227"/>
      <c r="AB1102" s="1227"/>
      <c r="AC1102" s="1227"/>
      <c r="AD1102" s="1227"/>
      <c r="AE1102" s="1227"/>
      <c r="AF1102" s="1227"/>
      <c r="AG1102" s="1227"/>
      <c r="AH1102" s="1227"/>
      <c r="AI1102" s="1227"/>
      <c r="AJ1102" s="1227"/>
      <c r="AK1102" s="1227"/>
    </row>
    <row r="1103" spans="1:37" ht="0" hidden="1" customHeight="1">
      <c r="A1103" s="1234" t="s">
        <v>299</v>
      </c>
      <c r="B1103" s="1234"/>
      <c r="C1103" s="2560">
        <v>9</v>
      </c>
      <c r="D1103" s="1149" t="s">
        <v>1797</v>
      </c>
      <c r="E1103" s="1149"/>
      <c r="F1103" s="1149"/>
      <c r="G1103" s="1149"/>
      <c r="H1103" s="1149"/>
      <c r="I1103" s="1149"/>
      <c r="J1103" s="1149"/>
      <c r="K1103" s="1149"/>
      <c r="L1103" s="1149"/>
      <c r="M1103" s="1149"/>
      <c r="N1103" s="1149"/>
      <c r="O1103" s="1149"/>
      <c r="P1103" s="1149"/>
      <c r="Q1103" s="1149"/>
      <c r="R1103" s="1149"/>
      <c r="S1103" s="1149"/>
      <c r="T1103" s="1149"/>
      <c r="U1103" s="1149"/>
      <c r="V1103" s="1149"/>
      <c r="W1103" s="1149"/>
      <c r="X1103" s="1149"/>
      <c r="Y1103" s="1149"/>
      <c r="Z1103" s="1149"/>
      <c r="AA1103" s="1149"/>
      <c r="AB1103" s="1149"/>
      <c r="AC1103" s="1149"/>
      <c r="AD1103" s="1149"/>
      <c r="AE1103" s="1149"/>
      <c r="AF1103" s="1149"/>
      <c r="AG1103" s="1149"/>
      <c r="AH1103" s="1149"/>
      <c r="AI1103" s="1149"/>
      <c r="AJ1103" s="1149"/>
      <c r="AK1103" s="1149"/>
    </row>
    <row r="1104" spans="1:37" ht="0" hidden="1" customHeight="1">
      <c r="A1104" s="85"/>
      <c r="B1104" s="22"/>
      <c r="C1104" s="2560"/>
      <c r="D1104" s="1149"/>
      <c r="E1104" s="1149"/>
      <c r="F1104" s="1149"/>
      <c r="G1104" s="1149"/>
      <c r="H1104" s="1149"/>
      <c r="I1104" s="1149"/>
      <c r="J1104" s="1149"/>
      <c r="K1104" s="1149"/>
      <c r="L1104" s="1149"/>
      <c r="M1104" s="1149"/>
      <c r="N1104" s="1149"/>
      <c r="O1104" s="1149"/>
      <c r="P1104" s="1149"/>
      <c r="Q1104" s="1149"/>
      <c r="R1104" s="1149"/>
      <c r="S1104" s="1149"/>
      <c r="T1104" s="1149"/>
      <c r="U1104" s="1149"/>
      <c r="V1104" s="1149"/>
      <c r="W1104" s="1149"/>
      <c r="X1104" s="1149"/>
      <c r="Y1104" s="1149"/>
      <c r="Z1104" s="1149"/>
      <c r="AA1104" s="1149"/>
      <c r="AB1104" s="1149"/>
      <c r="AC1104" s="1149"/>
      <c r="AD1104" s="1149"/>
      <c r="AE1104" s="1149"/>
      <c r="AF1104" s="1149"/>
      <c r="AG1104" s="1149"/>
      <c r="AH1104" s="1149"/>
      <c r="AI1104" s="1149"/>
      <c r="AJ1104" s="1149"/>
      <c r="AK1104" s="1149"/>
    </row>
    <row r="1105" spans="4:37" ht="0" hidden="1" customHeight="1">
      <c r="D1105" s="1149"/>
      <c r="E1105" s="1149"/>
      <c r="F1105" s="1149"/>
      <c r="G1105" s="1149"/>
      <c r="H1105" s="1149"/>
      <c r="I1105" s="1149"/>
      <c r="J1105" s="1149"/>
      <c r="K1105" s="1149"/>
      <c r="L1105" s="1149"/>
      <c r="M1105" s="1149"/>
      <c r="N1105" s="1149"/>
      <c r="O1105" s="1149"/>
      <c r="P1105" s="1149"/>
      <c r="Q1105" s="1149"/>
      <c r="R1105" s="1149"/>
      <c r="S1105" s="1149"/>
      <c r="T1105" s="1149"/>
      <c r="U1105" s="1149"/>
      <c r="V1105" s="1149"/>
      <c r="W1105" s="1149"/>
      <c r="X1105" s="1149"/>
      <c r="Y1105" s="1149"/>
      <c r="Z1105" s="1149"/>
      <c r="AA1105" s="1149"/>
      <c r="AB1105" s="1149"/>
      <c r="AC1105" s="1149"/>
      <c r="AD1105" s="1149"/>
      <c r="AE1105" s="1149"/>
      <c r="AF1105" s="1149"/>
      <c r="AG1105" s="1149"/>
      <c r="AH1105" s="1149"/>
      <c r="AI1105" s="1149"/>
      <c r="AJ1105" s="1149"/>
      <c r="AK1105" s="1149"/>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48:AB748"/>
    <mergeCell ref="X749:AB749"/>
    <mergeCell ref="X735:AB735"/>
    <mergeCell ref="X736:AB736"/>
    <mergeCell ref="T735:W735"/>
    <mergeCell ref="T750:W750"/>
    <mergeCell ref="K751:N751"/>
    <mergeCell ref="O751:S751"/>
    <mergeCell ref="T751:W751"/>
    <mergeCell ref="B742:F742"/>
    <mergeCell ref="B743:F743"/>
    <mergeCell ref="B744:F744"/>
    <mergeCell ref="B745:F745"/>
    <mergeCell ref="G753:J753"/>
    <mergeCell ref="O790:S790"/>
    <mergeCell ref="X737:AB737"/>
    <mergeCell ref="T736:W736"/>
    <mergeCell ref="T743:W743"/>
    <mergeCell ref="K744:N744"/>
    <mergeCell ref="O744:S744"/>
    <mergeCell ref="B753:F753"/>
    <mergeCell ref="O773:S773"/>
    <mergeCell ref="T752:W752"/>
    <mergeCell ref="J776:N776"/>
    <mergeCell ref="G736:J736"/>
    <mergeCell ref="O787:S787"/>
    <mergeCell ref="T773:W773"/>
    <mergeCell ref="C763:AR765"/>
    <mergeCell ref="X752:AB752"/>
    <mergeCell ref="AH745:AJ745"/>
    <mergeCell ref="AH746:AJ746"/>
    <mergeCell ref="AH747:AJ747"/>
    <mergeCell ref="AH748:AJ748"/>
    <mergeCell ref="B737:F737"/>
    <mergeCell ref="AK736:AO736"/>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X750:AB750"/>
    <mergeCell ref="AC749:AG749"/>
    <mergeCell ref="T748:W748"/>
    <mergeCell ref="X747:AB747"/>
    <mergeCell ref="K740:N740"/>
    <mergeCell ref="AC739:AG739"/>
    <mergeCell ref="U823:X824"/>
    <mergeCell ref="Z806:AE806"/>
    <mergeCell ref="B751:F751"/>
    <mergeCell ref="AC742:AG742"/>
    <mergeCell ref="AC743:AG743"/>
    <mergeCell ref="B1059:AP1059"/>
    <mergeCell ref="C798:AN799"/>
    <mergeCell ref="M630:P630"/>
    <mergeCell ref="M631:P631"/>
    <mergeCell ref="M632:P632"/>
    <mergeCell ref="G580:R580"/>
    <mergeCell ref="W631:Y631"/>
    <mergeCell ref="AG615:AH615"/>
    <mergeCell ref="G612:R612"/>
    <mergeCell ref="G611:R611"/>
    <mergeCell ref="Z609:AK609"/>
    <mergeCell ref="G609:R609"/>
    <mergeCell ref="AC632:AE632"/>
    <mergeCell ref="Z604:AK604"/>
    <mergeCell ref="M634:P634"/>
    <mergeCell ref="G610:R610"/>
    <mergeCell ref="AF629:AJ629"/>
    <mergeCell ref="K746:N746"/>
    <mergeCell ref="O746:S746"/>
    <mergeCell ref="T746:W746"/>
    <mergeCell ref="K747:N747"/>
    <mergeCell ref="AK731:AO731"/>
    <mergeCell ref="AK738:AO738"/>
    <mergeCell ref="G677:R677"/>
    <mergeCell ref="Z678:AK678"/>
    <mergeCell ref="G685:R685"/>
    <mergeCell ref="G723:J723"/>
    <mergeCell ref="O725:S725"/>
    <mergeCell ref="AK740:AO740"/>
    <mergeCell ref="AH737:AJ737"/>
    <mergeCell ref="AH738:AJ738"/>
    <mergeCell ref="AH736:AJ736"/>
    <mergeCell ref="A13:AT14"/>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A69:AT70"/>
    <mergeCell ref="A72:AT73"/>
    <mergeCell ref="A544:AT545"/>
    <mergeCell ref="A480:AT481"/>
    <mergeCell ref="A351:AT352"/>
    <mergeCell ref="A282:AT283"/>
    <mergeCell ref="A222:AT223"/>
    <mergeCell ref="A169:AT170"/>
    <mergeCell ref="Q627:S627"/>
    <mergeCell ref="Q628:S628"/>
    <mergeCell ref="Q629:S629"/>
    <mergeCell ref="Q630:S630"/>
    <mergeCell ref="Q631:S631"/>
    <mergeCell ref="Q632:S632"/>
    <mergeCell ref="Q633:S633"/>
    <mergeCell ref="Q634:S634"/>
    <mergeCell ref="AK633:AN633"/>
    <mergeCell ref="P613:R613"/>
    <mergeCell ref="G577:R577"/>
    <mergeCell ref="J385:U385"/>
    <mergeCell ref="V381:W381"/>
    <mergeCell ref="T555:V555"/>
    <mergeCell ref="W559:Y559"/>
    <mergeCell ref="AK624:AN626"/>
    <mergeCell ref="AM563:AS563"/>
    <mergeCell ref="W560:Y560"/>
    <mergeCell ref="CM660:CQ660"/>
    <mergeCell ref="AK728:AO728"/>
    <mergeCell ref="AK729:AO729"/>
    <mergeCell ref="AH735:AJ735"/>
    <mergeCell ref="AE694:AF694"/>
    <mergeCell ref="AK727:AO727"/>
    <mergeCell ref="X734:AB734"/>
    <mergeCell ref="X733:AB733"/>
    <mergeCell ref="AK720:AO720"/>
    <mergeCell ref="AK721:AO721"/>
    <mergeCell ref="G732:J732"/>
    <mergeCell ref="K728:N728"/>
    <mergeCell ref="G594:R594"/>
    <mergeCell ref="N615:O615"/>
    <mergeCell ref="AC633:AE633"/>
    <mergeCell ref="C634:L634"/>
    <mergeCell ref="M624:P626"/>
    <mergeCell ref="M627:P627"/>
    <mergeCell ref="M628:P628"/>
    <mergeCell ref="M629:P629"/>
    <mergeCell ref="W624:Y626"/>
    <mergeCell ref="T634:V634"/>
    <mergeCell ref="AK726:AO726"/>
    <mergeCell ref="AK722:AO722"/>
    <mergeCell ref="AA680:AK680"/>
    <mergeCell ref="AH732:AJ732"/>
    <mergeCell ref="Z636:AB636"/>
    <mergeCell ref="Z637:AB637"/>
    <mergeCell ref="Z638:AB638"/>
    <mergeCell ref="Z624:AB626"/>
    <mergeCell ref="AC634:AE634"/>
    <mergeCell ref="Z612:AK612"/>
    <mergeCell ref="AE696:AI696"/>
    <mergeCell ref="AH724:AJ724"/>
    <mergeCell ref="G667:R667"/>
    <mergeCell ref="AC731:AG731"/>
    <mergeCell ref="AC732:AG732"/>
    <mergeCell ref="A709:AT711"/>
    <mergeCell ref="G660:R660"/>
    <mergeCell ref="X714:AB717"/>
    <mergeCell ref="Z679:AE679"/>
    <mergeCell ref="H680:R680"/>
    <mergeCell ref="Z670:AK670"/>
    <mergeCell ref="G730:J730"/>
    <mergeCell ref="X730:AB730"/>
    <mergeCell ref="X731:AB731"/>
    <mergeCell ref="H688:R688"/>
    <mergeCell ref="Z675:AK675"/>
    <mergeCell ref="AE702:AF702"/>
    <mergeCell ref="AE693:AF693"/>
    <mergeCell ref="B719:F719"/>
    <mergeCell ref="B714:F717"/>
    <mergeCell ref="Z686:AK686"/>
    <mergeCell ref="W703:AK703"/>
    <mergeCell ref="G678:R678"/>
    <mergeCell ref="P679:R679"/>
    <mergeCell ref="N665:O665"/>
    <mergeCell ref="H672:R672"/>
    <mergeCell ref="G676:R676"/>
    <mergeCell ref="X732:AB732"/>
    <mergeCell ref="AK724:AO724"/>
    <mergeCell ref="AK725:AO725"/>
    <mergeCell ref="B727:F727"/>
    <mergeCell ref="K724:N724"/>
    <mergeCell ref="ER669:EV669"/>
    <mergeCell ref="ER668:EV668"/>
    <mergeCell ref="AH730:AJ730"/>
    <mergeCell ref="DX656:EB656"/>
    <mergeCell ref="EC656:EG656"/>
    <mergeCell ref="AH729:AJ729"/>
    <mergeCell ref="Z651:AK651"/>
    <mergeCell ref="CH652:CL652"/>
    <mergeCell ref="CH653:CL653"/>
    <mergeCell ref="CH654:CL654"/>
    <mergeCell ref="CM652:CQ652"/>
    <mergeCell ref="CM653:CQ653"/>
    <mergeCell ref="CM654:CQ654"/>
    <mergeCell ref="BN652:BR652"/>
    <mergeCell ref="BN653:BR653"/>
    <mergeCell ref="BN654:BR654"/>
    <mergeCell ref="AC723:AG723"/>
    <mergeCell ref="AE698:AI698"/>
    <mergeCell ref="AH721:AJ721"/>
    <mergeCell ref="AC714:AG717"/>
    <mergeCell ref="AC720:AG720"/>
    <mergeCell ref="X719:AB719"/>
    <mergeCell ref="AG673:AH673"/>
    <mergeCell ref="AC721:AG721"/>
    <mergeCell ref="DR657:DV657"/>
    <mergeCell ref="EM670:EQ670"/>
    <mergeCell ref="AK730:AO730"/>
    <mergeCell ref="AH727:AJ727"/>
    <mergeCell ref="AC724:AG724"/>
    <mergeCell ref="AC730:AG730"/>
    <mergeCell ref="DH651:DL651"/>
    <mergeCell ref="CH660:CL660"/>
    <mergeCell ref="BN649:BR649"/>
    <mergeCell ref="BN648:BR648"/>
    <mergeCell ref="BX648:CB648"/>
    <mergeCell ref="CM650:CQ650"/>
    <mergeCell ref="DR650:DV650"/>
    <mergeCell ref="CX651:DB651"/>
    <mergeCell ref="DH648:DL648"/>
    <mergeCell ref="DM648:DQ648"/>
    <mergeCell ref="BX654:CB654"/>
    <mergeCell ref="DM651:DQ651"/>
    <mergeCell ref="DM652:DQ652"/>
    <mergeCell ref="BN651:BR651"/>
    <mergeCell ref="BN650:BR650"/>
    <mergeCell ref="DR649:DV649"/>
    <mergeCell ref="DR652:DV652"/>
    <mergeCell ref="BX649:CB649"/>
    <mergeCell ref="CM649:CQ649"/>
    <mergeCell ref="DH649:DL649"/>
    <mergeCell ref="DM649:DQ649"/>
    <mergeCell ref="CS651:CW651"/>
    <mergeCell ref="DH650:DL650"/>
    <mergeCell ref="BS652:BW652"/>
    <mergeCell ref="CH651:CL651"/>
    <mergeCell ref="DM653:DQ653"/>
    <mergeCell ref="DH654:DL654"/>
    <mergeCell ref="DM654:DQ654"/>
    <mergeCell ref="DR651:DV651"/>
    <mergeCell ref="BS649:BW649"/>
    <mergeCell ref="BS655:BW655"/>
    <mergeCell ref="BX655:CB655"/>
    <mergeCell ref="DH653:DL653"/>
    <mergeCell ref="CC650:CG650"/>
    <mergeCell ref="CC652:CG652"/>
    <mergeCell ref="CC653:CG653"/>
    <mergeCell ref="CC654:CG654"/>
    <mergeCell ref="CH650:CL650"/>
    <mergeCell ref="CS655:CW655"/>
    <mergeCell ref="DH652:DL652"/>
    <mergeCell ref="BS650:BW650"/>
    <mergeCell ref="BX653:CB653"/>
    <mergeCell ref="CS654:CW654"/>
    <mergeCell ref="CX654:DB654"/>
    <mergeCell ref="DC654:DG654"/>
    <mergeCell ref="BS653:BW653"/>
    <mergeCell ref="DC653:DG653"/>
    <mergeCell ref="CS653:CW653"/>
    <mergeCell ref="CX653:DB653"/>
    <mergeCell ref="BS651:BW651"/>
    <mergeCell ref="BX651:CB651"/>
    <mergeCell ref="BX650:CB650"/>
    <mergeCell ref="CS652:CW652"/>
    <mergeCell ref="BX652:CB652"/>
    <mergeCell ref="CX647:DB647"/>
    <mergeCell ref="DC647:DG647"/>
    <mergeCell ref="CX655:DB655"/>
    <mergeCell ref="DC655:DG655"/>
    <mergeCell ref="DR655:DV655"/>
    <mergeCell ref="CC655:CG655"/>
    <mergeCell ref="CH655:CL655"/>
    <mergeCell ref="CM655:CQ655"/>
    <mergeCell ref="CS650:CW650"/>
    <mergeCell ref="CX650:DB650"/>
    <mergeCell ref="DC651:DG651"/>
    <mergeCell ref="CM651:CQ651"/>
    <mergeCell ref="DM650:DQ650"/>
    <mergeCell ref="CX649:DB649"/>
    <mergeCell ref="DR648:DV648"/>
    <mergeCell ref="CS649:CW649"/>
    <mergeCell ref="CC649:CG649"/>
    <mergeCell ref="CH649:CL649"/>
    <mergeCell ref="CC647:CG647"/>
    <mergeCell ref="CS648:CW648"/>
    <mergeCell ref="CM647:CQ647"/>
    <mergeCell ref="CM648:CQ648"/>
    <mergeCell ref="CC651:CG651"/>
    <mergeCell ref="CH648:CL648"/>
    <mergeCell ref="CC648:CG648"/>
    <mergeCell ref="CX652:DB652"/>
    <mergeCell ref="DC652:DG652"/>
    <mergeCell ref="DC650:DG650"/>
    <mergeCell ref="DR654:DV654"/>
    <mergeCell ref="DR653:DV653"/>
    <mergeCell ref="DH655:DL655"/>
    <mergeCell ref="DM655:DQ655"/>
    <mergeCell ref="DM619:DQ619"/>
    <mergeCell ref="CC640:CG640"/>
    <mergeCell ref="CH625:CL625"/>
    <mergeCell ref="CM625:CQ625"/>
    <mergeCell ref="BX625:CB625"/>
    <mergeCell ref="CC623:CG623"/>
    <mergeCell ref="CC629:CG629"/>
    <mergeCell ref="CH629:CL629"/>
    <mergeCell ref="CM638:CQ638"/>
    <mergeCell ref="CM620:CQ620"/>
    <mergeCell ref="CS620:CW620"/>
    <mergeCell ref="CS622:CW622"/>
    <mergeCell ref="CX622:DB622"/>
    <mergeCell ref="DC622:DG622"/>
    <mergeCell ref="DH622:DL622"/>
    <mergeCell ref="DM622:DQ622"/>
    <mergeCell ref="CS629:CW629"/>
    <mergeCell ref="CX629:DB629"/>
    <mergeCell ref="CM637:CQ637"/>
    <mergeCell ref="CH630:CL630"/>
    <mergeCell ref="CC620:CG620"/>
    <mergeCell ref="CH627:CL627"/>
    <mergeCell ref="DM645:DQ645"/>
    <mergeCell ref="DR645:DV645"/>
    <mergeCell ref="CC645:CG645"/>
    <mergeCell ref="DC649:DG649"/>
    <mergeCell ref="BX647:CB647"/>
    <mergeCell ref="CX648:DB648"/>
    <mergeCell ref="DC648:DG648"/>
    <mergeCell ref="CH623:CL623"/>
    <mergeCell ref="DC626:DG626"/>
    <mergeCell ref="DH626:DL626"/>
    <mergeCell ref="CS626:CW626"/>
    <mergeCell ref="CX626:DB626"/>
    <mergeCell ref="CM621:CQ621"/>
    <mergeCell ref="BX645:CB645"/>
    <mergeCell ref="DH647:DL647"/>
    <mergeCell ref="DM647:DQ647"/>
    <mergeCell ref="CX645:DB645"/>
    <mergeCell ref="BX624:CB624"/>
    <mergeCell ref="CC624:CG624"/>
    <mergeCell ref="DC645:DG645"/>
    <mergeCell ref="CS646:CW646"/>
    <mergeCell ref="CX646:DB646"/>
    <mergeCell ref="CH646:CL646"/>
    <mergeCell ref="CM646:CQ646"/>
    <mergeCell ref="DH646:DL646"/>
    <mergeCell ref="DM646:DQ646"/>
    <mergeCell ref="DR647:DV647"/>
    <mergeCell ref="BX630:CB630"/>
    <mergeCell ref="CX627:DB627"/>
    <mergeCell ref="DC627:DG627"/>
    <mergeCell ref="CS647:CW647"/>
    <mergeCell ref="CM632:CQ632"/>
    <mergeCell ref="DX617:EB617"/>
    <mergeCell ref="CC638:CG638"/>
    <mergeCell ref="CC615:CG615"/>
    <mergeCell ref="CH622:CL622"/>
    <mergeCell ref="BX639:CB639"/>
    <mergeCell ref="BX640:CB640"/>
    <mergeCell ref="CM629:CQ629"/>
    <mergeCell ref="DM617:DQ617"/>
    <mergeCell ref="CC630:CG630"/>
    <mergeCell ref="BX632:CB632"/>
    <mergeCell ref="CM645:CQ645"/>
    <mergeCell ref="CC617:CG617"/>
    <mergeCell ref="CC619:CG619"/>
    <mergeCell ref="CH639:CL639"/>
    <mergeCell ref="CH647:CL647"/>
    <mergeCell ref="CH631:CL631"/>
    <mergeCell ref="CC631:CG631"/>
    <mergeCell ref="BX623:CB623"/>
    <mergeCell ref="CM622:CQ622"/>
    <mergeCell ref="CM623:CQ623"/>
    <mergeCell ref="CH640:CL640"/>
    <mergeCell ref="CM640:CQ640"/>
    <mergeCell ref="CM639:CQ639"/>
    <mergeCell ref="CH632:CL632"/>
    <mergeCell ref="CS645:CW645"/>
    <mergeCell ref="CH624:CL624"/>
    <mergeCell ref="CM624:CQ624"/>
    <mergeCell ref="CC628:CG628"/>
    <mergeCell ref="CH628:CL628"/>
    <mergeCell ref="CM628:CQ628"/>
    <mergeCell ref="CC627:CG627"/>
    <mergeCell ref="DR617:DV617"/>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C646:CG646"/>
    <mergeCell ref="DR619:DV619"/>
    <mergeCell ref="CX628:DB628"/>
    <mergeCell ref="DC628:DG628"/>
    <mergeCell ref="DH628:DL628"/>
    <mergeCell ref="DM628:DQ628"/>
    <mergeCell ref="CH620:CL620"/>
    <mergeCell ref="CS632:CW632"/>
    <mergeCell ref="CX632:DB632"/>
    <mergeCell ref="CM627:CQ627"/>
    <mergeCell ref="BS625:BW625"/>
    <mergeCell ref="BS627:BW627"/>
    <mergeCell ref="DR646:DV646"/>
    <mergeCell ref="CS618:CW618"/>
    <mergeCell ref="CX618:DB618"/>
    <mergeCell ref="DC618:DG618"/>
    <mergeCell ref="DH645:DL645"/>
    <mergeCell ref="BX646:CB646"/>
    <mergeCell ref="ER650:EV650"/>
    <mergeCell ref="DX615:EB615"/>
    <mergeCell ref="EC637:EG637"/>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BS637:BW637"/>
    <mergeCell ref="DM632:DQ632"/>
    <mergeCell ref="CS631:CW631"/>
    <mergeCell ref="CX631:DB631"/>
    <mergeCell ref="AO637:AS637"/>
    <mergeCell ref="AO630:AS630"/>
    <mergeCell ref="AO636:AS636"/>
    <mergeCell ref="AO627:AS627"/>
    <mergeCell ref="EH624:EL624"/>
    <mergeCell ref="AC636:AE636"/>
    <mergeCell ref="AC637:AE637"/>
    <mergeCell ref="DX632:EB632"/>
    <mergeCell ref="EC632:EG632"/>
    <mergeCell ref="AF636:AJ636"/>
    <mergeCell ref="EC615:EG615"/>
    <mergeCell ref="EM619:EQ619"/>
    <mergeCell ref="EW647:FA647"/>
    <mergeCell ref="EW655:FA655"/>
    <mergeCell ref="EW650:FA650"/>
    <mergeCell ref="EW648:FA648"/>
    <mergeCell ref="ER619:EV619"/>
    <mergeCell ref="ER612:EV612"/>
    <mergeCell ref="CM641:CQ641"/>
    <mergeCell ref="CC637:CG637"/>
    <mergeCell ref="BX641:CB641"/>
    <mergeCell ref="CC641:CG641"/>
    <mergeCell ref="CC639:CG639"/>
    <mergeCell ref="DC630:DG630"/>
    <mergeCell ref="CS630:CW630"/>
    <mergeCell ref="CX630:DB630"/>
    <mergeCell ref="ER655:EV655"/>
    <mergeCell ref="EH648:EL648"/>
    <mergeCell ref="EH651:EL651"/>
    <mergeCell ref="EH619:EL619"/>
    <mergeCell ref="DR616:DV616"/>
    <mergeCell ref="CX616:DB616"/>
    <mergeCell ref="DC632:DG632"/>
    <mergeCell ref="DH632:DL632"/>
    <mergeCell ref="CM619:CQ619"/>
    <mergeCell ref="CH619:CL619"/>
    <mergeCell ref="CM633:CQ633"/>
    <mergeCell ref="CC632:CG632"/>
    <mergeCell ref="CM630:CQ630"/>
    <mergeCell ref="CM631:CQ631"/>
    <mergeCell ref="DC631:DG631"/>
    <mergeCell ref="DM631:DQ631"/>
    <mergeCell ref="EH652:EL652"/>
    <mergeCell ref="EC646:EG646"/>
    <mergeCell ref="EH646:EL646"/>
    <mergeCell ref="CC660:CG660"/>
    <mergeCell ref="BS660:BW660"/>
    <mergeCell ref="EH655:EL655"/>
    <mergeCell ref="EM655:EQ655"/>
    <mergeCell ref="EH647:EL647"/>
    <mergeCell ref="EM647:EQ647"/>
    <mergeCell ref="DX648:EB648"/>
    <mergeCell ref="EC609:EG609"/>
    <mergeCell ref="EH609:EL609"/>
    <mergeCell ref="EM609:EQ609"/>
    <mergeCell ref="ER609:EV609"/>
    <mergeCell ref="DM616:DQ616"/>
    <mergeCell ref="CS616:CW616"/>
    <mergeCell ref="DH631:DL631"/>
    <mergeCell ref="EH614:EL614"/>
    <mergeCell ref="EC617:EG617"/>
    <mergeCell ref="EH617:EL617"/>
    <mergeCell ref="CM616:CQ616"/>
    <mergeCell ref="CM617:CQ617"/>
    <mergeCell ref="CM618:CQ618"/>
    <mergeCell ref="CC618:CG618"/>
    <mergeCell ref="CH626:CL626"/>
    <mergeCell ref="CM626:CQ626"/>
    <mergeCell ref="CS628:CW628"/>
    <mergeCell ref="EC645:EG645"/>
    <mergeCell ref="ER645:EV645"/>
    <mergeCell ref="EH643:EL643"/>
    <mergeCell ref="EM643:EQ643"/>
    <mergeCell ref="EH641:EL641"/>
    <mergeCell ref="EM641:EQ641"/>
    <mergeCell ref="EW666:FA666"/>
    <mergeCell ref="DX667:EB667"/>
    <mergeCell ref="DX662:EB662"/>
    <mergeCell ref="EW669:FA669"/>
    <mergeCell ref="EM667:EQ667"/>
    <mergeCell ref="ER667:EV667"/>
    <mergeCell ref="EW667:FA667"/>
    <mergeCell ref="EM661:EQ661"/>
    <mergeCell ref="DX664:EB664"/>
    <mergeCell ref="EC664:EG664"/>
    <mergeCell ref="EH664:EL664"/>
    <mergeCell ref="EW652:FA652"/>
    <mergeCell ref="EW641:FA641"/>
    <mergeCell ref="DX642:EB642"/>
    <mergeCell ref="EC642:EG642"/>
    <mergeCell ref="EH642:EL642"/>
    <mergeCell ref="EM642:EQ642"/>
    <mergeCell ref="ER642:EV642"/>
    <mergeCell ref="DX641:EB641"/>
    <mergeCell ref="EH656:EL656"/>
    <mergeCell ref="EM656:EQ656"/>
    <mergeCell ref="DX651:EB651"/>
    <mergeCell ref="EC651:EG651"/>
    <mergeCell ref="EM648:EQ648"/>
    <mergeCell ref="ER651:EV651"/>
    <mergeCell ref="ER652:EV652"/>
    <mergeCell ref="EM651:EQ651"/>
    <mergeCell ref="ER649:EV649"/>
    <mergeCell ref="DX652:EB652"/>
    <mergeCell ref="EC652:EG652"/>
    <mergeCell ref="EW645:FA645"/>
    <mergeCell ref="DX646:EB646"/>
    <mergeCell ref="EW651:FA651"/>
    <mergeCell ref="EM654:EQ654"/>
    <mergeCell ref="ER654:EV654"/>
    <mergeCell ref="EM652:EQ652"/>
    <mergeCell ref="DX650:EB650"/>
    <mergeCell ref="EC650:EG650"/>
    <mergeCell ref="EC655:EG655"/>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R670:EV670"/>
    <mergeCell ref="DX669:EB669"/>
    <mergeCell ref="EC670:EG670"/>
    <mergeCell ref="EH670:EL670"/>
    <mergeCell ref="EM666:EQ666"/>
    <mergeCell ref="ER666:EV666"/>
    <mergeCell ref="EW649:FA649"/>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DX658:EB658"/>
    <mergeCell ref="EC658:EG658"/>
    <mergeCell ref="EH658:EL658"/>
    <mergeCell ref="EM658:EQ658"/>
    <mergeCell ref="ER658:EV658"/>
    <mergeCell ref="EW658:FA658"/>
    <mergeCell ref="EC662:EG662"/>
    <mergeCell ref="EH662:EL662"/>
    <mergeCell ref="EH650:EL650"/>
    <mergeCell ref="EM650:EQ650"/>
    <mergeCell ref="DX653:EB653"/>
    <mergeCell ref="EC648:EG648"/>
    <mergeCell ref="DX660:EB660"/>
    <mergeCell ref="EC660:EG660"/>
    <mergeCell ref="EH660:EL660"/>
    <mergeCell ref="DX643:EB643"/>
    <mergeCell ref="EW639:FA639"/>
    <mergeCell ref="DX640:EB640"/>
    <mergeCell ref="EC640:EG640"/>
    <mergeCell ref="EW640:FA640"/>
    <mergeCell ref="ER643:EV643"/>
    <mergeCell ref="ER640:EV640"/>
    <mergeCell ref="ER639:EV639"/>
    <mergeCell ref="DX659:EB659"/>
    <mergeCell ref="EH645:EL645"/>
    <mergeCell ref="EM645:EQ645"/>
    <mergeCell ref="EW636:FA636"/>
    <mergeCell ref="EM659:EQ659"/>
    <mergeCell ref="ER659:EV659"/>
    <mergeCell ref="EW659:FA659"/>
    <mergeCell ref="EC659:EG659"/>
    <mergeCell ref="EH659:EL659"/>
    <mergeCell ref="EH640:EL640"/>
    <mergeCell ref="EM640:EQ640"/>
    <mergeCell ref="DX639:EB639"/>
    <mergeCell ref="ER637:EV637"/>
    <mergeCell ref="EC653:EG653"/>
    <mergeCell ref="DX654:EB654"/>
    <mergeCell ref="EC654:EG654"/>
    <mergeCell ref="EH654:EL654"/>
    <mergeCell ref="EM649:EQ649"/>
    <mergeCell ref="EH653:EL653"/>
    <mergeCell ref="EM653:EQ653"/>
    <mergeCell ref="ER653:EV653"/>
    <mergeCell ref="EW637:FA637"/>
    <mergeCell ref="ER656:EV656"/>
    <mergeCell ref="DX645:EB645"/>
    <mergeCell ref="DX619:EB619"/>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M636:EQ636"/>
    <mergeCell ref="DX637:EB637"/>
    <mergeCell ref="EW644:FA644"/>
    <mergeCell ref="EC641:EG641"/>
    <mergeCell ref="EC643:EG643"/>
    <mergeCell ref="EH630:EL630"/>
    <mergeCell ref="EC619:EG619"/>
    <mergeCell ref="EC624:EG624"/>
    <mergeCell ref="EW619:FA619"/>
    <mergeCell ref="ER621:EV621"/>
    <mergeCell ref="EM614:EQ614"/>
    <mergeCell ref="ER614:EV614"/>
    <mergeCell ref="EW614:FA614"/>
    <mergeCell ref="DX609:EB609"/>
    <mergeCell ref="EH615:EL615"/>
    <mergeCell ref="EM624:EQ624"/>
    <mergeCell ref="DX612:EB612"/>
    <mergeCell ref="EC612:EG612"/>
    <mergeCell ref="EH612:EL612"/>
    <mergeCell ref="EM612:EQ612"/>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W611:FA611"/>
    <mergeCell ref="EM615:EQ615"/>
    <mergeCell ref="ER615:EV615"/>
    <mergeCell ref="EW615:FA615"/>
    <mergeCell ref="DX616:EB616"/>
    <mergeCell ref="EC616:EG616"/>
    <mergeCell ref="EH616:EL616"/>
    <mergeCell ref="EW612:FA612"/>
    <mergeCell ref="EW618:FA618"/>
    <mergeCell ref="DX613:EB613"/>
    <mergeCell ref="EC613:EG613"/>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M616:EQ616"/>
    <mergeCell ref="EH613:EL613"/>
    <mergeCell ref="EM613:EQ613"/>
    <mergeCell ref="ER613:EV613"/>
    <mergeCell ref="EW613:FA613"/>
    <mergeCell ref="DX614:EB614"/>
    <mergeCell ref="EC614:EG614"/>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AJ1044:AQ1047"/>
    <mergeCell ref="AJ1048:AQ1051"/>
    <mergeCell ref="U928:Z928"/>
    <mergeCell ref="AA928:AF928"/>
    <mergeCell ref="U929:Z929"/>
    <mergeCell ref="AA929:AF929"/>
    <mergeCell ref="U930:Z930"/>
    <mergeCell ref="U939:Z939"/>
    <mergeCell ref="F935:T935"/>
    <mergeCell ref="U935:Z935"/>
    <mergeCell ref="AA935:AF935"/>
    <mergeCell ref="U942:Z942"/>
    <mergeCell ref="M970:S970"/>
    <mergeCell ref="M955:S955"/>
    <mergeCell ref="R984:AA984"/>
    <mergeCell ref="A978:AT980"/>
    <mergeCell ref="AG1024:AH1024"/>
    <mergeCell ref="AJ984:AQ984"/>
    <mergeCell ref="J956:S956"/>
    <mergeCell ref="AA948:AF948"/>
    <mergeCell ref="U940:Z940"/>
    <mergeCell ref="AJ1012:AQ1014"/>
    <mergeCell ref="AJ1015:AQ1018"/>
    <mergeCell ref="AJ1024:AQ1027"/>
    <mergeCell ref="AJ1028:AQ1030"/>
    <mergeCell ref="D1031:AE1031"/>
    <mergeCell ref="D1032:AE1034"/>
    <mergeCell ref="AJ1031:AQ1034"/>
    <mergeCell ref="AJ993:AQ999"/>
    <mergeCell ref="AJ1006:AQ1009"/>
    <mergeCell ref="AJ1010:AQ1011"/>
    <mergeCell ref="AJ985:AQ985"/>
    <mergeCell ref="AJ1000:AQ1005"/>
    <mergeCell ref="AJ1019:AQ1023"/>
    <mergeCell ref="D1019:AE1020"/>
    <mergeCell ref="AB990:AI990"/>
    <mergeCell ref="D1024:AE1024"/>
    <mergeCell ref="AF1025:AI1025"/>
    <mergeCell ref="AA967:AG967"/>
    <mergeCell ref="AE954:AK954"/>
    <mergeCell ref="I949:T949"/>
    <mergeCell ref="AA942:AF942"/>
    <mergeCell ref="F915:T916"/>
    <mergeCell ref="AA930:AF930"/>
    <mergeCell ref="U931:Z931"/>
    <mergeCell ref="AA931:AF931"/>
    <mergeCell ref="F937:T937"/>
    <mergeCell ref="F938:T938"/>
    <mergeCell ref="F939:T939"/>
    <mergeCell ref="U938:Z938"/>
    <mergeCell ref="AJ986:AQ986"/>
    <mergeCell ref="AJ987:AQ987"/>
    <mergeCell ref="B991:AI991"/>
    <mergeCell ref="R986:AA986"/>
    <mergeCell ref="AB984:AI984"/>
    <mergeCell ref="AB985:AI985"/>
    <mergeCell ref="AB986:AI986"/>
    <mergeCell ref="D986:Q986"/>
    <mergeCell ref="R988:AA988"/>
    <mergeCell ref="AB987:AI987"/>
    <mergeCell ref="D994:AE997"/>
    <mergeCell ref="D998:AE998"/>
    <mergeCell ref="D987:Q987"/>
    <mergeCell ref="D988:Q988"/>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T972:Z972"/>
    <mergeCell ref="I946:T946"/>
    <mergeCell ref="D1000:AE1000"/>
    <mergeCell ref="D1001:AE1005"/>
    <mergeCell ref="D1010:AE1010"/>
    <mergeCell ref="D1011:AE1011"/>
    <mergeCell ref="AF1026:AI1027"/>
    <mergeCell ref="O730:S730"/>
    <mergeCell ref="B740:F740"/>
    <mergeCell ref="O739:S739"/>
    <mergeCell ref="O740:S740"/>
    <mergeCell ref="K741:N741"/>
    <mergeCell ref="K752:N752"/>
    <mergeCell ref="O736:S736"/>
    <mergeCell ref="K738:N738"/>
    <mergeCell ref="K730:N730"/>
    <mergeCell ref="K731:N731"/>
    <mergeCell ref="T740:W740"/>
    <mergeCell ref="G741:J741"/>
    <mergeCell ref="T793:W793"/>
    <mergeCell ref="G739:J739"/>
    <mergeCell ref="T745:W745"/>
    <mergeCell ref="B739:F739"/>
    <mergeCell ref="K735:N735"/>
    <mergeCell ref="K736:N736"/>
    <mergeCell ref="AC744:AG744"/>
    <mergeCell ref="AC745:AG745"/>
    <mergeCell ref="O747:S747"/>
    <mergeCell ref="T747:W747"/>
    <mergeCell ref="AC748:AG748"/>
    <mergeCell ref="K734:N734"/>
    <mergeCell ref="AC733:AG733"/>
    <mergeCell ref="Z577:AK577"/>
    <mergeCell ref="W627:Y627"/>
    <mergeCell ref="T627:V627"/>
    <mergeCell ref="AA573:AK573"/>
    <mergeCell ref="Z594:AK594"/>
    <mergeCell ref="G601:R601"/>
    <mergeCell ref="W634:Y634"/>
    <mergeCell ref="H590:R590"/>
    <mergeCell ref="G587:R587"/>
    <mergeCell ref="G578:R578"/>
    <mergeCell ref="Z602:AK602"/>
    <mergeCell ref="Z593:AK593"/>
    <mergeCell ref="C633:L633"/>
    <mergeCell ref="AK629:AN629"/>
    <mergeCell ref="C631:L631"/>
    <mergeCell ref="C632:L632"/>
    <mergeCell ref="Z628:AB628"/>
    <mergeCell ref="Z629:AB629"/>
    <mergeCell ref="M633:P633"/>
    <mergeCell ref="C627:L627"/>
    <mergeCell ref="H614:R614"/>
    <mergeCell ref="AC627:AE627"/>
    <mergeCell ref="W562:Y562"/>
    <mergeCell ref="W563:Y563"/>
    <mergeCell ref="AH749:AJ749"/>
    <mergeCell ref="AD759:AF759"/>
    <mergeCell ref="T774:W774"/>
    <mergeCell ref="J779:K779"/>
    <mergeCell ref="J787:N787"/>
    <mergeCell ref="G738:J738"/>
    <mergeCell ref="O750:S750"/>
    <mergeCell ref="T742:W742"/>
    <mergeCell ref="X745:AB745"/>
    <mergeCell ref="X746:AB746"/>
    <mergeCell ref="A617:AT618"/>
    <mergeCell ref="B624:L626"/>
    <mergeCell ref="Z588:AK588"/>
    <mergeCell ref="Z578:AK578"/>
    <mergeCell ref="Z603:AK603"/>
    <mergeCell ref="AI605:AK605"/>
    <mergeCell ref="AF634:AJ634"/>
    <mergeCell ref="AK630:AN630"/>
    <mergeCell ref="AK631:AN631"/>
    <mergeCell ref="AK632:AN632"/>
    <mergeCell ref="K748:N748"/>
    <mergeCell ref="O748:S748"/>
    <mergeCell ref="T775:W775"/>
    <mergeCell ref="H573:R573"/>
    <mergeCell ref="AC638:AE638"/>
    <mergeCell ref="G586:R586"/>
    <mergeCell ref="G603:R603"/>
    <mergeCell ref="N607:O607"/>
    <mergeCell ref="P597:R597"/>
    <mergeCell ref="AK723:AO723"/>
    <mergeCell ref="D1091:AK1093"/>
    <mergeCell ref="G686:R686"/>
    <mergeCell ref="N689:O689"/>
    <mergeCell ref="G734:J734"/>
    <mergeCell ref="AJ988:AQ988"/>
    <mergeCell ref="O737:S737"/>
    <mergeCell ref="O738:S738"/>
    <mergeCell ref="Z687:AE687"/>
    <mergeCell ref="AH718:AJ718"/>
    <mergeCell ref="T721:W721"/>
    <mergeCell ref="AC718:AG718"/>
    <mergeCell ref="M959:S959"/>
    <mergeCell ref="Z900:AE900"/>
    <mergeCell ref="X741:AB741"/>
    <mergeCell ref="T727:W727"/>
    <mergeCell ref="U826:X826"/>
    <mergeCell ref="AK714:AO717"/>
    <mergeCell ref="R987:AA987"/>
    <mergeCell ref="AC825:AF825"/>
    <mergeCell ref="AG827:AJ827"/>
    <mergeCell ref="M826:P826"/>
    <mergeCell ref="D1083:AK1085"/>
    <mergeCell ref="J792:N792"/>
    <mergeCell ref="W871:AC871"/>
    <mergeCell ref="J793:N793"/>
    <mergeCell ref="AC729:AG729"/>
    <mergeCell ref="O728:S728"/>
    <mergeCell ref="O729:S729"/>
    <mergeCell ref="B736:F736"/>
    <mergeCell ref="B733:F733"/>
    <mergeCell ref="B731:F731"/>
    <mergeCell ref="AG1035:AH1035"/>
    <mergeCell ref="AG831:AJ831"/>
    <mergeCell ref="O774:S774"/>
    <mergeCell ref="O794:S794"/>
    <mergeCell ref="X769:AB772"/>
    <mergeCell ref="T769:W772"/>
    <mergeCell ref="AC793:AG793"/>
    <mergeCell ref="C766:AR768"/>
    <mergeCell ref="U827:X827"/>
    <mergeCell ref="T749:W749"/>
    <mergeCell ref="K750:N750"/>
    <mergeCell ref="AH752:AJ752"/>
    <mergeCell ref="K749:N749"/>
    <mergeCell ref="O749:S749"/>
    <mergeCell ref="X751:AB751"/>
    <mergeCell ref="AK741:AO741"/>
    <mergeCell ref="AK752:AO752"/>
    <mergeCell ref="J773:N773"/>
    <mergeCell ref="AC750:AG750"/>
    <mergeCell ref="AC751:AG751"/>
    <mergeCell ref="AC746:AG746"/>
    <mergeCell ref="AC747:AG747"/>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D1070:AK1075"/>
    <mergeCell ref="K733:N733"/>
    <mergeCell ref="J774:N774"/>
    <mergeCell ref="O727:S727"/>
    <mergeCell ref="O756:R756"/>
    <mergeCell ref="A1103:B1103"/>
    <mergeCell ref="G725:J725"/>
    <mergeCell ref="B730:F730"/>
    <mergeCell ref="B752:F752"/>
    <mergeCell ref="AG826:AJ826"/>
    <mergeCell ref="AG825:AJ825"/>
    <mergeCell ref="U944:Z944"/>
    <mergeCell ref="AA933:AF933"/>
    <mergeCell ref="U920:Z920"/>
    <mergeCell ref="AA920:AF920"/>
    <mergeCell ref="AE955:AK955"/>
    <mergeCell ref="AA946:AF946"/>
    <mergeCell ref="AC883:AH883"/>
    <mergeCell ref="Z901:AE901"/>
    <mergeCell ref="W863:AC863"/>
    <mergeCell ref="AC891:AH891"/>
    <mergeCell ref="C893:AB893"/>
    <mergeCell ref="AG832:AJ832"/>
    <mergeCell ref="W844:AC844"/>
    <mergeCell ref="AC832:AF832"/>
    <mergeCell ref="W874:AC874"/>
    <mergeCell ref="W857:AC857"/>
    <mergeCell ref="W842:AC842"/>
    <mergeCell ref="W847:AC847"/>
    <mergeCell ref="W878:AC878"/>
    <mergeCell ref="W855:AC855"/>
    <mergeCell ref="C832:L832"/>
    <mergeCell ref="W846:AC846"/>
    <mergeCell ref="U923:Z923"/>
    <mergeCell ref="AC892:AH892"/>
    <mergeCell ref="AA939:AF939"/>
    <mergeCell ref="AC886:AH886"/>
    <mergeCell ref="M871:V871"/>
    <mergeCell ref="M878:V878"/>
    <mergeCell ref="W870:AC870"/>
    <mergeCell ref="W866:AC866"/>
    <mergeCell ref="M874:V874"/>
    <mergeCell ref="W876:AC876"/>
    <mergeCell ref="R985:AA985"/>
    <mergeCell ref="M958:S958"/>
    <mergeCell ref="AE958:AK958"/>
    <mergeCell ref="W973:AG973"/>
    <mergeCell ref="M972:S972"/>
    <mergeCell ref="M971:S971"/>
    <mergeCell ref="M960:S960"/>
    <mergeCell ref="E885:AB885"/>
    <mergeCell ref="BS647:BW647"/>
    <mergeCell ref="BN645:BR645"/>
    <mergeCell ref="T794:W794"/>
    <mergeCell ref="T792:W792"/>
    <mergeCell ref="O777:S777"/>
    <mergeCell ref="X788:AB788"/>
    <mergeCell ref="T734:W734"/>
    <mergeCell ref="O775:S775"/>
    <mergeCell ref="BG975:BL975"/>
    <mergeCell ref="AA949:AF949"/>
    <mergeCell ref="BD906:BE906"/>
    <mergeCell ref="BG848:BL848"/>
    <mergeCell ref="AH731:AJ731"/>
    <mergeCell ref="BD907:BE907"/>
    <mergeCell ref="U946:Z946"/>
    <mergeCell ref="AA664:AK664"/>
    <mergeCell ref="BD902:BE902"/>
    <mergeCell ref="W849:AC849"/>
    <mergeCell ref="M877:V877"/>
    <mergeCell ref="G646:R646"/>
    <mergeCell ref="BN646:BR646"/>
    <mergeCell ref="G655:L655"/>
    <mergeCell ref="H656:R656"/>
    <mergeCell ref="G651:R651"/>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Z817:AE817"/>
    <mergeCell ref="X795:AB795"/>
    <mergeCell ref="Z818:AE818"/>
    <mergeCell ref="AC826:AF826"/>
    <mergeCell ref="AC827:AF827"/>
    <mergeCell ref="Y826:AB826"/>
    <mergeCell ref="Z813:AE813"/>
    <mergeCell ref="Y825:AB825"/>
    <mergeCell ref="AH750:AJ750"/>
    <mergeCell ref="AH751:AJ751"/>
    <mergeCell ref="AC753:AG753"/>
    <mergeCell ref="Y801:AC801"/>
    <mergeCell ref="Y800:AC800"/>
    <mergeCell ref="AG665:AH665"/>
    <mergeCell ref="AC831:AF831"/>
    <mergeCell ref="AG756:AJ756"/>
    <mergeCell ref="AC752:AG752"/>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DH614:DL614"/>
    <mergeCell ref="DM614:DQ614"/>
    <mergeCell ref="CX614:DB614"/>
    <mergeCell ref="CS614:CW614"/>
    <mergeCell ref="CX613:DB613"/>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H608:CL60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AM559:AS559"/>
    <mergeCell ref="C560:L560"/>
    <mergeCell ref="Z559:AD559"/>
    <mergeCell ref="AH515:AK515"/>
    <mergeCell ref="AC516:AF516"/>
    <mergeCell ref="AH509:AK509"/>
    <mergeCell ref="AC503:AF503"/>
    <mergeCell ref="AC513:AF513"/>
    <mergeCell ref="D473:V473"/>
    <mergeCell ref="AC504:AF504"/>
    <mergeCell ref="S489:AK490"/>
    <mergeCell ref="AC531:AF531"/>
    <mergeCell ref="AH500:AK500"/>
    <mergeCell ref="M555:P555"/>
    <mergeCell ref="AC540:AF540"/>
    <mergeCell ref="M557:P557"/>
    <mergeCell ref="C557:L557"/>
    <mergeCell ref="Q557:S557"/>
    <mergeCell ref="B551:L553"/>
    <mergeCell ref="M551:P553"/>
    <mergeCell ref="M560:P560"/>
    <mergeCell ref="AC501:AF501"/>
    <mergeCell ref="AH507:AK507"/>
    <mergeCell ref="AH521:AK521"/>
    <mergeCell ref="AC530:AF530"/>
    <mergeCell ref="O526:AA526"/>
    <mergeCell ref="AM555:AS555"/>
    <mergeCell ref="W551:Y553"/>
    <mergeCell ref="AC512:AF512"/>
    <mergeCell ref="AH512:AK512"/>
    <mergeCell ref="AH516:AK516"/>
    <mergeCell ref="Q554:S554"/>
    <mergeCell ref="B566:AL566"/>
    <mergeCell ref="AM561:AS561"/>
    <mergeCell ref="AA614:AK614"/>
    <mergeCell ref="G613:L613"/>
    <mergeCell ref="AI563:AL563"/>
    <mergeCell ref="Z562:AD562"/>
    <mergeCell ref="Z563:AD563"/>
    <mergeCell ref="AI564:AL564"/>
    <mergeCell ref="G597:L597"/>
    <mergeCell ref="AG591:AH591"/>
    <mergeCell ref="P605:R605"/>
    <mergeCell ref="AF574:AK574"/>
    <mergeCell ref="Z585:AK585"/>
    <mergeCell ref="AI561:AL561"/>
    <mergeCell ref="M565:P565"/>
    <mergeCell ref="T563:V563"/>
    <mergeCell ref="Z564:AD564"/>
    <mergeCell ref="Z565:AD565"/>
    <mergeCell ref="Z572:AE572"/>
    <mergeCell ref="T565:V565"/>
    <mergeCell ref="Z613:AE613"/>
    <mergeCell ref="Z605:AE605"/>
    <mergeCell ref="G593:R593"/>
    <mergeCell ref="G579:R579"/>
    <mergeCell ref="Q564:S564"/>
    <mergeCell ref="AE561:AH561"/>
    <mergeCell ref="AM562:AS562"/>
    <mergeCell ref="AI562:AL562"/>
    <mergeCell ref="AE565:AH565"/>
    <mergeCell ref="Z611:AK611"/>
    <mergeCell ref="M561:P561"/>
    <mergeCell ref="AM564:AS564"/>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BG608:BH608"/>
    <mergeCell ref="BK605:BL605"/>
    <mergeCell ref="CH617:CL617"/>
    <mergeCell ref="CH611:CL611"/>
    <mergeCell ref="BS611:BW611"/>
    <mergeCell ref="BG609:BH609"/>
    <mergeCell ref="BS617:BW617"/>
    <mergeCell ref="CM612:CQ612"/>
    <mergeCell ref="CM613:CQ613"/>
    <mergeCell ref="CM614:CQ614"/>
    <mergeCell ref="CM615:CQ615"/>
    <mergeCell ref="BG615:BH615"/>
    <mergeCell ref="CH610:CL610"/>
    <mergeCell ref="BX616:CB616"/>
    <mergeCell ref="CC612:CG612"/>
    <mergeCell ref="BS614:BW614"/>
    <mergeCell ref="CH612:CL612"/>
    <mergeCell ref="BE614:BF614"/>
    <mergeCell ref="BN617:BR617"/>
    <mergeCell ref="CH615:CL615"/>
    <mergeCell ref="CH616:CL616"/>
    <mergeCell ref="CH614:CL614"/>
    <mergeCell ref="BN630:BR630"/>
    <mergeCell ref="BK630:BL630"/>
    <mergeCell ref="BX613:CB613"/>
    <mergeCell ref="CC613:CG613"/>
    <mergeCell ref="BG614:BH614"/>
    <mergeCell ref="BG613:BH613"/>
    <mergeCell ref="BK615:BL615"/>
    <mergeCell ref="CC614:CG614"/>
    <mergeCell ref="BN615:BR615"/>
    <mergeCell ref="BK616:BL616"/>
    <mergeCell ref="BS616:BW616"/>
    <mergeCell ref="BI625:BJ625"/>
    <mergeCell ref="BK625:BL625"/>
    <mergeCell ref="CC625:CG625"/>
    <mergeCell ref="BS620:BW620"/>
    <mergeCell ref="BX620:CB620"/>
    <mergeCell ref="CC616:CG616"/>
    <mergeCell ref="BG616:BH616"/>
    <mergeCell ref="CC621:CG621"/>
    <mergeCell ref="CH621:CL621"/>
    <mergeCell ref="CC626:CG626"/>
    <mergeCell ref="BG619:BH619"/>
    <mergeCell ref="CH618:CL618"/>
    <mergeCell ref="BI619:BJ619"/>
    <mergeCell ref="CH613:CL613"/>
    <mergeCell ref="BI621:BJ621"/>
    <mergeCell ref="BN625:BR625"/>
    <mergeCell ref="BN627:BR627"/>
    <mergeCell ref="BI623:BJ623"/>
    <mergeCell ref="BK623:BL623"/>
    <mergeCell ref="BS641:BW641"/>
    <mergeCell ref="BS632:BW632"/>
    <mergeCell ref="BK631:BL631"/>
    <mergeCell ref="BN631:BR631"/>
    <mergeCell ref="AO639:AS639"/>
    <mergeCell ref="AO629:AS629"/>
    <mergeCell ref="AF630:AJ630"/>
    <mergeCell ref="AO638:AS638"/>
    <mergeCell ref="BG630:BH630"/>
    <mergeCell ref="W630:Y630"/>
    <mergeCell ref="Z627:AB627"/>
    <mergeCell ref="BE631:BF631"/>
    <mergeCell ref="AF627:AJ627"/>
    <mergeCell ref="W632:Y632"/>
    <mergeCell ref="Q636:S636"/>
    <mergeCell ref="Q637:S637"/>
    <mergeCell ref="AK627:AN627"/>
    <mergeCell ref="W628:Y628"/>
    <mergeCell ref="W629:Y629"/>
    <mergeCell ref="Z633:AB633"/>
    <mergeCell ref="T628:V628"/>
    <mergeCell ref="BS630:BW630"/>
    <mergeCell ref="BN639:BR639"/>
    <mergeCell ref="BN640:BR640"/>
    <mergeCell ref="Z632:AB632"/>
    <mergeCell ref="BN632:BR632"/>
    <mergeCell ref="T629:V629"/>
    <mergeCell ref="T630:V630"/>
    <mergeCell ref="T631:V631"/>
    <mergeCell ref="T632:V632"/>
    <mergeCell ref="T633:V633"/>
    <mergeCell ref="AK634:AN634"/>
    <mergeCell ref="BE616:BF616"/>
    <mergeCell ref="W638:Y638"/>
    <mergeCell ref="AC624:AE626"/>
    <mergeCell ref="AK628:AN628"/>
    <mergeCell ref="AK637:AN637"/>
    <mergeCell ref="AK638:AN638"/>
    <mergeCell ref="AF633:AJ633"/>
    <mergeCell ref="AC629:AE629"/>
    <mergeCell ref="BG627:BH627"/>
    <mergeCell ref="BI627:BJ627"/>
    <mergeCell ref="BK627:BL627"/>
    <mergeCell ref="BE628:BF628"/>
    <mergeCell ref="AO641:AS641"/>
    <mergeCell ref="G644:R644"/>
    <mergeCell ref="Z645:AK645"/>
    <mergeCell ref="P655:R655"/>
    <mergeCell ref="Z653:AK653"/>
    <mergeCell ref="Z647:AE647"/>
    <mergeCell ref="Z652:AK652"/>
    <mergeCell ref="Q638:S638"/>
    <mergeCell ref="Z634:AB634"/>
    <mergeCell ref="Z635:AB635"/>
    <mergeCell ref="AO632:AS632"/>
    <mergeCell ref="H648:R648"/>
    <mergeCell ref="AC628:AE628"/>
    <mergeCell ref="C629:L629"/>
    <mergeCell ref="C630:L630"/>
    <mergeCell ref="P647:R647"/>
    <mergeCell ref="G654:R654"/>
    <mergeCell ref="W636:Y636"/>
    <mergeCell ref="W637:Y637"/>
    <mergeCell ref="Z644:AK644"/>
    <mergeCell ref="Z631:AB631"/>
    <mergeCell ref="G643:R643"/>
    <mergeCell ref="AC630:AE630"/>
    <mergeCell ref="AC631:AE631"/>
    <mergeCell ref="Z646:AK646"/>
    <mergeCell ref="BG632:BH632"/>
    <mergeCell ref="BK632:BL632"/>
    <mergeCell ref="M635:P635"/>
    <mergeCell ref="BK629:BL629"/>
    <mergeCell ref="BE626:BF626"/>
    <mergeCell ref="BG626:BH626"/>
    <mergeCell ref="BI626:BJ626"/>
    <mergeCell ref="BK626:BL626"/>
    <mergeCell ref="BI630:BJ630"/>
    <mergeCell ref="AO624:AS626"/>
    <mergeCell ref="BG631:BH631"/>
    <mergeCell ref="BI617:BJ617"/>
    <mergeCell ref="T635:V635"/>
    <mergeCell ref="T636:V636"/>
    <mergeCell ref="T637:V637"/>
    <mergeCell ref="T638:V638"/>
    <mergeCell ref="Q624:S626"/>
    <mergeCell ref="AK635:AN635"/>
    <mergeCell ref="AK636:AN636"/>
    <mergeCell ref="AF631:AJ631"/>
    <mergeCell ref="AF632:AJ632"/>
    <mergeCell ref="C635:L635"/>
    <mergeCell ref="C637:L637"/>
    <mergeCell ref="C638:L638"/>
    <mergeCell ref="AC635:AE635"/>
    <mergeCell ref="Q635:S635"/>
    <mergeCell ref="C636:L636"/>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D1064:AK1069"/>
    <mergeCell ref="W869:AC869"/>
    <mergeCell ref="D1086:AK1090"/>
    <mergeCell ref="D1025:AE1027"/>
    <mergeCell ref="U914:Z916"/>
    <mergeCell ref="U949:Z949"/>
    <mergeCell ref="AA974:AG974"/>
    <mergeCell ref="AA944:AF944"/>
    <mergeCell ref="U917:Z917"/>
    <mergeCell ref="D1076:AK1082"/>
    <mergeCell ref="U919:Z919"/>
    <mergeCell ref="M967:S967"/>
    <mergeCell ref="AA966:AG966"/>
    <mergeCell ref="AA972:AG972"/>
    <mergeCell ref="AE961:AK961"/>
    <mergeCell ref="BD909:BE909"/>
    <mergeCell ref="AB956:AK956"/>
    <mergeCell ref="U948:Z948"/>
    <mergeCell ref="AA927:AF927"/>
    <mergeCell ref="U922:Z922"/>
    <mergeCell ref="AA968:AG968"/>
    <mergeCell ref="T971:Z971"/>
    <mergeCell ref="AA940:AF940"/>
    <mergeCell ref="A909:AT910"/>
    <mergeCell ref="U937:Z937"/>
    <mergeCell ref="U927:Z927"/>
    <mergeCell ref="U947:Z947"/>
    <mergeCell ref="U934:Z934"/>
    <mergeCell ref="AA922:AF922"/>
    <mergeCell ref="AB916:AE916"/>
    <mergeCell ref="AA921:AF921"/>
    <mergeCell ref="M957:S957"/>
    <mergeCell ref="AA971:AG971"/>
    <mergeCell ref="AA919:AF919"/>
    <mergeCell ref="AA918:AF918"/>
    <mergeCell ref="U924:Z924"/>
    <mergeCell ref="AA934:AF934"/>
    <mergeCell ref="AA917:AF917"/>
    <mergeCell ref="AE957:AK957"/>
    <mergeCell ref="M961:S961"/>
    <mergeCell ref="AA970:AG970"/>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F943:T943"/>
    <mergeCell ref="U943:Z943"/>
    <mergeCell ref="AA943:AF943"/>
    <mergeCell ref="F929:T929"/>
    <mergeCell ref="F930:T930"/>
    <mergeCell ref="F931:T931"/>
    <mergeCell ref="AA938:AF938"/>
    <mergeCell ref="BD905:BF905"/>
    <mergeCell ref="BD904:BF904"/>
    <mergeCell ref="AA924:AF924"/>
    <mergeCell ref="U918:Z918"/>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AC885:AH885"/>
    <mergeCell ref="W861:AC861"/>
    <mergeCell ref="C894:AB894"/>
    <mergeCell ref="Z898:AE898"/>
    <mergeCell ref="W872:AC872"/>
    <mergeCell ref="AC884:AH884"/>
    <mergeCell ref="AC888:AH888"/>
    <mergeCell ref="M875:V875"/>
    <mergeCell ref="W877:AC877"/>
    <mergeCell ref="W853:AC853"/>
    <mergeCell ref="AZ851:BA851"/>
    <mergeCell ref="M832:P832"/>
    <mergeCell ref="Q829:T829"/>
    <mergeCell ref="U825:X825"/>
    <mergeCell ref="Q827:T827"/>
    <mergeCell ref="AC828:AF828"/>
    <mergeCell ref="AG829:AJ829"/>
    <mergeCell ref="X775:AB775"/>
    <mergeCell ref="O783:S786"/>
    <mergeCell ref="AC777:AG777"/>
    <mergeCell ref="Q823:T824"/>
    <mergeCell ref="Z809:AE809"/>
    <mergeCell ref="O791:S791"/>
    <mergeCell ref="J783:N786"/>
    <mergeCell ref="U829:X829"/>
    <mergeCell ref="Z659:AK659"/>
    <mergeCell ref="N657:O657"/>
    <mergeCell ref="Z660:AK660"/>
    <mergeCell ref="G663:L663"/>
    <mergeCell ref="T739:W739"/>
    <mergeCell ref="G752:J752"/>
    <mergeCell ref="AC792:AG792"/>
    <mergeCell ref="AC794:AG794"/>
    <mergeCell ref="AC795:AG795"/>
    <mergeCell ref="O793:S793"/>
    <mergeCell ref="J790:N790"/>
    <mergeCell ref="AC789:AG789"/>
    <mergeCell ref="AC790:AG790"/>
    <mergeCell ref="J794:N794"/>
    <mergeCell ref="J789:N789"/>
    <mergeCell ref="C825:H825"/>
    <mergeCell ref="AG828:AJ828"/>
    <mergeCell ref="Q830:T830"/>
    <mergeCell ref="B735:F735"/>
    <mergeCell ref="B738:F738"/>
    <mergeCell ref="T790:W790"/>
    <mergeCell ref="O733:S733"/>
    <mergeCell ref="T795:W795"/>
    <mergeCell ref="K745:N745"/>
    <mergeCell ref="O745:S745"/>
    <mergeCell ref="AH734:AJ734"/>
    <mergeCell ref="G729:J729"/>
    <mergeCell ref="T776:W776"/>
    <mergeCell ref="O796:S796"/>
    <mergeCell ref="M823:P824"/>
    <mergeCell ref="O797:S797"/>
    <mergeCell ref="O753:S753"/>
    <mergeCell ref="Z814:AE814"/>
    <mergeCell ref="O752:S752"/>
    <mergeCell ref="T741:W741"/>
    <mergeCell ref="T732:W732"/>
    <mergeCell ref="T731:W731"/>
    <mergeCell ref="AC796:AG796"/>
    <mergeCell ref="AC788:AG788"/>
    <mergeCell ref="X791:AB791"/>
    <mergeCell ref="B729:F729"/>
    <mergeCell ref="Y823:AB824"/>
    <mergeCell ref="Z815:AE815"/>
    <mergeCell ref="Z808:AE808"/>
    <mergeCell ref="X794:AB794"/>
    <mergeCell ref="T796:W796"/>
    <mergeCell ref="X774:AB774"/>
    <mergeCell ref="J788:N788"/>
    <mergeCell ref="B732:F732"/>
    <mergeCell ref="Z807:AE807"/>
    <mergeCell ref="AK746:AO746"/>
    <mergeCell ref="AK747:AO747"/>
    <mergeCell ref="M827:P827"/>
    <mergeCell ref="J797:N797"/>
    <mergeCell ref="J795:N795"/>
    <mergeCell ref="AC774:AG774"/>
    <mergeCell ref="X777:AB777"/>
    <mergeCell ref="O723:S723"/>
    <mergeCell ref="X723:AB723"/>
    <mergeCell ref="T719:W719"/>
    <mergeCell ref="O724:S724"/>
    <mergeCell ref="T725:W725"/>
    <mergeCell ref="G724:J724"/>
    <mergeCell ref="T729:W729"/>
    <mergeCell ref="AH728:AJ728"/>
    <mergeCell ref="AK748:AO748"/>
    <mergeCell ref="J769:N772"/>
    <mergeCell ref="AG823:AJ824"/>
    <mergeCell ref="X776:AB776"/>
    <mergeCell ref="AC775:AG775"/>
    <mergeCell ref="AC783:AG786"/>
    <mergeCell ref="J791:N791"/>
    <mergeCell ref="X792:AB792"/>
    <mergeCell ref="X793:AB793"/>
    <mergeCell ref="T783:W786"/>
    <mergeCell ref="X773:AB773"/>
    <mergeCell ref="O789:S789"/>
    <mergeCell ref="J775:N775"/>
    <mergeCell ref="AC776:AG776"/>
    <mergeCell ref="C826:H826"/>
    <mergeCell ref="X789:AB789"/>
    <mergeCell ref="X790:AB790"/>
    <mergeCell ref="W859:AC859"/>
    <mergeCell ref="U828:X828"/>
    <mergeCell ref="W852:AC852"/>
    <mergeCell ref="AC797:AG797"/>
    <mergeCell ref="AC787:AG787"/>
    <mergeCell ref="M830:P830"/>
    <mergeCell ref="T791:W791"/>
    <mergeCell ref="T787:W787"/>
    <mergeCell ref="T788:W788"/>
    <mergeCell ref="T789:W789"/>
    <mergeCell ref="C830:H830"/>
    <mergeCell ref="F831:L831"/>
    <mergeCell ref="M831:P831"/>
    <mergeCell ref="Y831:AB831"/>
    <mergeCell ref="U831:X831"/>
    <mergeCell ref="Q831:T831"/>
    <mergeCell ref="C828:H828"/>
    <mergeCell ref="M828:P828"/>
    <mergeCell ref="C827:H827"/>
    <mergeCell ref="C829:H829"/>
    <mergeCell ref="Q828:T828"/>
    <mergeCell ref="M825:P825"/>
    <mergeCell ref="Q825:T825"/>
    <mergeCell ref="P816:Y816"/>
    <mergeCell ref="O788:S788"/>
    <mergeCell ref="O795:S795"/>
    <mergeCell ref="AC791:AG791"/>
    <mergeCell ref="Q826:T826"/>
    <mergeCell ref="M829:P829"/>
    <mergeCell ref="Q832:T832"/>
    <mergeCell ref="AG830:AJ830"/>
    <mergeCell ref="U832:X832"/>
    <mergeCell ref="AA648:AK648"/>
    <mergeCell ref="M558:P558"/>
    <mergeCell ref="G585:R585"/>
    <mergeCell ref="AG575:AH575"/>
    <mergeCell ref="Z568:AK568"/>
    <mergeCell ref="Z571:AK571"/>
    <mergeCell ref="P589:R589"/>
    <mergeCell ref="AF628:AJ628"/>
    <mergeCell ref="Z580:AK580"/>
    <mergeCell ref="Z569:AK569"/>
    <mergeCell ref="C561:L561"/>
    <mergeCell ref="AG657:AH657"/>
    <mergeCell ref="G661:R661"/>
    <mergeCell ref="Z662:AK662"/>
    <mergeCell ref="N673:O673"/>
    <mergeCell ref="G687:L687"/>
    <mergeCell ref="AG681:AH681"/>
    <mergeCell ref="T558:V558"/>
    <mergeCell ref="W561:Y561"/>
    <mergeCell ref="Q558:S558"/>
    <mergeCell ref="AI572:AK572"/>
    <mergeCell ref="G570:R570"/>
    <mergeCell ref="G652:R652"/>
    <mergeCell ref="Z655:AE655"/>
    <mergeCell ref="AA656:AK656"/>
    <mergeCell ref="W635:Y635"/>
    <mergeCell ref="AF624:AJ626"/>
    <mergeCell ref="B639:AN639"/>
    <mergeCell ref="B640:AN640"/>
    <mergeCell ref="B641:AN641"/>
    <mergeCell ref="W633:Y633"/>
    <mergeCell ref="Z630:AB630"/>
    <mergeCell ref="G668:R668"/>
    <mergeCell ref="P671:R671"/>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I581:AK581"/>
    <mergeCell ref="Z601:AK601"/>
    <mergeCell ref="W556:Y556"/>
    <mergeCell ref="AE564:AH564"/>
    <mergeCell ref="AI655:AK655"/>
    <mergeCell ref="G662:R662"/>
    <mergeCell ref="AH726:AJ726"/>
    <mergeCell ref="J705:O705"/>
    <mergeCell ref="J704:X704"/>
    <mergeCell ref="K720:N720"/>
    <mergeCell ref="AA672:AK672"/>
    <mergeCell ref="Z684:AK684"/>
    <mergeCell ref="G684:R684"/>
    <mergeCell ref="AK718:AO718"/>
    <mergeCell ref="AK719:AO719"/>
    <mergeCell ref="O722:S722"/>
    <mergeCell ref="G671:L671"/>
    <mergeCell ref="G669:R669"/>
    <mergeCell ref="T718:W718"/>
    <mergeCell ref="O721:S721"/>
    <mergeCell ref="K722:N722"/>
    <mergeCell ref="K723:N723"/>
    <mergeCell ref="B722:F722"/>
    <mergeCell ref="G679:L679"/>
    <mergeCell ref="AC722:AG722"/>
    <mergeCell ref="T720:W720"/>
    <mergeCell ref="Z671:AE671"/>
    <mergeCell ref="K719:N719"/>
    <mergeCell ref="G721:J721"/>
    <mergeCell ref="G722:J722"/>
    <mergeCell ref="O714:S717"/>
    <mergeCell ref="K714:N717"/>
    <mergeCell ref="T722:W722"/>
    <mergeCell ref="G719:J719"/>
    <mergeCell ref="O718:S718"/>
    <mergeCell ref="O720:S720"/>
    <mergeCell ref="G714:J717"/>
    <mergeCell ref="AE699:AI699"/>
    <mergeCell ref="AH720:AJ720"/>
    <mergeCell ref="X718:AB718"/>
    <mergeCell ref="Z676:AK676"/>
    <mergeCell ref="W700:AK700"/>
    <mergeCell ref="Z683:AK683"/>
    <mergeCell ref="AA688:AK688"/>
    <mergeCell ref="AC719:AG719"/>
    <mergeCell ref="K725:N725"/>
    <mergeCell ref="AI663:AK663"/>
    <mergeCell ref="Z661:AK661"/>
    <mergeCell ref="X720:AB720"/>
    <mergeCell ref="X722:AB722"/>
    <mergeCell ref="Z685:AK685"/>
    <mergeCell ref="G675:R675"/>
    <mergeCell ref="Z667:AK667"/>
    <mergeCell ref="N575:O575"/>
    <mergeCell ref="H582:R582"/>
    <mergeCell ref="AI687:AK687"/>
    <mergeCell ref="K718:N718"/>
    <mergeCell ref="Z587:AK587"/>
    <mergeCell ref="Z654:AK654"/>
    <mergeCell ref="AI647:AK647"/>
    <mergeCell ref="P581:R581"/>
    <mergeCell ref="AA582:AK582"/>
    <mergeCell ref="T724:W724"/>
    <mergeCell ref="G718:J718"/>
    <mergeCell ref="AH719:AJ719"/>
    <mergeCell ref="G670:R670"/>
    <mergeCell ref="Z669:AK669"/>
    <mergeCell ref="E707:AK707"/>
    <mergeCell ref="W706:AK706"/>
    <mergeCell ref="N649:O649"/>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AI560:AL560"/>
    <mergeCell ref="T562:V562"/>
    <mergeCell ref="O529:AA529"/>
    <mergeCell ref="AH533:AK533"/>
    <mergeCell ref="W564:Y564"/>
    <mergeCell ref="T560:V560"/>
    <mergeCell ref="Z561:AD561"/>
    <mergeCell ref="M562:P562"/>
    <mergeCell ref="M563:P563"/>
    <mergeCell ref="Z560:AD560"/>
    <mergeCell ref="AD412:AE412"/>
    <mergeCell ref="H414:AE415"/>
    <mergeCell ref="AE425:AF425"/>
    <mergeCell ref="AE560:AH560"/>
    <mergeCell ref="T556:V556"/>
    <mergeCell ref="AC520:AF520"/>
    <mergeCell ref="T557:V557"/>
    <mergeCell ref="C556:L556"/>
    <mergeCell ref="M556:P556"/>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1:AK331"/>
    <mergeCell ref="P339:R339"/>
    <mergeCell ref="N363:O363"/>
    <mergeCell ref="M357:N357"/>
    <mergeCell ref="H340:M340"/>
    <mergeCell ref="H316:M316"/>
    <mergeCell ref="AA322:AK322"/>
    <mergeCell ref="H292:M292"/>
    <mergeCell ref="H309:R309"/>
    <mergeCell ref="H313:R313"/>
    <mergeCell ref="AC527:AF527"/>
    <mergeCell ref="B520:H542"/>
    <mergeCell ref="I392:N392"/>
    <mergeCell ref="H339:M339"/>
    <mergeCell ref="AA317:AK317"/>
    <mergeCell ref="D469:V469"/>
    <mergeCell ref="D468:V468"/>
    <mergeCell ref="L508:AB508"/>
    <mergeCell ref="Z432:AA432"/>
    <mergeCell ref="Q487:AK487"/>
    <mergeCell ref="Q486:AK486"/>
    <mergeCell ref="AH502:AK502"/>
    <mergeCell ref="AC499:AK499"/>
    <mergeCell ref="W468:Y468"/>
    <mergeCell ref="B503:H508"/>
    <mergeCell ref="C554:L554"/>
    <mergeCell ref="C555:L555"/>
    <mergeCell ref="D444:AF444"/>
    <mergeCell ref="AH526:AK526"/>
    <mergeCell ref="AC518:AF518"/>
    <mergeCell ref="Q551:S553"/>
    <mergeCell ref="T551:V553"/>
    <mergeCell ref="AA332:AF332"/>
    <mergeCell ref="AA328:AK328"/>
    <mergeCell ref="AC508:AF508"/>
    <mergeCell ref="AH503:AK503"/>
    <mergeCell ref="AC500:AF500"/>
    <mergeCell ref="Q485:AK485"/>
    <mergeCell ref="G474:V474"/>
    <mergeCell ref="W474:Y474"/>
    <mergeCell ref="Z554:AD554"/>
    <mergeCell ref="W469:Y469"/>
    <mergeCell ref="M239:AE239"/>
    <mergeCell ref="AF178:AG178"/>
    <mergeCell ref="M27:Q27"/>
    <mergeCell ref="A83:AT84"/>
    <mergeCell ref="M247:R247"/>
    <mergeCell ref="M245:T245"/>
    <mergeCell ref="D208:M208"/>
    <mergeCell ref="Y117:AK117"/>
    <mergeCell ref="AI339:AK339"/>
    <mergeCell ref="H329:R329"/>
    <mergeCell ref="H288:R288"/>
    <mergeCell ref="AA290:AK290"/>
    <mergeCell ref="AA335:AK335"/>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Z247:AE247"/>
    <mergeCell ref="W245:X245"/>
    <mergeCell ref="U247:W247"/>
    <mergeCell ref="M237:AE237"/>
    <mergeCell ref="AC245:AE245"/>
    <mergeCell ref="M246:AE246"/>
    <mergeCell ref="AA238:AK238"/>
    <mergeCell ref="M244:AE244"/>
    <mergeCell ref="Z205:AN205"/>
    <mergeCell ref="M249:T249"/>
    <mergeCell ref="M26:Q26"/>
    <mergeCell ref="H16:AJ16"/>
    <mergeCell ref="A21:AL21"/>
    <mergeCell ref="F150:T150"/>
    <mergeCell ref="M254:AE254"/>
    <mergeCell ref="J173:S173"/>
    <mergeCell ref="O155:AH155"/>
    <mergeCell ref="O153:AH153"/>
    <mergeCell ref="O154:AH154"/>
    <mergeCell ref="O156:AH156"/>
    <mergeCell ref="O157:X157"/>
    <mergeCell ref="O158:R158"/>
    <mergeCell ref="W159:X159"/>
    <mergeCell ref="O159:T159"/>
    <mergeCell ref="AH254:AK254"/>
    <mergeCell ref="P113:S113"/>
    <mergeCell ref="I185:AE185"/>
    <mergeCell ref="D205:M205"/>
    <mergeCell ref="J174:AB174"/>
    <mergeCell ref="M238:T238"/>
    <mergeCell ref="T197:U197"/>
    <mergeCell ref="P205:U205"/>
    <mergeCell ref="AF243:AK243"/>
    <mergeCell ref="T196:U196"/>
    <mergeCell ref="D220:Z220"/>
    <mergeCell ref="T193:AI193"/>
    <mergeCell ref="A86:AT87"/>
    <mergeCell ref="A89:AT90"/>
    <mergeCell ref="A92:AT98"/>
    <mergeCell ref="A100:AT103"/>
    <mergeCell ref="I184:AE184"/>
    <mergeCell ref="X176:Y176"/>
    <mergeCell ref="X180:Y180"/>
    <mergeCell ref="AP205:AQ205"/>
    <mergeCell ref="AI229:AJ229"/>
    <mergeCell ref="M235:AE235"/>
    <mergeCell ref="U175:V175"/>
    <mergeCell ref="R177:S177"/>
    <mergeCell ref="U236:W236"/>
    <mergeCell ref="M243:AE243"/>
    <mergeCell ref="D204:M204"/>
    <mergeCell ref="I190:N190"/>
    <mergeCell ref="T190:AE190"/>
    <mergeCell ref="M232:AK232"/>
    <mergeCell ref="M233:AE233"/>
    <mergeCell ref="N191:AE192"/>
    <mergeCell ref="D211:M211"/>
    <mergeCell ref="AI228:AJ228"/>
    <mergeCell ref="AI226:AJ226"/>
    <mergeCell ref="T189:AE189"/>
    <mergeCell ref="T195:U195"/>
    <mergeCell ref="E187:AE188"/>
    <mergeCell ref="I189:P189"/>
    <mergeCell ref="Z199:AA199"/>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I227:AJ227"/>
    <mergeCell ref="Y123:AK123"/>
    <mergeCell ref="A105:AT106"/>
    <mergeCell ref="L113:O113"/>
    <mergeCell ref="Y120:AK120"/>
    <mergeCell ref="O160:T160"/>
    <mergeCell ref="AI178:AK178"/>
    <mergeCell ref="M234:T234"/>
    <mergeCell ref="W234:X234"/>
    <mergeCell ref="AB212:AC212"/>
    <mergeCell ref="AC234:AE234"/>
    <mergeCell ref="AH197:AI197"/>
    <mergeCell ref="W253:X253"/>
    <mergeCell ref="M251:AE251"/>
    <mergeCell ref="AA301:AK301"/>
    <mergeCell ref="H301:R301"/>
    <mergeCell ref="AA249:AK249"/>
    <mergeCell ref="AA292:AF292"/>
    <mergeCell ref="AB276:AD276"/>
    <mergeCell ref="Y278:AD278"/>
    <mergeCell ref="AA295:AK295"/>
    <mergeCell ref="AF259:AK259"/>
    <mergeCell ref="AC261:AE261"/>
    <mergeCell ref="M248:AE248"/>
    <mergeCell ref="AC253:AE253"/>
    <mergeCell ref="L277:AD277"/>
    <mergeCell ref="T278:V278"/>
    <mergeCell ref="Z255:AE255"/>
    <mergeCell ref="M255:R255"/>
    <mergeCell ref="M253:T253"/>
    <mergeCell ref="M262:AE262"/>
    <mergeCell ref="AA299:AF299"/>
    <mergeCell ref="AA287:AK287"/>
    <mergeCell ref="T267:X267"/>
    <mergeCell ref="P291:R291"/>
    <mergeCell ref="L274:AJ274"/>
    <mergeCell ref="H289:R289"/>
    <mergeCell ref="H291:M291"/>
    <mergeCell ref="H300:M300"/>
    <mergeCell ref="AA257:AK257"/>
    <mergeCell ref="M260:AE260"/>
    <mergeCell ref="AA265:AK265"/>
    <mergeCell ref="H295:R295"/>
    <mergeCell ref="AF251:AK251"/>
    <mergeCell ref="M261:T261"/>
    <mergeCell ref="AH262:AK262"/>
    <mergeCell ref="AA311:AK311"/>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3:AK303"/>
    <mergeCell ref="AA304:AK304"/>
    <mergeCell ref="AA305:AK305"/>
    <mergeCell ref="AA306:AK306"/>
    <mergeCell ref="AA307:AF307"/>
    <mergeCell ref="AA309:AK309"/>
    <mergeCell ref="H299:M299"/>
    <mergeCell ref="M263:R263"/>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AA333:AK333"/>
    <mergeCell ref="AI315:AK315"/>
    <mergeCell ref="AA312:AK312"/>
    <mergeCell ref="AA329:AK329"/>
    <mergeCell ref="W466:Y466"/>
    <mergeCell ref="W473:Y473"/>
    <mergeCell ref="H304:R304"/>
    <mergeCell ref="BE606:BF606"/>
    <mergeCell ref="BE597:BF597"/>
    <mergeCell ref="N591:O591"/>
    <mergeCell ref="AA590:AK590"/>
    <mergeCell ref="BG606:BH606"/>
    <mergeCell ref="BX604:CB604"/>
    <mergeCell ref="AI589:AK589"/>
    <mergeCell ref="Z596:AK596"/>
    <mergeCell ref="H598:R598"/>
    <mergeCell ref="BK598:BL598"/>
    <mergeCell ref="CC601:CG601"/>
    <mergeCell ref="CC602:CG602"/>
    <mergeCell ref="G604:R604"/>
    <mergeCell ref="BX596:CB596"/>
    <mergeCell ref="BG601:BH601"/>
    <mergeCell ref="BI599:BJ599"/>
    <mergeCell ref="BN600:BR600"/>
    <mergeCell ref="BX606:CB606"/>
    <mergeCell ref="BX605:CB605"/>
    <mergeCell ref="BX602:CB602"/>
    <mergeCell ref="BI601:BJ601"/>
    <mergeCell ref="BG596:BH596"/>
    <mergeCell ref="BX603:CB603"/>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CC597:CG597"/>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K600:BL600"/>
    <mergeCell ref="BG598:BH598"/>
    <mergeCell ref="BG607:BH607"/>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6:CG606"/>
    <mergeCell ref="CC610:CG610"/>
    <mergeCell ref="BG621:BH621"/>
    <mergeCell ref="BN621:BR621"/>
    <mergeCell ref="BS621:BW621"/>
    <mergeCell ref="BX621:CB621"/>
    <mergeCell ref="BN623:BR623"/>
    <mergeCell ref="BE609:BF609"/>
    <mergeCell ref="BS623:BW623"/>
    <mergeCell ref="BE610:BF610"/>
    <mergeCell ref="BX619:CB619"/>
    <mergeCell ref="BX618:CB618"/>
    <mergeCell ref="BE613:BF613"/>
    <mergeCell ref="BN618:BR618"/>
    <mergeCell ref="BK617:BL617"/>
    <mergeCell ref="BN614:BR614"/>
    <mergeCell ref="BI615:BJ615"/>
    <mergeCell ref="BE617:BF617"/>
    <mergeCell ref="BI618:BJ618"/>
    <mergeCell ref="BK618:BL618"/>
    <mergeCell ref="BE615:BF615"/>
    <mergeCell ref="BK611:BL611"/>
    <mergeCell ref="BE620:BF620"/>
    <mergeCell ref="BG620:BH620"/>
    <mergeCell ref="BI620:BJ620"/>
    <mergeCell ref="BK620:BL620"/>
    <mergeCell ref="BK619:BL619"/>
    <mergeCell ref="BK614:BL614"/>
    <mergeCell ref="BI613:BJ613"/>
    <mergeCell ref="BK613:BL613"/>
    <mergeCell ref="BI612:BJ612"/>
    <mergeCell ref="BK612:BL612"/>
    <mergeCell ref="BG612:BH612"/>
    <mergeCell ref="BX628:CB628"/>
    <mergeCell ref="BX627:CB627"/>
    <mergeCell ref="BX626:CB626"/>
    <mergeCell ref="BK621:BL621"/>
    <mergeCell ref="BE622:BF622"/>
    <mergeCell ref="BG622:BH622"/>
    <mergeCell ref="BI622:BJ622"/>
    <mergeCell ref="BK622:BL622"/>
    <mergeCell ref="BN619:BR619"/>
    <mergeCell ref="BX612:CB612"/>
    <mergeCell ref="BX615:CB615"/>
    <mergeCell ref="BK610:BL610"/>
    <mergeCell ref="BG611:BH611"/>
    <mergeCell ref="BK607:BL607"/>
    <mergeCell ref="BN607:BR607"/>
    <mergeCell ref="BS607:BW607"/>
    <mergeCell ref="BN609:BR609"/>
    <mergeCell ref="BN610:BR610"/>
    <mergeCell ref="BN626:BR626"/>
    <mergeCell ref="BE627:BF627"/>
    <mergeCell ref="BN622:BR622"/>
    <mergeCell ref="BX609:CB609"/>
    <mergeCell ref="BX608:CB608"/>
    <mergeCell ref="BE612:BF612"/>
    <mergeCell ref="BX611:CB611"/>
    <mergeCell ref="BX614:CB614"/>
    <mergeCell ref="BS613:BW613"/>
    <mergeCell ref="BI611:BJ611"/>
    <mergeCell ref="BE623:BF623"/>
    <mergeCell ref="BG623:BH623"/>
    <mergeCell ref="BN612:BR612"/>
    <mergeCell ref="BI614:BJ614"/>
    <mergeCell ref="Z668:AK668"/>
    <mergeCell ref="P663:R663"/>
    <mergeCell ref="G659:R659"/>
    <mergeCell ref="BN655:BR655"/>
    <mergeCell ref="BS640:BW640"/>
    <mergeCell ref="BN629:BR629"/>
    <mergeCell ref="BS629:BW629"/>
    <mergeCell ref="H664:R664"/>
    <mergeCell ref="G645:R645"/>
    <mergeCell ref="BE607:BF607"/>
    <mergeCell ref="BE608:BF608"/>
    <mergeCell ref="BN601:BR601"/>
    <mergeCell ref="BE624:BF624"/>
    <mergeCell ref="BG624:BH624"/>
    <mergeCell ref="BI624:BJ624"/>
    <mergeCell ref="BG628:BH628"/>
    <mergeCell ref="BI628:BJ628"/>
    <mergeCell ref="BK628:BL628"/>
    <mergeCell ref="BN660:BR660"/>
    <mergeCell ref="BI609:BJ609"/>
    <mergeCell ref="BI631:BJ631"/>
    <mergeCell ref="BE630:BF630"/>
    <mergeCell ref="BS645:BW645"/>
    <mergeCell ref="BN647:BR647"/>
    <mergeCell ref="BN638:BR638"/>
    <mergeCell ref="BN641:BR641"/>
    <mergeCell ref="BN637:BR637"/>
    <mergeCell ref="BS631:BW631"/>
    <mergeCell ref="BS648:BW648"/>
    <mergeCell ref="BI629:BJ629"/>
    <mergeCell ref="BS619:BW619"/>
    <mergeCell ref="BG618:BH618"/>
    <mergeCell ref="AC542:AF542"/>
    <mergeCell ref="AI557:AL557"/>
    <mergeCell ref="Q562:S562"/>
    <mergeCell ref="AC533:AF533"/>
    <mergeCell ref="Z555:AD555"/>
    <mergeCell ref="AC509:AF509"/>
    <mergeCell ref="AC525:AF525"/>
    <mergeCell ref="AE556:AH556"/>
    <mergeCell ref="BS639:BW639"/>
    <mergeCell ref="AO640:AS640"/>
    <mergeCell ref="AI613:AK613"/>
    <mergeCell ref="AF637:AJ637"/>
    <mergeCell ref="AF638:AJ638"/>
    <mergeCell ref="AG649:AH649"/>
    <mergeCell ref="BG603:BH603"/>
    <mergeCell ref="BS605:BW605"/>
    <mergeCell ref="BI600:BJ600"/>
    <mergeCell ref="BN603:BR603"/>
    <mergeCell ref="BN606:BR606"/>
    <mergeCell ref="BK606:BL606"/>
    <mergeCell ref="BE603:BF603"/>
    <mergeCell ref="BE600:BF600"/>
    <mergeCell ref="BN620:BR620"/>
    <mergeCell ref="BE621:BF621"/>
    <mergeCell ref="BK603:BL603"/>
    <mergeCell ref="BN596:BR596"/>
    <mergeCell ref="BI602:BJ602"/>
    <mergeCell ref="BI598:BJ598"/>
    <mergeCell ref="BK599:BL599"/>
    <mergeCell ref="BN599:BR599"/>
    <mergeCell ref="BI605:BJ605"/>
    <mergeCell ref="BE604:BF604"/>
    <mergeCell ref="AA324:AF324"/>
    <mergeCell ref="H328:R328"/>
    <mergeCell ref="J387:U387"/>
    <mergeCell ref="H325:R325"/>
    <mergeCell ref="H307:M307"/>
    <mergeCell ref="P421:R421"/>
    <mergeCell ref="I410:AE410"/>
    <mergeCell ref="S401:U401"/>
    <mergeCell ref="BN628:BR628"/>
    <mergeCell ref="BS628:BW628"/>
    <mergeCell ref="BS626:BW626"/>
    <mergeCell ref="BN624:BR624"/>
    <mergeCell ref="BS624:BW624"/>
    <mergeCell ref="Z663:AE663"/>
    <mergeCell ref="BN597:BR597"/>
    <mergeCell ref="BG597:BH597"/>
    <mergeCell ref="BI597:BJ597"/>
    <mergeCell ref="BK596:BL596"/>
    <mergeCell ref="G647:L647"/>
    <mergeCell ref="M636:P636"/>
    <mergeCell ref="M637:P637"/>
    <mergeCell ref="M638:P638"/>
    <mergeCell ref="C628:L628"/>
    <mergeCell ref="AA308:AF308"/>
    <mergeCell ref="Q563:S563"/>
    <mergeCell ref="AI565:AL565"/>
    <mergeCell ref="N583:O583"/>
    <mergeCell ref="AH537:AK537"/>
    <mergeCell ref="AC534:AF534"/>
    <mergeCell ref="Q556:S556"/>
    <mergeCell ref="AE562:AH562"/>
    <mergeCell ref="AH542:AK542"/>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P331:R331"/>
    <mergeCell ref="AC347:AE347"/>
    <mergeCell ref="P343:AE343"/>
    <mergeCell ref="AA340:AF340"/>
    <mergeCell ref="AC538:AF538"/>
    <mergeCell ref="AE559:AH559"/>
    <mergeCell ref="AI559:AL559"/>
    <mergeCell ref="AH520:AK520"/>
    <mergeCell ref="AC537:AF537"/>
    <mergeCell ref="AH539:AK539"/>
    <mergeCell ref="AH541:AK541"/>
    <mergeCell ref="AC535:AF535"/>
    <mergeCell ref="AI554:AL554"/>
    <mergeCell ref="AH524:AK524"/>
    <mergeCell ref="AH525:AK525"/>
    <mergeCell ref="AH529:AK529"/>
    <mergeCell ref="AH534:AK534"/>
    <mergeCell ref="AH246:AK246"/>
    <mergeCell ref="AI397:AJ397"/>
    <mergeCell ref="T399:AJ399"/>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V276:W276"/>
    <mergeCell ref="N373:AF374"/>
    <mergeCell ref="AJ355:AK355"/>
    <mergeCell ref="AG442:AJ442"/>
    <mergeCell ref="AG377:AH377"/>
    <mergeCell ref="E418:G418"/>
    <mergeCell ref="AD411:AE411"/>
    <mergeCell ref="F427:AH428"/>
    <mergeCell ref="V377:W377"/>
    <mergeCell ref="S377:T377"/>
    <mergeCell ref="D437:AF437"/>
    <mergeCell ref="AC456:AF456"/>
    <mergeCell ref="M356:N356"/>
    <mergeCell ref="L280:AD280"/>
    <mergeCell ref="H303:R303"/>
    <mergeCell ref="AF430:AG430"/>
    <mergeCell ref="AC521:AF521"/>
    <mergeCell ref="AC528:AF528"/>
    <mergeCell ref="AH518:AK518"/>
    <mergeCell ref="AH514:AK514"/>
    <mergeCell ref="AH508:AK508"/>
    <mergeCell ref="Q494:AK494"/>
    <mergeCell ref="AG437:AJ437"/>
    <mergeCell ref="AG450:AJ450"/>
    <mergeCell ref="AC455:AF455"/>
    <mergeCell ref="F457:AB458"/>
    <mergeCell ref="H330:R330"/>
    <mergeCell ref="K403:AJ403"/>
    <mergeCell ref="AG449:AJ449"/>
    <mergeCell ref="N371:Q371"/>
    <mergeCell ref="V382:W382"/>
    <mergeCell ref="Y364:Z364"/>
    <mergeCell ref="N378:P378"/>
    <mergeCell ref="M554:P554"/>
    <mergeCell ref="AH519:AK519"/>
    <mergeCell ref="AH536:AK536"/>
    <mergeCell ref="AG448:AJ448"/>
    <mergeCell ref="AH528:AK528"/>
    <mergeCell ref="AI323:AK323"/>
    <mergeCell ref="AA320:AK320"/>
    <mergeCell ref="AA337:AK337"/>
    <mergeCell ref="H327:R327"/>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H532:AK532"/>
    <mergeCell ref="AA321:AK321"/>
    <mergeCell ref="AH505:AK505"/>
    <mergeCell ref="B514:H516"/>
    <mergeCell ref="AC522:AF522"/>
    <mergeCell ref="T554:V554"/>
    <mergeCell ref="B517:H519"/>
    <mergeCell ref="AC524:AF524"/>
    <mergeCell ref="AC529:AF529"/>
    <mergeCell ref="AH530:AK530"/>
    <mergeCell ref="AM557:AS557"/>
    <mergeCell ref="AE557:AH557"/>
    <mergeCell ref="AC505:AF505"/>
    <mergeCell ref="Z557:AD557"/>
    <mergeCell ref="P687:R687"/>
    <mergeCell ref="AM554:AS554"/>
    <mergeCell ref="M495:P495"/>
    <mergeCell ref="D441:AF441"/>
    <mergeCell ref="D466:V466"/>
    <mergeCell ref="Q491:AK491"/>
    <mergeCell ref="AG447:AJ447"/>
    <mergeCell ref="AH495:AK495"/>
    <mergeCell ref="D465:V465"/>
    <mergeCell ref="D442:AF442"/>
    <mergeCell ref="W557:Y557"/>
    <mergeCell ref="W558:Y558"/>
    <mergeCell ref="AE558:AH558"/>
    <mergeCell ref="AG607:AH607"/>
    <mergeCell ref="AI679:AK679"/>
    <mergeCell ref="Z643:AK643"/>
    <mergeCell ref="H606:R606"/>
    <mergeCell ref="G605:L605"/>
    <mergeCell ref="G602:R602"/>
    <mergeCell ref="N599:O599"/>
    <mergeCell ref="AA598:AK598"/>
    <mergeCell ref="W472:Y472"/>
    <mergeCell ref="AE551:AH553"/>
    <mergeCell ref="AI551:AL553"/>
    <mergeCell ref="O520:AA520"/>
    <mergeCell ref="AE555:AH555"/>
    <mergeCell ref="Q555:S555"/>
    <mergeCell ref="AI558:AL558"/>
    <mergeCell ref="AC526:AF526"/>
    <mergeCell ref="AH531:AK531"/>
    <mergeCell ref="AH540:AK540"/>
    <mergeCell ref="AC515:AF515"/>
    <mergeCell ref="AC514:AF514"/>
    <mergeCell ref="AH538:AK538"/>
    <mergeCell ref="Z551:AD553"/>
    <mergeCell ref="AH513:AK513"/>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C454:AF454"/>
    <mergeCell ref="B720:F720"/>
    <mergeCell ref="AC510:AF510"/>
    <mergeCell ref="AH510:AK510"/>
    <mergeCell ref="K721:N721"/>
    <mergeCell ref="T714:W717"/>
    <mergeCell ref="O719:S719"/>
    <mergeCell ref="AH506:AK506"/>
    <mergeCell ref="AM551:AS553"/>
    <mergeCell ref="D472:V472"/>
    <mergeCell ref="BE629:BF629"/>
    <mergeCell ref="BG629:BH629"/>
    <mergeCell ref="BX629:CB629"/>
    <mergeCell ref="DM623:DQ623"/>
    <mergeCell ref="DR623:DV623"/>
    <mergeCell ref="DC620:DG620"/>
    <mergeCell ref="DH620:DL620"/>
    <mergeCell ref="DM620:DQ620"/>
    <mergeCell ref="DC624:DG624"/>
    <mergeCell ref="DH624:DL624"/>
    <mergeCell ref="DM624:DQ624"/>
    <mergeCell ref="CX620:DB620"/>
    <mergeCell ref="CS624:CW624"/>
    <mergeCell ref="CX624:DB624"/>
    <mergeCell ref="CS625:CW625"/>
    <mergeCell ref="CX625:DB625"/>
    <mergeCell ref="DC625:DG625"/>
    <mergeCell ref="DH625:DL625"/>
    <mergeCell ref="BK624:BL624"/>
    <mergeCell ref="BE625:BF625"/>
    <mergeCell ref="BG625:BH625"/>
    <mergeCell ref="BS622:BW622"/>
    <mergeCell ref="BX622:CB622"/>
    <mergeCell ref="CC622:CG622"/>
    <mergeCell ref="CS623:CW623"/>
    <mergeCell ref="CX623:DB623"/>
    <mergeCell ref="DC623:DG623"/>
    <mergeCell ref="DH623:DL623"/>
    <mergeCell ref="DR628:DV628"/>
    <mergeCell ref="CS627:CW627"/>
    <mergeCell ref="DR626:DV626"/>
    <mergeCell ref="DR620:DV620"/>
    <mergeCell ref="DM621:DQ621"/>
    <mergeCell ref="DR621:DV621"/>
    <mergeCell ref="EM623:EQ623"/>
    <mergeCell ref="ER623:EV623"/>
    <mergeCell ref="EW623:FA623"/>
    <mergeCell ref="DX624:EB624"/>
    <mergeCell ref="EW624:FA624"/>
    <mergeCell ref="DR624:DV624"/>
    <mergeCell ref="DM625:DQ625"/>
    <mergeCell ref="DR622:DV622"/>
    <mergeCell ref="DR625:DV625"/>
    <mergeCell ref="DX626:EB626"/>
    <mergeCell ref="EC626:EG626"/>
    <mergeCell ref="EH626:EL626"/>
    <mergeCell ref="EM626:EQ626"/>
    <mergeCell ref="ER626:EV626"/>
    <mergeCell ref="EW626:FA626"/>
    <mergeCell ref="ER624:EV624"/>
    <mergeCell ref="ER620:EV620"/>
    <mergeCell ref="EW620:FA620"/>
    <mergeCell ref="ER631:EV631"/>
    <mergeCell ref="DX630:EB630"/>
    <mergeCell ref="EC630:EG630"/>
    <mergeCell ref="ER625:EV625"/>
    <mergeCell ref="EW625:FA625"/>
    <mergeCell ref="DX627:EB627"/>
    <mergeCell ref="EC627:EG627"/>
    <mergeCell ref="EH627:EL627"/>
    <mergeCell ref="EM627:EQ627"/>
    <mergeCell ref="ER627:EV627"/>
    <mergeCell ref="ER628:EV628"/>
    <mergeCell ref="EM620:EQ620"/>
    <mergeCell ref="DX621:EB621"/>
    <mergeCell ref="EC621:EG621"/>
    <mergeCell ref="EH621:EL621"/>
    <mergeCell ref="EM621:EQ621"/>
    <mergeCell ref="EW621:FA621"/>
    <mergeCell ref="DX622:EB622"/>
    <mergeCell ref="EC622:EG622"/>
    <mergeCell ref="EH622:EL622"/>
    <mergeCell ref="EM622:EQ622"/>
    <mergeCell ref="ER622:EV622"/>
    <mergeCell ref="EW622:FA622"/>
    <mergeCell ref="ER630:EV630"/>
    <mergeCell ref="EW630:FA630"/>
    <mergeCell ref="ER636:EV636"/>
    <mergeCell ref="DC629:DG629"/>
    <mergeCell ref="DH629:DL629"/>
    <mergeCell ref="DM629:DQ629"/>
    <mergeCell ref="DR629:DV629"/>
    <mergeCell ref="EM630:EQ630"/>
    <mergeCell ref="DX629:EB629"/>
    <mergeCell ref="EC629:EG629"/>
    <mergeCell ref="DX635:EB635"/>
    <mergeCell ref="DX638:EB638"/>
    <mergeCell ref="EC638:EG638"/>
    <mergeCell ref="EC625:EG625"/>
    <mergeCell ref="EH625:EL625"/>
    <mergeCell ref="EM625:EQ625"/>
    <mergeCell ref="ER629:EV629"/>
    <mergeCell ref="EW629:FA629"/>
    <mergeCell ref="EH632:EL632"/>
    <mergeCell ref="EM632:EQ632"/>
    <mergeCell ref="ER632:EV632"/>
    <mergeCell ref="EW627:FA627"/>
    <mergeCell ref="DX628:EB628"/>
    <mergeCell ref="EC628:EG628"/>
    <mergeCell ref="EH628:EL628"/>
    <mergeCell ref="EM628:EQ628"/>
    <mergeCell ref="DX625:EB625"/>
    <mergeCell ref="EH629:EL629"/>
    <mergeCell ref="EM629:EQ629"/>
    <mergeCell ref="EW632:FA632"/>
    <mergeCell ref="DX631:EB631"/>
    <mergeCell ref="EC631:EG631"/>
    <mergeCell ref="EH631:EL631"/>
    <mergeCell ref="EM631:EQ631"/>
    <mergeCell ref="EW628:FA628"/>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R660:EV660"/>
    <mergeCell ref="EW660:FA660"/>
    <mergeCell ref="DX661:EB661"/>
    <mergeCell ref="EC661:EG661"/>
    <mergeCell ref="EH661:EL661"/>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B723:F723"/>
    <mergeCell ref="AK739:AO739"/>
    <mergeCell ref="O735:S735"/>
    <mergeCell ref="AC736:AG736"/>
    <mergeCell ref="T738:W738"/>
    <mergeCell ref="T744:W744"/>
    <mergeCell ref="B741:F741"/>
    <mergeCell ref="AK732:AO732"/>
    <mergeCell ref="AK733:AO733"/>
    <mergeCell ref="AK734:AO734"/>
    <mergeCell ref="AK735:AO735"/>
    <mergeCell ref="T728:W728"/>
    <mergeCell ref="AC740:AG740"/>
    <mergeCell ref="AC741:AG741"/>
    <mergeCell ref="AC737:AG737"/>
    <mergeCell ref="O741:S741"/>
    <mergeCell ref="K737:N737"/>
    <mergeCell ref="AH739:AJ739"/>
    <mergeCell ref="AH740:AJ740"/>
    <mergeCell ref="B734:F734"/>
    <mergeCell ref="G728:J728"/>
    <mergeCell ref="AH741:AJ741"/>
    <mergeCell ref="T723:W723"/>
    <mergeCell ref="AK742:AO742"/>
    <mergeCell ref="X742:AB742"/>
    <mergeCell ref="G727:J727"/>
    <mergeCell ref="B726:F726"/>
    <mergeCell ref="K743:N743"/>
    <mergeCell ref="O743:S743"/>
    <mergeCell ref="AH742:AJ742"/>
    <mergeCell ref="AH733:AJ733"/>
    <mergeCell ref="X740:AB740"/>
    <mergeCell ref="G569:R569"/>
    <mergeCell ref="G571:R571"/>
    <mergeCell ref="DX666:EB666"/>
    <mergeCell ref="EC666:EG666"/>
    <mergeCell ref="EH666:EL666"/>
    <mergeCell ref="AK743:AO743"/>
    <mergeCell ref="AK744:AO744"/>
    <mergeCell ref="X743:AB743"/>
    <mergeCell ref="X744:AB744"/>
    <mergeCell ref="AH743:AJ743"/>
    <mergeCell ref="AH744:AJ744"/>
    <mergeCell ref="G731:J731"/>
    <mergeCell ref="X738:AB738"/>
    <mergeCell ref="X729:AB729"/>
    <mergeCell ref="AG689:AH689"/>
    <mergeCell ref="R705:T705"/>
    <mergeCell ref="DX623:EB623"/>
    <mergeCell ref="EC623:EG623"/>
    <mergeCell ref="EH623:EL623"/>
    <mergeCell ref="DX620:EB620"/>
    <mergeCell ref="EC620:EG620"/>
    <mergeCell ref="EH620:EL620"/>
    <mergeCell ref="DH627:DL627"/>
    <mergeCell ref="DM627:DQ627"/>
    <mergeCell ref="DR627:DV627"/>
    <mergeCell ref="CS621:CW621"/>
    <mergeCell ref="CX621:DB621"/>
    <mergeCell ref="DC621:DG621"/>
    <mergeCell ref="DH621:DL621"/>
    <mergeCell ref="X724:AB724"/>
    <mergeCell ref="AH722:AJ722"/>
    <mergeCell ref="DM626:DQ626"/>
  </mergeCells>
  <phoneticPr fontId="0" type="noConversion"/>
  <conditionalFormatting sqref="B754:AH755">
    <cfRule type="expression" dxfId="118" priority="16">
      <formula>NOT($D$211="Special Needs")</formula>
    </cfRule>
  </conditionalFormatting>
  <conditionalFormatting sqref="B1059:AP1059">
    <cfRule type="expression" dxfId="117" priority="2">
      <formula>0=$B$1059</formula>
    </cfRule>
  </conditionalFormatting>
  <conditionalFormatting sqref="C555:C565 Q555:AS565 Q628:Z638 AC628:AS638">
    <cfRule type="expression" dxfId="116" priority="19">
      <formula>$AT555="!"</formula>
    </cfRule>
  </conditionalFormatting>
  <conditionalFormatting sqref="C628:C638">
    <cfRule type="expression" dxfId="115" priority="18">
      <formula>$AT628="!"</formula>
    </cfRule>
  </conditionalFormatting>
  <conditionalFormatting sqref="C893:T894">
    <cfRule type="expression" dxfId="114" priority="4">
      <formula>AND(AC893&lt;&gt;"",OR(C893="Other (Specify):",C893=""))</formula>
    </cfRule>
  </conditionalFormatting>
  <conditionalFormatting sqref="D213">
    <cfRule type="expression" dxfId="113" priority="30">
      <formula>AND($Y$212&gt;0,$AB$212&lt;75%)</formula>
    </cfRule>
  </conditionalFormatting>
  <conditionalFormatting sqref="D216">
    <cfRule type="expression" dxfId="112" priority="27">
      <formula>NOT($D$211="At-Risk")</formula>
    </cfRule>
  </conditionalFormatting>
  <conditionalFormatting sqref="D215:U215">
    <cfRule type="expression" dxfId="111" priority="31">
      <formula>NOT(OR($D$214="Seniors",$D$211="Seniors"))</formula>
    </cfRule>
  </conditionalFormatting>
  <conditionalFormatting sqref="D212:X212">
    <cfRule type="expression" dxfId="110" priority="34">
      <formula>NOT($D$211="Special Needs")</formula>
    </cfRule>
  </conditionalFormatting>
  <conditionalFormatting sqref="D214:Z214">
    <cfRule type="expression" dxfId="109" priority="29">
      <formula>AND($Y$212&gt;0,$AB$212&lt;75%)</formula>
    </cfRule>
  </conditionalFormatting>
  <conditionalFormatting sqref="E707:AK707">
    <cfRule type="expression" dxfId="108" priority="17">
      <formula>AND($W$706="Other",OR($E$707="(specify here)",$E$707=""))</formula>
    </cfRule>
  </conditionalFormatting>
  <conditionalFormatting sqref="F831:L831">
    <cfRule type="expression" dxfId="107" priority="12">
      <formula>AND(OR(M831&lt;&gt;"",$Q$811&lt;&gt;"",$U$811&lt;&gt;"",$Y$811&lt;&gt;"",$AC$811&lt;&gt;"",$AG$811&lt;&gt;"",SUM($M$831:$AJ$831)&gt;0),OR(F831="(specify here)",F831=""))</formula>
    </cfRule>
  </conditionalFormatting>
  <conditionalFormatting sqref="F457:AB458">
    <cfRule type="expression" dxfId="106" priority="1">
      <formula>$AC$454=""</formula>
    </cfRule>
  </conditionalFormatting>
  <conditionalFormatting sqref="L508:X508">
    <cfRule type="expression" dxfId="105" priority="26">
      <formula>AND(NOT(AC508="N/A"),AH508&lt;&gt;"",OR(L508="(specify here)",L508=""))</formula>
    </cfRule>
  </conditionalFormatting>
  <conditionalFormatting sqref="M846:V846">
    <cfRule type="expression" dxfId="104" priority="11">
      <formula>AND(W846&lt;&gt;"",OR(M846="(specify here)",M846=""))</formula>
    </cfRule>
  </conditionalFormatting>
  <conditionalFormatting sqref="M861:V861">
    <cfRule type="expression" dxfId="103" priority="10">
      <formula>AND(W861&lt;&gt;"",OR(M861="(specify here)",M861=""))</formula>
    </cfRule>
  </conditionalFormatting>
  <conditionalFormatting sqref="M871:V871">
    <cfRule type="expression" dxfId="102" priority="9">
      <formula>AND(W871&lt;&gt;"",OR(M871="(specify here)",M871=""))</formula>
    </cfRule>
  </conditionalFormatting>
  <conditionalFormatting sqref="M874:V878">
    <cfRule type="expression" dxfId="101" priority="8">
      <formula>AND(W874&lt;&gt;"",OR(M874="(specify here)",M874=""))</formula>
    </cfRule>
  </conditionalFormatting>
  <conditionalFormatting sqref="O520:AA520">
    <cfRule type="expression" dxfId="100" priority="25">
      <formula>AND(OR(AND(NOT(AC520="N/A"),AH520&lt;&gt;""),AND(NOT(AC521="N/A"),AH521&lt;&gt;""),AND(NOT(AC522="N/A"),AH522&lt;&gt;"")),OR(O520="(specify here)",O520=""))</formula>
    </cfRule>
  </conditionalFormatting>
  <conditionalFormatting sqref="O523:AA523">
    <cfRule type="expression" dxfId="99" priority="24">
      <formula>AND(OR(AND(NOT(AC523="N/A"),AH523&lt;&gt;""),AND(NOT(AC524="N/A"),AH524&lt;&gt;""),AND(NOT(AC525="N/A"),AH525&lt;&gt;"")),OR(O523="(specify here)",O523=""))</formula>
    </cfRule>
  </conditionalFormatting>
  <conditionalFormatting sqref="O526:AA526">
    <cfRule type="expression" dxfId="98" priority="23">
      <formula>AND(OR(AND(NOT(AC526="N/A"),AH526&lt;&gt;""),AND(NOT(AC527="N/A"),AH527&lt;&gt;""),AND(NOT(AC528="N/A"),AH528&lt;&gt;"")),OR(O526="(specify here)",O526=""))</formula>
    </cfRule>
  </conditionalFormatting>
  <conditionalFormatting sqref="O529:AA529">
    <cfRule type="expression" dxfId="97" priority="22">
      <formula>AND(OR(AND(NOT(AC529="N/A"),AH529&lt;&gt;""),AND(NOT(AC530="N/A"),AH530&lt;&gt;""),AND(NOT(AC531="N/A"),AH531&lt;&gt;"")),OR(O529="(specify here)",O529=""))</formula>
    </cfRule>
  </conditionalFormatting>
  <conditionalFormatting sqref="O532:AA532">
    <cfRule type="expression" dxfId="96" priority="21">
      <formula>AND(OR(AND(NOT(AC532="N/A"),AH532&lt;&gt;""),AND(NOT(AC533="N/A"),AH533&lt;&gt;""),AND(NOT(AC534="N/A"),AH534&lt;&gt;"")),OR(O532="(specify here)",O532=""))</formula>
    </cfRule>
  </conditionalFormatting>
  <conditionalFormatting sqref="O535:AA535">
    <cfRule type="expression" dxfId="95" priority="20">
      <formula>AND(OR(AND(NOT(AC535="N/A"),AH535&lt;&gt;""),AND(NOT(AC536="N/A"),AH536&lt;&gt;""),AND(NOT(AC537="N/A"),AH537&lt;&gt;"")),OR(O535="(specify here)",O535=""))</formula>
    </cfRule>
  </conditionalFormatting>
  <conditionalFormatting sqref="P816:Y816">
    <cfRule type="expression" dxfId="94" priority="13">
      <formula>AND(Z816&lt;&gt;"",OR(P816="(specify here)",P816=""))</formula>
    </cfRule>
  </conditionalFormatting>
  <conditionalFormatting sqref="U756">
    <cfRule type="expression" dxfId="93" priority="15">
      <formula>NOT($D$211="Special Needs")</formula>
    </cfRule>
  </conditionalFormatting>
  <conditionalFormatting sqref="U893:U894">
    <cfRule type="expression" dxfId="92" priority="257">
      <formula>AND(AU878&lt;&gt;"",OR(U893="Other (Specify):",U893=""))</formula>
    </cfRule>
  </conditionalFormatting>
  <conditionalFormatting sqref="V893:AB894">
    <cfRule type="expression" dxfId="91" priority="258">
      <formula>AND(AV888&lt;&gt;"",OR(V893="Other (Specify):",V893=""))</formula>
    </cfRule>
  </conditionalFormatting>
  <conditionalFormatting sqref="W973:AG973">
    <cfRule type="expression" dxfId="90" priority="3">
      <formula>AND($AA$952&lt;&gt;"",OR($W$951="",$W$951="(specify here)"))</formula>
    </cfRule>
  </conditionalFormatting>
  <conditionalFormatting sqref="Y508:AB508">
    <cfRule type="expression" dxfId="89" priority="259">
      <formula>AND(NOT(AP508="N/A"),AU507&lt;&gt;"",OR(Y508="(specify here)",Y508=""))</formula>
    </cfRule>
  </conditionalFormatting>
  <conditionalFormatting sqref="Y212:AC212">
    <cfRule type="expression" dxfId="88" priority="33">
      <formula>NOT($D$211="Special Needs")</formula>
    </cfRule>
  </conditionalFormatting>
  <conditionalFormatting sqref="AA215:AO215">
    <cfRule type="expression" dxfId="87" priority="32">
      <formula>NOT(OR($D$214="Seniors",$D$211="Seniors"))</formula>
    </cfRule>
  </conditionalFormatting>
  <conditionalFormatting sqref="AB216:AM216">
    <cfRule type="expression" dxfId="86" priority="28">
      <formula>NOT($D$211="At-Risk")</formula>
    </cfRule>
  </conditionalFormatting>
  <conditionalFormatting sqref="AF1020">
    <cfRule type="cellIs" dxfId="85" priority="38" stopIfTrue="1" operator="equal">
      <formula>"Please Enter Amount:"</formula>
    </cfRule>
  </conditionalFormatting>
  <conditionalFormatting sqref="AF1025">
    <cfRule type="cellIs" dxfId="84" priority="35" stopIfTrue="1" operator="equal">
      <formula>"Please Enter Amount:"</formula>
    </cfRule>
  </conditionalFormatting>
  <conditionalFormatting sqref="AF1032">
    <cfRule type="cellIs" dxfId="83" priority="36" stopIfTrue="1" operator="equal">
      <formula>"Please Enter Amount:"</formula>
    </cfRule>
  </conditionalFormatting>
  <conditionalFormatting sqref="AG441:AJ441">
    <cfRule type="expression" dxfId="82" priority="42" stopIfTrue="1">
      <formula>"iserror(d31)"</formula>
    </cfRule>
  </conditionalFormatting>
  <conditionalFormatting sqref="AG756:AJ756">
    <cfRule type="expression" dxfId="81" priority="14">
      <formula>NOT($D$211="Special Needs")</formula>
    </cfRule>
  </conditionalFormatting>
  <conditionalFormatting sqref="AJ1044">
    <cfRule type="cellIs" dxfId="80"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2"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69" zoomScale="90" zoomScaleNormal="90" workbookViewId="0">
      <selection activeCell="E95" sqref="E95"/>
    </sheetView>
  </sheetViews>
  <sheetFormatPr defaultColWidth="0" defaultRowHeight="12" zeroHeight="1"/>
  <cols>
    <col min="1" max="1" width="35.7109375" style="135" customWidth="1"/>
    <col min="2" max="12" width="12.140625" style="113" customWidth="1"/>
    <col min="13" max="17" width="11.28515625" style="113" customWidth="1"/>
    <col min="18" max="18" width="12.7109375" style="113" customWidth="1"/>
    <col min="19" max="20" width="12.140625" style="113" customWidth="1"/>
    <col min="21" max="21" width="0.28515625" style="115" customWidth="1"/>
    <col min="22" max="16383" width="8.85546875" style="113" hidden="1"/>
    <col min="16384" max="16384" width="0.140625" style="113" customWidth="1"/>
  </cols>
  <sheetData>
    <row r="1" spans="1:21" s="79" customFormat="1" ht="12.95">
      <c r="A1" s="118" t="s">
        <v>1798</v>
      </c>
      <c r="B1" s="92"/>
      <c r="C1" s="92"/>
      <c r="D1" s="92"/>
      <c r="E1" s="93"/>
      <c r="F1" s="1617" t="s">
        <v>1799</v>
      </c>
      <c r="G1" s="1618"/>
      <c r="H1" s="1618"/>
      <c r="I1" s="1618"/>
      <c r="J1" s="1618"/>
      <c r="K1" s="1618"/>
      <c r="L1" s="1618"/>
      <c r="M1" s="1618"/>
      <c r="N1" s="1618"/>
      <c r="O1" s="1618"/>
      <c r="P1" s="1618"/>
      <c r="Q1" s="1618"/>
      <c r="R1" s="1619"/>
      <c r="S1" s="81"/>
      <c r="T1" s="80"/>
      <c r="U1" s="82"/>
    </row>
    <row r="2" spans="1:21" s="102" customFormat="1" ht="71.25" customHeight="1">
      <c r="A2" s="101"/>
      <c r="B2" s="102" t="s">
        <v>1800</v>
      </c>
      <c r="C2" s="102" t="s">
        <v>1801</v>
      </c>
      <c r="D2" s="102" t="s">
        <v>1802</v>
      </c>
      <c r="E2" s="102" t="s">
        <v>1803</v>
      </c>
      <c r="F2" s="103" t="str">
        <f>Application!B627&amp;Application!C627</f>
        <v xml:space="preserve">1)Citibank Permanent Loan </v>
      </c>
      <c r="G2" s="103" t="str">
        <f>Application!B628&amp;Application!C628</f>
        <v>2)Deferred Developer Fee</v>
      </c>
      <c r="H2" s="103" t="str">
        <f>Application!B629&amp;Application!C629</f>
        <v xml:space="preserve">3)San Diego Housing Commission </v>
      </c>
      <c r="I2" s="103" t="str">
        <f>Application!B630&amp;Application!C630</f>
        <v>4)City of San Diego CDBG</v>
      </c>
      <c r="J2" s="103" t="str">
        <f>Application!B631&amp;Application!C631</f>
        <v>5)County of San Diego ARPA</v>
      </c>
      <c r="K2" s="103" t="str">
        <f>Application!B632&amp;Application!C632</f>
        <v>6)</v>
      </c>
      <c r="L2" s="103" t="str">
        <f>Application!B633&amp;Application!C633</f>
        <v>7)</v>
      </c>
      <c r="M2" s="103" t="str">
        <f>Application!B634&amp;Application!C634</f>
        <v>8)</v>
      </c>
      <c r="N2" s="103" t="str">
        <f>Application!B635&amp;Application!C635</f>
        <v>9)</v>
      </c>
      <c r="O2" s="103" t="str">
        <f>Application!B636&amp;Application!C636</f>
        <v>10)</v>
      </c>
      <c r="P2" s="103" t="str">
        <f>Application!B637&amp;Application!C637</f>
        <v>11)</v>
      </c>
      <c r="Q2" s="103" t="str">
        <f>Application!B638&amp;Application!C638</f>
        <v>12)</v>
      </c>
      <c r="R2" s="103" t="s">
        <v>1804</v>
      </c>
      <c r="S2" s="102" t="s">
        <v>1805</v>
      </c>
      <c r="T2" s="102" t="s">
        <v>1806</v>
      </c>
      <c r="U2" s="104"/>
    </row>
    <row r="3" spans="1:21" s="106" customFormat="1" ht="12.95">
      <c r="A3" s="105" t="s">
        <v>1807</v>
      </c>
      <c r="B3" s="2561"/>
      <c r="C3" s="2561"/>
      <c r="D3" s="2561"/>
      <c r="E3" s="2561"/>
      <c r="F3" s="2561"/>
      <c r="G3" s="2561"/>
      <c r="H3" s="2561"/>
      <c r="I3" s="2561"/>
      <c r="J3" s="2561"/>
      <c r="K3" s="2561"/>
      <c r="L3" s="2561"/>
      <c r="M3" s="2561"/>
      <c r="N3" s="2561"/>
      <c r="O3" s="2561"/>
      <c r="P3" s="2561"/>
      <c r="Q3" s="2561"/>
      <c r="R3" s="2561"/>
      <c r="S3" s="2561"/>
      <c r="T3" s="2561"/>
      <c r="U3" s="2562"/>
    </row>
    <row r="4" spans="1:21" s="106" customFormat="1" ht="12.95">
      <c r="A4" s="208" t="s">
        <v>1808</v>
      </c>
      <c r="B4" s="264">
        <f>SUM(C4+D4)</f>
        <v>2700000</v>
      </c>
      <c r="C4" s="899">
        <v>2700000</v>
      </c>
      <c r="D4" s="899"/>
      <c r="E4" s="899">
        <f>C4</f>
        <v>2700000</v>
      </c>
      <c r="F4" s="899"/>
      <c r="G4" s="899"/>
      <c r="H4" s="899"/>
      <c r="I4" s="899"/>
      <c r="J4" s="899"/>
      <c r="K4" s="899"/>
      <c r="L4" s="899"/>
      <c r="M4" s="899"/>
      <c r="N4" s="899"/>
      <c r="O4" s="899"/>
      <c r="P4" s="899"/>
      <c r="Q4" s="899"/>
      <c r="R4" s="441">
        <f>SUM(E4:Q4)</f>
        <v>2700000</v>
      </c>
      <c r="S4" s="2563"/>
      <c r="T4" s="2563"/>
      <c r="U4" s="2562"/>
    </row>
    <row r="5" spans="1:21" s="106" customFormat="1" ht="12.95">
      <c r="A5" s="208" t="s">
        <v>1809</v>
      </c>
      <c r="B5" s="264">
        <f>SUM(C5+D5)</f>
        <v>100000</v>
      </c>
      <c r="C5" s="899">
        <v>100000</v>
      </c>
      <c r="D5" s="899"/>
      <c r="E5" s="899">
        <f>C5</f>
        <v>100000</v>
      </c>
      <c r="F5" s="899"/>
      <c r="G5" s="899"/>
      <c r="H5" s="899"/>
      <c r="I5" s="899"/>
      <c r="J5" s="899"/>
      <c r="K5" s="899"/>
      <c r="L5" s="899"/>
      <c r="M5" s="899"/>
      <c r="N5" s="899"/>
      <c r="O5" s="899"/>
      <c r="P5" s="899"/>
      <c r="Q5" s="899"/>
      <c r="R5" s="441">
        <f>SUM(E5:Q5)</f>
        <v>100000</v>
      </c>
      <c r="S5" s="2563"/>
      <c r="T5" s="2563"/>
      <c r="U5" s="2562"/>
    </row>
    <row r="6" spans="1:21" s="106" customFormat="1" ht="12.95">
      <c r="A6" s="208" t="s">
        <v>1810</v>
      </c>
      <c r="B6" s="264">
        <f>SUM(C6+D6)</f>
        <v>0</v>
      </c>
      <c r="C6" s="899"/>
      <c r="D6" s="899"/>
      <c r="E6" s="899"/>
      <c r="F6" s="899"/>
      <c r="G6" s="899"/>
      <c r="H6" s="899"/>
      <c r="I6" s="899"/>
      <c r="J6" s="899"/>
      <c r="K6" s="899"/>
      <c r="L6" s="899"/>
      <c r="M6" s="899"/>
      <c r="N6" s="899"/>
      <c r="O6" s="899"/>
      <c r="P6" s="899"/>
      <c r="Q6" s="899"/>
      <c r="R6" s="441">
        <f>SUM(E6:Q6)</f>
        <v>0</v>
      </c>
      <c r="S6" s="2563"/>
      <c r="T6" s="2563"/>
      <c r="U6" s="2562"/>
    </row>
    <row r="7" spans="1:21" s="106" customFormat="1" ht="12.95">
      <c r="A7" s="208" t="s">
        <v>1811</v>
      </c>
      <c r="B7" s="264">
        <f>SUM(C7+D7)</f>
        <v>0</v>
      </c>
      <c r="C7" s="899"/>
      <c r="D7" s="899"/>
      <c r="E7" s="899"/>
      <c r="F7" s="899"/>
      <c r="G7" s="899"/>
      <c r="H7" s="899"/>
      <c r="I7" s="899"/>
      <c r="J7" s="899"/>
      <c r="K7" s="899"/>
      <c r="L7" s="899"/>
      <c r="M7" s="899"/>
      <c r="N7" s="899"/>
      <c r="O7" s="899"/>
      <c r="P7" s="899"/>
      <c r="Q7" s="899"/>
      <c r="R7" s="441">
        <f>SUM(E7:Q7)</f>
        <v>0</v>
      </c>
      <c r="S7" s="2563"/>
      <c r="T7" s="2563"/>
      <c r="U7" s="2562"/>
    </row>
    <row r="8" spans="1:21" s="106" customFormat="1" ht="12.95">
      <c r="A8" s="107" t="s">
        <v>1812</v>
      </c>
      <c r="B8" s="264">
        <f>SUM(C8:D8)</f>
        <v>2800000</v>
      </c>
      <c r="C8" s="264">
        <f t="shared" ref="C8:Q8" si="0">SUM(C4:C7)</f>
        <v>2800000</v>
      </c>
      <c r="D8" s="264">
        <f t="shared" si="0"/>
        <v>0</v>
      </c>
      <c r="E8" s="264">
        <f t="shared" si="0"/>
        <v>2800000</v>
      </c>
      <c r="F8" s="264">
        <f t="shared" si="0"/>
        <v>0</v>
      </c>
      <c r="G8" s="264">
        <f t="shared" si="0"/>
        <v>0</v>
      </c>
      <c r="H8" s="264">
        <f t="shared" si="0"/>
        <v>0</v>
      </c>
      <c r="I8" s="264">
        <f t="shared" si="0"/>
        <v>0</v>
      </c>
      <c r="J8" s="264">
        <f t="shared" si="0"/>
        <v>0</v>
      </c>
      <c r="K8" s="264">
        <f t="shared" si="0"/>
        <v>0</v>
      </c>
      <c r="L8" s="264">
        <f t="shared" si="0"/>
        <v>0</v>
      </c>
      <c r="M8" s="264">
        <f t="shared" si="0"/>
        <v>0</v>
      </c>
      <c r="N8" s="264">
        <f t="shared" si="0"/>
        <v>0</v>
      </c>
      <c r="O8" s="264">
        <f t="shared" si="0"/>
        <v>0</v>
      </c>
      <c r="P8" s="264"/>
      <c r="Q8" s="264">
        <f t="shared" si="0"/>
        <v>0</v>
      </c>
      <c r="R8" s="264">
        <f>SUM(R4:R7)</f>
        <v>2800000</v>
      </c>
      <c r="S8" s="2563"/>
      <c r="T8" s="2563"/>
      <c r="U8" s="2562"/>
    </row>
    <row r="9" spans="1:21" s="106" customFormat="1" ht="12.95">
      <c r="A9" s="208" t="s">
        <v>1813</v>
      </c>
      <c r="B9" s="264">
        <f>SUM(C9+D9)</f>
        <v>0</v>
      </c>
      <c r="C9" s="899"/>
      <c r="D9" s="899"/>
      <c r="E9" s="899"/>
      <c r="F9" s="899"/>
      <c r="G9" s="899"/>
      <c r="H9" s="899"/>
      <c r="I9" s="899"/>
      <c r="J9" s="899"/>
      <c r="K9" s="899"/>
      <c r="L9" s="899"/>
      <c r="M9" s="899"/>
      <c r="N9" s="899"/>
      <c r="O9" s="899"/>
      <c r="P9" s="899"/>
      <c r="Q9" s="899"/>
      <c r="R9" s="441">
        <f>SUM(E9:Q9)</f>
        <v>0</v>
      </c>
      <c r="S9" s="2563"/>
      <c r="T9" s="899"/>
      <c r="U9" s="2562"/>
    </row>
    <row r="10" spans="1:21" s="106" customFormat="1" ht="12.95">
      <c r="A10" s="208" t="s">
        <v>1814</v>
      </c>
      <c r="B10" s="264">
        <f>SUM(C10+D10)</f>
        <v>500000</v>
      </c>
      <c r="C10" s="899">
        <v>500000</v>
      </c>
      <c r="D10" s="899"/>
      <c r="E10" s="899">
        <f>C10</f>
        <v>500000</v>
      </c>
      <c r="F10" s="899"/>
      <c r="G10" s="899"/>
      <c r="H10" s="899"/>
      <c r="I10" s="899"/>
      <c r="J10" s="899"/>
      <c r="K10" s="899"/>
      <c r="L10" s="899"/>
      <c r="M10" s="899"/>
      <c r="N10" s="899"/>
      <c r="O10" s="899"/>
      <c r="P10" s="899"/>
      <c r="Q10" s="899"/>
      <c r="R10" s="441">
        <f>SUM(E10:Q10)</f>
        <v>500000</v>
      </c>
      <c r="S10" s="899">
        <v>500000</v>
      </c>
      <c r="T10" s="899"/>
      <c r="U10" s="2562"/>
    </row>
    <row r="11" spans="1:21" s="106" customFormat="1" ht="12.95">
      <c r="A11" s="107" t="s">
        <v>1815</v>
      </c>
      <c r="B11" s="264">
        <f>SUM(C11:D11)</f>
        <v>500000</v>
      </c>
      <c r="C11" s="264">
        <f t="shared" ref="C11:Q11" si="1">SUM(C9:C10)</f>
        <v>500000</v>
      </c>
      <c r="D11" s="264">
        <f t="shared" si="1"/>
        <v>0</v>
      </c>
      <c r="E11" s="264">
        <f t="shared" si="1"/>
        <v>500000</v>
      </c>
      <c r="F11" s="264">
        <f t="shared" si="1"/>
        <v>0</v>
      </c>
      <c r="G11" s="264">
        <f t="shared" si="1"/>
        <v>0</v>
      </c>
      <c r="H11" s="264">
        <f t="shared" si="1"/>
        <v>0</v>
      </c>
      <c r="I11" s="264">
        <f t="shared" si="1"/>
        <v>0</v>
      </c>
      <c r="J11" s="264">
        <f t="shared" si="1"/>
        <v>0</v>
      </c>
      <c r="K11" s="264">
        <f t="shared" si="1"/>
        <v>0</v>
      </c>
      <c r="L11" s="264">
        <f t="shared" si="1"/>
        <v>0</v>
      </c>
      <c r="M11" s="264">
        <f t="shared" si="1"/>
        <v>0</v>
      </c>
      <c r="N11" s="264">
        <f t="shared" si="1"/>
        <v>0</v>
      </c>
      <c r="O11" s="264">
        <f t="shared" si="1"/>
        <v>0</v>
      </c>
      <c r="P11" s="264"/>
      <c r="Q11" s="264">
        <f t="shared" si="1"/>
        <v>0</v>
      </c>
      <c r="R11" s="264">
        <f>SUM(R9:R10)</f>
        <v>500000</v>
      </c>
      <c r="S11" s="2563"/>
      <c r="T11" s="108">
        <f>SUM(T9:T10)</f>
        <v>0</v>
      </c>
      <c r="U11" s="2562"/>
    </row>
    <row r="12" spans="1:21" s="106" customFormat="1" ht="12.95">
      <c r="A12" s="107" t="s">
        <v>1816</v>
      </c>
      <c r="B12" s="264">
        <f t="shared" ref="B12:Q12" si="2">SUM(B8+B11)</f>
        <v>3300000</v>
      </c>
      <c r="C12" s="264">
        <f t="shared" si="2"/>
        <v>3300000</v>
      </c>
      <c r="D12" s="264">
        <f t="shared" si="2"/>
        <v>0</v>
      </c>
      <c r="E12" s="264">
        <f t="shared" si="2"/>
        <v>3300000</v>
      </c>
      <c r="F12" s="264">
        <f t="shared" si="2"/>
        <v>0</v>
      </c>
      <c r="G12" s="264">
        <f t="shared" si="2"/>
        <v>0</v>
      </c>
      <c r="H12" s="264">
        <f t="shared" si="2"/>
        <v>0</v>
      </c>
      <c r="I12" s="264">
        <f t="shared" si="2"/>
        <v>0</v>
      </c>
      <c r="J12" s="264">
        <f t="shared" si="2"/>
        <v>0</v>
      </c>
      <c r="K12" s="264">
        <f t="shared" si="2"/>
        <v>0</v>
      </c>
      <c r="L12" s="264">
        <f t="shared" si="2"/>
        <v>0</v>
      </c>
      <c r="M12" s="264">
        <f t="shared" si="2"/>
        <v>0</v>
      </c>
      <c r="N12" s="264">
        <f t="shared" si="2"/>
        <v>0</v>
      </c>
      <c r="O12" s="264">
        <f t="shared" si="2"/>
        <v>0</v>
      </c>
      <c r="P12" s="264"/>
      <c r="Q12" s="264">
        <f t="shared" si="2"/>
        <v>0</v>
      </c>
      <c r="R12" s="264">
        <f>SUM(R8+R11)</f>
        <v>3300000</v>
      </c>
      <c r="S12" s="2563"/>
      <c r="T12" s="2563"/>
      <c r="U12" s="2562"/>
    </row>
    <row r="13" spans="1:21" s="106" customFormat="1">
      <c r="A13" s="211" t="s">
        <v>1817</v>
      </c>
      <c r="B13" s="264">
        <f>SUM(C13+D13)</f>
        <v>0</v>
      </c>
      <c r="C13" s="899"/>
      <c r="D13" s="899"/>
      <c r="E13" s="899"/>
      <c r="F13" s="899"/>
      <c r="G13" s="899"/>
      <c r="H13" s="899"/>
      <c r="I13" s="899"/>
      <c r="J13" s="899"/>
      <c r="K13" s="899"/>
      <c r="L13" s="899"/>
      <c r="M13" s="899"/>
      <c r="N13" s="899"/>
      <c r="O13" s="899"/>
      <c r="P13" s="899"/>
      <c r="Q13" s="899"/>
      <c r="R13" s="441">
        <f>SUM(E13:Q13)</f>
        <v>0</v>
      </c>
      <c r="S13" s="899"/>
      <c r="T13" s="899"/>
      <c r="U13" s="2562"/>
    </row>
    <row r="14" spans="1:21" s="106" customFormat="1" ht="26.1">
      <c r="A14" s="212" t="s">
        <v>1818</v>
      </c>
      <c r="B14" s="264">
        <f>SUM(C14+D14)</f>
        <v>0</v>
      </c>
      <c r="C14" s="899"/>
      <c r="D14" s="899"/>
      <c r="E14" s="899"/>
      <c r="F14" s="899"/>
      <c r="G14" s="899"/>
      <c r="H14" s="899"/>
      <c r="I14" s="899"/>
      <c r="J14" s="899"/>
      <c r="K14" s="899"/>
      <c r="L14" s="899"/>
      <c r="M14" s="899"/>
      <c r="N14" s="899"/>
      <c r="O14" s="899"/>
      <c r="P14" s="899"/>
      <c r="Q14" s="899"/>
      <c r="R14" s="441">
        <f>SUM(E14:Q14)</f>
        <v>0</v>
      </c>
      <c r="S14" s="899"/>
      <c r="T14" s="899"/>
      <c r="U14" s="2562"/>
    </row>
    <row r="15" spans="1:21" s="106" customFormat="1" ht="12.95">
      <c r="A15" s="212" t="s">
        <v>1819</v>
      </c>
      <c r="B15" s="264">
        <f>SUM(C15+D15)</f>
        <v>0</v>
      </c>
      <c r="C15" s="899"/>
      <c r="D15" s="899"/>
      <c r="E15" s="899"/>
      <c r="F15" s="899"/>
      <c r="G15" s="899"/>
      <c r="H15" s="899"/>
      <c r="I15" s="899"/>
      <c r="J15" s="899"/>
      <c r="K15" s="899"/>
      <c r="L15" s="899"/>
      <c r="M15" s="899"/>
      <c r="N15" s="899"/>
      <c r="O15" s="899"/>
      <c r="P15" s="899"/>
      <c r="Q15" s="899"/>
      <c r="R15" s="441">
        <f>SUM(E15:Q15)</f>
        <v>0</v>
      </c>
      <c r="S15" s="2563"/>
      <c r="T15" s="2563"/>
      <c r="U15" s="2562"/>
    </row>
    <row r="16" spans="1:21" s="106" customFormat="1" ht="12.95">
      <c r="A16" s="105" t="s">
        <v>1820</v>
      </c>
      <c r="B16" s="2561"/>
      <c r="C16" s="2561"/>
      <c r="D16" s="2561"/>
      <c r="E16" s="265"/>
      <c r="F16" s="265"/>
      <c r="G16" s="265"/>
      <c r="H16" s="265"/>
      <c r="I16" s="265"/>
      <c r="J16" s="265"/>
      <c r="K16" s="265"/>
      <c r="L16" s="265"/>
      <c r="M16" s="265"/>
      <c r="N16" s="265"/>
      <c r="O16" s="265"/>
      <c r="P16" s="265"/>
      <c r="Q16" s="265"/>
      <c r="R16" s="265"/>
      <c r="S16" s="2561"/>
      <c r="T16" s="2561"/>
      <c r="U16" s="2562"/>
    </row>
    <row r="17" spans="1:21" s="106" customFormat="1" ht="12.95">
      <c r="A17" s="208" t="s">
        <v>1821</v>
      </c>
      <c r="B17" s="264">
        <f t="shared" ref="B17:B26" si="3">SUM(C17+D17)</f>
        <v>0</v>
      </c>
      <c r="C17" s="899"/>
      <c r="D17" s="899"/>
      <c r="E17" s="899"/>
      <c r="F17" s="899"/>
      <c r="G17" s="899"/>
      <c r="H17" s="899"/>
      <c r="I17" s="899"/>
      <c r="J17" s="899"/>
      <c r="K17" s="899"/>
      <c r="L17" s="899"/>
      <c r="M17" s="899"/>
      <c r="N17" s="899"/>
      <c r="O17" s="899"/>
      <c r="P17" s="899"/>
      <c r="Q17" s="899"/>
      <c r="R17" s="441">
        <f>SUM(E17:Q17)</f>
        <v>0</v>
      </c>
      <c r="S17" s="899"/>
      <c r="T17" s="899"/>
      <c r="U17" s="2562"/>
    </row>
    <row r="18" spans="1:21" s="106" customFormat="1" ht="12.95">
      <c r="A18" s="208" t="s">
        <v>1822</v>
      </c>
      <c r="B18" s="264">
        <f t="shared" si="3"/>
        <v>0</v>
      </c>
      <c r="C18" s="899"/>
      <c r="D18" s="899"/>
      <c r="E18" s="899"/>
      <c r="F18" s="899"/>
      <c r="G18" s="899"/>
      <c r="H18" s="899"/>
      <c r="I18" s="899"/>
      <c r="J18" s="899"/>
      <c r="K18" s="899"/>
      <c r="L18" s="899"/>
      <c r="M18" s="899"/>
      <c r="N18" s="899"/>
      <c r="O18" s="899"/>
      <c r="P18" s="899"/>
      <c r="Q18" s="899"/>
      <c r="R18" s="441">
        <f>SUM(E18:Q18)</f>
        <v>0</v>
      </c>
      <c r="S18" s="899"/>
      <c r="T18" s="899"/>
      <c r="U18" s="2562"/>
    </row>
    <row r="19" spans="1:21" s="106" customFormat="1" ht="12.95">
      <c r="A19" s="208" t="s">
        <v>1823</v>
      </c>
      <c r="B19" s="264">
        <f t="shared" si="3"/>
        <v>0</v>
      </c>
      <c r="C19" s="899"/>
      <c r="D19" s="899"/>
      <c r="E19" s="899"/>
      <c r="F19" s="899"/>
      <c r="G19" s="899"/>
      <c r="H19" s="899"/>
      <c r="I19" s="899"/>
      <c r="J19" s="899"/>
      <c r="K19" s="899"/>
      <c r="L19" s="899"/>
      <c r="M19" s="899"/>
      <c r="N19" s="899"/>
      <c r="O19" s="899"/>
      <c r="P19" s="899"/>
      <c r="Q19" s="899"/>
      <c r="R19" s="441">
        <f>SUM(E19:Q19)</f>
        <v>0</v>
      </c>
      <c r="S19" s="899"/>
      <c r="T19" s="899"/>
      <c r="U19" s="2562"/>
    </row>
    <row r="20" spans="1:21" s="106" customFormat="1" ht="12.95">
      <c r="A20" s="208" t="s">
        <v>1824</v>
      </c>
      <c r="B20" s="264">
        <f t="shared" si="3"/>
        <v>0</v>
      </c>
      <c r="C20" s="899"/>
      <c r="D20" s="899"/>
      <c r="E20" s="899"/>
      <c r="F20" s="899"/>
      <c r="G20" s="899"/>
      <c r="H20" s="899"/>
      <c r="I20" s="899"/>
      <c r="J20" s="899"/>
      <c r="K20" s="899"/>
      <c r="L20" s="899"/>
      <c r="M20" s="899"/>
      <c r="N20" s="899"/>
      <c r="O20" s="899"/>
      <c r="P20" s="899"/>
      <c r="Q20" s="899"/>
      <c r="R20" s="441">
        <f t="shared" ref="R20:R27" si="4">SUM(E20:Q20)</f>
        <v>0</v>
      </c>
      <c r="S20" s="899"/>
      <c r="T20" s="899"/>
      <c r="U20" s="2562"/>
    </row>
    <row r="21" spans="1:21" s="106" customFormat="1" ht="12.95">
      <c r="A21" s="208" t="s">
        <v>1825</v>
      </c>
      <c r="B21" s="264">
        <f t="shared" si="3"/>
        <v>0</v>
      </c>
      <c r="C21" s="899"/>
      <c r="D21" s="899"/>
      <c r="E21" s="899"/>
      <c r="F21" s="899"/>
      <c r="G21" s="899"/>
      <c r="H21" s="899"/>
      <c r="I21" s="899"/>
      <c r="J21" s="899"/>
      <c r="K21" s="899"/>
      <c r="L21" s="899"/>
      <c r="M21" s="899"/>
      <c r="N21" s="899"/>
      <c r="O21" s="899"/>
      <c r="P21" s="899"/>
      <c r="Q21" s="899"/>
      <c r="R21" s="441">
        <f t="shared" si="4"/>
        <v>0</v>
      </c>
      <c r="S21" s="899"/>
      <c r="T21" s="899"/>
      <c r="U21" s="2562"/>
    </row>
    <row r="22" spans="1:21" s="106" customFormat="1" ht="12.95">
      <c r="A22" s="208" t="s">
        <v>1826</v>
      </c>
      <c r="B22" s="264">
        <f t="shared" si="3"/>
        <v>0</v>
      </c>
      <c r="C22" s="899"/>
      <c r="D22" s="899"/>
      <c r="E22" s="899"/>
      <c r="F22" s="899"/>
      <c r="G22" s="899"/>
      <c r="H22" s="899"/>
      <c r="I22" s="899"/>
      <c r="J22" s="899"/>
      <c r="K22" s="899"/>
      <c r="L22" s="899"/>
      <c r="M22" s="899"/>
      <c r="N22" s="899"/>
      <c r="O22" s="899"/>
      <c r="P22" s="899"/>
      <c r="Q22" s="899"/>
      <c r="R22" s="441">
        <f t="shared" si="4"/>
        <v>0</v>
      </c>
      <c r="S22" s="899"/>
      <c r="T22" s="899"/>
      <c r="U22" s="2562"/>
    </row>
    <row r="23" spans="1:21" s="106" customFormat="1" ht="12.95">
      <c r="A23" s="208" t="s">
        <v>1827</v>
      </c>
      <c r="B23" s="264">
        <f t="shared" si="3"/>
        <v>0</v>
      </c>
      <c r="C23" s="899"/>
      <c r="D23" s="899"/>
      <c r="E23" s="899"/>
      <c r="F23" s="899"/>
      <c r="G23" s="899"/>
      <c r="H23" s="899"/>
      <c r="I23" s="899"/>
      <c r="J23" s="899"/>
      <c r="K23" s="899"/>
      <c r="L23" s="899"/>
      <c r="M23" s="899"/>
      <c r="N23" s="899"/>
      <c r="O23" s="899"/>
      <c r="P23" s="899"/>
      <c r="Q23" s="899"/>
      <c r="R23" s="441">
        <f t="shared" si="4"/>
        <v>0</v>
      </c>
      <c r="S23" s="899"/>
      <c r="T23" s="899"/>
      <c r="U23" s="2562"/>
    </row>
    <row r="24" spans="1:21" s="106" customFormat="1" ht="12.95">
      <c r="A24" s="434" t="s">
        <v>1828</v>
      </c>
      <c r="B24" s="264">
        <f t="shared" si="3"/>
        <v>0</v>
      </c>
      <c r="C24" s="899"/>
      <c r="D24" s="899"/>
      <c r="E24" s="899"/>
      <c r="F24" s="899"/>
      <c r="G24" s="899"/>
      <c r="H24" s="899"/>
      <c r="I24" s="899"/>
      <c r="J24" s="899"/>
      <c r="K24" s="899"/>
      <c r="L24" s="899"/>
      <c r="M24" s="899"/>
      <c r="N24" s="899"/>
      <c r="O24" s="899"/>
      <c r="P24" s="899"/>
      <c r="Q24" s="899"/>
      <c r="R24" s="441">
        <f t="shared" si="4"/>
        <v>0</v>
      </c>
      <c r="S24" s="899"/>
      <c r="T24" s="899"/>
      <c r="U24" s="2562"/>
    </row>
    <row r="25" spans="1:21" s="106" customFormat="1" ht="12.95">
      <c r="A25" s="1073" t="s">
        <v>1829</v>
      </c>
      <c r="B25" s="264">
        <f t="shared" si="3"/>
        <v>0</v>
      </c>
      <c r="C25" s="899"/>
      <c r="D25" s="899"/>
      <c r="E25" s="899"/>
      <c r="F25" s="899"/>
      <c r="G25" s="899"/>
      <c r="H25" s="899"/>
      <c r="I25" s="899"/>
      <c r="J25" s="899"/>
      <c r="K25" s="899"/>
      <c r="L25" s="899"/>
      <c r="M25" s="899"/>
      <c r="N25" s="899"/>
      <c r="O25" s="899"/>
      <c r="P25" s="899"/>
      <c r="Q25" s="899"/>
      <c r="R25" s="441">
        <f t="shared" si="4"/>
        <v>0</v>
      </c>
      <c r="S25" s="899"/>
      <c r="T25" s="899"/>
      <c r="U25" s="2562"/>
    </row>
    <row r="26" spans="1:21" s="106" customFormat="1" ht="12.95">
      <c r="A26" s="107" t="s">
        <v>1830</v>
      </c>
      <c r="B26" s="264">
        <f t="shared" si="3"/>
        <v>0</v>
      </c>
      <c r="C26" s="264">
        <f>SUM(C17:C25)</f>
        <v>0</v>
      </c>
      <c r="D26" s="264">
        <f t="shared" ref="D26:Q26" si="5">SUM(D17:D25)</f>
        <v>0</v>
      </c>
      <c r="E26" s="264">
        <f t="shared" si="5"/>
        <v>0</v>
      </c>
      <c r="F26" s="264">
        <f t="shared" si="5"/>
        <v>0</v>
      </c>
      <c r="G26" s="264">
        <f t="shared" si="5"/>
        <v>0</v>
      </c>
      <c r="H26" s="264">
        <f t="shared" si="5"/>
        <v>0</v>
      </c>
      <c r="I26" s="264">
        <f t="shared" si="5"/>
        <v>0</v>
      </c>
      <c r="J26" s="264">
        <f t="shared" si="5"/>
        <v>0</v>
      </c>
      <c r="K26" s="264">
        <f t="shared" si="5"/>
        <v>0</v>
      </c>
      <c r="L26" s="264">
        <f t="shared" si="5"/>
        <v>0</v>
      </c>
      <c r="M26" s="264">
        <f t="shared" si="5"/>
        <v>0</v>
      </c>
      <c r="N26" s="264">
        <f t="shared" si="5"/>
        <v>0</v>
      </c>
      <c r="O26" s="264">
        <f t="shared" si="5"/>
        <v>0</v>
      </c>
      <c r="P26" s="264">
        <f t="shared" si="5"/>
        <v>0</v>
      </c>
      <c r="Q26" s="264">
        <f t="shared" si="5"/>
        <v>0</v>
      </c>
      <c r="R26" s="264">
        <f>SUM(R17:R25)</f>
        <v>0</v>
      </c>
      <c r="S26" s="108">
        <f>SUM(S17:S25)</f>
        <v>0</v>
      </c>
      <c r="T26" s="108">
        <f>SUM(T17:T25)</f>
        <v>0</v>
      </c>
      <c r="U26" s="2562"/>
    </row>
    <row r="27" spans="1:21" s="106" customFormat="1" ht="12.95">
      <c r="A27" s="107" t="s">
        <v>1831</v>
      </c>
      <c r="B27" s="264">
        <f>SUM(C27:D27)</f>
        <v>0</v>
      </c>
      <c r="C27" s="899"/>
      <c r="D27" s="899"/>
      <c r="E27" s="899"/>
      <c r="F27" s="899"/>
      <c r="G27" s="899"/>
      <c r="H27" s="899"/>
      <c r="I27" s="899"/>
      <c r="J27" s="899"/>
      <c r="K27" s="899"/>
      <c r="L27" s="899"/>
      <c r="M27" s="899"/>
      <c r="N27" s="899"/>
      <c r="O27" s="899"/>
      <c r="P27" s="899"/>
      <c r="Q27" s="899"/>
      <c r="R27" s="441">
        <f t="shared" si="4"/>
        <v>0</v>
      </c>
      <c r="S27" s="899"/>
      <c r="T27" s="899"/>
      <c r="U27" s="2562"/>
    </row>
    <row r="28" spans="1:21" s="106" customFormat="1" ht="12.95">
      <c r="A28" s="105" t="s">
        <v>1832</v>
      </c>
      <c r="B28" s="2561"/>
      <c r="C28" s="2561"/>
      <c r="D28" s="2561"/>
      <c r="E28" s="265"/>
      <c r="F28" s="265"/>
      <c r="G28" s="265"/>
      <c r="H28" s="265"/>
      <c r="I28" s="265"/>
      <c r="J28" s="265"/>
      <c r="K28" s="265"/>
      <c r="L28" s="265"/>
      <c r="M28" s="265"/>
      <c r="N28" s="265"/>
      <c r="O28" s="265"/>
      <c r="P28" s="265"/>
      <c r="Q28" s="265"/>
      <c r="R28" s="265"/>
      <c r="S28" s="2561"/>
      <c r="T28" s="2561"/>
      <c r="U28" s="2562"/>
    </row>
    <row r="29" spans="1:21" s="106" customFormat="1" ht="12.95">
      <c r="A29" s="208" t="s">
        <v>1821</v>
      </c>
      <c r="B29" s="264">
        <f t="shared" ref="B29:B38" si="6">SUM(C29+D29)</f>
        <v>1000000</v>
      </c>
      <c r="C29" s="899">
        <v>1000000</v>
      </c>
      <c r="D29" s="899"/>
      <c r="E29" s="899">
        <f>C29</f>
        <v>1000000</v>
      </c>
      <c r="F29" s="899"/>
      <c r="G29" s="899"/>
      <c r="H29" s="899"/>
      <c r="I29" s="899"/>
      <c r="J29" s="899"/>
      <c r="K29" s="899"/>
      <c r="L29" s="899"/>
      <c r="M29" s="899"/>
      <c r="N29" s="899"/>
      <c r="O29" s="899"/>
      <c r="P29" s="899"/>
      <c r="Q29" s="899"/>
      <c r="R29" s="441">
        <f t="shared" ref="R29:R37" si="7">SUM(E29:Q29)</f>
        <v>1000000</v>
      </c>
      <c r="S29" s="899">
        <f>R29</f>
        <v>1000000</v>
      </c>
      <c r="T29" s="899"/>
      <c r="U29" s="2562"/>
    </row>
    <row r="30" spans="1:21" s="106" customFormat="1" ht="12.95">
      <c r="A30" s="208" t="s">
        <v>1822</v>
      </c>
      <c r="B30" s="264">
        <f t="shared" si="6"/>
        <v>13134230.300000001</v>
      </c>
      <c r="C30" s="899">
        <v>13134230.300000001</v>
      </c>
      <c r="D30" s="899"/>
      <c r="E30" s="899">
        <f>C30-F30-G30-H30-I30-J30</f>
        <v>391492.30000000075</v>
      </c>
      <c r="F30" s="899">
        <v>5292738</v>
      </c>
      <c r="G30" s="899"/>
      <c r="H30" s="899">
        <v>2200000</v>
      </c>
      <c r="I30" s="899">
        <v>2500000</v>
      </c>
      <c r="J30" s="899">
        <v>2750000</v>
      </c>
      <c r="K30" s="899"/>
      <c r="L30" s="899"/>
      <c r="M30" s="899"/>
      <c r="N30" s="899"/>
      <c r="O30" s="899"/>
      <c r="P30" s="899"/>
      <c r="Q30" s="899"/>
      <c r="R30" s="441">
        <f t="shared" si="7"/>
        <v>13134230.300000001</v>
      </c>
      <c r="S30" s="899">
        <f t="shared" ref="S30:S35" si="8">R30</f>
        <v>13134230.300000001</v>
      </c>
      <c r="T30" s="899"/>
      <c r="U30" s="2562"/>
    </row>
    <row r="31" spans="1:21" s="106" customFormat="1" ht="12.95">
      <c r="A31" s="208" t="s">
        <v>1823</v>
      </c>
      <c r="B31" s="264">
        <f t="shared" si="6"/>
        <v>1053664.6000000001</v>
      </c>
      <c r="C31" s="899">
        <v>1053664.6000000001</v>
      </c>
      <c r="D31" s="899"/>
      <c r="E31" s="899">
        <f>C31</f>
        <v>1053664.6000000001</v>
      </c>
      <c r="F31" s="899"/>
      <c r="G31" s="899"/>
      <c r="H31" s="899"/>
      <c r="I31" s="899"/>
      <c r="J31" s="899"/>
      <c r="K31" s="899"/>
      <c r="L31" s="899"/>
      <c r="M31" s="899"/>
      <c r="N31" s="899"/>
      <c r="O31" s="899"/>
      <c r="P31" s="899"/>
      <c r="Q31" s="899"/>
      <c r="R31" s="441">
        <f t="shared" si="7"/>
        <v>1053664.6000000001</v>
      </c>
      <c r="S31" s="899">
        <f t="shared" si="8"/>
        <v>1053664.6000000001</v>
      </c>
      <c r="T31" s="899"/>
      <c r="U31" s="2562"/>
    </row>
    <row r="32" spans="1:21" s="106" customFormat="1" ht="12.95">
      <c r="A32" s="208" t="s">
        <v>1824</v>
      </c>
      <c r="B32" s="264">
        <f t="shared" si="6"/>
        <v>351221.5</v>
      </c>
      <c r="C32" s="899">
        <v>351221.5</v>
      </c>
      <c r="D32" s="899"/>
      <c r="E32" s="899">
        <f>C32</f>
        <v>351221.5</v>
      </c>
      <c r="F32" s="899"/>
      <c r="G32" s="899"/>
      <c r="H32" s="899"/>
      <c r="I32" s="899"/>
      <c r="J32" s="899"/>
      <c r="K32" s="899"/>
      <c r="L32" s="899"/>
      <c r="M32" s="899"/>
      <c r="N32" s="899"/>
      <c r="O32" s="899"/>
      <c r="P32" s="899"/>
      <c r="Q32" s="899"/>
      <c r="R32" s="441">
        <f t="shared" si="7"/>
        <v>351221.5</v>
      </c>
      <c r="S32" s="899">
        <f t="shared" si="8"/>
        <v>351221.5</v>
      </c>
      <c r="T32" s="899"/>
      <c r="U32" s="2562"/>
    </row>
    <row r="33" spans="1:21" s="106" customFormat="1" ht="12.95">
      <c r="A33" s="208" t="s">
        <v>1825</v>
      </c>
      <c r="B33" s="264">
        <f t="shared" si="6"/>
        <v>1053664.6000000001</v>
      </c>
      <c r="C33" s="899">
        <v>1053664.6000000001</v>
      </c>
      <c r="D33" s="899"/>
      <c r="E33" s="899">
        <f>C33</f>
        <v>1053664.6000000001</v>
      </c>
      <c r="F33" s="899"/>
      <c r="G33" s="899"/>
      <c r="H33" s="899"/>
      <c r="I33" s="899"/>
      <c r="J33" s="899"/>
      <c r="K33" s="899"/>
      <c r="L33" s="899"/>
      <c r="M33" s="899"/>
      <c r="N33" s="899"/>
      <c r="O33" s="899"/>
      <c r="P33" s="899"/>
      <c r="Q33" s="899"/>
      <c r="R33" s="441">
        <f t="shared" si="7"/>
        <v>1053664.6000000001</v>
      </c>
      <c r="S33" s="899">
        <f t="shared" si="8"/>
        <v>1053664.6000000001</v>
      </c>
      <c r="T33" s="899"/>
      <c r="U33" s="2562"/>
    </row>
    <row r="34" spans="1:21" s="106" customFormat="1" ht="12.95">
      <c r="A34" s="208" t="s">
        <v>1826</v>
      </c>
      <c r="B34" s="264">
        <f t="shared" si="6"/>
        <v>2926846.1</v>
      </c>
      <c r="C34" s="899">
        <v>2926846.1</v>
      </c>
      <c r="D34" s="899"/>
      <c r="E34" s="899">
        <f>C34</f>
        <v>2926846.1</v>
      </c>
      <c r="F34" s="899"/>
      <c r="G34" s="899"/>
      <c r="H34" s="899"/>
      <c r="I34" s="899"/>
      <c r="J34" s="899"/>
      <c r="K34" s="899"/>
      <c r="L34" s="899"/>
      <c r="M34" s="899"/>
      <c r="N34" s="899"/>
      <c r="O34" s="899"/>
      <c r="P34" s="899"/>
      <c r="Q34" s="899"/>
      <c r="R34" s="441">
        <f t="shared" si="7"/>
        <v>2926846.1</v>
      </c>
      <c r="S34" s="899">
        <f t="shared" si="8"/>
        <v>2926846.1</v>
      </c>
      <c r="T34" s="899"/>
      <c r="U34" s="2562"/>
    </row>
    <row r="35" spans="1:21" s="106" customFormat="1" ht="12.95">
      <c r="A35" s="208" t="s">
        <v>1827</v>
      </c>
      <c r="B35" s="264">
        <f t="shared" si="6"/>
        <v>200196.3</v>
      </c>
      <c r="C35" s="899">
        <v>200196.3</v>
      </c>
      <c r="D35" s="899"/>
      <c r="E35" s="899">
        <f>C35</f>
        <v>200196.3</v>
      </c>
      <c r="F35" s="899"/>
      <c r="G35" s="899"/>
      <c r="H35" s="899"/>
      <c r="I35" s="899"/>
      <c r="J35" s="899"/>
      <c r="K35" s="899"/>
      <c r="L35" s="899"/>
      <c r="M35" s="899"/>
      <c r="N35" s="899"/>
      <c r="O35" s="899"/>
      <c r="P35" s="899"/>
      <c r="Q35" s="899"/>
      <c r="R35" s="441">
        <f t="shared" si="7"/>
        <v>200196.3</v>
      </c>
      <c r="S35" s="899">
        <f t="shared" si="8"/>
        <v>200196.3</v>
      </c>
      <c r="T35" s="899"/>
      <c r="U35" s="2562"/>
    </row>
    <row r="36" spans="1:21" s="106" customFormat="1" ht="12.95">
      <c r="A36" s="208" t="s">
        <v>1828</v>
      </c>
      <c r="B36" s="264">
        <f t="shared" si="6"/>
        <v>0</v>
      </c>
      <c r="C36" s="899"/>
      <c r="D36" s="899"/>
      <c r="E36" s="899"/>
      <c r="F36" s="899"/>
      <c r="G36" s="899"/>
      <c r="H36" s="899"/>
      <c r="I36" s="899"/>
      <c r="J36" s="899"/>
      <c r="K36" s="899"/>
      <c r="L36" s="899"/>
      <c r="M36" s="899"/>
      <c r="N36" s="899"/>
      <c r="O36" s="899"/>
      <c r="P36" s="899"/>
      <c r="Q36" s="899"/>
      <c r="R36" s="441">
        <f t="shared" si="7"/>
        <v>0</v>
      </c>
      <c r="S36" s="899"/>
      <c r="T36" s="899"/>
      <c r="U36" s="2562"/>
    </row>
    <row r="37" spans="1:21" s="106" customFormat="1" ht="12.95">
      <c r="A37" s="1073" t="s">
        <v>1833</v>
      </c>
      <c r="B37" s="264">
        <f t="shared" si="6"/>
        <v>0</v>
      </c>
      <c r="C37" s="899"/>
      <c r="D37" s="899"/>
      <c r="E37" s="899"/>
      <c r="F37" s="899"/>
      <c r="G37" s="899"/>
      <c r="H37" s="899"/>
      <c r="I37" s="899"/>
      <c r="J37" s="899"/>
      <c r="K37" s="899"/>
      <c r="L37" s="899"/>
      <c r="M37" s="899"/>
      <c r="N37" s="899"/>
      <c r="O37" s="899"/>
      <c r="P37" s="899"/>
      <c r="Q37" s="899"/>
      <c r="R37" s="441">
        <f t="shared" si="7"/>
        <v>0</v>
      </c>
      <c r="S37" s="899"/>
      <c r="T37" s="899"/>
      <c r="U37" s="2562"/>
    </row>
    <row r="38" spans="1:21" s="106" customFormat="1" ht="12.95">
      <c r="A38" s="107" t="s">
        <v>1834</v>
      </c>
      <c r="B38" s="264">
        <f t="shared" si="6"/>
        <v>19719823.400000002</v>
      </c>
      <c r="C38" s="264">
        <f>SUM(C29:C37)</f>
        <v>19719823.400000002</v>
      </c>
      <c r="D38" s="264">
        <f t="shared" ref="D38:Q38" si="9">SUM(D29:D37)</f>
        <v>0</v>
      </c>
      <c r="E38" s="264">
        <f t="shared" si="9"/>
        <v>6977085.4000000013</v>
      </c>
      <c r="F38" s="264">
        <f t="shared" si="9"/>
        <v>5292738</v>
      </c>
      <c r="G38" s="264">
        <f t="shared" si="9"/>
        <v>0</v>
      </c>
      <c r="H38" s="264">
        <f t="shared" si="9"/>
        <v>2200000</v>
      </c>
      <c r="I38" s="264">
        <f t="shared" si="9"/>
        <v>2500000</v>
      </c>
      <c r="J38" s="264">
        <f t="shared" si="9"/>
        <v>2750000</v>
      </c>
      <c r="K38" s="264">
        <f t="shared" si="9"/>
        <v>0</v>
      </c>
      <c r="L38" s="264">
        <f t="shared" si="9"/>
        <v>0</v>
      </c>
      <c r="M38" s="264">
        <f t="shared" si="9"/>
        <v>0</v>
      </c>
      <c r="N38" s="264">
        <f t="shared" si="9"/>
        <v>0</v>
      </c>
      <c r="O38" s="264">
        <f t="shared" si="9"/>
        <v>0</v>
      </c>
      <c r="P38" s="264">
        <f t="shared" si="9"/>
        <v>0</v>
      </c>
      <c r="Q38" s="264">
        <f t="shared" si="9"/>
        <v>0</v>
      </c>
      <c r="R38" s="264">
        <f>SUM(R29:R37)</f>
        <v>19719823.400000002</v>
      </c>
      <c r="S38" s="108">
        <f>SUM(S29:S37)</f>
        <v>19719823.400000002</v>
      </c>
      <c r="T38" s="108">
        <f>SUM(T29:T37)</f>
        <v>0</v>
      </c>
      <c r="U38" s="2562"/>
    </row>
    <row r="39" spans="1:21" s="106" customFormat="1" ht="12.95">
      <c r="A39" s="105" t="s">
        <v>1835</v>
      </c>
      <c r="B39" s="2561"/>
      <c r="C39" s="2561"/>
      <c r="D39" s="2561"/>
      <c r="E39" s="265"/>
      <c r="F39" s="265"/>
      <c r="G39" s="265"/>
      <c r="H39" s="265"/>
      <c r="I39" s="265"/>
      <c r="J39" s="265"/>
      <c r="K39" s="265"/>
      <c r="L39" s="265"/>
      <c r="M39" s="265"/>
      <c r="N39" s="265"/>
      <c r="O39" s="265"/>
      <c r="P39" s="265"/>
      <c r="Q39" s="265"/>
      <c r="R39" s="265"/>
      <c r="S39" s="2561"/>
      <c r="T39" s="2561"/>
      <c r="U39" s="2562"/>
    </row>
    <row r="40" spans="1:21" s="106" customFormat="1" ht="12.95">
      <c r="A40" s="208" t="s">
        <v>1836</v>
      </c>
      <c r="B40" s="264">
        <f>SUM(C40+D40)</f>
        <v>820000</v>
      </c>
      <c r="C40" s="899">
        <v>820000</v>
      </c>
      <c r="D40" s="899"/>
      <c r="E40" s="899">
        <f>C40</f>
        <v>820000</v>
      </c>
      <c r="F40" s="899"/>
      <c r="G40" s="899"/>
      <c r="H40" s="899"/>
      <c r="I40" s="899"/>
      <c r="J40" s="899"/>
      <c r="K40" s="899"/>
      <c r="L40" s="899"/>
      <c r="M40" s="899"/>
      <c r="N40" s="899"/>
      <c r="O40" s="899"/>
      <c r="P40" s="899"/>
      <c r="Q40" s="899"/>
      <c r="R40" s="441">
        <f>SUM(E40:Q40)</f>
        <v>820000</v>
      </c>
      <c r="S40" s="899">
        <f>R40</f>
        <v>820000</v>
      </c>
      <c r="T40" s="899"/>
      <c r="U40" s="2562"/>
    </row>
    <row r="41" spans="1:21" s="106" customFormat="1" ht="12.95">
      <c r="A41" s="208" t="s">
        <v>1837</v>
      </c>
      <c r="B41" s="264">
        <f>SUM(C41+D41)</f>
        <v>0</v>
      </c>
      <c r="C41" s="899"/>
      <c r="D41" s="899"/>
      <c r="E41" s="899"/>
      <c r="F41" s="899"/>
      <c r="G41" s="899"/>
      <c r="H41" s="899"/>
      <c r="I41" s="899"/>
      <c r="J41" s="899"/>
      <c r="K41" s="899"/>
      <c r="L41" s="899"/>
      <c r="M41" s="899"/>
      <c r="N41" s="899"/>
      <c r="O41" s="899"/>
      <c r="P41" s="899"/>
      <c r="Q41" s="899"/>
      <c r="R41" s="441">
        <f>SUM(E41:Q41)</f>
        <v>0</v>
      </c>
      <c r="S41" s="899"/>
      <c r="T41" s="899"/>
      <c r="U41" s="2562"/>
    </row>
    <row r="42" spans="1:21" s="106" customFormat="1" ht="12.95">
      <c r="A42" s="107" t="s">
        <v>1838</v>
      </c>
      <c r="B42" s="264">
        <f>SUM(C42:D42)</f>
        <v>820000</v>
      </c>
      <c r="C42" s="264">
        <f>SUM(C39:C41)</f>
        <v>820000</v>
      </c>
      <c r="D42" s="264">
        <f>SUM(D39:D41)</f>
        <v>0</v>
      </c>
      <c r="E42" s="264">
        <f t="shared" ref="E42:T42" si="10">SUM(E40:E41)</f>
        <v>820000</v>
      </c>
      <c r="F42" s="264">
        <f t="shared" si="10"/>
        <v>0</v>
      </c>
      <c r="G42" s="264">
        <f t="shared" si="10"/>
        <v>0</v>
      </c>
      <c r="H42" s="264">
        <f t="shared" si="10"/>
        <v>0</v>
      </c>
      <c r="I42" s="264">
        <f t="shared" si="10"/>
        <v>0</v>
      </c>
      <c r="J42" s="264">
        <f t="shared" si="10"/>
        <v>0</v>
      </c>
      <c r="K42" s="264">
        <f t="shared" si="10"/>
        <v>0</v>
      </c>
      <c r="L42" s="264">
        <f t="shared" si="10"/>
        <v>0</v>
      </c>
      <c r="M42" s="264">
        <f t="shared" si="10"/>
        <v>0</v>
      </c>
      <c r="N42" s="264">
        <f t="shared" si="10"/>
        <v>0</v>
      </c>
      <c r="O42" s="264">
        <f t="shared" si="10"/>
        <v>0</v>
      </c>
      <c r="P42" s="264">
        <f t="shared" si="10"/>
        <v>0</v>
      </c>
      <c r="Q42" s="264">
        <f t="shared" si="10"/>
        <v>0</v>
      </c>
      <c r="R42" s="264">
        <f>SUM(R40:R41)</f>
        <v>820000</v>
      </c>
      <c r="S42" s="108">
        <f t="shared" si="10"/>
        <v>820000</v>
      </c>
      <c r="T42" s="108">
        <f t="shared" si="10"/>
        <v>0</v>
      </c>
      <c r="U42" s="2562"/>
    </row>
    <row r="43" spans="1:21" s="106" customFormat="1" ht="12.95">
      <c r="A43" s="107" t="s">
        <v>1839</v>
      </c>
      <c r="B43" s="264">
        <f>SUM(C43:D43)</f>
        <v>650000</v>
      </c>
      <c r="C43" s="899">
        <v>650000</v>
      </c>
      <c r="D43" s="899"/>
      <c r="E43" s="899">
        <f>C43</f>
        <v>650000</v>
      </c>
      <c r="F43" s="899"/>
      <c r="G43" s="899"/>
      <c r="H43" s="899"/>
      <c r="I43" s="899"/>
      <c r="J43" s="899"/>
      <c r="K43" s="899"/>
      <c r="L43" s="899"/>
      <c r="M43" s="899"/>
      <c r="N43" s="899"/>
      <c r="O43" s="899"/>
      <c r="P43" s="899"/>
      <c r="Q43" s="899"/>
      <c r="R43" s="441">
        <f>SUM(E43:Q43)</f>
        <v>650000</v>
      </c>
      <c r="S43" s="899">
        <f>R43</f>
        <v>650000</v>
      </c>
      <c r="T43" s="899"/>
      <c r="U43" s="2562"/>
    </row>
    <row r="44" spans="1:21" s="106" customFormat="1" ht="12.95">
      <c r="A44" s="105" t="s">
        <v>1840</v>
      </c>
      <c r="B44" s="2561"/>
      <c r="C44" s="2561"/>
      <c r="D44" s="2561"/>
      <c r="E44" s="265"/>
      <c r="F44" s="265"/>
      <c r="G44" s="265"/>
      <c r="H44" s="265"/>
      <c r="I44" s="265"/>
      <c r="J44" s="265"/>
      <c r="K44" s="265"/>
      <c r="L44" s="265"/>
      <c r="M44" s="265"/>
      <c r="N44" s="265"/>
      <c r="O44" s="265"/>
      <c r="P44" s="265"/>
      <c r="Q44" s="265"/>
      <c r="R44" s="265"/>
      <c r="S44" s="2561"/>
      <c r="T44" s="2561"/>
      <c r="U44" s="2562"/>
    </row>
    <row r="45" spans="1:21" s="106" customFormat="1" ht="12.95">
      <c r="A45" s="208" t="s">
        <v>1841</v>
      </c>
      <c r="B45" s="264">
        <f t="shared" ref="B45:B53" si="11">SUM(C45+D45)</f>
        <v>1596557.5</v>
      </c>
      <c r="C45" s="899">
        <v>1596557.5</v>
      </c>
      <c r="D45" s="899"/>
      <c r="E45" s="899">
        <f t="shared" ref="E45:E53" si="12">C45</f>
        <v>1596557.5</v>
      </c>
      <c r="F45" s="899"/>
      <c r="G45" s="899"/>
      <c r="H45" s="899"/>
      <c r="I45" s="899"/>
      <c r="J45" s="899"/>
      <c r="K45" s="899"/>
      <c r="L45" s="899"/>
      <c r="M45" s="899"/>
      <c r="N45" s="899"/>
      <c r="O45" s="899"/>
      <c r="P45" s="899"/>
      <c r="Q45" s="899"/>
      <c r="R45" s="441">
        <f t="shared" ref="R45:R53" si="13">SUM(E45:Q45)</f>
        <v>1596557.5</v>
      </c>
      <c r="S45" s="899">
        <v>925608</v>
      </c>
      <c r="T45" s="899"/>
      <c r="U45" s="2562"/>
    </row>
    <row r="46" spans="1:21" s="106" customFormat="1" ht="12.95">
      <c r="A46" s="208" t="s">
        <v>1842</v>
      </c>
      <c r="B46" s="264">
        <f t="shared" si="11"/>
        <v>141019</v>
      </c>
      <c r="C46" s="899">
        <v>141019</v>
      </c>
      <c r="D46" s="899"/>
      <c r="E46" s="899">
        <f t="shared" si="12"/>
        <v>141019</v>
      </c>
      <c r="F46" s="899"/>
      <c r="G46" s="899"/>
      <c r="H46" s="899"/>
      <c r="I46" s="899"/>
      <c r="J46" s="899"/>
      <c r="K46" s="899"/>
      <c r="L46" s="899"/>
      <c r="M46" s="899"/>
      <c r="N46" s="899"/>
      <c r="O46" s="899"/>
      <c r="P46" s="899"/>
      <c r="Q46" s="899"/>
      <c r="R46" s="441">
        <f t="shared" si="13"/>
        <v>141019</v>
      </c>
      <c r="S46" s="899">
        <v>105764</v>
      </c>
      <c r="T46" s="899"/>
      <c r="U46" s="2562"/>
    </row>
    <row r="47" spans="1:21" s="106" customFormat="1">
      <c r="A47" s="2564" t="s">
        <v>1843</v>
      </c>
      <c r="B47" s="264">
        <f t="shared" si="11"/>
        <v>15000</v>
      </c>
      <c r="C47" s="899">
        <v>15000</v>
      </c>
      <c r="D47" s="899"/>
      <c r="E47" s="899">
        <f t="shared" si="12"/>
        <v>15000</v>
      </c>
      <c r="F47" s="899"/>
      <c r="G47" s="899"/>
      <c r="H47" s="899"/>
      <c r="I47" s="899"/>
      <c r="J47" s="899"/>
      <c r="K47" s="899"/>
      <c r="L47" s="899"/>
      <c r="M47" s="899"/>
      <c r="N47" s="899"/>
      <c r="O47" s="899"/>
      <c r="P47" s="899"/>
      <c r="Q47" s="899"/>
      <c r="R47" s="441">
        <f t="shared" si="13"/>
        <v>15000</v>
      </c>
      <c r="S47" s="899">
        <v>11250</v>
      </c>
      <c r="T47" s="899"/>
      <c r="U47" s="2562"/>
    </row>
    <row r="48" spans="1:21" s="106" customFormat="1" ht="12.95">
      <c r="A48" s="208" t="s">
        <v>1844</v>
      </c>
      <c r="B48" s="264">
        <f t="shared" si="11"/>
        <v>180176.7</v>
      </c>
      <c r="C48" s="899">
        <v>180176.7</v>
      </c>
      <c r="D48" s="899"/>
      <c r="E48" s="899">
        <f t="shared" si="12"/>
        <v>180176.7</v>
      </c>
      <c r="F48" s="899"/>
      <c r="G48" s="899"/>
      <c r="H48" s="899"/>
      <c r="I48" s="899"/>
      <c r="J48" s="899"/>
      <c r="K48" s="899"/>
      <c r="L48" s="899"/>
      <c r="M48" s="899"/>
      <c r="N48" s="899"/>
      <c r="O48" s="899"/>
      <c r="P48" s="899"/>
      <c r="Q48" s="899"/>
      <c r="R48" s="441">
        <f t="shared" si="13"/>
        <v>180176.7</v>
      </c>
      <c r="S48" s="899">
        <f>R48</f>
        <v>180176.7</v>
      </c>
      <c r="T48" s="899"/>
      <c r="U48" s="2562"/>
    </row>
    <row r="49" spans="1:21" s="106" customFormat="1" ht="12.95">
      <c r="A49" s="208" t="s">
        <v>1845</v>
      </c>
      <c r="B49" s="264">
        <f t="shared" si="11"/>
        <v>35255</v>
      </c>
      <c r="C49" s="899">
        <v>35255</v>
      </c>
      <c r="D49" s="899"/>
      <c r="E49" s="899">
        <f t="shared" si="12"/>
        <v>35255</v>
      </c>
      <c r="F49" s="899"/>
      <c r="G49" s="899"/>
      <c r="H49" s="899"/>
      <c r="I49" s="899"/>
      <c r="J49" s="899"/>
      <c r="K49" s="899"/>
      <c r="L49" s="899"/>
      <c r="M49" s="899"/>
      <c r="N49" s="899"/>
      <c r="O49" s="899"/>
      <c r="P49" s="899"/>
      <c r="Q49" s="899"/>
      <c r="R49" s="441">
        <f t="shared" si="13"/>
        <v>35255</v>
      </c>
      <c r="S49" s="899">
        <f>R49</f>
        <v>35255</v>
      </c>
      <c r="T49" s="899"/>
      <c r="U49" s="2562"/>
    </row>
    <row r="50" spans="1:21" s="106" customFormat="1" ht="12.95">
      <c r="A50" s="208" t="s">
        <v>1846</v>
      </c>
      <c r="B50" s="264">
        <f t="shared" si="11"/>
        <v>100000</v>
      </c>
      <c r="C50" s="899">
        <v>100000</v>
      </c>
      <c r="D50" s="899"/>
      <c r="E50" s="899">
        <f t="shared" si="12"/>
        <v>100000</v>
      </c>
      <c r="F50" s="899"/>
      <c r="G50" s="899"/>
      <c r="H50" s="899"/>
      <c r="I50" s="899"/>
      <c r="J50" s="899"/>
      <c r="K50" s="899"/>
      <c r="L50" s="899"/>
      <c r="M50" s="899"/>
      <c r="N50" s="899"/>
      <c r="O50" s="899"/>
      <c r="P50" s="899"/>
      <c r="Q50" s="899"/>
      <c r="R50" s="441">
        <f t="shared" si="13"/>
        <v>100000</v>
      </c>
      <c r="S50" s="899">
        <v>75000</v>
      </c>
      <c r="T50" s="899"/>
      <c r="U50" s="2562"/>
    </row>
    <row r="51" spans="1:21" s="106" customFormat="1" ht="12.95">
      <c r="A51" s="208" t="s">
        <v>1847</v>
      </c>
      <c r="B51" s="264">
        <f t="shared" si="11"/>
        <v>105000</v>
      </c>
      <c r="C51" s="899">
        <v>105000</v>
      </c>
      <c r="D51" s="899"/>
      <c r="E51" s="899">
        <f t="shared" si="12"/>
        <v>105000</v>
      </c>
      <c r="F51" s="899"/>
      <c r="G51" s="899"/>
      <c r="H51" s="899"/>
      <c r="I51" s="899"/>
      <c r="J51" s="899"/>
      <c r="K51" s="899"/>
      <c r="L51" s="899"/>
      <c r="M51" s="899"/>
      <c r="N51" s="899"/>
      <c r="O51" s="899"/>
      <c r="P51" s="899"/>
      <c r="Q51" s="899"/>
      <c r="R51" s="441">
        <f t="shared" si="13"/>
        <v>105000</v>
      </c>
      <c r="S51" s="899">
        <v>105000</v>
      </c>
      <c r="T51" s="899"/>
      <c r="U51" s="2562"/>
    </row>
    <row r="52" spans="1:21" s="106" customFormat="1" ht="12.95">
      <c r="A52" s="208" t="s">
        <v>1848</v>
      </c>
      <c r="B52" s="264">
        <f t="shared" si="11"/>
        <v>306000</v>
      </c>
      <c r="C52" s="899">
        <v>306000</v>
      </c>
      <c r="D52" s="899"/>
      <c r="E52" s="899">
        <f t="shared" si="12"/>
        <v>306000</v>
      </c>
      <c r="F52" s="899"/>
      <c r="G52" s="899"/>
      <c r="H52" s="899"/>
      <c r="I52" s="899"/>
      <c r="J52" s="899"/>
      <c r="K52" s="899"/>
      <c r="L52" s="899"/>
      <c r="M52" s="899"/>
      <c r="N52" s="899"/>
      <c r="O52" s="899"/>
      <c r="P52" s="899"/>
      <c r="Q52" s="899"/>
      <c r="R52" s="441">
        <f t="shared" si="13"/>
        <v>306000</v>
      </c>
      <c r="S52" s="899">
        <v>306000</v>
      </c>
      <c r="T52" s="899"/>
      <c r="U52" s="2562"/>
    </row>
    <row r="53" spans="1:21" s="106" customFormat="1" ht="12.95">
      <c r="A53" s="1073" t="s">
        <v>1849</v>
      </c>
      <c r="B53" s="264">
        <f t="shared" si="11"/>
        <v>25000</v>
      </c>
      <c r="C53" s="899">
        <v>25000</v>
      </c>
      <c r="D53" s="899"/>
      <c r="E53" s="899">
        <f t="shared" si="12"/>
        <v>25000</v>
      </c>
      <c r="F53" s="899"/>
      <c r="G53" s="899"/>
      <c r="H53" s="899"/>
      <c r="I53" s="899"/>
      <c r="J53" s="899"/>
      <c r="K53" s="899"/>
      <c r="L53" s="899"/>
      <c r="M53" s="899"/>
      <c r="N53" s="899"/>
      <c r="O53" s="899"/>
      <c r="P53" s="899"/>
      <c r="Q53" s="899"/>
      <c r="R53" s="441">
        <f t="shared" si="13"/>
        <v>25000</v>
      </c>
      <c r="S53" s="899">
        <f>R53</f>
        <v>25000</v>
      </c>
      <c r="T53" s="899"/>
      <c r="U53" s="2562"/>
    </row>
    <row r="54" spans="1:21" s="110" customFormat="1" ht="12.95">
      <c r="A54" s="107" t="s">
        <v>1850</v>
      </c>
      <c r="B54" s="108">
        <f>SUM(C54:D54)</f>
        <v>2504008.2000000002</v>
      </c>
      <c r="C54" s="108">
        <f t="shared" ref="C54:T54" si="14">SUM(C45:C53)</f>
        <v>2504008.2000000002</v>
      </c>
      <c r="D54" s="108">
        <f t="shared" si="14"/>
        <v>0</v>
      </c>
      <c r="E54" s="108">
        <f t="shared" si="14"/>
        <v>2504008.2000000002</v>
      </c>
      <c r="F54" s="108">
        <f t="shared" si="14"/>
        <v>0</v>
      </c>
      <c r="G54" s="108">
        <f t="shared" si="14"/>
        <v>0</v>
      </c>
      <c r="H54" s="108">
        <f t="shared" si="14"/>
        <v>0</v>
      </c>
      <c r="I54" s="108">
        <f t="shared" si="14"/>
        <v>0</v>
      </c>
      <c r="J54" s="108">
        <f t="shared" si="14"/>
        <v>0</v>
      </c>
      <c r="K54" s="108">
        <f t="shared" si="14"/>
        <v>0</v>
      </c>
      <c r="L54" s="108">
        <f t="shared" si="14"/>
        <v>0</v>
      </c>
      <c r="M54" s="108">
        <f t="shared" si="14"/>
        <v>0</v>
      </c>
      <c r="N54" s="108">
        <f t="shared" si="14"/>
        <v>0</v>
      </c>
      <c r="O54" s="108">
        <f t="shared" si="14"/>
        <v>0</v>
      </c>
      <c r="P54" s="108">
        <f t="shared" si="14"/>
        <v>0</v>
      </c>
      <c r="Q54" s="108">
        <f t="shared" si="14"/>
        <v>0</v>
      </c>
      <c r="R54" s="264">
        <f t="shared" si="14"/>
        <v>2504008.2000000002</v>
      </c>
      <c r="S54" s="108">
        <f t="shared" si="14"/>
        <v>1769053.7</v>
      </c>
      <c r="T54" s="108">
        <f t="shared" si="14"/>
        <v>0</v>
      </c>
      <c r="U54" s="109"/>
    </row>
    <row r="55" spans="1:21" s="106" customFormat="1" ht="12.95">
      <c r="A55" s="105" t="s">
        <v>1414</v>
      </c>
      <c r="B55" s="2561"/>
      <c r="C55" s="2561"/>
      <c r="D55" s="2561"/>
      <c r="E55" s="265"/>
      <c r="F55" s="265"/>
      <c r="G55" s="265"/>
      <c r="H55" s="265"/>
      <c r="I55" s="265"/>
      <c r="J55" s="265"/>
      <c r="K55" s="265"/>
      <c r="L55" s="265"/>
      <c r="M55" s="265"/>
      <c r="N55" s="265"/>
      <c r="O55" s="265"/>
      <c r="P55" s="265"/>
      <c r="Q55" s="265"/>
      <c r="R55" s="265"/>
      <c r="S55" s="2561"/>
      <c r="T55" s="2561"/>
      <c r="U55" s="2562"/>
    </row>
    <row r="56" spans="1:21" s="106" customFormat="1" ht="12.95">
      <c r="A56" s="208" t="s">
        <v>1851</v>
      </c>
      <c r="B56" s="264">
        <f t="shared" ref="B56:B61" si="15">SUM(C56+D56)</f>
        <v>0</v>
      </c>
      <c r="C56" s="899"/>
      <c r="D56" s="899"/>
      <c r="E56" s="899"/>
      <c r="F56" s="899"/>
      <c r="G56" s="899"/>
      <c r="H56" s="899"/>
      <c r="I56" s="899"/>
      <c r="J56" s="899"/>
      <c r="K56" s="899"/>
      <c r="L56" s="899"/>
      <c r="M56" s="899"/>
      <c r="N56" s="899"/>
      <c r="O56" s="899"/>
      <c r="P56" s="899"/>
      <c r="Q56" s="899"/>
      <c r="R56" s="441">
        <f t="shared" ref="R56:R61" si="16">SUM(E56:Q56)</f>
        <v>0</v>
      </c>
      <c r="S56" s="2563"/>
      <c r="T56" s="2563"/>
      <c r="U56" s="2562"/>
    </row>
    <row r="57" spans="1:21" s="137" customFormat="1">
      <c r="A57" s="2564" t="s">
        <v>1843</v>
      </c>
      <c r="B57" s="2565">
        <f t="shared" si="15"/>
        <v>0</v>
      </c>
      <c r="C57" s="2566"/>
      <c r="D57" s="2566"/>
      <c r="E57" s="2566"/>
      <c r="F57" s="2566"/>
      <c r="G57" s="2566"/>
      <c r="H57" s="2566"/>
      <c r="I57" s="2566"/>
      <c r="J57" s="2566"/>
      <c r="K57" s="2566"/>
      <c r="L57" s="2566"/>
      <c r="M57" s="2566"/>
      <c r="N57" s="2566"/>
      <c r="O57" s="2566"/>
      <c r="P57" s="2566"/>
      <c r="Q57" s="2566"/>
      <c r="R57" s="441">
        <f t="shared" si="16"/>
        <v>0</v>
      </c>
      <c r="S57" s="2567"/>
      <c r="T57" s="2567"/>
      <c r="U57" s="2568"/>
    </row>
    <row r="58" spans="1:21" s="106" customFormat="1" ht="12.95">
      <c r="A58" s="208" t="s">
        <v>1846</v>
      </c>
      <c r="B58" s="264">
        <f t="shared" si="15"/>
        <v>10000</v>
      </c>
      <c r="C58" s="899">
        <v>10000</v>
      </c>
      <c r="D58" s="899"/>
      <c r="E58" s="899">
        <f>C58</f>
        <v>10000</v>
      </c>
      <c r="F58" s="899"/>
      <c r="G58" s="899"/>
      <c r="H58" s="899"/>
      <c r="I58" s="899"/>
      <c r="J58" s="899"/>
      <c r="K58" s="899"/>
      <c r="L58" s="899"/>
      <c r="M58" s="899"/>
      <c r="N58" s="899"/>
      <c r="O58" s="899"/>
      <c r="P58" s="899"/>
      <c r="Q58" s="899"/>
      <c r="R58" s="441">
        <f t="shared" si="16"/>
        <v>10000</v>
      </c>
      <c r="S58" s="2563"/>
      <c r="T58" s="2563"/>
      <c r="U58" s="2562"/>
    </row>
    <row r="59" spans="1:21" s="106" customFormat="1" ht="12.95">
      <c r="A59" s="208" t="s">
        <v>1847</v>
      </c>
      <c r="B59" s="264">
        <f t="shared" si="15"/>
        <v>0</v>
      </c>
      <c r="C59" s="899"/>
      <c r="D59" s="899"/>
      <c r="E59" s="899"/>
      <c r="F59" s="899"/>
      <c r="G59" s="899"/>
      <c r="H59" s="899"/>
      <c r="I59" s="899"/>
      <c r="J59" s="899"/>
      <c r="K59" s="899"/>
      <c r="L59" s="899"/>
      <c r="M59" s="899"/>
      <c r="N59" s="899"/>
      <c r="O59" s="899"/>
      <c r="P59" s="899"/>
      <c r="Q59" s="899"/>
      <c r="R59" s="441">
        <f t="shared" si="16"/>
        <v>0</v>
      </c>
      <c r="S59" s="2563"/>
      <c r="T59" s="2563"/>
      <c r="U59" s="2562"/>
    </row>
    <row r="60" spans="1:21" s="106" customFormat="1" ht="12.95">
      <c r="A60" s="208" t="s">
        <v>1848</v>
      </c>
      <c r="B60" s="264">
        <f t="shared" si="15"/>
        <v>0</v>
      </c>
      <c r="C60" s="899"/>
      <c r="D60" s="899"/>
      <c r="E60" s="899"/>
      <c r="F60" s="899"/>
      <c r="G60" s="899"/>
      <c r="H60" s="899"/>
      <c r="I60" s="899"/>
      <c r="J60" s="899"/>
      <c r="K60" s="899"/>
      <c r="L60" s="899"/>
      <c r="M60" s="899"/>
      <c r="N60" s="899"/>
      <c r="O60" s="899"/>
      <c r="P60" s="899"/>
      <c r="Q60" s="899"/>
      <c r="R60" s="441">
        <f t="shared" si="16"/>
        <v>0</v>
      </c>
      <c r="S60" s="2563"/>
      <c r="T60" s="2563"/>
      <c r="U60" s="2562"/>
    </row>
    <row r="61" spans="1:21" s="106" customFormat="1" ht="12.95">
      <c r="A61" s="1073" t="s">
        <v>1852</v>
      </c>
      <c r="B61" s="264">
        <f t="shared" si="15"/>
        <v>15000</v>
      </c>
      <c r="C61" s="899">
        <v>15000</v>
      </c>
      <c r="D61" s="899"/>
      <c r="E61" s="899">
        <f>C61</f>
        <v>15000</v>
      </c>
      <c r="F61" s="899"/>
      <c r="G61" s="899"/>
      <c r="H61" s="899"/>
      <c r="I61" s="899"/>
      <c r="J61" s="899"/>
      <c r="K61" s="899"/>
      <c r="L61" s="899"/>
      <c r="M61" s="899"/>
      <c r="N61" s="899"/>
      <c r="O61" s="899"/>
      <c r="P61" s="899"/>
      <c r="Q61" s="899"/>
      <c r="R61" s="441">
        <f t="shared" si="16"/>
        <v>15000</v>
      </c>
      <c r="S61" s="2563"/>
      <c r="T61" s="2563"/>
      <c r="U61" s="2562"/>
    </row>
    <row r="62" spans="1:21" s="106" customFormat="1" ht="13.7" customHeight="1">
      <c r="A62" s="107" t="s">
        <v>1853</v>
      </c>
      <c r="B62" s="264">
        <f>SUM(C62:D62)</f>
        <v>25000</v>
      </c>
      <c r="C62" s="264">
        <f t="shared" ref="C62:R62" si="17">SUM(C56:C61)</f>
        <v>25000</v>
      </c>
      <c r="D62" s="264">
        <f t="shared" si="17"/>
        <v>0</v>
      </c>
      <c r="E62" s="264">
        <f t="shared" si="17"/>
        <v>25000</v>
      </c>
      <c r="F62" s="264">
        <f t="shared" si="17"/>
        <v>0</v>
      </c>
      <c r="G62" s="264">
        <f t="shared" si="17"/>
        <v>0</v>
      </c>
      <c r="H62" s="264">
        <f t="shared" si="17"/>
        <v>0</v>
      </c>
      <c r="I62" s="264">
        <f t="shared" si="17"/>
        <v>0</v>
      </c>
      <c r="J62" s="264">
        <f t="shared" si="17"/>
        <v>0</v>
      </c>
      <c r="K62" s="264">
        <f t="shared" si="17"/>
        <v>0</v>
      </c>
      <c r="L62" s="264">
        <f t="shared" si="17"/>
        <v>0</v>
      </c>
      <c r="M62" s="264">
        <f t="shared" si="17"/>
        <v>0</v>
      </c>
      <c r="N62" s="264">
        <f t="shared" si="17"/>
        <v>0</v>
      </c>
      <c r="O62" s="264">
        <f t="shared" si="17"/>
        <v>0</v>
      </c>
      <c r="P62" s="264">
        <f t="shared" si="17"/>
        <v>0</v>
      </c>
      <c r="Q62" s="264">
        <f t="shared" si="17"/>
        <v>0</v>
      </c>
      <c r="R62" s="264">
        <f t="shared" si="17"/>
        <v>25000</v>
      </c>
      <c r="S62" s="2563"/>
      <c r="T62" s="2563"/>
      <c r="U62" s="2562"/>
    </row>
    <row r="63" spans="1:21" s="106" customFormat="1" ht="12.95">
      <c r="A63" s="111" t="s">
        <v>1854</v>
      </c>
      <c r="B63" s="264">
        <f t="shared" ref="B63:R63" si="18">SUM(B8+B11+B13+B14+B15+B26+B27+B38+B42+B43+B54+B62)</f>
        <v>27018831.600000001</v>
      </c>
      <c r="C63" s="264">
        <f t="shared" si="18"/>
        <v>27018831.600000001</v>
      </c>
      <c r="D63" s="264">
        <f t="shared" si="18"/>
        <v>0</v>
      </c>
      <c r="E63" s="264">
        <f t="shared" si="18"/>
        <v>14276093.600000001</v>
      </c>
      <c r="F63" s="264">
        <f t="shared" si="18"/>
        <v>5292738</v>
      </c>
      <c r="G63" s="264">
        <f t="shared" si="18"/>
        <v>0</v>
      </c>
      <c r="H63" s="264">
        <f t="shared" si="18"/>
        <v>2200000</v>
      </c>
      <c r="I63" s="264">
        <f t="shared" si="18"/>
        <v>2500000</v>
      </c>
      <c r="J63" s="264">
        <f t="shared" si="18"/>
        <v>2750000</v>
      </c>
      <c r="K63" s="264">
        <f t="shared" si="18"/>
        <v>0</v>
      </c>
      <c r="L63" s="264">
        <f t="shared" si="18"/>
        <v>0</v>
      </c>
      <c r="M63" s="264">
        <f t="shared" si="18"/>
        <v>0</v>
      </c>
      <c r="N63" s="264">
        <f t="shared" si="18"/>
        <v>0</v>
      </c>
      <c r="O63" s="264">
        <f t="shared" si="18"/>
        <v>0</v>
      </c>
      <c r="P63" s="264">
        <f t="shared" si="18"/>
        <v>0</v>
      </c>
      <c r="Q63" s="264">
        <f t="shared" si="18"/>
        <v>0</v>
      </c>
      <c r="R63" s="264">
        <f t="shared" si="18"/>
        <v>27018831.600000001</v>
      </c>
      <c r="S63" s="264">
        <f>SUM(S10+S13+S14+S15+S26+S27+S38+S42+S43+S54)</f>
        <v>23458877.100000001</v>
      </c>
      <c r="T63" s="264">
        <f>SUM(T11+T13+T14+T15+T26+T27+T38+T42+T43+T54)</f>
        <v>0</v>
      </c>
      <c r="U63" s="2562"/>
    </row>
    <row r="64" spans="1:21" s="106" customFormat="1" ht="26.1">
      <c r="A64" s="105" t="s">
        <v>1855</v>
      </c>
      <c r="B64" s="2561"/>
      <c r="C64" s="2561"/>
      <c r="D64" s="2561"/>
      <c r="E64" s="265"/>
      <c r="F64" s="265"/>
      <c r="G64" s="265"/>
      <c r="H64" s="265"/>
      <c r="I64" s="265"/>
      <c r="J64" s="265"/>
      <c r="K64" s="265"/>
      <c r="L64" s="265"/>
      <c r="M64" s="265"/>
      <c r="N64" s="265"/>
      <c r="O64" s="265"/>
      <c r="P64" s="265"/>
      <c r="Q64" s="265"/>
      <c r="R64" s="265"/>
      <c r="S64" s="2561"/>
      <c r="T64" s="2561"/>
      <c r="U64" s="2562"/>
    </row>
    <row r="65" spans="1:21" s="106" customFormat="1" ht="12.95">
      <c r="A65" s="208" t="s">
        <v>1856</v>
      </c>
      <c r="B65" s="264">
        <f>SUM(C65+D65)</f>
        <v>100000</v>
      </c>
      <c r="C65" s="899">
        <v>100000</v>
      </c>
      <c r="D65" s="899"/>
      <c r="E65" s="899">
        <f>C65</f>
        <v>100000</v>
      </c>
      <c r="F65" s="899"/>
      <c r="G65" s="899"/>
      <c r="H65" s="899"/>
      <c r="I65" s="899"/>
      <c r="J65" s="899"/>
      <c r="K65" s="899"/>
      <c r="L65" s="899"/>
      <c r="M65" s="899"/>
      <c r="N65" s="899"/>
      <c r="O65" s="899"/>
      <c r="P65" s="899"/>
      <c r="Q65" s="899"/>
      <c r="R65" s="441">
        <f>SUM(E65:Q65)</f>
        <v>100000</v>
      </c>
      <c r="S65" s="899">
        <f>R65</f>
        <v>100000</v>
      </c>
      <c r="T65" s="899"/>
      <c r="U65" s="2562"/>
    </row>
    <row r="66" spans="1:21" s="106" customFormat="1" ht="24" customHeight="1">
      <c r="A66" s="208" t="s">
        <v>1857</v>
      </c>
      <c r="B66" s="264">
        <f>SUM(C66+D66)</f>
        <v>0</v>
      </c>
      <c r="C66" s="899"/>
      <c r="D66" s="899"/>
      <c r="E66" s="899"/>
      <c r="F66" s="899"/>
      <c r="G66" s="899"/>
      <c r="H66" s="899"/>
      <c r="I66" s="899"/>
      <c r="J66" s="899"/>
      <c r="K66" s="899"/>
      <c r="L66" s="899"/>
      <c r="M66" s="899"/>
      <c r="N66" s="899"/>
      <c r="O66" s="899"/>
      <c r="P66" s="899"/>
      <c r="Q66" s="899"/>
      <c r="R66" s="441">
        <f>SUM(E66:Q66)</f>
        <v>0</v>
      </c>
      <c r="S66" s="899"/>
      <c r="T66" s="899"/>
      <c r="U66" s="2562"/>
    </row>
    <row r="67" spans="1:21" s="106" customFormat="1" ht="24" customHeight="1">
      <c r="A67" s="208" t="s">
        <v>1858</v>
      </c>
      <c r="B67" s="264">
        <f>SUM(C67+D67)</f>
        <v>0</v>
      </c>
      <c r="C67" s="899"/>
      <c r="D67" s="899"/>
      <c r="E67" s="899"/>
      <c r="F67" s="899"/>
      <c r="G67" s="899"/>
      <c r="H67" s="899"/>
      <c r="I67" s="899"/>
      <c r="J67" s="899"/>
      <c r="K67" s="899"/>
      <c r="L67" s="899"/>
      <c r="M67" s="899"/>
      <c r="N67" s="899"/>
      <c r="O67" s="899"/>
      <c r="P67" s="899"/>
      <c r="Q67" s="899"/>
      <c r="R67" s="441">
        <f>SUM(E67:Q67)</f>
        <v>0</v>
      </c>
      <c r="S67" s="899"/>
      <c r="T67" s="899"/>
      <c r="U67" s="2562"/>
    </row>
    <row r="68" spans="1:21" s="106" customFormat="1" ht="12" customHeight="1">
      <c r="A68" s="208" t="s">
        <v>1859</v>
      </c>
      <c r="B68" s="264">
        <f>SUM(C68+D68)</f>
        <v>0</v>
      </c>
      <c r="C68" s="899"/>
      <c r="D68" s="899"/>
      <c r="E68" s="899"/>
      <c r="F68" s="899"/>
      <c r="G68" s="899"/>
      <c r="H68" s="899"/>
      <c r="I68" s="899"/>
      <c r="J68" s="899"/>
      <c r="K68" s="899"/>
      <c r="L68" s="899"/>
      <c r="M68" s="899"/>
      <c r="N68" s="899"/>
      <c r="O68" s="899"/>
      <c r="P68" s="899"/>
      <c r="Q68" s="899"/>
      <c r="R68" s="441">
        <f>SUM(E68:Q68)</f>
        <v>0</v>
      </c>
      <c r="S68" s="899"/>
      <c r="T68" s="899"/>
      <c r="U68" s="2562"/>
    </row>
    <row r="69" spans="1:21" s="106" customFormat="1" ht="26.1">
      <c r="A69" s="1073" t="s">
        <v>1860</v>
      </c>
      <c r="B69" s="264">
        <f>SUM(C69+D69)</f>
        <v>252500</v>
      </c>
      <c r="C69" s="899">
        <v>252500</v>
      </c>
      <c r="D69" s="899"/>
      <c r="E69" s="899">
        <f>C69</f>
        <v>252500</v>
      </c>
      <c r="F69" s="899"/>
      <c r="G69" s="899"/>
      <c r="H69" s="899"/>
      <c r="I69" s="899"/>
      <c r="J69" s="899"/>
      <c r="K69" s="899"/>
      <c r="L69" s="899"/>
      <c r="M69" s="899"/>
      <c r="N69" s="899"/>
      <c r="O69" s="899"/>
      <c r="P69" s="899"/>
      <c r="Q69" s="899"/>
      <c r="R69" s="441">
        <f>SUM(E69:Q69)</f>
        <v>252500</v>
      </c>
      <c r="S69" s="899">
        <v>75000</v>
      </c>
      <c r="T69" s="899"/>
      <c r="U69" s="2562"/>
    </row>
    <row r="70" spans="1:21" s="106" customFormat="1" ht="12.95">
      <c r="A70" s="107" t="s">
        <v>1861</v>
      </c>
      <c r="B70" s="264">
        <f>SUM(C70:D70)</f>
        <v>352500</v>
      </c>
      <c r="C70" s="264">
        <f>SUM(C65:C69)</f>
        <v>352500</v>
      </c>
      <c r="D70" s="264">
        <f>SUM(D65:D69)</f>
        <v>0</v>
      </c>
      <c r="E70" s="264">
        <f t="shared" ref="E70:T70" si="19">SUM(E65:E69)</f>
        <v>352500</v>
      </c>
      <c r="F70" s="264">
        <f t="shared" si="19"/>
        <v>0</v>
      </c>
      <c r="G70" s="264">
        <f t="shared" si="19"/>
        <v>0</v>
      </c>
      <c r="H70" s="264">
        <f t="shared" si="19"/>
        <v>0</v>
      </c>
      <c r="I70" s="264">
        <f t="shared" si="19"/>
        <v>0</v>
      </c>
      <c r="J70" s="264">
        <f t="shared" si="19"/>
        <v>0</v>
      </c>
      <c r="K70" s="264">
        <f t="shared" si="19"/>
        <v>0</v>
      </c>
      <c r="L70" s="264">
        <f t="shared" si="19"/>
        <v>0</v>
      </c>
      <c r="M70" s="264">
        <f t="shared" si="19"/>
        <v>0</v>
      </c>
      <c r="N70" s="264">
        <f t="shared" si="19"/>
        <v>0</v>
      </c>
      <c r="O70" s="264">
        <f t="shared" si="19"/>
        <v>0</v>
      </c>
      <c r="P70" s="264">
        <f t="shared" si="19"/>
        <v>0</v>
      </c>
      <c r="Q70" s="264">
        <f t="shared" si="19"/>
        <v>0</v>
      </c>
      <c r="R70" s="264">
        <f t="shared" si="19"/>
        <v>352500</v>
      </c>
      <c r="S70" s="108">
        <f t="shared" si="19"/>
        <v>175000</v>
      </c>
      <c r="T70" s="108">
        <f t="shared" si="19"/>
        <v>0</v>
      </c>
      <c r="U70" s="2562"/>
    </row>
    <row r="71" spans="1:21" s="106" customFormat="1" ht="12.95">
      <c r="A71" s="105" t="s">
        <v>1862</v>
      </c>
      <c r="B71" s="265"/>
      <c r="C71" s="265"/>
      <c r="D71" s="265"/>
      <c r="E71" s="265"/>
      <c r="F71" s="265"/>
      <c r="G71" s="265"/>
      <c r="H71" s="265"/>
      <c r="I71" s="265"/>
      <c r="J71" s="265"/>
      <c r="K71" s="265"/>
      <c r="L71" s="265"/>
      <c r="M71" s="265"/>
      <c r="N71" s="265"/>
      <c r="O71" s="265"/>
      <c r="P71" s="265"/>
      <c r="Q71" s="265"/>
      <c r="R71" s="265"/>
      <c r="S71" s="265"/>
      <c r="T71" s="265"/>
      <c r="U71" s="2562"/>
    </row>
    <row r="72" spans="1:21" s="106" customFormat="1" ht="12.95">
      <c r="A72" s="208" t="s">
        <v>1863</v>
      </c>
      <c r="B72" s="264">
        <f>SUM(C72+D72)</f>
        <v>0</v>
      </c>
      <c r="C72" s="899"/>
      <c r="D72" s="899"/>
      <c r="E72" s="899"/>
      <c r="F72" s="899"/>
      <c r="G72" s="899"/>
      <c r="H72" s="899"/>
      <c r="I72" s="899"/>
      <c r="J72" s="899"/>
      <c r="K72" s="899"/>
      <c r="L72" s="899"/>
      <c r="M72" s="899"/>
      <c r="N72" s="899"/>
      <c r="O72" s="899"/>
      <c r="P72" s="899"/>
      <c r="Q72" s="899"/>
      <c r="R72" s="441">
        <f>SUM(E72:Q72)</f>
        <v>0</v>
      </c>
      <c r="S72" s="2563"/>
      <c r="T72" s="2563"/>
      <c r="U72" s="2562"/>
    </row>
    <row r="73" spans="1:21" s="106" customFormat="1" ht="12.95">
      <c r="A73" s="208" t="s">
        <v>1864</v>
      </c>
      <c r="B73" s="264">
        <f>SUM(C73+D73)</f>
        <v>0</v>
      </c>
      <c r="C73" s="899"/>
      <c r="D73" s="899"/>
      <c r="E73" s="899"/>
      <c r="F73" s="899"/>
      <c r="G73" s="899"/>
      <c r="H73" s="899"/>
      <c r="I73" s="899"/>
      <c r="J73" s="899"/>
      <c r="K73" s="899"/>
      <c r="L73" s="899"/>
      <c r="M73" s="899"/>
      <c r="N73" s="899"/>
      <c r="O73" s="899"/>
      <c r="P73" s="899"/>
      <c r="Q73" s="899"/>
      <c r="R73" s="441">
        <f>SUM(E73:Q73)</f>
        <v>0</v>
      </c>
      <c r="S73" s="2563"/>
      <c r="T73" s="2563"/>
      <c r="U73" s="2562"/>
    </row>
    <row r="74" spans="1:21" s="106" customFormat="1">
      <c r="A74" s="377" t="s">
        <v>1865</v>
      </c>
      <c r="B74" s="264">
        <f>SUM(C74+D74)</f>
        <v>0</v>
      </c>
      <c r="C74" s="899"/>
      <c r="D74" s="899"/>
      <c r="E74" s="899"/>
      <c r="F74" s="899"/>
      <c r="G74" s="899"/>
      <c r="H74" s="899"/>
      <c r="I74" s="899"/>
      <c r="J74" s="899"/>
      <c r="K74" s="899"/>
      <c r="L74" s="899"/>
      <c r="M74" s="899"/>
      <c r="N74" s="899"/>
      <c r="O74" s="899"/>
      <c r="P74" s="899"/>
      <c r="Q74" s="899"/>
      <c r="R74" s="441">
        <f>SUM(E74:Q74)</f>
        <v>0</v>
      </c>
      <c r="S74" s="2563"/>
      <c r="T74" s="2563"/>
      <c r="U74" s="2562"/>
    </row>
    <row r="75" spans="1:21" s="106" customFormat="1" ht="12.95">
      <c r="A75" s="208" t="s">
        <v>1866</v>
      </c>
      <c r="B75" s="264">
        <f>SUM(C75+D75)</f>
        <v>312757.8</v>
      </c>
      <c r="C75" s="899">
        <v>312757.8</v>
      </c>
      <c r="D75" s="899"/>
      <c r="E75" s="899">
        <f>C75</f>
        <v>312757.8</v>
      </c>
      <c r="F75" s="899"/>
      <c r="G75" s="899"/>
      <c r="H75" s="899"/>
      <c r="I75" s="899"/>
      <c r="J75" s="899"/>
      <c r="K75" s="899"/>
      <c r="L75" s="899"/>
      <c r="M75" s="899"/>
      <c r="N75" s="899"/>
      <c r="O75" s="899"/>
      <c r="P75" s="899"/>
      <c r="Q75" s="899"/>
      <c r="R75" s="441">
        <f>SUM(E75:Q75)</f>
        <v>312757.8</v>
      </c>
      <c r="S75" s="2563"/>
      <c r="T75" s="2563"/>
      <c r="U75" s="2562"/>
    </row>
    <row r="76" spans="1:21" s="106" customFormat="1" ht="12.95">
      <c r="A76" s="1073" t="s">
        <v>1829</v>
      </c>
      <c r="B76" s="264">
        <f>SUM(C76+D76)</f>
        <v>0</v>
      </c>
      <c r="C76" s="899"/>
      <c r="D76" s="899"/>
      <c r="E76" s="899"/>
      <c r="F76" s="899"/>
      <c r="G76" s="899"/>
      <c r="H76" s="899"/>
      <c r="I76" s="899"/>
      <c r="J76" s="899"/>
      <c r="K76" s="899"/>
      <c r="L76" s="899"/>
      <c r="M76" s="899"/>
      <c r="N76" s="899"/>
      <c r="O76" s="899"/>
      <c r="P76" s="899"/>
      <c r="Q76" s="899"/>
      <c r="R76" s="441">
        <f>SUM(E76:Q76)</f>
        <v>0</v>
      </c>
      <c r="S76" s="2563"/>
      <c r="T76" s="2563"/>
      <c r="U76" s="2562"/>
    </row>
    <row r="77" spans="1:21" s="106" customFormat="1" ht="12.95">
      <c r="A77" s="107" t="s">
        <v>1867</v>
      </c>
      <c r="B77" s="264">
        <f>SUM(C77:D77)</f>
        <v>312757.8</v>
      </c>
      <c r="C77" s="264">
        <f>SUM(C72:C76)</f>
        <v>312757.8</v>
      </c>
      <c r="D77" s="264">
        <f>SUM(D72:D76)</f>
        <v>0</v>
      </c>
      <c r="E77" s="264">
        <f t="shared" ref="E77:Q77" si="20">SUM(E72:E76)</f>
        <v>312757.8</v>
      </c>
      <c r="F77" s="264">
        <f t="shared" si="20"/>
        <v>0</v>
      </c>
      <c r="G77" s="264">
        <f t="shared" si="20"/>
        <v>0</v>
      </c>
      <c r="H77" s="264">
        <f t="shared" si="20"/>
        <v>0</v>
      </c>
      <c r="I77" s="264">
        <f t="shared" si="20"/>
        <v>0</v>
      </c>
      <c r="J77" s="264">
        <f t="shared" si="20"/>
        <v>0</v>
      </c>
      <c r="K77" s="264">
        <f t="shared" si="20"/>
        <v>0</v>
      </c>
      <c r="L77" s="264">
        <f t="shared" si="20"/>
        <v>0</v>
      </c>
      <c r="M77" s="264">
        <f t="shared" si="20"/>
        <v>0</v>
      </c>
      <c r="N77" s="264">
        <f t="shared" si="20"/>
        <v>0</v>
      </c>
      <c r="O77" s="264">
        <f t="shared" si="20"/>
        <v>0</v>
      </c>
      <c r="P77" s="264">
        <f t="shared" si="20"/>
        <v>0</v>
      </c>
      <c r="Q77" s="264">
        <f t="shared" si="20"/>
        <v>0</v>
      </c>
      <c r="R77" s="264">
        <f>SUM(R72:R76)</f>
        <v>312757.8</v>
      </c>
      <c r="S77" s="2563"/>
      <c r="T77" s="2563"/>
      <c r="U77" s="2562"/>
    </row>
    <row r="78" spans="1:21" s="106" customFormat="1" ht="12.95">
      <c r="A78" s="105" t="s">
        <v>1868</v>
      </c>
      <c r="B78" s="265"/>
      <c r="C78" s="265"/>
      <c r="D78" s="265"/>
      <c r="E78" s="265"/>
      <c r="F78" s="265"/>
      <c r="G78" s="265"/>
      <c r="H78" s="265"/>
      <c r="I78" s="265"/>
      <c r="J78" s="265"/>
      <c r="K78" s="265"/>
      <c r="L78" s="265"/>
      <c r="M78" s="265"/>
      <c r="N78" s="265"/>
      <c r="O78" s="265"/>
      <c r="P78" s="265"/>
      <c r="Q78" s="265"/>
      <c r="R78" s="265"/>
      <c r="S78" s="265"/>
      <c r="T78" s="265"/>
      <c r="U78" s="2562"/>
    </row>
    <row r="79" spans="1:21" s="106" customFormat="1" ht="12.95">
      <c r="A79" s="208" t="s">
        <v>1869</v>
      </c>
      <c r="B79" s="264">
        <f>SUM(C79:D79)</f>
        <v>1025000</v>
      </c>
      <c r="C79" s="899">
        <v>1025000</v>
      </c>
      <c r="D79" s="899"/>
      <c r="E79" s="899">
        <f>C79</f>
        <v>1025000</v>
      </c>
      <c r="F79" s="899"/>
      <c r="G79" s="899"/>
      <c r="H79" s="899"/>
      <c r="I79" s="899"/>
      <c r="J79" s="899"/>
      <c r="K79" s="899"/>
      <c r="L79" s="899"/>
      <c r="M79" s="899"/>
      <c r="N79" s="899"/>
      <c r="O79" s="899"/>
      <c r="P79" s="899"/>
      <c r="Q79" s="899"/>
      <c r="R79" s="441">
        <f>SUM(E79:Q79)</f>
        <v>1025000</v>
      </c>
      <c r="S79" s="899">
        <f>R79</f>
        <v>1025000</v>
      </c>
      <c r="T79" s="899"/>
      <c r="U79" s="2562"/>
    </row>
    <row r="80" spans="1:21" s="106" customFormat="1" ht="12.95">
      <c r="A80" s="208" t="s">
        <v>1870</v>
      </c>
      <c r="B80" s="264">
        <f>SUM(C80:D80)</f>
        <v>292338.40000000002</v>
      </c>
      <c r="C80" s="899">
        <v>292338.40000000002</v>
      </c>
      <c r="D80" s="899"/>
      <c r="E80" s="899">
        <f>C80</f>
        <v>292338.40000000002</v>
      </c>
      <c r="F80" s="899"/>
      <c r="G80" s="899"/>
      <c r="H80" s="899"/>
      <c r="I80" s="899"/>
      <c r="J80" s="899"/>
      <c r="K80" s="899"/>
      <c r="L80" s="899"/>
      <c r="M80" s="899"/>
      <c r="N80" s="899"/>
      <c r="O80" s="899"/>
      <c r="P80" s="899"/>
      <c r="Q80" s="899"/>
      <c r="R80" s="441">
        <f>SUM(E80:Q80)</f>
        <v>292338.40000000002</v>
      </c>
      <c r="S80" s="899">
        <f>R80</f>
        <v>292338.40000000002</v>
      </c>
      <c r="T80" s="899"/>
      <c r="U80" s="2562"/>
    </row>
    <row r="81" spans="1:21" s="106" customFormat="1" ht="12.95">
      <c r="A81" s="107" t="s">
        <v>1871</v>
      </c>
      <c r="B81" s="264">
        <f>SUM(C81:D81)</f>
        <v>1317338.3999999999</v>
      </c>
      <c r="C81" s="2569">
        <f>SUM(C79:C80)</f>
        <v>1317338.3999999999</v>
      </c>
      <c r="D81" s="2569">
        <f t="shared" ref="D81:T81" si="21">SUM(D79:D80)</f>
        <v>0</v>
      </c>
      <c r="E81" s="2569">
        <f t="shared" si="21"/>
        <v>1317338.3999999999</v>
      </c>
      <c r="F81" s="2569">
        <f t="shared" si="21"/>
        <v>0</v>
      </c>
      <c r="G81" s="2569">
        <f t="shared" si="21"/>
        <v>0</v>
      </c>
      <c r="H81" s="2569">
        <f t="shared" si="21"/>
        <v>0</v>
      </c>
      <c r="I81" s="2569">
        <f t="shared" si="21"/>
        <v>0</v>
      </c>
      <c r="J81" s="2569">
        <f t="shared" si="21"/>
        <v>0</v>
      </c>
      <c r="K81" s="2569">
        <f t="shared" si="21"/>
        <v>0</v>
      </c>
      <c r="L81" s="2569">
        <f t="shared" si="21"/>
        <v>0</v>
      </c>
      <c r="M81" s="2569">
        <f t="shared" si="21"/>
        <v>0</v>
      </c>
      <c r="N81" s="2569">
        <f t="shared" si="21"/>
        <v>0</v>
      </c>
      <c r="O81" s="2569">
        <f t="shared" si="21"/>
        <v>0</v>
      </c>
      <c r="P81" s="2569">
        <f t="shared" si="21"/>
        <v>0</v>
      </c>
      <c r="Q81" s="2569">
        <f t="shared" si="21"/>
        <v>0</v>
      </c>
      <c r="R81" s="2569">
        <f t="shared" si="21"/>
        <v>1317338.3999999999</v>
      </c>
      <c r="S81" s="2569">
        <f t="shared" si="21"/>
        <v>1317338.3999999999</v>
      </c>
      <c r="T81" s="2569">
        <f t="shared" si="21"/>
        <v>0</v>
      </c>
      <c r="U81" s="2562"/>
    </row>
    <row r="82" spans="1:21" s="106" customFormat="1" ht="12.95">
      <c r="A82" s="105" t="s">
        <v>1872</v>
      </c>
      <c r="B82" s="265"/>
      <c r="C82" s="265"/>
      <c r="D82" s="265"/>
      <c r="E82" s="265"/>
      <c r="F82" s="265"/>
      <c r="G82" s="265"/>
      <c r="H82" s="265"/>
      <c r="I82" s="265"/>
      <c r="J82" s="265"/>
      <c r="K82" s="265"/>
      <c r="L82" s="265"/>
      <c r="M82" s="265"/>
      <c r="N82" s="265"/>
      <c r="O82" s="265"/>
      <c r="P82" s="265"/>
      <c r="Q82" s="265"/>
      <c r="R82" s="265"/>
      <c r="S82" s="265"/>
      <c r="T82" s="265"/>
      <c r="U82" s="2562"/>
    </row>
    <row r="83" spans="1:21" s="106" customFormat="1" ht="13.7" customHeight="1">
      <c r="A83" s="208" t="s">
        <v>1873</v>
      </c>
      <c r="B83" s="264">
        <f t="shared" ref="B83:B95" si="22">SUM(C83+D83)</f>
        <v>51029</v>
      </c>
      <c r="C83" s="899">
        <v>51029</v>
      </c>
      <c r="D83" s="899"/>
      <c r="E83" s="899">
        <f>C83</f>
        <v>51029</v>
      </c>
      <c r="F83" s="899"/>
      <c r="G83" s="899"/>
      <c r="H83" s="899"/>
      <c r="I83" s="899"/>
      <c r="J83" s="899"/>
      <c r="K83" s="899"/>
      <c r="L83" s="899"/>
      <c r="M83" s="899"/>
      <c r="N83" s="899"/>
      <c r="O83" s="899"/>
      <c r="P83" s="899"/>
      <c r="Q83" s="899"/>
      <c r="R83" s="441">
        <f t="shared" ref="R83:R95" si="23">SUM(E83:Q83)</f>
        <v>51029</v>
      </c>
      <c r="S83" s="2563"/>
      <c r="T83" s="2563"/>
      <c r="U83" s="2562"/>
    </row>
    <row r="84" spans="1:21" s="106" customFormat="1" ht="12.95">
      <c r="A84" s="208" t="s">
        <v>1874</v>
      </c>
      <c r="B84" s="264">
        <f t="shared" si="22"/>
        <v>50000</v>
      </c>
      <c r="C84" s="899">
        <v>50000</v>
      </c>
      <c r="D84" s="899"/>
      <c r="E84" s="899">
        <f>C84</f>
        <v>50000</v>
      </c>
      <c r="F84" s="899"/>
      <c r="G84" s="899"/>
      <c r="H84" s="899"/>
      <c r="I84" s="899"/>
      <c r="J84" s="899"/>
      <c r="K84" s="899"/>
      <c r="L84" s="899"/>
      <c r="M84" s="899"/>
      <c r="N84" s="899"/>
      <c r="O84" s="899"/>
      <c r="P84" s="899"/>
      <c r="Q84" s="899"/>
      <c r="R84" s="441">
        <f t="shared" si="23"/>
        <v>50000</v>
      </c>
      <c r="S84" s="899">
        <f>R84</f>
        <v>50000</v>
      </c>
      <c r="T84" s="899"/>
      <c r="U84" s="2562"/>
    </row>
    <row r="85" spans="1:21" s="106" customFormat="1" ht="12.95">
      <c r="A85" s="208" t="s">
        <v>1875</v>
      </c>
      <c r="B85" s="264">
        <f t="shared" si="22"/>
        <v>887409</v>
      </c>
      <c r="C85" s="899">
        <v>887409</v>
      </c>
      <c r="D85" s="899"/>
      <c r="E85" s="899">
        <f>C85</f>
        <v>887409</v>
      </c>
      <c r="F85" s="899"/>
      <c r="G85" s="899"/>
      <c r="H85" s="899"/>
      <c r="I85" s="899"/>
      <c r="J85" s="899"/>
      <c r="K85" s="899"/>
      <c r="L85" s="899"/>
      <c r="M85" s="899"/>
      <c r="N85" s="899"/>
      <c r="O85" s="899"/>
      <c r="P85" s="899"/>
      <c r="Q85" s="899"/>
      <c r="R85" s="441">
        <f t="shared" si="23"/>
        <v>887409</v>
      </c>
      <c r="S85" s="899">
        <f t="shared" ref="S85:S86" si="24">R85</f>
        <v>887409</v>
      </c>
      <c r="T85" s="899"/>
      <c r="U85" s="2562"/>
    </row>
    <row r="86" spans="1:21" s="106" customFormat="1" ht="12.95">
      <c r="A86" s="208" t="s">
        <v>1876</v>
      </c>
      <c r="B86" s="264">
        <f t="shared" si="22"/>
        <v>400000</v>
      </c>
      <c r="C86" s="899">
        <v>400000</v>
      </c>
      <c r="D86" s="899"/>
      <c r="E86" s="899">
        <f>C86</f>
        <v>400000</v>
      </c>
      <c r="F86" s="899"/>
      <c r="G86" s="899"/>
      <c r="H86" s="899"/>
      <c r="I86" s="899"/>
      <c r="J86" s="899"/>
      <c r="K86" s="899"/>
      <c r="L86" s="899"/>
      <c r="M86" s="899"/>
      <c r="N86" s="899"/>
      <c r="O86" s="899"/>
      <c r="P86" s="899"/>
      <c r="Q86" s="899"/>
      <c r="R86" s="441">
        <f t="shared" si="23"/>
        <v>400000</v>
      </c>
      <c r="S86" s="899">
        <f t="shared" si="24"/>
        <v>400000</v>
      </c>
      <c r="T86" s="899"/>
      <c r="U86" s="2562"/>
    </row>
    <row r="87" spans="1:21" s="106" customFormat="1" ht="12.95">
      <c r="A87" s="208" t="s">
        <v>1877</v>
      </c>
      <c r="B87" s="264">
        <f t="shared" si="22"/>
        <v>0</v>
      </c>
      <c r="C87" s="899"/>
      <c r="D87" s="899"/>
      <c r="E87" s="899"/>
      <c r="F87" s="899"/>
      <c r="G87" s="899"/>
      <c r="H87" s="899"/>
      <c r="I87" s="899"/>
      <c r="J87" s="899"/>
      <c r="K87" s="899"/>
      <c r="L87" s="899"/>
      <c r="M87" s="899"/>
      <c r="N87" s="899"/>
      <c r="O87" s="899"/>
      <c r="P87" s="899"/>
      <c r="Q87" s="899"/>
      <c r="R87" s="441">
        <f t="shared" si="23"/>
        <v>0</v>
      </c>
      <c r="S87" s="899"/>
      <c r="T87" s="899"/>
      <c r="U87" s="2562"/>
    </row>
    <row r="88" spans="1:21" s="106" customFormat="1" ht="12.95">
      <c r="A88" s="208" t="s">
        <v>1878</v>
      </c>
      <c r="B88" s="264">
        <f t="shared" si="22"/>
        <v>100000</v>
      </c>
      <c r="C88" s="899">
        <v>100000</v>
      </c>
      <c r="D88" s="899"/>
      <c r="E88" s="899">
        <f t="shared" ref="E88:E95" si="25">C88</f>
        <v>100000</v>
      </c>
      <c r="F88" s="899"/>
      <c r="G88" s="899"/>
      <c r="H88" s="899"/>
      <c r="I88" s="899"/>
      <c r="J88" s="899"/>
      <c r="K88" s="899"/>
      <c r="L88" s="899"/>
      <c r="M88" s="899"/>
      <c r="N88" s="899"/>
      <c r="O88" s="899"/>
      <c r="P88" s="899"/>
      <c r="Q88" s="899"/>
      <c r="R88" s="441">
        <f t="shared" si="23"/>
        <v>100000</v>
      </c>
      <c r="S88" s="2563"/>
      <c r="T88" s="2563"/>
      <c r="U88" s="2562"/>
    </row>
    <row r="89" spans="1:21" s="106" customFormat="1" ht="12.95">
      <c r="A89" s="208" t="s">
        <v>1879</v>
      </c>
      <c r="B89" s="264">
        <f t="shared" si="22"/>
        <v>100000</v>
      </c>
      <c r="C89" s="899">
        <v>100000</v>
      </c>
      <c r="D89" s="899"/>
      <c r="E89" s="899">
        <f t="shared" si="25"/>
        <v>100000</v>
      </c>
      <c r="F89" s="899"/>
      <c r="G89" s="899"/>
      <c r="H89" s="899"/>
      <c r="I89" s="899"/>
      <c r="J89" s="899"/>
      <c r="K89" s="899"/>
      <c r="L89" s="899"/>
      <c r="M89" s="899"/>
      <c r="N89" s="899"/>
      <c r="O89" s="899"/>
      <c r="P89" s="899"/>
      <c r="Q89" s="899"/>
      <c r="R89" s="441">
        <f t="shared" si="23"/>
        <v>100000</v>
      </c>
      <c r="S89" s="899">
        <f>R89</f>
        <v>100000</v>
      </c>
      <c r="T89" s="899"/>
      <c r="U89" s="2562"/>
    </row>
    <row r="90" spans="1:21" s="106" customFormat="1" ht="12.95">
      <c r="A90" s="208" t="s">
        <v>1880</v>
      </c>
      <c r="B90" s="264">
        <f t="shared" si="22"/>
        <v>15000</v>
      </c>
      <c r="C90" s="899">
        <v>15000</v>
      </c>
      <c r="D90" s="899"/>
      <c r="E90" s="899">
        <f t="shared" si="25"/>
        <v>15000</v>
      </c>
      <c r="F90" s="899"/>
      <c r="G90" s="899"/>
      <c r="H90" s="899"/>
      <c r="I90" s="899"/>
      <c r="J90" s="899"/>
      <c r="K90" s="899"/>
      <c r="L90" s="899"/>
      <c r="M90" s="899"/>
      <c r="N90" s="899"/>
      <c r="O90" s="899"/>
      <c r="P90" s="899"/>
      <c r="Q90" s="899"/>
      <c r="R90" s="441">
        <f t="shared" si="23"/>
        <v>15000</v>
      </c>
      <c r="S90" s="899">
        <f t="shared" ref="S90:S93" si="26">R90</f>
        <v>15000</v>
      </c>
      <c r="T90" s="899"/>
      <c r="U90" s="2562"/>
    </row>
    <row r="91" spans="1:21" s="106" customFormat="1" ht="12.95">
      <c r="A91" s="208" t="s">
        <v>1881</v>
      </c>
      <c r="B91" s="264">
        <f t="shared" si="22"/>
        <v>50000</v>
      </c>
      <c r="C91" s="899">
        <v>50000</v>
      </c>
      <c r="D91" s="899"/>
      <c r="E91" s="899">
        <f t="shared" si="25"/>
        <v>50000</v>
      </c>
      <c r="F91" s="899"/>
      <c r="G91" s="899"/>
      <c r="H91" s="899"/>
      <c r="I91" s="899"/>
      <c r="J91" s="899"/>
      <c r="K91" s="899"/>
      <c r="L91" s="899"/>
      <c r="M91" s="899"/>
      <c r="N91" s="899"/>
      <c r="O91" s="899"/>
      <c r="P91" s="899"/>
      <c r="Q91" s="899"/>
      <c r="R91" s="441">
        <f t="shared" si="23"/>
        <v>50000</v>
      </c>
      <c r="S91" s="899">
        <f t="shared" si="26"/>
        <v>50000</v>
      </c>
      <c r="T91" s="899"/>
      <c r="U91" s="2562"/>
    </row>
    <row r="92" spans="1:21" s="106" customFormat="1" ht="12.95">
      <c r="A92" s="208" t="s">
        <v>1882</v>
      </c>
      <c r="B92" s="264">
        <f t="shared" si="22"/>
        <v>20000</v>
      </c>
      <c r="C92" s="899">
        <v>20000</v>
      </c>
      <c r="D92" s="899"/>
      <c r="E92" s="899">
        <f t="shared" si="25"/>
        <v>20000</v>
      </c>
      <c r="F92" s="899"/>
      <c r="G92" s="899"/>
      <c r="H92" s="899"/>
      <c r="I92" s="899"/>
      <c r="J92" s="899"/>
      <c r="K92" s="899"/>
      <c r="L92" s="899"/>
      <c r="M92" s="899"/>
      <c r="N92" s="899"/>
      <c r="O92" s="899"/>
      <c r="P92" s="899"/>
      <c r="Q92" s="899"/>
      <c r="R92" s="441">
        <f t="shared" si="23"/>
        <v>20000</v>
      </c>
      <c r="S92" s="899">
        <f t="shared" si="26"/>
        <v>20000</v>
      </c>
      <c r="T92" s="899"/>
      <c r="U92" s="2562"/>
    </row>
    <row r="93" spans="1:21" s="106" customFormat="1" ht="12.95">
      <c r="A93" s="1073" t="s">
        <v>1883</v>
      </c>
      <c r="B93" s="264">
        <f t="shared" si="22"/>
        <v>42000</v>
      </c>
      <c r="C93" s="899">
        <v>42000</v>
      </c>
      <c r="D93" s="899"/>
      <c r="E93" s="899">
        <f t="shared" si="25"/>
        <v>42000</v>
      </c>
      <c r="F93" s="899"/>
      <c r="G93" s="899"/>
      <c r="H93" s="899"/>
      <c r="I93" s="899"/>
      <c r="J93" s="899"/>
      <c r="K93" s="899"/>
      <c r="L93" s="899"/>
      <c r="M93" s="899"/>
      <c r="N93" s="899"/>
      <c r="O93" s="899"/>
      <c r="P93" s="899"/>
      <c r="Q93" s="899"/>
      <c r="R93" s="441">
        <f t="shared" si="23"/>
        <v>42000</v>
      </c>
      <c r="S93" s="899">
        <f t="shared" si="26"/>
        <v>42000</v>
      </c>
      <c r="T93" s="899"/>
      <c r="U93" s="2562"/>
    </row>
    <row r="94" spans="1:21" s="106" customFormat="1" ht="12.95">
      <c r="A94" s="1073" t="s">
        <v>1884</v>
      </c>
      <c r="B94" s="264">
        <f t="shared" si="22"/>
        <v>200000</v>
      </c>
      <c r="C94" s="899">
        <v>200000</v>
      </c>
      <c r="D94" s="899"/>
      <c r="E94" s="899">
        <f t="shared" si="25"/>
        <v>200000</v>
      </c>
      <c r="F94" s="899"/>
      <c r="G94" s="899"/>
      <c r="H94" s="899"/>
      <c r="I94" s="899"/>
      <c r="J94" s="899"/>
      <c r="K94" s="899"/>
      <c r="L94" s="899"/>
      <c r="M94" s="899"/>
      <c r="N94" s="899"/>
      <c r="O94" s="899"/>
      <c r="P94" s="899"/>
      <c r="Q94" s="899"/>
      <c r="R94" s="441">
        <f t="shared" si="23"/>
        <v>200000</v>
      </c>
      <c r="S94" s="899"/>
      <c r="T94" s="899"/>
      <c r="U94" s="2562"/>
    </row>
    <row r="95" spans="1:21" s="106" customFormat="1" ht="26.1">
      <c r="A95" s="1073" t="s">
        <v>1885</v>
      </c>
      <c r="B95" s="264">
        <f t="shared" si="22"/>
        <v>455947.6</v>
      </c>
      <c r="C95" s="899">
        <v>455947.6</v>
      </c>
      <c r="D95" s="899"/>
      <c r="E95" s="899">
        <f t="shared" si="25"/>
        <v>455947.6</v>
      </c>
      <c r="F95" s="899"/>
      <c r="G95" s="899"/>
      <c r="H95" s="899"/>
      <c r="I95" s="899"/>
      <c r="J95" s="899"/>
      <c r="K95" s="899"/>
      <c r="L95" s="899"/>
      <c r="M95" s="899"/>
      <c r="N95" s="899"/>
      <c r="O95" s="899"/>
      <c r="P95" s="899"/>
      <c r="Q95" s="899"/>
      <c r="R95" s="441">
        <f t="shared" si="23"/>
        <v>455947.6</v>
      </c>
      <c r="S95" s="899">
        <f>R95</f>
        <v>455947.6</v>
      </c>
      <c r="T95" s="899"/>
      <c r="U95" s="2562"/>
    </row>
    <row r="96" spans="1:21" s="106" customFormat="1" ht="12.95">
      <c r="A96" s="107" t="s">
        <v>1886</v>
      </c>
      <c r="B96" s="264">
        <f>SUM(C96:D96)</f>
        <v>2371385.6</v>
      </c>
      <c r="C96" s="264">
        <f t="shared" ref="C96:R96" si="27">SUM(C83:C95)</f>
        <v>2371385.6</v>
      </c>
      <c r="D96" s="264">
        <f t="shared" si="27"/>
        <v>0</v>
      </c>
      <c r="E96" s="264">
        <f t="shared" si="27"/>
        <v>2371385.6</v>
      </c>
      <c r="F96" s="264">
        <f t="shared" si="27"/>
        <v>0</v>
      </c>
      <c r="G96" s="264">
        <f t="shared" si="27"/>
        <v>0</v>
      </c>
      <c r="H96" s="264">
        <f t="shared" si="27"/>
        <v>0</v>
      </c>
      <c r="I96" s="264">
        <f t="shared" si="27"/>
        <v>0</v>
      </c>
      <c r="J96" s="264">
        <f t="shared" si="27"/>
        <v>0</v>
      </c>
      <c r="K96" s="264">
        <f t="shared" si="27"/>
        <v>0</v>
      </c>
      <c r="L96" s="264">
        <f t="shared" si="27"/>
        <v>0</v>
      </c>
      <c r="M96" s="264">
        <f t="shared" si="27"/>
        <v>0</v>
      </c>
      <c r="N96" s="264">
        <f t="shared" si="27"/>
        <v>0</v>
      </c>
      <c r="O96" s="264">
        <f t="shared" si="27"/>
        <v>0</v>
      </c>
      <c r="P96" s="264">
        <f t="shared" si="27"/>
        <v>0</v>
      </c>
      <c r="Q96" s="264">
        <f t="shared" si="27"/>
        <v>0</v>
      </c>
      <c r="R96" s="264">
        <f t="shared" si="27"/>
        <v>2371385.6</v>
      </c>
      <c r="S96" s="108">
        <f>SUM(S84:S87,S89:S95)</f>
        <v>2020356.6</v>
      </c>
      <c r="T96" s="264">
        <f>SUM(T84:T87,T89:T95)</f>
        <v>0</v>
      </c>
      <c r="U96" s="2562"/>
    </row>
    <row r="97" spans="1:21" s="106" customFormat="1" ht="12.95">
      <c r="A97" s="107" t="s">
        <v>1887</v>
      </c>
      <c r="B97" s="264">
        <f>SUM(C97:D97)</f>
        <v>31372813.400000002</v>
      </c>
      <c r="C97" s="264">
        <f t="shared" ref="C97:R97" si="28">SUM(C63+C70+C77+C81+C96)</f>
        <v>31372813.400000002</v>
      </c>
      <c r="D97" s="264">
        <f t="shared" si="28"/>
        <v>0</v>
      </c>
      <c r="E97" s="264">
        <f t="shared" si="28"/>
        <v>18630075.400000002</v>
      </c>
      <c r="F97" s="264">
        <f t="shared" si="28"/>
        <v>5292738</v>
      </c>
      <c r="G97" s="264">
        <f t="shared" si="28"/>
        <v>0</v>
      </c>
      <c r="H97" s="264">
        <f t="shared" si="28"/>
        <v>2200000</v>
      </c>
      <c r="I97" s="264">
        <f t="shared" si="28"/>
        <v>2500000</v>
      </c>
      <c r="J97" s="264">
        <f t="shared" si="28"/>
        <v>2750000</v>
      </c>
      <c r="K97" s="264">
        <f t="shared" si="28"/>
        <v>0</v>
      </c>
      <c r="L97" s="264">
        <f t="shared" si="28"/>
        <v>0</v>
      </c>
      <c r="M97" s="264">
        <f t="shared" si="28"/>
        <v>0</v>
      </c>
      <c r="N97" s="264">
        <f t="shared" si="28"/>
        <v>0</v>
      </c>
      <c r="O97" s="264">
        <f t="shared" si="28"/>
        <v>0</v>
      </c>
      <c r="P97" s="264">
        <f t="shared" si="28"/>
        <v>0</v>
      </c>
      <c r="Q97" s="264">
        <f t="shared" si="28"/>
        <v>0</v>
      </c>
      <c r="R97" s="264">
        <f t="shared" si="28"/>
        <v>31372813.400000002</v>
      </c>
      <c r="S97" s="264">
        <f>SUM(S63+S70+S81+S96)</f>
        <v>26971572.100000001</v>
      </c>
      <c r="T97" s="264">
        <f>SUM(T63+T70+T81+T96)</f>
        <v>0</v>
      </c>
      <c r="U97" s="2562"/>
    </row>
    <row r="98" spans="1:21" s="106" customFormat="1" ht="12.95">
      <c r="A98" s="105" t="s">
        <v>1888</v>
      </c>
      <c r="B98" s="265"/>
      <c r="C98" s="265"/>
      <c r="D98" s="265"/>
      <c r="E98" s="265"/>
      <c r="F98" s="265"/>
      <c r="G98" s="265"/>
      <c r="H98" s="265"/>
      <c r="I98" s="265"/>
      <c r="J98" s="265"/>
      <c r="K98" s="265"/>
      <c r="L98" s="265"/>
      <c r="M98" s="265"/>
      <c r="N98" s="265"/>
      <c r="O98" s="265"/>
      <c r="P98" s="265"/>
      <c r="Q98" s="265"/>
      <c r="R98" s="265"/>
      <c r="S98" s="265"/>
      <c r="T98" s="265"/>
      <c r="U98" s="2562"/>
    </row>
    <row r="99" spans="1:21" s="106" customFormat="1" ht="12.95">
      <c r="A99" s="208" t="s">
        <v>1889</v>
      </c>
      <c r="B99" s="264">
        <f>SUM(C99+D99)</f>
        <v>4045735.87617866</v>
      </c>
      <c r="C99" s="899">
        <v>4045735.87617866</v>
      </c>
      <c r="D99" s="899"/>
      <c r="E99" s="899">
        <f>C99-G99</f>
        <v>2499999.87617866</v>
      </c>
      <c r="F99" s="899"/>
      <c r="G99" s="899">
        <v>1545736</v>
      </c>
      <c r="H99" s="899"/>
      <c r="I99" s="899"/>
      <c r="J99" s="899"/>
      <c r="K99" s="899"/>
      <c r="L99" s="899"/>
      <c r="M99" s="899"/>
      <c r="N99" s="899"/>
      <c r="O99" s="899"/>
      <c r="P99" s="899"/>
      <c r="Q99" s="899"/>
      <c r="R99" s="441">
        <f>SUM(E99:Q99)</f>
        <v>4045735.87617866</v>
      </c>
      <c r="S99" s="899">
        <f>R99</f>
        <v>4045735.87617866</v>
      </c>
      <c r="T99" s="899"/>
      <c r="U99" s="2562"/>
    </row>
    <row r="100" spans="1:21" s="106" customFormat="1" ht="12.95">
      <c r="A100" s="208" t="s">
        <v>1890</v>
      </c>
      <c r="B100" s="264">
        <f>SUM(C100+D100)</f>
        <v>0</v>
      </c>
      <c r="C100" s="899"/>
      <c r="D100" s="899"/>
      <c r="E100" s="899"/>
      <c r="F100" s="899"/>
      <c r="G100" s="899"/>
      <c r="H100" s="899"/>
      <c r="I100" s="899"/>
      <c r="J100" s="899"/>
      <c r="K100" s="899"/>
      <c r="L100" s="899"/>
      <c r="M100" s="899"/>
      <c r="N100" s="899"/>
      <c r="O100" s="899"/>
      <c r="P100" s="899"/>
      <c r="Q100" s="899"/>
      <c r="R100" s="441">
        <f>SUM(E100:Q100)</f>
        <v>0</v>
      </c>
      <c r="S100" s="899"/>
      <c r="T100" s="899"/>
      <c r="U100" s="2562"/>
    </row>
    <row r="101" spans="1:21" s="106" customFormat="1" ht="12" customHeight="1">
      <c r="A101" s="208" t="s">
        <v>1891</v>
      </c>
      <c r="B101" s="264">
        <f>SUM(C101+D101)</f>
        <v>0</v>
      </c>
      <c r="C101" s="899"/>
      <c r="D101" s="899"/>
      <c r="E101" s="899"/>
      <c r="F101" s="899"/>
      <c r="G101" s="899"/>
      <c r="H101" s="899"/>
      <c r="I101" s="899"/>
      <c r="J101" s="899"/>
      <c r="K101" s="899"/>
      <c r="L101" s="899"/>
      <c r="M101" s="899"/>
      <c r="N101" s="899"/>
      <c r="O101" s="899"/>
      <c r="P101" s="899"/>
      <c r="Q101" s="899"/>
      <c r="R101" s="441">
        <f>SUM(E101:Q101)</f>
        <v>0</v>
      </c>
      <c r="S101" s="899"/>
      <c r="T101" s="899"/>
      <c r="U101" s="2562"/>
    </row>
    <row r="102" spans="1:21" s="106" customFormat="1" ht="12.95">
      <c r="A102" s="208" t="s">
        <v>1892</v>
      </c>
      <c r="B102" s="264">
        <f>SUM(C102+D102)</f>
        <v>0</v>
      </c>
      <c r="C102" s="899"/>
      <c r="D102" s="899"/>
      <c r="E102" s="899"/>
      <c r="F102" s="899"/>
      <c r="G102" s="899"/>
      <c r="H102" s="899"/>
      <c r="I102" s="899"/>
      <c r="J102" s="899"/>
      <c r="K102" s="899"/>
      <c r="L102" s="899"/>
      <c r="M102" s="899"/>
      <c r="N102" s="899"/>
      <c r="O102" s="899"/>
      <c r="P102" s="899"/>
      <c r="Q102" s="899"/>
      <c r="R102" s="441">
        <f>SUM(E102:Q102)</f>
        <v>0</v>
      </c>
      <c r="S102" s="899"/>
      <c r="T102" s="899"/>
      <c r="U102" s="2562"/>
    </row>
    <row r="103" spans="1:21" s="106" customFormat="1" ht="12.95">
      <c r="A103" s="1073" t="s">
        <v>1829</v>
      </c>
      <c r="B103" s="264">
        <f>SUM(C103+D103)</f>
        <v>0</v>
      </c>
      <c r="C103" s="899"/>
      <c r="D103" s="899"/>
      <c r="E103" s="899"/>
      <c r="F103" s="899"/>
      <c r="G103" s="899"/>
      <c r="H103" s="899"/>
      <c r="I103" s="899"/>
      <c r="J103" s="899"/>
      <c r="K103" s="899"/>
      <c r="L103" s="899"/>
      <c r="M103" s="899"/>
      <c r="N103" s="899"/>
      <c r="O103" s="899"/>
      <c r="P103" s="899"/>
      <c r="Q103" s="899"/>
      <c r="R103" s="441">
        <f>SUM(E103:Q103)</f>
        <v>0</v>
      </c>
      <c r="S103" s="899"/>
      <c r="T103" s="899"/>
      <c r="U103" s="2562"/>
    </row>
    <row r="104" spans="1:21" s="106" customFormat="1" ht="12.95">
      <c r="A104" s="107" t="s">
        <v>1893</v>
      </c>
      <c r="B104" s="264">
        <f>SUM(C104:D104)</f>
        <v>4045735.87617866</v>
      </c>
      <c r="C104" s="264">
        <f>SUM(C99:C103)</f>
        <v>4045735.87617866</v>
      </c>
      <c r="D104" s="264">
        <f t="shared" ref="D104:T104" si="29">SUM(D99:D103)</f>
        <v>0</v>
      </c>
      <c r="E104" s="264">
        <f t="shared" si="29"/>
        <v>2499999.87617866</v>
      </c>
      <c r="F104" s="264">
        <f t="shared" si="29"/>
        <v>0</v>
      </c>
      <c r="G104" s="264">
        <f t="shared" si="29"/>
        <v>1545736</v>
      </c>
      <c r="H104" s="264">
        <f t="shared" si="29"/>
        <v>0</v>
      </c>
      <c r="I104" s="264">
        <f t="shared" si="29"/>
        <v>0</v>
      </c>
      <c r="J104" s="264">
        <f t="shared" si="29"/>
        <v>0</v>
      </c>
      <c r="K104" s="264">
        <f t="shared" si="29"/>
        <v>0</v>
      </c>
      <c r="L104" s="264">
        <f t="shared" si="29"/>
        <v>0</v>
      </c>
      <c r="M104" s="264">
        <f t="shared" si="29"/>
        <v>0</v>
      </c>
      <c r="N104" s="264">
        <f t="shared" si="29"/>
        <v>0</v>
      </c>
      <c r="O104" s="264">
        <f t="shared" si="29"/>
        <v>0</v>
      </c>
      <c r="P104" s="264">
        <f t="shared" si="29"/>
        <v>0</v>
      </c>
      <c r="Q104" s="264">
        <f t="shared" si="29"/>
        <v>0</v>
      </c>
      <c r="R104" s="264">
        <f t="shared" si="29"/>
        <v>4045735.87617866</v>
      </c>
      <c r="S104" s="108">
        <f t="shared" si="29"/>
        <v>4045735.87617866</v>
      </c>
      <c r="T104" s="108">
        <f t="shared" si="29"/>
        <v>0</v>
      </c>
      <c r="U104" s="2562"/>
    </row>
    <row r="105" spans="1:21" s="106" customFormat="1" ht="12.95">
      <c r="A105" s="107" t="s">
        <v>1894</v>
      </c>
      <c r="B105" s="108">
        <f>SUM(C105:D105)</f>
        <v>35418549.276178665</v>
      </c>
      <c r="C105" s="108">
        <f t="shared" ref="C105:R105" si="30">SUM(C97+C104)</f>
        <v>35418549.276178665</v>
      </c>
      <c r="D105" s="108">
        <f t="shared" si="30"/>
        <v>0</v>
      </c>
      <c r="E105" s="108">
        <f t="shared" si="30"/>
        <v>21130075.276178662</v>
      </c>
      <c r="F105" s="108">
        <f t="shared" si="30"/>
        <v>5292738</v>
      </c>
      <c r="G105" s="108">
        <f t="shared" si="30"/>
        <v>1545736</v>
      </c>
      <c r="H105" s="108">
        <f t="shared" si="30"/>
        <v>2200000</v>
      </c>
      <c r="I105" s="108">
        <f t="shared" si="30"/>
        <v>2500000</v>
      </c>
      <c r="J105" s="108">
        <f t="shared" si="30"/>
        <v>2750000</v>
      </c>
      <c r="K105" s="108">
        <f t="shared" si="30"/>
        <v>0</v>
      </c>
      <c r="L105" s="108">
        <f t="shared" si="30"/>
        <v>0</v>
      </c>
      <c r="M105" s="108">
        <f t="shared" si="30"/>
        <v>0</v>
      </c>
      <c r="N105" s="108">
        <f t="shared" si="30"/>
        <v>0</v>
      </c>
      <c r="O105" s="108">
        <f t="shared" si="30"/>
        <v>0</v>
      </c>
      <c r="P105" s="108">
        <f t="shared" si="30"/>
        <v>0</v>
      </c>
      <c r="Q105" s="108">
        <f t="shared" si="30"/>
        <v>0</v>
      </c>
      <c r="R105" s="264">
        <f t="shared" si="30"/>
        <v>35418549.276178665</v>
      </c>
      <c r="S105" s="108">
        <f>S97+S104</f>
        <v>31017307.976178661</v>
      </c>
      <c r="T105" s="108">
        <f>T97+T104</f>
        <v>0</v>
      </c>
      <c r="U105" s="2562"/>
    </row>
    <row r="106" spans="1:21">
      <c r="A106" s="439" t="s">
        <v>1895</v>
      </c>
      <c r="B106" s="2570"/>
      <c r="C106" s="2570"/>
      <c r="D106" s="2570"/>
      <c r="E106" s="248"/>
      <c r="F106" s="248"/>
      <c r="G106" s="248"/>
      <c r="H106" s="249" t="s">
        <v>1896</v>
      </c>
      <c r="I106" s="249"/>
      <c r="J106" s="249"/>
      <c r="K106" s="248"/>
      <c r="L106" s="248"/>
      <c r="M106" s="248"/>
      <c r="N106" s="248"/>
      <c r="O106" s="248"/>
      <c r="P106" s="248"/>
      <c r="Q106" s="248"/>
      <c r="R106" s="114" t="s">
        <v>1897</v>
      </c>
      <c r="S106" s="899"/>
      <c r="T106" s="899"/>
      <c r="U106" s="250"/>
    </row>
    <row r="107" spans="1:21">
      <c r="A107" s="2570" t="s">
        <v>1898</v>
      </c>
      <c r="B107" s="248"/>
      <c r="C107" s="2570"/>
      <c r="D107" s="2570"/>
      <c r="E107" s="248"/>
      <c r="F107" s="248"/>
      <c r="G107" s="248"/>
      <c r="H107" s="248"/>
      <c r="I107" s="116" t="s">
        <v>1899</v>
      </c>
      <c r="J107" s="116"/>
      <c r="K107" s="248"/>
      <c r="L107" s="248"/>
      <c r="M107" s="248"/>
      <c r="N107" s="248"/>
      <c r="O107" s="248"/>
      <c r="P107" s="248"/>
      <c r="Q107" s="248"/>
      <c r="R107" s="114" t="s">
        <v>1900</v>
      </c>
      <c r="S107" s="108">
        <f>S105+S106</f>
        <v>31017307.976178661</v>
      </c>
      <c r="T107" s="108">
        <f>T105+T106</f>
        <v>0</v>
      </c>
      <c r="U107" s="250"/>
    </row>
    <row r="108" spans="1:21" s="136" customFormat="1">
      <c r="A108" s="116" t="s">
        <v>1901</v>
      </c>
      <c r="B108" s="2570"/>
      <c r="C108" s="2570"/>
      <c r="D108" s="2570"/>
      <c r="E108" s="2571">
        <f>Application!AO640</f>
        <v>21130075.276178699</v>
      </c>
      <c r="F108" s="2571">
        <f>Application!AO627</f>
        <v>5292738</v>
      </c>
      <c r="G108" s="2571">
        <f>Application!AO628</f>
        <v>1545736</v>
      </c>
      <c r="H108" s="2571">
        <f>Application!AO629</f>
        <v>2200000</v>
      </c>
      <c r="I108" s="2571">
        <f>Application!AO630</f>
        <v>2500000</v>
      </c>
      <c r="J108" s="2571">
        <f>Application!AO631</f>
        <v>2750000</v>
      </c>
      <c r="K108" s="2571">
        <f>Application!AO632</f>
        <v>0</v>
      </c>
      <c r="L108" s="2571">
        <f>Application!AO633</f>
        <v>0</v>
      </c>
      <c r="M108" s="2571">
        <f>Application!AO634</f>
        <v>0</v>
      </c>
      <c r="N108" s="2571">
        <f>Application!AO635</f>
        <v>0</v>
      </c>
      <c r="O108" s="2571">
        <f>Application!AO636</f>
        <v>0</v>
      </c>
      <c r="P108" s="2571">
        <f>Application!AO637</f>
        <v>0</v>
      </c>
      <c r="Q108" s="2571">
        <f>Application!AO638</f>
        <v>0</v>
      </c>
      <c r="R108" s="248"/>
      <c r="S108" s="248"/>
      <c r="T108" s="248"/>
      <c r="U108" s="2572"/>
    </row>
    <row r="109" spans="1:21" ht="10.35" customHeight="1">
      <c r="A109" s="2570"/>
      <c r="B109" s="2570"/>
      <c r="C109" s="2570"/>
      <c r="D109" s="2570"/>
      <c r="E109" s="248"/>
      <c r="F109" s="248"/>
      <c r="G109" s="248"/>
      <c r="H109" s="248"/>
      <c r="I109" s="248"/>
      <c r="J109" s="248"/>
      <c r="K109" s="248"/>
      <c r="L109" s="248"/>
      <c r="M109" s="248"/>
      <c r="N109" s="248"/>
      <c r="O109" s="248"/>
      <c r="P109" s="248"/>
      <c r="Q109" s="248"/>
      <c r="R109" s="248"/>
      <c r="S109" s="248"/>
      <c r="T109" s="248"/>
      <c r="U109" s="250"/>
    </row>
    <row r="110" spans="1:21">
      <c r="A110" s="116" t="s">
        <v>1902</v>
      </c>
      <c r="B110" s="2570"/>
      <c r="C110" s="2570"/>
      <c r="D110" s="2570"/>
      <c r="E110" s="248"/>
      <c r="F110" s="248"/>
      <c r="G110" s="248"/>
      <c r="H110" s="248"/>
      <c r="I110" s="248"/>
      <c r="J110" s="248"/>
      <c r="K110" s="248"/>
      <c r="L110" s="248"/>
      <c r="M110" s="248"/>
      <c r="N110" s="248"/>
      <c r="O110" s="248"/>
      <c r="P110" s="248"/>
      <c r="Q110" s="248"/>
      <c r="R110" s="248"/>
      <c r="S110" s="248"/>
      <c r="T110" s="248"/>
      <c r="U110" s="250"/>
    </row>
    <row r="111" spans="1:21">
      <c r="A111" s="112" t="s">
        <v>1903</v>
      </c>
      <c r="B111" s="2570"/>
      <c r="C111" s="2570"/>
      <c r="D111" s="2570"/>
      <c r="E111" s="248"/>
      <c r="F111" s="248"/>
      <c r="G111" s="248"/>
      <c r="H111" s="248"/>
      <c r="I111" s="248"/>
      <c r="J111" s="248"/>
      <c r="K111" s="248"/>
      <c r="L111" s="248"/>
      <c r="M111" s="248"/>
      <c r="N111" s="248"/>
      <c r="O111" s="248"/>
      <c r="P111" s="248"/>
      <c r="Q111" s="248"/>
      <c r="R111" s="248"/>
      <c r="S111" s="248"/>
      <c r="T111" s="248"/>
      <c r="U111" s="250"/>
    </row>
    <row r="112" spans="1:21" ht="12" customHeight="1">
      <c r="A112" s="235"/>
      <c r="B112" s="2570"/>
      <c r="C112" s="2570"/>
      <c r="D112" s="2570"/>
      <c r="E112" s="248"/>
      <c r="F112" s="248"/>
      <c r="G112" s="248"/>
      <c r="H112" s="248"/>
      <c r="I112" s="248"/>
      <c r="J112" s="248"/>
      <c r="K112" s="248"/>
      <c r="L112" s="248"/>
      <c r="M112" s="248"/>
      <c r="N112" s="248"/>
      <c r="O112" s="248"/>
      <c r="P112" s="248"/>
      <c r="Q112" s="248"/>
      <c r="R112" s="248"/>
      <c r="S112" s="248"/>
      <c r="T112" s="248"/>
      <c r="U112" s="250"/>
    </row>
    <row r="113" spans="1:21">
      <c r="A113" s="112" t="s">
        <v>1904</v>
      </c>
      <c r="B113" s="2570"/>
      <c r="C113" s="2570"/>
      <c r="D113" s="2570"/>
      <c r="E113" s="248"/>
      <c r="F113" s="248"/>
      <c r="G113" s="248"/>
      <c r="H113" s="248"/>
      <c r="I113" s="248"/>
      <c r="J113" s="248"/>
      <c r="K113" s="248"/>
      <c r="L113" s="248"/>
      <c r="M113" s="248"/>
      <c r="N113" s="248"/>
      <c r="O113" s="248"/>
      <c r="P113" s="248"/>
      <c r="Q113" s="248"/>
      <c r="R113" s="248"/>
      <c r="S113" s="248"/>
      <c r="T113" s="248"/>
      <c r="U113" s="250"/>
    </row>
    <row r="114" spans="1:21">
      <c r="A114" s="112" t="s">
        <v>1905</v>
      </c>
      <c r="B114" s="2570"/>
      <c r="C114" s="2570"/>
      <c r="D114" s="2570"/>
      <c r="E114" s="248"/>
      <c r="F114" s="248"/>
      <c r="G114" s="248"/>
      <c r="H114" s="248"/>
      <c r="I114" s="248"/>
      <c r="J114" s="248"/>
      <c r="K114" s="248"/>
      <c r="L114" s="248"/>
      <c r="M114" s="248"/>
      <c r="N114" s="248"/>
      <c r="O114" s="248"/>
      <c r="P114" s="248"/>
      <c r="Q114" s="248"/>
      <c r="R114" s="248"/>
      <c r="S114" s="248"/>
      <c r="T114" s="248"/>
      <c r="U114" s="250"/>
    </row>
    <row r="115" spans="1:21" ht="12" customHeight="1">
      <c r="A115" s="235"/>
      <c r="B115" s="2570"/>
      <c r="C115" s="2570"/>
      <c r="D115" s="2570"/>
      <c r="E115" s="248"/>
      <c r="F115" s="248"/>
      <c r="G115" s="248"/>
      <c r="H115" s="248"/>
      <c r="I115" s="248"/>
      <c r="J115" s="248"/>
      <c r="K115" s="248"/>
      <c r="L115" s="248"/>
      <c r="M115" s="248"/>
      <c r="N115" s="248"/>
      <c r="O115" s="248"/>
      <c r="P115" s="248"/>
      <c r="Q115" s="248"/>
      <c r="R115" s="248"/>
      <c r="S115" s="248"/>
      <c r="T115" s="248"/>
      <c r="U115" s="250"/>
    </row>
    <row r="116" spans="1:21">
      <c r="A116" s="267" t="s">
        <v>1906</v>
      </c>
      <c r="B116" s="2570"/>
      <c r="C116" s="2570"/>
      <c r="D116" s="2570"/>
      <c r="E116" s="248"/>
      <c r="F116" s="248"/>
      <c r="G116" s="248"/>
      <c r="H116" s="248"/>
      <c r="I116" s="248"/>
      <c r="J116" s="248"/>
      <c r="K116" s="248"/>
      <c r="L116" s="248"/>
      <c r="M116" s="248"/>
      <c r="N116" s="248"/>
      <c r="O116" s="248"/>
      <c r="P116" s="248"/>
      <c r="Q116" s="248"/>
      <c r="R116" s="248"/>
      <c r="S116" s="248"/>
      <c r="T116" s="248"/>
      <c r="U116" s="250"/>
    </row>
    <row r="117" spans="1:21">
      <c r="A117" s="267" t="s">
        <v>1907</v>
      </c>
      <c r="B117" s="2570"/>
      <c r="C117" s="2570"/>
      <c r="D117" s="2570"/>
      <c r="E117" s="248"/>
      <c r="F117" s="248"/>
      <c r="G117" s="248"/>
      <c r="H117" s="248"/>
      <c r="I117" s="248"/>
      <c r="J117" s="248"/>
      <c r="K117" s="248"/>
      <c r="L117" s="248"/>
      <c r="M117" s="248"/>
      <c r="N117" s="248"/>
      <c r="O117" s="248"/>
      <c r="P117" s="248"/>
      <c r="Q117" s="248"/>
      <c r="R117" s="248"/>
      <c r="S117" s="248"/>
      <c r="T117" s="248"/>
      <c r="U117" s="250"/>
    </row>
    <row r="118" spans="1:21">
      <c r="A118" s="267" t="s">
        <v>1908</v>
      </c>
      <c r="B118" s="2570"/>
      <c r="C118" s="2570"/>
      <c r="D118" s="2570"/>
      <c r="E118" s="248"/>
      <c r="F118" s="248"/>
      <c r="G118" s="248"/>
      <c r="H118" s="248"/>
      <c r="I118" s="248"/>
      <c r="J118" s="248"/>
      <c r="K118" s="248"/>
      <c r="L118" s="248"/>
      <c r="M118" s="248"/>
      <c r="N118" s="248"/>
      <c r="O118" s="248"/>
      <c r="P118" s="248"/>
      <c r="Q118" s="248"/>
      <c r="R118" s="248"/>
      <c r="S118" s="248"/>
      <c r="T118" s="248"/>
      <c r="U118" s="250"/>
    </row>
    <row r="119" spans="1:21">
      <c r="A119" s="267" t="s">
        <v>1909</v>
      </c>
      <c r="B119" s="2570"/>
      <c r="C119" s="2570"/>
      <c r="D119" s="2570"/>
      <c r="E119" s="248"/>
      <c r="F119" s="248"/>
      <c r="G119" s="248"/>
      <c r="H119" s="248"/>
      <c r="I119" s="248"/>
      <c r="J119" s="248"/>
      <c r="K119" s="248"/>
      <c r="L119" s="248"/>
      <c r="M119" s="248"/>
      <c r="N119" s="248"/>
      <c r="O119" s="248"/>
      <c r="P119" s="248"/>
      <c r="Q119" s="248"/>
      <c r="R119" s="248"/>
      <c r="S119" s="248"/>
      <c r="T119" s="248"/>
      <c r="U119" s="250"/>
    </row>
    <row r="120" spans="1:21" ht="12" customHeight="1">
      <c r="A120" s="266"/>
      <c r="B120" s="2570"/>
      <c r="C120" s="2570"/>
      <c r="D120" s="2570"/>
      <c r="E120" s="248"/>
      <c r="F120" s="248"/>
      <c r="G120" s="248"/>
      <c r="H120" s="248"/>
      <c r="I120" s="248"/>
      <c r="J120" s="248"/>
      <c r="K120" s="248"/>
      <c r="L120" s="248"/>
      <c r="M120" s="248"/>
      <c r="N120" s="248"/>
      <c r="O120" s="248"/>
      <c r="P120" s="248"/>
      <c r="Q120" s="248"/>
      <c r="R120" s="248"/>
      <c r="S120" s="248"/>
      <c r="T120" s="248"/>
      <c r="U120" s="250"/>
    </row>
    <row r="121" spans="1:21" ht="15.95">
      <c r="A121" s="260" t="s">
        <v>1910</v>
      </c>
      <c r="B121" s="2570"/>
      <c r="C121" s="2570"/>
      <c r="D121" s="2570"/>
      <c r="E121" s="248"/>
      <c r="F121" s="248"/>
      <c r="G121" s="248"/>
      <c r="H121" s="248"/>
      <c r="I121" s="248"/>
      <c r="J121" s="248"/>
      <c r="K121" s="248"/>
      <c r="L121" s="248"/>
      <c r="M121" s="248"/>
      <c r="N121" s="248"/>
      <c r="O121" s="248"/>
      <c r="P121" s="248"/>
      <c r="Q121" s="248"/>
      <c r="R121" s="248"/>
      <c r="S121" s="248"/>
      <c r="T121" s="248"/>
      <c r="U121" s="250"/>
    </row>
    <row r="122" spans="1:21">
      <c r="A122" s="249" t="s">
        <v>1911</v>
      </c>
      <c r="B122" s="248"/>
      <c r="C122" s="248"/>
      <c r="D122" s="1620" t="s">
        <v>1912</v>
      </c>
      <c r="E122" s="1620"/>
      <c r="F122" s="1620"/>
      <c r="G122" s="248"/>
      <c r="H122" s="248"/>
      <c r="I122" s="248"/>
      <c r="J122" s="248"/>
      <c r="K122" s="248"/>
      <c r="L122" s="248"/>
      <c r="M122" s="248"/>
      <c r="N122" s="248"/>
      <c r="O122" s="248"/>
      <c r="P122" s="248"/>
      <c r="Q122" s="248"/>
      <c r="R122" s="248"/>
      <c r="S122" s="248"/>
      <c r="T122" s="248"/>
      <c r="U122" s="250"/>
    </row>
    <row r="123" spans="1:21" ht="12.95">
      <c r="A123" s="248" t="s">
        <v>1913</v>
      </c>
      <c r="B123" s="257"/>
      <c r="C123" s="248"/>
      <c r="D123" s="1616" t="s">
        <v>1914</v>
      </c>
      <c r="E123" s="1359"/>
      <c r="F123" s="1359"/>
      <c r="G123" s="1359"/>
      <c r="H123" s="1359"/>
      <c r="I123" s="1359"/>
      <c r="J123" s="1359"/>
      <c r="K123" s="1359"/>
      <c r="L123" s="1359"/>
      <c r="M123" s="1359"/>
      <c r="N123" s="1359"/>
      <c r="O123" s="1359"/>
      <c r="P123" s="1359"/>
      <c r="Q123" s="1359"/>
      <c r="R123" s="1359"/>
      <c r="S123" s="1359"/>
      <c r="T123" s="248"/>
      <c r="U123" s="250"/>
    </row>
    <row r="124" spans="1:21" ht="14.1">
      <c r="A124" s="382" t="s">
        <v>1915</v>
      </c>
      <c r="B124" s="257"/>
      <c r="C124" s="382"/>
      <c r="D124" s="1359"/>
      <c r="E124" s="1359"/>
      <c r="F124" s="1359"/>
      <c r="G124" s="1359"/>
      <c r="H124" s="1359"/>
      <c r="I124" s="1359"/>
      <c r="J124" s="1359"/>
      <c r="K124" s="1359"/>
      <c r="L124" s="1359"/>
      <c r="M124" s="1359"/>
      <c r="N124" s="1359"/>
      <c r="O124" s="1359"/>
      <c r="P124" s="1359"/>
      <c r="Q124" s="1359"/>
      <c r="R124" s="1359"/>
      <c r="S124" s="1359"/>
      <c r="T124" s="248"/>
      <c r="U124" s="250"/>
    </row>
    <row r="125" spans="1:21" ht="14.1">
      <c r="A125" s="382" t="s">
        <v>1916</v>
      </c>
      <c r="B125" s="257"/>
      <c r="C125" s="382"/>
      <c r="D125" s="1359"/>
      <c r="E125" s="1359"/>
      <c r="F125" s="1359"/>
      <c r="G125" s="1359"/>
      <c r="H125" s="1359"/>
      <c r="I125" s="1359"/>
      <c r="J125" s="1359"/>
      <c r="K125" s="1359"/>
      <c r="L125" s="1359"/>
      <c r="M125" s="1359"/>
      <c r="N125" s="1359"/>
      <c r="O125" s="1359"/>
      <c r="P125" s="1359"/>
      <c r="Q125" s="1359"/>
      <c r="R125" s="1359"/>
      <c r="S125" s="1359"/>
      <c r="T125" s="248"/>
      <c r="U125" s="250"/>
    </row>
    <row r="126" spans="1:21" ht="14.1">
      <c r="A126" s="382" t="s">
        <v>1917</v>
      </c>
      <c r="B126" s="257"/>
      <c r="C126" s="382"/>
      <c r="D126" s="86"/>
      <c r="E126" s="86"/>
      <c r="F126" s="86"/>
      <c r="G126" s="86"/>
      <c r="H126" s="86"/>
      <c r="I126" s="86"/>
      <c r="J126" s="86"/>
      <c r="K126" s="86"/>
      <c r="L126" s="86"/>
      <c r="M126" s="86"/>
      <c r="N126" s="86"/>
      <c r="O126" s="382"/>
      <c r="P126" s="382"/>
      <c r="Q126" s="382"/>
      <c r="R126" s="382"/>
      <c r="S126" s="382"/>
      <c r="T126" s="248"/>
      <c r="U126" s="250"/>
    </row>
    <row r="127" spans="1:21" ht="14.1">
      <c r="A127" s="382" t="s">
        <v>1918</v>
      </c>
      <c r="B127" s="257"/>
      <c r="C127" s="382"/>
      <c r="D127" s="86"/>
      <c r="E127" s="86"/>
      <c r="F127" s="86"/>
      <c r="G127" s="86"/>
      <c r="H127" s="86"/>
      <c r="I127" s="86"/>
      <c r="J127" s="86"/>
      <c r="K127" s="86"/>
      <c r="L127" s="86"/>
      <c r="M127" s="86"/>
      <c r="N127" s="86"/>
      <c r="O127" s="382"/>
      <c r="P127" s="382"/>
      <c r="Q127" s="382"/>
      <c r="R127" s="382"/>
      <c r="S127" s="382"/>
      <c r="T127" s="248"/>
      <c r="U127" s="250"/>
    </row>
    <row r="128" spans="1:21" ht="14.1">
      <c r="A128" s="382" t="s">
        <v>1919</v>
      </c>
      <c r="B128" s="257"/>
      <c r="C128" s="382"/>
      <c r="D128" s="2573"/>
      <c r="E128" s="2573"/>
      <c r="F128" s="2573"/>
      <c r="G128" s="2573"/>
      <c r="H128" s="2573"/>
      <c r="I128" s="382"/>
      <c r="J128" s="2574"/>
      <c r="K128" s="2574"/>
      <c r="L128" s="382"/>
      <c r="M128" s="382"/>
      <c r="N128" s="382"/>
      <c r="O128" s="382"/>
      <c r="P128" s="382"/>
      <c r="Q128" s="382"/>
      <c r="R128" s="382"/>
      <c r="S128" s="382"/>
      <c r="T128" s="248"/>
      <c r="U128" s="250"/>
    </row>
    <row r="129" spans="1:21" ht="14.1">
      <c r="A129" s="382" t="s">
        <v>1100</v>
      </c>
      <c r="B129" s="257"/>
      <c r="C129" s="382"/>
      <c r="D129" s="2575" t="s">
        <v>1920</v>
      </c>
      <c r="E129" s="2575"/>
      <c r="F129" s="2575"/>
      <c r="G129" s="2575"/>
      <c r="H129" s="2575"/>
      <c r="I129" s="382"/>
      <c r="J129" s="382" t="s">
        <v>1921</v>
      </c>
      <c r="K129" s="382"/>
      <c r="L129" s="382"/>
      <c r="M129" s="382"/>
      <c r="N129" s="382"/>
      <c r="O129" s="382"/>
      <c r="P129" s="382"/>
      <c r="Q129" s="382"/>
      <c r="R129" s="382"/>
      <c r="S129" s="382"/>
      <c r="T129" s="248"/>
      <c r="U129" s="250"/>
    </row>
    <row r="130" spans="1:21" ht="12" customHeight="1">
      <c r="A130" s="382"/>
      <c r="B130" s="256"/>
      <c r="C130" s="382"/>
      <c r="D130" s="382"/>
      <c r="E130" s="382"/>
      <c r="F130" s="382"/>
      <c r="G130" s="382"/>
      <c r="H130" s="382"/>
      <c r="I130" s="382"/>
      <c r="J130" s="382"/>
      <c r="K130" s="382"/>
      <c r="L130" s="382"/>
      <c r="M130" s="382"/>
      <c r="N130" s="382"/>
      <c r="O130" s="382"/>
      <c r="P130" s="382"/>
      <c r="Q130" s="382"/>
      <c r="R130" s="382"/>
      <c r="S130" s="382"/>
      <c r="T130" s="248"/>
      <c r="U130" s="250"/>
    </row>
    <row r="131" spans="1:21" ht="14.1">
      <c r="A131" s="259" t="s">
        <v>1922</v>
      </c>
      <c r="B131" s="258">
        <f>SUM(B123:B129)</f>
        <v>0</v>
      </c>
      <c r="C131" s="382"/>
      <c r="D131" s="2417"/>
      <c r="E131" s="2417"/>
      <c r="F131" s="2417"/>
      <c r="G131" s="2417"/>
      <c r="H131" s="2417"/>
      <c r="I131" s="382"/>
      <c r="J131" s="2417"/>
      <c r="K131" s="2417"/>
      <c r="L131" s="2417"/>
      <c r="M131" s="2417"/>
      <c r="N131" s="382"/>
      <c r="O131" s="382"/>
      <c r="P131" s="382"/>
      <c r="Q131" s="382"/>
      <c r="R131" s="382"/>
      <c r="S131" s="382"/>
      <c r="T131" s="248"/>
      <c r="U131" s="250"/>
    </row>
    <row r="132" spans="1:21" ht="12" customHeight="1">
      <c r="A132" s="2576"/>
      <c r="B132" s="382"/>
      <c r="C132" s="382"/>
      <c r="D132" s="1229" t="s">
        <v>1923</v>
      </c>
      <c r="E132" s="1229"/>
      <c r="F132" s="1229"/>
      <c r="G132" s="1229"/>
      <c r="H132" s="1229"/>
      <c r="I132" s="382"/>
      <c r="J132" s="1229" t="s">
        <v>1924</v>
      </c>
      <c r="K132" s="1229"/>
      <c r="L132" s="1229"/>
      <c r="M132" s="1229"/>
      <c r="N132" s="382"/>
      <c r="O132" s="382"/>
      <c r="P132" s="382"/>
      <c r="Q132" s="382"/>
      <c r="R132" s="382"/>
      <c r="S132" s="382"/>
      <c r="T132" s="248"/>
      <c r="U132" s="250"/>
    </row>
    <row r="133" spans="1:21" ht="12" customHeight="1">
      <c r="A133" s="2576"/>
      <c r="B133" s="382"/>
      <c r="C133" s="382"/>
      <c r="D133" s="382"/>
      <c r="E133" s="382"/>
      <c r="F133" s="382"/>
      <c r="G133" s="382"/>
      <c r="H133" s="382"/>
      <c r="I133" s="382"/>
      <c r="J133" s="382"/>
      <c r="K133" s="382"/>
      <c r="L133" s="382"/>
      <c r="M133" s="382"/>
      <c r="N133" s="382"/>
      <c r="O133" s="382"/>
      <c r="P133" s="382"/>
      <c r="Q133" s="382"/>
      <c r="R133" s="382"/>
      <c r="S133" s="382"/>
      <c r="T133" s="248"/>
      <c r="U133" s="250"/>
    </row>
    <row r="134" spans="1:21" ht="12.95">
      <c r="A134" s="444" t="s">
        <v>1925</v>
      </c>
      <c r="B134" s="382"/>
      <c r="C134" s="382"/>
      <c r="D134" s="382"/>
      <c r="E134" s="382"/>
      <c r="F134" s="382"/>
      <c r="G134" s="382"/>
      <c r="H134" s="382"/>
      <c r="I134" s="382"/>
      <c r="J134" s="382"/>
      <c r="K134" s="382"/>
      <c r="L134" s="382"/>
      <c r="M134" s="382"/>
      <c r="N134" s="382"/>
      <c r="O134" s="382"/>
      <c r="P134" s="382"/>
      <c r="Q134" s="382"/>
      <c r="R134" s="382"/>
      <c r="S134" s="382"/>
      <c r="T134" s="248"/>
      <c r="U134" s="250"/>
    </row>
    <row r="135" spans="1:21" ht="12.95">
      <c r="A135" s="235" t="s">
        <v>1926</v>
      </c>
      <c r="B135" s="382"/>
      <c r="C135" s="382"/>
      <c r="D135" s="382"/>
      <c r="E135" s="382"/>
      <c r="F135" s="382"/>
      <c r="G135" s="382"/>
      <c r="H135" s="382"/>
      <c r="I135" s="382"/>
      <c r="J135" s="382"/>
      <c r="K135" s="382"/>
      <c r="L135" s="382"/>
      <c r="M135" s="382"/>
      <c r="N135" s="2577"/>
      <c r="O135" s="382"/>
      <c r="P135" s="382"/>
      <c r="Q135" s="382"/>
      <c r="R135" s="382"/>
      <c r="S135" s="382"/>
      <c r="T135" s="248"/>
      <c r="U135" s="250"/>
    </row>
    <row r="136" spans="1:21" ht="12" customHeight="1">
      <c r="A136" s="2576"/>
      <c r="B136" s="382"/>
      <c r="C136" s="382"/>
      <c r="D136" s="382"/>
      <c r="E136" s="382"/>
      <c r="F136" s="382"/>
      <c r="G136" s="382"/>
      <c r="H136" s="382"/>
      <c r="I136" s="382"/>
      <c r="J136" s="382"/>
      <c r="K136" s="382"/>
      <c r="L136" s="382"/>
      <c r="M136" s="382"/>
      <c r="N136" s="382"/>
      <c r="O136" s="382"/>
      <c r="P136" s="382"/>
      <c r="Q136" s="382"/>
      <c r="R136" s="382"/>
      <c r="S136" s="382"/>
      <c r="T136" s="254"/>
      <c r="U136" s="255"/>
    </row>
    <row r="137" spans="1:21" ht="12.95">
      <c r="A137" s="2576"/>
      <c r="B137" s="382"/>
      <c r="C137" s="382"/>
      <c r="D137" s="382"/>
      <c r="E137" s="382"/>
      <c r="F137" s="382"/>
      <c r="G137" s="382"/>
      <c r="H137" s="382"/>
      <c r="I137" s="382"/>
      <c r="J137" s="382"/>
      <c r="K137" s="382"/>
      <c r="L137" s="382"/>
      <c r="M137" s="382"/>
      <c r="N137" s="382"/>
      <c r="O137" s="382"/>
      <c r="P137" s="382"/>
      <c r="Q137" s="382"/>
      <c r="R137" s="382"/>
      <c r="S137" s="382"/>
      <c r="T137" s="254"/>
      <c r="U137" s="255"/>
    </row>
    <row r="138" spans="1:21" ht="12" customHeight="1">
      <c r="A138" s="2578"/>
      <c r="B138" s="2573"/>
      <c r="C138" s="2573"/>
      <c r="D138" s="252"/>
      <c r="E138" s="2574"/>
      <c r="F138" s="2574"/>
      <c r="G138" s="382"/>
      <c r="H138" s="382"/>
      <c r="I138" s="382"/>
      <c r="J138" s="382"/>
      <c r="K138" s="382"/>
      <c r="L138" s="382"/>
      <c r="M138" s="382"/>
      <c r="N138" s="382"/>
      <c r="O138" s="382"/>
      <c r="P138" s="382"/>
      <c r="Q138" s="382"/>
      <c r="R138" s="382"/>
      <c r="S138" s="382"/>
      <c r="T138" s="254"/>
      <c r="U138" s="255"/>
    </row>
    <row r="139" spans="1:21" ht="14.1">
      <c r="A139" s="2579" t="s">
        <v>1927</v>
      </c>
      <c r="B139" s="2579"/>
      <c r="C139" s="2579"/>
      <c r="D139" s="252"/>
      <c r="E139" s="382" t="s">
        <v>1921</v>
      </c>
      <c r="F139" s="382"/>
      <c r="G139" s="382"/>
      <c r="H139" s="382"/>
      <c r="I139" s="382"/>
      <c r="J139" s="382"/>
      <c r="K139" s="382"/>
      <c r="L139" s="382"/>
      <c r="M139" s="382"/>
      <c r="N139" s="382"/>
      <c r="O139" s="382"/>
      <c r="P139" s="382"/>
      <c r="Q139" s="382"/>
      <c r="R139" s="382"/>
      <c r="S139" s="382"/>
      <c r="T139" s="254"/>
      <c r="U139" s="255"/>
    </row>
    <row r="140" spans="1:21" ht="12.95">
      <c r="A140" s="2576"/>
      <c r="B140" s="382"/>
      <c r="C140" s="382"/>
      <c r="D140" s="252"/>
      <c r="E140" s="382"/>
      <c r="F140" s="382"/>
      <c r="G140" s="382"/>
      <c r="H140" s="382"/>
      <c r="I140" s="382"/>
      <c r="J140" s="382"/>
      <c r="K140" s="382"/>
      <c r="L140" s="382"/>
      <c r="M140" s="382"/>
      <c r="N140" s="382"/>
      <c r="O140" s="382"/>
      <c r="P140" s="382"/>
      <c r="Q140" s="382"/>
      <c r="R140" s="382"/>
      <c r="S140" s="382"/>
      <c r="T140" s="251"/>
      <c r="U140" s="253"/>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79" priority="8">
      <formula>AND(B25&gt;0,OR(A25="",A25="Other: (Specify)"))</formula>
    </cfRule>
  </conditionalFormatting>
  <conditionalFormatting sqref="A37">
    <cfRule type="expression" dxfId="78" priority="7">
      <formula>AND(B37&gt;0,OR(A37="",A37="Other: (Specify)"))</formula>
    </cfRule>
  </conditionalFormatting>
  <conditionalFormatting sqref="A53">
    <cfRule type="expression" dxfId="77" priority="6">
      <formula>AND(B53&gt;0,OR(A53="",A53="Other: (Specify)"))</formula>
    </cfRule>
  </conditionalFormatting>
  <conditionalFormatting sqref="A61">
    <cfRule type="expression" dxfId="76" priority="5">
      <formula>AND(B61&gt;0,OR(A61="",A61="Other: (Specify)"))</formula>
    </cfRule>
  </conditionalFormatting>
  <conditionalFormatting sqref="A69">
    <cfRule type="expression" dxfId="75" priority="4">
      <formula>AND(B69&gt;0,OR(A69="",A69="Other: (Specify)"))</formula>
    </cfRule>
  </conditionalFormatting>
  <conditionalFormatting sqref="A76">
    <cfRule type="expression" dxfId="74" priority="3">
      <formula>AND(B76&gt;0,OR(A76="",A76="Other: (Specify)"))</formula>
    </cfRule>
  </conditionalFormatting>
  <conditionalFormatting sqref="A93:A95">
    <cfRule type="expression" dxfId="73" priority="2">
      <formula>AND(B93&gt;0,OR(A93="",A93="Other: (Specify)"))</formula>
    </cfRule>
  </conditionalFormatting>
  <conditionalFormatting sqref="A103">
    <cfRule type="expression" dxfId="72" priority="1">
      <formula>AND(B103&gt;0,OR(A103="",A103="Other: (Specify)"))</formula>
    </cfRule>
  </conditionalFormatting>
  <conditionalFormatting sqref="C10">
    <cfRule type="expression" dxfId="71" priority="85">
      <formula>"(S10+T10)&gt;C10 "</formula>
    </cfRule>
  </conditionalFormatting>
  <conditionalFormatting sqref="E105:Q105">
    <cfRule type="cellIs" dxfId="70" priority="208" stopIfTrue="1" operator="notEqual">
      <formula>E$108</formula>
    </cfRule>
  </conditionalFormatting>
  <conditionalFormatting sqref="R4:R15">
    <cfRule type="cellIs" dxfId="69"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68"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67"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66"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65"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64"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63"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62"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61" priority="213" stopIfTrue="1" operator="notEqual">
      <formula>$B79</formula>
    </cfRule>
  </conditionalFormatting>
  <conditionalFormatting sqref="R83:R96">
    <cfRule type="cellIs" dxfId="60"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59"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58" priority="253" stopIfTrue="1">
      <formula>(S10+T10)&gt;C10</formula>
    </cfRule>
  </conditionalFormatting>
  <conditionalFormatting sqref="S13:S14">
    <cfRule type="expression" dxfId="57" priority="202" stopIfTrue="1">
      <formula>(S13+T13)&gt;C13</formula>
    </cfRule>
  </conditionalFormatting>
  <conditionalFormatting sqref="S17:S25">
    <cfRule type="expression" dxfId="56" priority="186" stopIfTrue="1">
      <formula>(S17+T17)&gt;C17</formula>
    </cfRule>
  </conditionalFormatting>
  <conditionalFormatting sqref="S27">
    <cfRule type="expression" dxfId="55" priority="179" stopIfTrue="1">
      <formula>(S27+T27)&gt;C27</formula>
    </cfRule>
  </conditionalFormatting>
  <conditionalFormatting sqref="S29:S37">
    <cfRule type="expression" dxfId="54" priority="169" stopIfTrue="1">
      <formula>(S29+T29)&gt;C29</formula>
    </cfRule>
  </conditionalFormatting>
  <conditionalFormatting sqref="S40:S41">
    <cfRule type="expression" dxfId="53" priority="160" stopIfTrue="1">
      <formula>(S40+T40)&gt;C40</formula>
    </cfRule>
  </conditionalFormatting>
  <conditionalFormatting sqref="S43">
    <cfRule type="expression" dxfId="52" priority="157" stopIfTrue="1">
      <formula>(S43+T43)&gt;C43</formula>
    </cfRule>
  </conditionalFormatting>
  <conditionalFormatting sqref="S45:S53">
    <cfRule type="expression" dxfId="51" priority="142" stopIfTrue="1">
      <formula>(S45+T45)&gt;C45</formula>
    </cfRule>
  </conditionalFormatting>
  <conditionalFormatting sqref="S65:S69">
    <cfRule type="expression" dxfId="50" priority="131" stopIfTrue="1">
      <formula>(S65+T65)&gt;C65</formula>
    </cfRule>
  </conditionalFormatting>
  <conditionalFormatting sqref="S79:S80">
    <cfRule type="expression" dxfId="49" priority="127" stopIfTrue="1">
      <formula>(S79+T79)&gt;C79</formula>
    </cfRule>
  </conditionalFormatting>
  <conditionalFormatting sqref="S84:S87">
    <cfRule type="expression" dxfId="48" priority="121" stopIfTrue="1">
      <formula>(S84+T84)&gt;C84</formula>
    </cfRule>
  </conditionalFormatting>
  <conditionalFormatting sqref="S89:S95">
    <cfRule type="expression" dxfId="47" priority="110" stopIfTrue="1">
      <formula>(S89+T89)&gt;C89</formula>
    </cfRule>
  </conditionalFormatting>
  <conditionalFormatting sqref="S99:S103">
    <cfRule type="expression" dxfId="46" priority="93" stopIfTrue="1">
      <formula>(S99+T99)&gt;C99</formula>
    </cfRule>
  </conditionalFormatting>
  <conditionalFormatting sqref="T9">
    <cfRule type="expression" dxfId="45" priority="254" stopIfTrue="1">
      <formula>T9&gt;C9</formula>
    </cfRule>
  </conditionalFormatting>
  <conditionalFormatting sqref="T10">
    <cfRule type="expression" dxfId="44" priority="83" stopIfTrue="1">
      <formula>(S10+T10)&gt;C10</formula>
    </cfRule>
  </conditionalFormatting>
  <conditionalFormatting sqref="T13:T14">
    <cfRule type="expression" dxfId="43" priority="80" stopIfTrue="1">
      <formula>(S13+T13)&gt;C13</formula>
    </cfRule>
  </conditionalFormatting>
  <conditionalFormatting sqref="T17:T25">
    <cfRule type="expression" dxfId="42" priority="56" stopIfTrue="1">
      <formula>(S17+T17)&gt;C17</formula>
    </cfRule>
  </conditionalFormatting>
  <conditionalFormatting sqref="T27">
    <cfRule type="expression" dxfId="41" priority="54" stopIfTrue="1">
      <formula>(S27+T27)&gt;C27</formula>
    </cfRule>
  </conditionalFormatting>
  <conditionalFormatting sqref="T29:T37">
    <cfRule type="expression" dxfId="40" priority="45" stopIfTrue="1">
      <formula>(S29+T29)&gt;C29</formula>
    </cfRule>
  </conditionalFormatting>
  <conditionalFormatting sqref="T40:T41">
    <cfRule type="expression" dxfId="39" priority="43" stopIfTrue="1">
      <formula>(S40+T40)&gt;C40</formula>
    </cfRule>
  </conditionalFormatting>
  <conditionalFormatting sqref="T43">
    <cfRule type="expression" dxfId="38" priority="42" stopIfTrue="1">
      <formula>(S43+T43)&gt;C43</formula>
    </cfRule>
  </conditionalFormatting>
  <conditionalFormatting sqref="T45:T53">
    <cfRule type="expression" dxfId="37" priority="32" stopIfTrue="1">
      <formula>(S45+T45)&gt;C45</formula>
    </cfRule>
  </conditionalFormatting>
  <conditionalFormatting sqref="T65:T69">
    <cfRule type="expression" dxfId="36" priority="30" stopIfTrue="1">
      <formula>(S65+T65)&gt;C65</formula>
    </cfRule>
  </conditionalFormatting>
  <conditionalFormatting sqref="T79:T80">
    <cfRule type="expression" dxfId="35" priority="28" stopIfTrue="1">
      <formula>(S79+T79)&gt;C79</formula>
    </cfRule>
  </conditionalFormatting>
  <conditionalFormatting sqref="T84:T87">
    <cfRule type="expression" dxfId="34" priority="24" stopIfTrue="1">
      <formula>(S84+T84)&gt;C84</formula>
    </cfRule>
  </conditionalFormatting>
  <conditionalFormatting sqref="T89:T95">
    <cfRule type="expression" dxfId="33" priority="17" stopIfTrue="1">
      <formula>(S89+T89)&gt;C89</formula>
    </cfRule>
  </conditionalFormatting>
  <conditionalFormatting sqref="T99:T103">
    <cfRule type="expression" dxfId="32"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98" workbookViewId="0">
      <selection activeCell="B108" sqref="B108"/>
    </sheetView>
  </sheetViews>
  <sheetFormatPr defaultColWidth="0" defaultRowHeight="12" zeroHeight="1"/>
  <cols>
    <col min="1" max="1" width="32.7109375" style="322" customWidth="1"/>
    <col min="2" max="3" width="12.140625" style="318" customWidth="1"/>
    <col min="4" max="6" width="12.85546875" style="318" customWidth="1"/>
    <col min="7" max="9" width="12.140625" style="318" customWidth="1"/>
    <col min="10" max="10" width="12.140625" style="319" customWidth="1"/>
    <col min="11" max="11" width="8.85546875" style="320" hidden="1" customWidth="1"/>
    <col min="12" max="21" width="8.85546875" style="318" hidden="1" customWidth="1"/>
    <col min="22" max="23" width="0" style="318" hidden="1"/>
    <col min="24" max="256" width="8.85546875" style="318" hidden="1"/>
    <col min="257" max="257" width="32.7109375" style="318" hidden="1" customWidth="1"/>
    <col min="258" max="259" width="12.140625" style="318" hidden="1" customWidth="1"/>
    <col min="260" max="260" width="12.85546875" style="318" hidden="1" customWidth="1"/>
    <col min="261" max="266" width="12.140625" style="318" hidden="1" customWidth="1"/>
    <col min="267" max="277" width="8.85546875" style="318" hidden="1" customWidth="1"/>
    <col min="278" max="512" width="8.85546875" style="318" hidden="1"/>
    <col min="513" max="513" width="32.7109375" style="318" hidden="1" customWidth="1"/>
    <col min="514" max="515" width="12.140625" style="318" hidden="1" customWidth="1"/>
    <col min="516" max="516" width="12.85546875" style="318" hidden="1" customWidth="1"/>
    <col min="517" max="522" width="12.140625" style="318" hidden="1" customWidth="1"/>
    <col min="523" max="533" width="8.85546875" style="318" hidden="1" customWidth="1"/>
    <col min="534" max="768" width="8.85546875" style="318" hidden="1"/>
    <col min="769" max="769" width="32.7109375" style="318" hidden="1" customWidth="1"/>
    <col min="770" max="771" width="12.140625" style="318" hidden="1" customWidth="1"/>
    <col min="772" max="772" width="12.85546875" style="318" hidden="1" customWidth="1"/>
    <col min="773" max="778" width="12.140625" style="318" hidden="1" customWidth="1"/>
    <col min="779" max="789" width="8.85546875" style="318" hidden="1" customWidth="1"/>
    <col min="790" max="1024" width="8.85546875" style="318" hidden="1"/>
    <col min="1025" max="1025" width="32.7109375" style="318" hidden="1" customWidth="1"/>
    <col min="1026" max="1027" width="12.140625" style="318" hidden="1" customWidth="1"/>
    <col min="1028" max="1028" width="12.85546875" style="318" hidden="1" customWidth="1"/>
    <col min="1029" max="1034" width="12.140625" style="318" hidden="1" customWidth="1"/>
    <col min="1035" max="1045" width="8.85546875" style="318" hidden="1" customWidth="1"/>
    <col min="1046" max="1280" width="8.85546875" style="318" hidden="1"/>
    <col min="1281" max="1281" width="32.7109375" style="318" hidden="1" customWidth="1"/>
    <col min="1282" max="1283" width="12.140625" style="318" hidden="1" customWidth="1"/>
    <col min="1284" max="1284" width="12.85546875" style="318" hidden="1" customWidth="1"/>
    <col min="1285" max="1290" width="12.140625" style="318" hidden="1" customWidth="1"/>
    <col min="1291" max="1301" width="8.85546875" style="318" hidden="1" customWidth="1"/>
    <col min="1302" max="1536" width="8.85546875" style="318" hidden="1"/>
    <col min="1537" max="1537" width="32.7109375" style="318" hidden="1" customWidth="1"/>
    <col min="1538" max="1539" width="12.140625" style="318" hidden="1" customWidth="1"/>
    <col min="1540" max="1540" width="12.85546875" style="318" hidden="1" customWidth="1"/>
    <col min="1541" max="1546" width="12.140625" style="318" hidden="1" customWidth="1"/>
    <col min="1547" max="1557" width="8.85546875" style="318" hidden="1" customWidth="1"/>
    <col min="1558" max="1792" width="8.85546875" style="318" hidden="1"/>
    <col min="1793" max="1793" width="32.7109375" style="318" hidden="1" customWidth="1"/>
    <col min="1794" max="1795" width="12.140625" style="318" hidden="1" customWidth="1"/>
    <col min="1796" max="1796" width="12.85546875" style="318" hidden="1" customWidth="1"/>
    <col min="1797" max="1802" width="12.140625" style="318" hidden="1" customWidth="1"/>
    <col min="1803" max="1813" width="8.85546875" style="318" hidden="1" customWidth="1"/>
    <col min="1814" max="2048" width="8.85546875" style="318" hidden="1"/>
    <col min="2049" max="2049" width="32.7109375" style="318" hidden="1" customWidth="1"/>
    <col min="2050" max="2051" width="12.140625" style="318" hidden="1" customWidth="1"/>
    <col min="2052" max="2052" width="12.85546875" style="318" hidden="1" customWidth="1"/>
    <col min="2053" max="2058" width="12.140625" style="318" hidden="1" customWidth="1"/>
    <col min="2059" max="2069" width="8.85546875" style="318" hidden="1" customWidth="1"/>
    <col min="2070" max="2304" width="8.85546875" style="318" hidden="1"/>
    <col min="2305" max="2305" width="32.7109375" style="318" hidden="1" customWidth="1"/>
    <col min="2306" max="2307" width="12.140625" style="318" hidden="1" customWidth="1"/>
    <col min="2308" max="2308" width="12.85546875" style="318" hidden="1" customWidth="1"/>
    <col min="2309" max="2314" width="12.140625" style="318" hidden="1" customWidth="1"/>
    <col min="2315" max="2325" width="8.85546875" style="318" hidden="1" customWidth="1"/>
    <col min="2326" max="2560" width="8.85546875" style="318" hidden="1"/>
    <col min="2561" max="2561" width="32.7109375" style="318" hidden="1" customWidth="1"/>
    <col min="2562" max="2563" width="12.140625" style="318" hidden="1" customWidth="1"/>
    <col min="2564" max="2564" width="12.85546875" style="318" hidden="1" customWidth="1"/>
    <col min="2565" max="2570" width="12.140625" style="318" hidden="1" customWidth="1"/>
    <col min="2571" max="2581" width="8.85546875" style="318" hidden="1" customWidth="1"/>
    <col min="2582" max="2816" width="8.85546875" style="318" hidden="1"/>
    <col min="2817" max="2817" width="32.7109375" style="318" hidden="1" customWidth="1"/>
    <col min="2818" max="2819" width="12.140625" style="318" hidden="1" customWidth="1"/>
    <col min="2820" max="2820" width="12.85546875" style="318" hidden="1" customWidth="1"/>
    <col min="2821" max="2826" width="12.140625" style="318" hidden="1" customWidth="1"/>
    <col min="2827" max="2837" width="8.85546875" style="318" hidden="1" customWidth="1"/>
    <col min="2838" max="3072" width="8.85546875" style="318" hidden="1"/>
    <col min="3073" max="3073" width="32.7109375" style="318" hidden="1" customWidth="1"/>
    <col min="3074" max="3075" width="12.140625" style="318" hidden="1" customWidth="1"/>
    <col min="3076" max="3076" width="12.85546875" style="318" hidden="1" customWidth="1"/>
    <col min="3077" max="3082" width="12.140625" style="318" hidden="1" customWidth="1"/>
    <col min="3083" max="3093" width="8.85546875" style="318" hidden="1" customWidth="1"/>
    <col min="3094" max="3328" width="8.85546875" style="318" hidden="1"/>
    <col min="3329" max="3329" width="32.7109375" style="318" hidden="1" customWidth="1"/>
    <col min="3330" max="3331" width="12.140625" style="318" hidden="1" customWidth="1"/>
    <col min="3332" max="3332" width="12.85546875" style="318" hidden="1" customWidth="1"/>
    <col min="3333" max="3338" width="12.140625" style="318" hidden="1" customWidth="1"/>
    <col min="3339" max="3349" width="8.85546875" style="318" hidden="1" customWidth="1"/>
    <col min="3350" max="3584" width="8.85546875" style="318" hidden="1"/>
    <col min="3585" max="3585" width="32.7109375" style="318" hidden="1" customWidth="1"/>
    <col min="3586" max="3587" width="12.140625" style="318" hidden="1" customWidth="1"/>
    <col min="3588" max="3588" width="12.85546875" style="318" hidden="1" customWidth="1"/>
    <col min="3589" max="3594" width="12.140625" style="318" hidden="1" customWidth="1"/>
    <col min="3595" max="3605" width="8.85546875" style="318" hidden="1" customWidth="1"/>
    <col min="3606" max="3840" width="8.85546875" style="318" hidden="1"/>
    <col min="3841" max="3841" width="32.7109375" style="318" hidden="1" customWidth="1"/>
    <col min="3842" max="3843" width="12.140625" style="318" hidden="1" customWidth="1"/>
    <col min="3844" max="3844" width="12.85546875" style="318" hidden="1" customWidth="1"/>
    <col min="3845" max="3850" width="12.140625" style="318" hidden="1" customWidth="1"/>
    <col min="3851" max="3861" width="8.85546875" style="318" hidden="1" customWidth="1"/>
    <col min="3862" max="4096" width="8.85546875" style="318" hidden="1"/>
    <col min="4097" max="4097" width="32.7109375" style="318" hidden="1" customWidth="1"/>
    <col min="4098" max="4099" width="12.140625" style="318" hidden="1" customWidth="1"/>
    <col min="4100" max="4100" width="12.85546875" style="318" hidden="1" customWidth="1"/>
    <col min="4101" max="4106" width="12.140625" style="318" hidden="1" customWidth="1"/>
    <col min="4107" max="4117" width="8.85546875" style="318" hidden="1" customWidth="1"/>
    <col min="4118" max="4352" width="8.85546875" style="318" hidden="1"/>
    <col min="4353" max="4353" width="32.7109375" style="318" hidden="1" customWidth="1"/>
    <col min="4354" max="4355" width="12.140625" style="318" hidden="1" customWidth="1"/>
    <col min="4356" max="4356" width="12.85546875" style="318" hidden="1" customWidth="1"/>
    <col min="4357" max="4362" width="12.140625" style="318" hidden="1" customWidth="1"/>
    <col min="4363" max="4373" width="8.85546875" style="318" hidden="1" customWidth="1"/>
    <col min="4374" max="4608" width="8.85546875" style="318" hidden="1"/>
    <col min="4609" max="4609" width="32.7109375" style="318" hidden="1" customWidth="1"/>
    <col min="4610" max="4611" width="12.140625" style="318" hidden="1" customWidth="1"/>
    <col min="4612" max="4612" width="12.85546875" style="318" hidden="1" customWidth="1"/>
    <col min="4613" max="4618" width="12.140625" style="318" hidden="1" customWidth="1"/>
    <col min="4619" max="4629" width="8.85546875" style="318" hidden="1" customWidth="1"/>
    <col min="4630" max="4864" width="8.85546875" style="318" hidden="1"/>
    <col min="4865" max="4865" width="32.7109375" style="318" hidden="1" customWidth="1"/>
    <col min="4866" max="4867" width="12.140625" style="318" hidden="1" customWidth="1"/>
    <col min="4868" max="4868" width="12.85546875" style="318" hidden="1" customWidth="1"/>
    <col min="4869" max="4874" width="12.140625" style="318" hidden="1" customWidth="1"/>
    <col min="4875" max="4885" width="8.85546875" style="318" hidden="1" customWidth="1"/>
    <col min="4886" max="5120" width="8.85546875" style="318" hidden="1"/>
    <col min="5121" max="5121" width="32.7109375" style="318" hidden="1" customWidth="1"/>
    <col min="5122" max="5123" width="12.140625" style="318" hidden="1" customWidth="1"/>
    <col min="5124" max="5124" width="12.85546875" style="318" hidden="1" customWidth="1"/>
    <col min="5125" max="5130" width="12.140625" style="318" hidden="1" customWidth="1"/>
    <col min="5131" max="5141" width="8.85546875" style="318" hidden="1" customWidth="1"/>
    <col min="5142" max="5376" width="8.85546875" style="318" hidden="1"/>
    <col min="5377" max="5377" width="32.7109375" style="318" hidden="1" customWidth="1"/>
    <col min="5378" max="5379" width="12.140625" style="318" hidden="1" customWidth="1"/>
    <col min="5380" max="5380" width="12.85546875" style="318" hidden="1" customWidth="1"/>
    <col min="5381" max="5386" width="12.140625" style="318" hidden="1" customWidth="1"/>
    <col min="5387" max="5397" width="8.85546875" style="318" hidden="1" customWidth="1"/>
    <col min="5398" max="5632" width="8.85546875" style="318" hidden="1"/>
    <col min="5633" max="5633" width="32.7109375" style="318" hidden="1" customWidth="1"/>
    <col min="5634" max="5635" width="12.140625" style="318" hidden="1" customWidth="1"/>
    <col min="5636" max="5636" width="12.85546875" style="318" hidden="1" customWidth="1"/>
    <col min="5637" max="5642" width="12.140625" style="318" hidden="1" customWidth="1"/>
    <col min="5643" max="5653" width="8.85546875" style="318" hidden="1" customWidth="1"/>
    <col min="5654" max="5888" width="8.85546875" style="318" hidden="1"/>
    <col min="5889" max="5889" width="32.7109375" style="318" hidden="1" customWidth="1"/>
    <col min="5890" max="5891" width="12.140625" style="318" hidden="1" customWidth="1"/>
    <col min="5892" max="5892" width="12.85546875" style="318" hidden="1" customWidth="1"/>
    <col min="5893" max="5898" width="12.140625" style="318" hidden="1" customWidth="1"/>
    <col min="5899" max="5909" width="8.85546875" style="318" hidden="1" customWidth="1"/>
    <col min="5910" max="6144" width="8.85546875" style="318" hidden="1"/>
    <col min="6145" max="6145" width="32.7109375" style="318" hidden="1" customWidth="1"/>
    <col min="6146" max="6147" width="12.140625" style="318" hidden="1" customWidth="1"/>
    <col min="6148" max="6148" width="12.85546875" style="318" hidden="1" customWidth="1"/>
    <col min="6149" max="6154" width="12.140625" style="318" hidden="1" customWidth="1"/>
    <col min="6155" max="6165" width="8.85546875" style="318" hidden="1" customWidth="1"/>
    <col min="6166" max="6400" width="8.85546875" style="318" hidden="1"/>
    <col min="6401" max="6401" width="32.7109375" style="318" hidden="1" customWidth="1"/>
    <col min="6402" max="6403" width="12.140625" style="318" hidden="1" customWidth="1"/>
    <col min="6404" max="6404" width="12.85546875" style="318" hidden="1" customWidth="1"/>
    <col min="6405" max="6410" width="12.140625" style="318" hidden="1" customWidth="1"/>
    <col min="6411" max="6421" width="8.85546875" style="318" hidden="1" customWidth="1"/>
    <col min="6422" max="6656" width="8.85546875" style="318" hidden="1"/>
    <col min="6657" max="6657" width="32.7109375" style="318" hidden="1" customWidth="1"/>
    <col min="6658" max="6659" width="12.140625" style="318" hidden="1" customWidth="1"/>
    <col min="6660" max="6660" width="12.85546875" style="318" hidden="1" customWidth="1"/>
    <col min="6661" max="6666" width="12.140625" style="318" hidden="1" customWidth="1"/>
    <col min="6667" max="6677" width="8.85546875" style="318" hidden="1" customWidth="1"/>
    <col min="6678" max="6912" width="8.85546875" style="318" hidden="1"/>
    <col min="6913" max="6913" width="32.7109375" style="318" hidden="1" customWidth="1"/>
    <col min="6914" max="6915" width="12.140625" style="318" hidden="1" customWidth="1"/>
    <col min="6916" max="6916" width="12.85546875" style="318" hidden="1" customWidth="1"/>
    <col min="6917" max="6922" width="12.140625" style="318" hidden="1" customWidth="1"/>
    <col min="6923" max="6933" width="8.85546875" style="318" hidden="1" customWidth="1"/>
    <col min="6934" max="7168" width="8.85546875" style="318" hidden="1"/>
    <col min="7169" max="7169" width="32.7109375" style="318" hidden="1" customWidth="1"/>
    <col min="7170" max="7171" width="12.140625" style="318" hidden="1" customWidth="1"/>
    <col min="7172" max="7172" width="12.85546875" style="318" hidden="1" customWidth="1"/>
    <col min="7173" max="7178" width="12.140625" style="318" hidden="1" customWidth="1"/>
    <col min="7179" max="7189" width="8.85546875" style="318" hidden="1" customWidth="1"/>
    <col min="7190" max="7424" width="8.85546875" style="318" hidden="1"/>
    <col min="7425" max="7425" width="32.7109375" style="318" hidden="1" customWidth="1"/>
    <col min="7426" max="7427" width="12.140625" style="318" hidden="1" customWidth="1"/>
    <col min="7428" max="7428" width="12.85546875" style="318" hidden="1" customWidth="1"/>
    <col min="7429" max="7434" width="12.140625" style="318" hidden="1" customWidth="1"/>
    <col min="7435" max="7445" width="8.85546875" style="318" hidden="1" customWidth="1"/>
    <col min="7446" max="7680" width="8.85546875" style="318" hidden="1"/>
    <col min="7681" max="7681" width="32.7109375" style="318" hidden="1" customWidth="1"/>
    <col min="7682" max="7683" width="12.140625" style="318" hidden="1" customWidth="1"/>
    <col min="7684" max="7684" width="12.85546875" style="318" hidden="1" customWidth="1"/>
    <col min="7685" max="7690" width="12.140625" style="318" hidden="1" customWidth="1"/>
    <col min="7691" max="7701" width="8.85546875" style="318" hidden="1" customWidth="1"/>
    <col min="7702" max="7936" width="8.85546875" style="318" hidden="1"/>
    <col min="7937" max="7937" width="32.7109375" style="318" hidden="1" customWidth="1"/>
    <col min="7938" max="7939" width="12.140625" style="318" hidden="1" customWidth="1"/>
    <col min="7940" max="7940" width="12.85546875" style="318" hidden="1" customWidth="1"/>
    <col min="7941" max="7946" width="12.140625" style="318" hidden="1" customWidth="1"/>
    <col min="7947" max="7957" width="8.85546875" style="318" hidden="1" customWidth="1"/>
    <col min="7958" max="8192" width="8.85546875" style="318" hidden="1"/>
    <col min="8193" max="8193" width="32.7109375" style="318" hidden="1" customWidth="1"/>
    <col min="8194" max="8195" width="12.140625" style="318" hidden="1" customWidth="1"/>
    <col min="8196" max="8196" width="12.85546875" style="318" hidden="1" customWidth="1"/>
    <col min="8197" max="8202" width="12.140625" style="318" hidden="1" customWidth="1"/>
    <col min="8203" max="8213" width="8.85546875" style="318" hidden="1" customWidth="1"/>
    <col min="8214" max="8448" width="8.85546875" style="318" hidden="1"/>
    <col min="8449" max="8449" width="32.7109375" style="318" hidden="1" customWidth="1"/>
    <col min="8450" max="8451" width="12.140625" style="318" hidden="1" customWidth="1"/>
    <col min="8452" max="8452" width="12.85546875" style="318" hidden="1" customWidth="1"/>
    <col min="8453" max="8458" width="12.140625" style="318" hidden="1" customWidth="1"/>
    <col min="8459" max="8469" width="8.85546875" style="318" hidden="1" customWidth="1"/>
    <col min="8470" max="8704" width="8.85546875" style="318" hidden="1"/>
    <col min="8705" max="8705" width="32.7109375" style="318" hidden="1" customWidth="1"/>
    <col min="8706" max="8707" width="12.140625" style="318" hidden="1" customWidth="1"/>
    <col min="8708" max="8708" width="12.85546875" style="318" hidden="1" customWidth="1"/>
    <col min="8709" max="8714" width="12.140625" style="318" hidden="1" customWidth="1"/>
    <col min="8715" max="8725" width="8.85546875" style="318" hidden="1" customWidth="1"/>
    <col min="8726" max="8960" width="8.85546875" style="318" hidden="1"/>
    <col min="8961" max="8961" width="32.7109375" style="318" hidden="1" customWidth="1"/>
    <col min="8962" max="8963" width="12.140625" style="318" hidden="1" customWidth="1"/>
    <col min="8964" max="8964" width="12.85546875" style="318" hidden="1" customWidth="1"/>
    <col min="8965" max="8970" width="12.140625" style="318" hidden="1" customWidth="1"/>
    <col min="8971" max="8981" width="8.85546875" style="318" hidden="1" customWidth="1"/>
    <col min="8982" max="9216" width="8.85546875" style="318" hidden="1"/>
    <col min="9217" max="9217" width="32.7109375" style="318" hidden="1" customWidth="1"/>
    <col min="9218" max="9219" width="12.140625" style="318" hidden="1" customWidth="1"/>
    <col min="9220" max="9220" width="12.85546875" style="318" hidden="1" customWidth="1"/>
    <col min="9221" max="9226" width="12.140625" style="318" hidden="1" customWidth="1"/>
    <col min="9227" max="9237" width="8.85546875" style="318" hidden="1" customWidth="1"/>
    <col min="9238" max="9472" width="8.85546875" style="318" hidden="1"/>
    <col min="9473" max="9473" width="32.7109375" style="318" hidden="1" customWidth="1"/>
    <col min="9474" max="9475" width="12.140625" style="318" hidden="1" customWidth="1"/>
    <col min="9476" max="9476" width="12.85546875" style="318" hidden="1" customWidth="1"/>
    <col min="9477" max="9482" width="12.140625" style="318" hidden="1" customWidth="1"/>
    <col min="9483" max="9493" width="8.85546875" style="318" hidden="1" customWidth="1"/>
    <col min="9494" max="9728" width="8.85546875" style="318" hidden="1"/>
    <col min="9729" max="9729" width="32.7109375" style="318" hidden="1" customWidth="1"/>
    <col min="9730" max="9731" width="12.140625" style="318" hidden="1" customWidth="1"/>
    <col min="9732" max="9732" width="12.85546875" style="318" hidden="1" customWidth="1"/>
    <col min="9733" max="9738" width="12.140625" style="318" hidden="1" customWidth="1"/>
    <col min="9739" max="9749" width="8.85546875" style="318" hidden="1" customWidth="1"/>
    <col min="9750" max="9984" width="8.85546875" style="318" hidden="1"/>
    <col min="9985" max="9985" width="32.7109375" style="318" hidden="1" customWidth="1"/>
    <col min="9986" max="9987" width="12.140625" style="318" hidden="1" customWidth="1"/>
    <col min="9988" max="9988" width="12.85546875" style="318" hidden="1" customWidth="1"/>
    <col min="9989" max="9994" width="12.140625" style="318" hidden="1" customWidth="1"/>
    <col min="9995" max="10005" width="8.85546875" style="318" hidden="1" customWidth="1"/>
    <col min="10006" max="10240" width="8.85546875" style="318" hidden="1"/>
    <col min="10241" max="10241" width="32.7109375" style="318" hidden="1" customWidth="1"/>
    <col min="10242" max="10243" width="12.140625" style="318" hidden="1" customWidth="1"/>
    <col min="10244" max="10244" width="12.85546875" style="318" hidden="1" customWidth="1"/>
    <col min="10245" max="10250" width="12.140625" style="318" hidden="1" customWidth="1"/>
    <col min="10251" max="10261" width="8.85546875" style="318" hidden="1" customWidth="1"/>
    <col min="10262" max="10496" width="8.85546875" style="318" hidden="1"/>
    <col min="10497" max="10497" width="32.7109375" style="318" hidden="1" customWidth="1"/>
    <col min="10498" max="10499" width="12.140625" style="318" hidden="1" customWidth="1"/>
    <col min="10500" max="10500" width="12.85546875" style="318" hidden="1" customWidth="1"/>
    <col min="10501" max="10506" width="12.140625" style="318" hidden="1" customWidth="1"/>
    <col min="10507" max="10517" width="8.85546875" style="318" hidden="1" customWidth="1"/>
    <col min="10518" max="10752" width="8.85546875" style="318" hidden="1"/>
    <col min="10753" max="10753" width="32.7109375" style="318" hidden="1" customWidth="1"/>
    <col min="10754" max="10755" width="12.140625" style="318" hidden="1" customWidth="1"/>
    <col min="10756" max="10756" width="12.85546875" style="318" hidden="1" customWidth="1"/>
    <col min="10757" max="10762" width="12.140625" style="318" hidden="1" customWidth="1"/>
    <col min="10763" max="10773" width="8.85546875" style="318" hidden="1" customWidth="1"/>
    <col min="10774" max="11008" width="8.85546875" style="318" hidden="1"/>
    <col min="11009" max="11009" width="32.7109375" style="318" hidden="1" customWidth="1"/>
    <col min="11010" max="11011" width="12.140625" style="318" hidden="1" customWidth="1"/>
    <col min="11012" max="11012" width="12.85546875" style="318" hidden="1" customWidth="1"/>
    <col min="11013" max="11018" width="12.140625" style="318" hidden="1" customWidth="1"/>
    <col min="11019" max="11029" width="8.85546875" style="318" hidden="1" customWidth="1"/>
    <col min="11030" max="11264" width="8.85546875" style="318" hidden="1"/>
    <col min="11265" max="11265" width="32.7109375" style="318" hidden="1" customWidth="1"/>
    <col min="11266" max="11267" width="12.140625" style="318" hidden="1" customWidth="1"/>
    <col min="11268" max="11268" width="12.85546875" style="318" hidden="1" customWidth="1"/>
    <col min="11269" max="11274" width="12.140625" style="318" hidden="1" customWidth="1"/>
    <col min="11275" max="11285" width="8.85546875" style="318" hidden="1" customWidth="1"/>
    <col min="11286" max="11520" width="8.85546875" style="318" hidden="1"/>
    <col min="11521" max="11521" width="32.7109375" style="318" hidden="1" customWidth="1"/>
    <col min="11522" max="11523" width="12.140625" style="318" hidden="1" customWidth="1"/>
    <col min="11524" max="11524" width="12.85546875" style="318" hidden="1" customWidth="1"/>
    <col min="11525" max="11530" width="12.140625" style="318" hidden="1" customWidth="1"/>
    <col min="11531" max="11541" width="8.85546875" style="318" hidden="1" customWidth="1"/>
    <col min="11542" max="11776" width="8.85546875" style="318" hidden="1"/>
    <col min="11777" max="11777" width="32.7109375" style="318" hidden="1" customWidth="1"/>
    <col min="11778" max="11779" width="12.140625" style="318" hidden="1" customWidth="1"/>
    <col min="11780" max="11780" width="12.85546875" style="318" hidden="1" customWidth="1"/>
    <col min="11781" max="11786" width="12.140625" style="318" hidden="1" customWidth="1"/>
    <col min="11787" max="11797" width="8.85546875" style="318" hidden="1" customWidth="1"/>
    <col min="11798" max="12032" width="8.85546875" style="318" hidden="1"/>
    <col min="12033" max="12033" width="32.7109375" style="318" hidden="1" customWidth="1"/>
    <col min="12034" max="12035" width="12.140625" style="318" hidden="1" customWidth="1"/>
    <col min="12036" max="12036" width="12.85546875" style="318" hidden="1" customWidth="1"/>
    <col min="12037" max="12042" width="12.140625" style="318" hidden="1" customWidth="1"/>
    <col min="12043" max="12053" width="8.85546875" style="318" hidden="1" customWidth="1"/>
    <col min="12054" max="12288" width="8.85546875" style="318" hidden="1"/>
    <col min="12289" max="12289" width="32.7109375" style="318" hidden="1" customWidth="1"/>
    <col min="12290" max="12291" width="12.140625" style="318" hidden="1" customWidth="1"/>
    <col min="12292" max="12292" width="12.85546875" style="318" hidden="1" customWidth="1"/>
    <col min="12293" max="12298" width="12.140625" style="318" hidden="1" customWidth="1"/>
    <col min="12299" max="12309" width="8.85546875" style="318" hidden="1" customWidth="1"/>
    <col min="12310" max="12544" width="8.85546875" style="318" hidden="1"/>
    <col min="12545" max="12545" width="32.7109375" style="318" hidden="1" customWidth="1"/>
    <col min="12546" max="12547" width="12.140625" style="318" hidden="1" customWidth="1"/>
    <col min="12548" max="12548" width="12.85546875" style="318" hidden="1" customWidth="1"/>
    <col min="12549" max="12554" width="12.140625" style="318" hidden="1" customWidth="1"/>
    <col min="12555" max="12565" width="8.85546875" style="318" hidden="1" customWidth="1"/>
    <col min="12566" max="12800" width="8.85546875" style="318" hidden="1"/>
    <col min="12801" max="12801" width="32.7109375" style="318" hidden="1" customWidth="1"/>
    <col min="12802" max="12803" width="12.140625" style="318" hidden="1" customWidth="1"/>
    <col min="12804" max="12804" width="12.85546875" style="318" hidden="1" customWidth="1"/>
    <col min="12805" max="12810" width="12.140625" style="318" hidden="1" customWidth="1"/>
    <col min="12811" max="12821" width="8.85546875" style="318" hidden="1" customWidth="1"/>
    <col min="12822" max="13056" width="8.85546875" style="318" hidden="1"/>
    <col min="13057" max="13057" width="32.7109375" style="318" hidden="1" customWidth="1"/>
    <col min="13058" max="13059" width="12.140625" style="318" hidden="1" customWidth="1"/>
    <col min="13060" max="13060" width="12.85546875" style="318" hidden="1" customWidth="1"/>
    <col min="13061" max="13066" width="12.140625" style="318" hidden="1" customWidth="1"/>
    <col min="13067" max="13077" width="8.85546875" style="318" hidden="1" customWidth="1"/>
    <col min="13078" max="13312" width="8.85546875" style="318" hidden="1"/>
    <col min="13313" max="13313" width="32.7109375" style="318" hidden="1" customWidth="1"/>
    <col min="13314" max="13315" width="12.140625" style="318" hidden="1" customWidth="1"/>
    <col min="13316" max="13316" width="12.85546875" style="318" hidden="1" customWidth="1"/>
    <col min="13317" max="13322" width="12.140625" style="318" hidden="1" customWidth="1"/>
    <col min="13323" max="13333" width="8.85546875" style="318" hidden="1" customWidth="1"/>
    <col min="13334" max="13568" width="8.85546875" style="318" hidden="1"/>
    <col min="13569" max="13569" width="32.7109375" style="318" hidden="1" customWidth="1"/>
    <col min="13570" max="13571" width="12.140625" style="318" hidden="1" customWidth="1"/>
    <col min="13572" max="13572" width="12.85546875" style="318" hidden="1" customWidth="1"/>
    <col min="13573" max="13578" width="12.140625" style="318" hidden="1" customWidth="1"/>
    <col min="13579" max="13589" width="8.85546875" style="318" hidden="1" customWidth="1"/>
    <col min="13590" max="13824" width="8.85546875" style="318" hidden="1"/>
    <col min="13825" max="13825" width="32.7109375" style="318" hidden="1" customWidth="1"/>
    <col min="13826" max="13827" width="12.140625" style="318" hidden="1" customWidth="1"/>
    <col min="13828" max="13828" width="12.85546875" style="318" hidden="1" customWidth="1"/>
    <col min="13829" max="13834" width="12.140625" style="318" hidden="1" customWidth="1"/>
    <col min="13835" max="13845" width="8.85546875" style="318" hidden="1" customWidth="1"/>
    <col min="13846" max="14080" width="8.85546875" style="318" hidden="1"/>
    <col min="14081" max="14081" width="32.7109375" style="318" hidden="1" customWidth="1"/>
    <col min="14082" max="14083" width="12.140625" style="318" hidden="1" customWidth="1"/>
    <col min="14084" max="14084" width="12.85546875" style="318" hidden="1" customWidth="1"/>
    <col min="14085" max="14090" width="12.140625" style="318" hidden="1" customWidth="1"/>
    <col min="14091" max="14101" width="8.85546875" style="318" hidden="1" customWidth="1"/>
    <col min="14102" max="14336" width="8.85546875" style="318" hidden="1"/>
    <col min="14337" max="14337" width="32.7109375" style="318" hidden="1" customWidth="1"/>
    <col min="14338" max="14339" width="12.140625" style="318" hidden="1" customWidth="1"/>
    <col min="14340" max="14340" width="12.85546875" style="318" hidden="1" customWidth="1"/>
    <col min="14341" max="14346" width="12.140625" style="318" hidden="1" customWidth="1"/>
    <col min="14347" max="14357" width="8.85546875" style="318" hidden="1" customWidth="1"/>
    <col min="14358" max="14592" width="8.85546875" style="318" hidden="1"/>
    <col min="14593" max="14593" width="32.7109375" style="318" hidden="1" customWidth="1"/>
    <col min="14594" max="14595" width="12.140625" style="318" hidden="1" customWidth="1"/>
    <col min="14596" max="14596" width="12.85546875" style="318" hidden="1" customWidth="1"/>
    <col min="14597" max="14602" width="12.140625" style="318" hidden="1" customWidth="1"/>
    <col min="14603" max="14613" width="8.85546875" style="318" hidden="1" customWidth="1"/>
    <col min="14614" max="14848" width="8.85546875" style="318" hidden="1"/>
    <col min="14849" max="14849" width="32.7109375" style="318" hidden="1" customWidth="1"/>
    <col min="14850" max="14851" width="12.140625" style="318" hidden="1" customWidth="1"/>
    <col min="14852" max="14852" width="12.85546875" style="318" hidden="1" customWidth="1"/>
    <col min="14853" max="14858" width="12.140625" style="318" hidden="1" customWidth="1"/>
    <col min="14859" max="14869" width="8.85546875" style="318" hidden="1" customWidth="1"/>
    <col min="14870" max="15104" width="8.85546875" style="318" hidden="1"/>
    <col min="15105" max="15105" width="32.7109375" style="318" hidden="1" customWidth="1"/>
    <col min="15106" max="15107" width="12.140625" style="318" hidden="1" customWidth="1"/>
    <col min="15108" max="15108" width="12.85546875" style="318" hidden="1" customWidth="1"/>
    <col min="15109" max="15114" width="12.140625" style="318" hidden="1" customWidth="1"/>
    <col min="15115" max="15125" width="8.85546875" style="318" hidden="1" customWidth="1"/>
    <col min="15126" max="15360" width="8.85546875" style="318" hidden="1"/>
    <col min="15361" max="15361" width="32.7109375" style="318" hidden="1" customWidth="1"/>
    <col min="15362" max="15363" width="12.140625" style="318" hidden="1" customWidth="1"/>
    <col min="15364" max="15364" width="12.85546875" style="318" hidden="1" customWidth="1"/>
    <col min="15365" max="15370" width="12.140625" style="318" hidden="1" customWidth="1"/>
    <col min="15371" max="15381" width="8.85546875" style="318" hidden="1" customWidth="1"/>
    <col min="15382" max="15616" width="8.85546875" style="318" hidden="1"/>
    <col min="15617" max="15617" width="32.7109375" style="318" hidden="1" customWidth="1"/>
    <col min="15618" max="15619" width="12.140625" style="318" hidden="1" customWidth="1"/>
    <col min="15620" max="15620" width="12.85546875" style="318" hidden="1" customWidth="1"/>
    <col min="15621" max="15626" width="12.140625" style="318" hidden="1" customWidth="1"/>
    <col min="15627" max="15637" width="8.85546875" style="318" hidden="1" customWidth="1"/>
    <col min="15638" max="15872" width="8.85546875" style="318" hidden="1"/>
    <col min="15873" max="15873" width="32.7109375" style="318" hidden="1" customWidth="1"/>
    <col min="15874" max="15875" width="12.140625" style="318" hidden="1" customWidth="1"/>
    <col min="15876" max="15876" width="12.85546875" style="318" hidden="1" customWidth="1"/>
    <col min="15877" max="15882" width="12.140625" style="318" hidden="1" customWidth="1"/>
    <col min="15883" max="15893" width="8.85546875" style="318" hidden="1" customWidth="1"/>
    <col min="15894" max="16128" width="8.85546875" style="318" hidden="1"/>
    <col min="16129" max="16129" width="32.7109375" style="318" hidden="1" customWidth="1"/>
    <col min="16130" max="16131" width="12.140625" style="318" hidden="1" customWidth="1"/>
    <col min="16132" max="16132" width="12.85546875" style="318" hidden="1" customWidth="1"/>
    <col min="16133" max="16138" width="12.140625" style="318" hidden="1" customWidth="1"/>
    <col min="16139" max="16149" width="8.85546875" style="318" hidden="1" customWidth="1"/>
    <col min="16150" max="16384" width="8.85546875" style="318" hidden="1"/>
  </cols>
  <sheetData>
    <row r="1" spans="1:11" s="281" customFormat="1" ht="12.95">
      <c r="A1" s="1623" t="s">
        <v>1928</v>
      </c>
      <c r="B1" s="1624"/>
      <c r="C1" s="1624"/>
      <c r="D1" s="1624"/>
      <c r="E1" s="1624"/>
      <c r="F1" s="1624"/>
      <c r="G1" s="1624"/>
      <c r="H1" s="1624"/>
      <c r="I1" s="1624"/>
      <c r="J1" s="1625"/>
      <c r="K1" s="280"/>
    </row>
    <row r="2" spans="1:11" s="326" customFormat="1" ht="78">
      <c r="A2" s="323"/>
      <c r="B2" s="324" t="s">
        <v>1929</v>
      </c>
      <c r="C2" s="324" t="s">
        <v>1930</v>
      </c>
      <c r="D2" s="324" t="s">
        <v>1931</v>
      </c>
      <c r="E2" s="324" t="s">
        <v>1932</v>
      </c>
      <c r="F2" s="324" t="s">
        <v>1933</v>
      </c>
      <c r="G2" s="324" t="s">
        <v>1934</v>
      </c>
      <c r="H2" s="324" t="s">
        <v>1935</v>
      </c>
      <c r="I2" s="324" t="s">
        <v>1936</v>
      </c>
      <c r="J2" s="324" t="s">
        <v>1937</v>
      </c>
      <c r="K2" s="325"/>
    </row>
    <row r="3" spans="1:11" s="285" customFormat="1" ht="12.95">
      <c r="A3" s="282" t="s">
        <v>1807</v>
      </c>
      <c r="B3" s="283"/>
      <c r="C3" s="283"/>
      <c r="D3" s="283"/>
      <c r="E3" s="283"/>
      <c r="F3" s="283"/>
      <c r="G3" s="283"/>
      <c r="H3" s="283"/>
      <c r="I3" s="283"/>
      <c r="J3" s="283"/>
      <c r="K3" s="284"/>
    </row>
    <row r="4" spans="1:11" s="285" customFormat="1" ht="12.95">
      <c r="A4" s="289" t="s">
        <v>1808</v>
      </c>
      <c r="B4" s="286">
        <f>'Sources and Uses Budget'!C4</f>
        <v>2700000</v>
      </c>
      <c r="C4" s="287">
        <v>2700000</v>
      </c>
      <c r="D4" s="287"/>
      <c r="E4" s="288"/>
      <c r="F4" s="288"/>
      <c r="G4" s="288"/>
      <c r="H4" s="288"/>
      <c r="I4" s="288"/>
      <c r="J4" s="288"/>
      <c r="K4" s="284"/>
    </row>
    <row r="5" spans="1:11" s="285" customFormat="1" ht="12.95">
      <c r="A5" s="289" t="s">
        <v>1809</v>
      </c>
      <c r="B5" s="286">
        <f>'Sources and Uses Budget'!C5</f>
        <v>100000</v>
      </c>
      <c r="C5" s="287">
        <v>100000</v>
      </c>
      <c r="D5" s="287"/>
      <c r="E5" s="288"/>
      <c r="F5" s="288"/>
      <c r="G5" s="288"/>
      <c r="H5" s="288"/>
      <c r="I5" s="288"/>
      <c r="J5" s="288"/>
      <c r="K5" s="284"/>
    </row>
    <row r="6" spans="1:11" s="285" customFormat="1" ht="12.95">
      <c r="A6" s="289" t="s">
        <v>1810</v>
      </c>
      <c r="B6" s="286">
        <f>'Sources and Uses Budget'!C6</f>
        <v>0</v>
      </c>
      <c r="C6" s="287"/>
      <c r="D6" s="287"/>
      <c r="E6" s="288"/>
      <c r="F6" s="288"/>
      <c r="G6" s="288"/>
      <c r="H6" s="288"/>
      <c r="I6" s="288"/>
      <c r="J6" s="288"/>
      <c r="K6" s="284"/>
    </row>
    <row r="7" spans="1:11" s="285" customFormat="1" ht="12.95">
      <c r="A7" s="289" t="s">
        <v>1811</v>
      </c>
      <c r="B7" s="286">
        <f>'Sources and Uses Budget'!C7</f>
        <v>0</v>
      </c>
      <c r="C7" s="287"/>
      <c r="D7" s="287"/>
      <c r="E7" s="288"/>
      <c r="F7" s="288"/>
      <c r="G7" s="288"/>
      <c r="H7" s="288"/>
      <c r="I7" s="288"/>
      <c r="J7" s="288"/>
      <c r="K7" s="284"/>
    </row>
    <row r="8" spans="1:11" s="285" customFormat="1" ht="12.95">
      <c r="A8" s="290" t="s">
        <v>1812</v>
      </c>
      <c r="B8" s="286">
        <f>'Sources and Uses Budget'!C8</f>
        <v>2800000</v>
      </c>
      <c r="C8" s="286">
        <f>SUM(C4:C7)</f>
        <v>2800000</v>
      </c>
      <c r="D8" s="286">
        <f>SUM(D4:D7)</f>
        <v>0</v>
      </c>
      <c r="E8" s="288"/>
      <c r="F8" s="288"/>
      <c r="G8" s="288"/>
      <c r="H8" s="288"/>
      <c r="I8" s="288"/>
      <c r="J8" s="288"/>
      <c r="K8" s="284"/>
    </row>
    <row r="9" spans="1:11" s="285" customFormat="1" ht="12.95">
      <c r="A9" s="289" t="s">
        <v>1813</v>
      </c>
      <c r="B9" s="286">
        <f>'Sources and Uses Budget'!C9</f>
        <v>0</v>
      </c>
      <c r="C9" s="287"/>
      <c r="D9" s="287"/>
      <c r="E9" s="288"/>
      <c r="F9" s="288"/>
      <c r="G9" s="288"/>
      <c r="H9" s="286">
        <f>'Sources and Uses Budget'!T9</f>
        <v>0</v>
      </c>
      <c r="I9" s="287"/>
      <c r="J9" s="287"/>
      <c r="K9" s="284"/>
    </row>
    <row r="10" spans="1:11" s="285" customFormat="1" ht="12.95">
      <c r="A10" s="289" t="s">
        <v>1814</v>
      </c>
      <c r="B10" s="286">
        <f>'Sources and Uses Budget'!C10</f>
        <v>500000</v>
      </c>
      <c r="C10" s="287">
        <v>500000</v>
      </c>
      <c r="D10" s="287"/>
      <c r="E10" s="286">
        <f>'Sources and Uses Budget'!S10</f>
        <v>500000</v>
      </c>
      <c r="F10" s="287">
        <v>500000</v>
      </c>
      <c r="G10" s="287"/>
      <c r="H10" s="286">
        <f>'Sources and Uses Budget'!T10</f>
        <v>0</v>
      </c>
      <c r="I10" s="287"/>
      <c r="J10" s="287"/>
      <c r="K10" s="284"/>
    </row>
    <row r="11" spans="1:11" s="285" customFormat="1" ht="12.95">
      <c r="A11" s="290" t="s">
        <v>1815</v>
      </c>
      <c r="B11" s="286">
        <f>'Sources and Uses Budget'!C11</f>
        <v>500000</v>
      </c>
      <c r="C11" s="286">
        <f>SUM(C9:C10)</f>
        <v>500000</v>
      </c>
      <c r="D11" s="286">
        <f>SUM(D9:D10)</f>
        <v>0</v>
      </c>
      <c r="E11" s="288"/>
      <c r="F11" s="288"/>
      <c r="G11" s="288"/>
      <c r="H11" s="286">
        <f>'Sources and Uses Budget'!T11</f>
        <v>0</v>
      </c>
      <c r="I11" s="286">
        <f>SUM(I9:I10)</f>
        <v>0</v>
      </c>
      <c r="J11" s="286">
        <f>SUM(J9:J10)</f>
        <v>0</v>
      </c>
      <c r="K11" s="284"/>
    </row>
    <row r="12" spans="1:11" s="285" customFormat="1" ht="12.95">
      <c r="A12" s="290" t="s">
        <v>1816</v>
      </c>
      <c r="B12" s="286">
        <f>'Sources and Uses Budget'!C12</f>
        <v>3300000</v>
      </c>
      <c r="C12" s="286">
        <f>SUM(C8+C11)</f>
        <v>3300000</v>
      </c>
      <c r="D12" s="286">
        <f>SUM(D8+D11)</f>
        <v>0</v>
      </c>
      <c r="E12" s="288"/>
      <c r="F12" s="288"/>
      <c r="G12" s="288"/>
      <c r="H12" s="288"/>
      <c r="I12" s="288"/>
      <c r="J12" s="288"/>
      <c r="K12" s="284"/>
    </row>
    <row r="13" spans="1:11" s="285" customFormat="1">
      <c r="A13" s="291" t="s">
        <v>1817</v>
      </c>
      <c r="B13" s="286">
        <f>'Sources and Uses Budget'!C13</f>
        <v>0</v>
      </c>
      <c r="C13" s="287"/>
      <c r="D13" s="287"/>
      <c r="E13" s="286">
        <f>'Sources and Uses Budget'!S13</f>
        <v>0</v>
      </c>
      <c r="F13" s="287"/>
      <c r="G13" s="287"/>
      <c r="H13" s="286">
        <f>'Sources and Uses Budget'!T13</f>
        <v>0</v>
      </c>
      <c r="I13" s="287"/>
      <c r="J13" s="287"/>
      <c r="K13" s="284"/>
    </row>
    <row r="14" spans="1:11" s="285" customFormat="1" ht="26.1">
      <c r="A14" s="289" t="s">
        <v>1938</v>
      </c>
      <c r="B14" s="286">
        <f>'Sources and Uses Budget'!C14</f>
        <v>0</v>
      </c>
      <c r="C14" s="287"/>
      <c r="D14" s="287"/>
      <c r="E14" s="286">
        <f>'Sources and Uses Budget'!S14</f>
        <v>0</v>
      </c>
      <c r="F14" s="287"/>
      <c r="G14" s="287"/>
      <c r="H14" s="286">
        <f>'Sources and Uses Budget'!T14</f>
        <v>0</v>
      </c>
      <c r="I14" s="287"/>
      <c r="J14" s="287"/>
      <c r="K14" s="284"/>
    </row>
    <row r="15" spans="1:11" s="285" customFormat="1" ht="12.95">
      <c r="A15" s="289" t="s">
        <v>1819</v>
      </c>
      <c r="B15" s="286">
        <f>'Sources and Uses Budget'!C15</f>
        <v>0</v>
      </c>
      <c r="C15" s="287"/>
      <c r="D15" s="287"/>
      <c r="E15" s="288">
        <f>'Sources and Uses Budget'!S15</f>
        <v>0</v>
      </c>
      <c r="F15" s="288"/>
      <c r="G15" s="288"/>
      <c r="H15" s="288">
        <f>'Sources and Uses Budget'!T15</f>
        <v>0</v>
      </c>
      <c r="I15" s="288"/>
      <c r="J15" s="288"/>
      <c r="K15" s="284"/>
    </row>
    <row r="16" spans="1:11" s="285" customFormat="1" ht="12.95">
      <c r="A16" s="282" t="s">
        <v>1820</v>
      </c>
      <c r="B16" s="283"/>
      <c r="C16" s="283"/>
      <c r="D16" s="283"/>
      <c r="E16" s="283"/>
      <c r="F16" s="283"/>
      <c r="G16" s="283"/>
      <c r="H16" s="283"/>
      <c r="I16" s="283"/>
      <c r="J16" s="283"/>
      <c r="K16" s="284"/>
    </row>
    <row r="17" spans="1:11" s="285" customFormat="1" ht="12.95">
      <c r="A17" s="289" t="s">
        <v>1821</v>
      </c>
      <c r="B17" s="286">
        <f>'Sources and Uses Budget'!C17</f>
        <v>0</v>
      </c>
      <c r="C17" s="287"/>
      <c r="D17" s="287"/>
      <c r="E17" s="286">
        <f>'Sources and Uses Budget'!S17</f>
        <v>0</v>
      </c>
      <c r="F17" s="287"/>
      <c r="G17" s="287"/>
      <c r="H17" s="286">
        <f>'Sources and Uses Budget'!T17</f>
        <v>0</v>
      </c>
      <c r="I17" s="287"/>
      <c r="J17" s="287"/>
      <c r="K17" s="284"/>
    </row>
    <row r="18" spans="1:11" s="285" customFormat="1" ht="12.95">
      <c r="A18" s="289" t="s">
        <v>1822</v>
      </c>
      <c r="B18" s="286">
        <f>'Sources and Uses Budget'!C18</f>
        <v>0</v>
      </c>
      <c r="C18" s="287"/>
      <c r="D18" s="287"/>
      <c r="E18" s="286">
        <f>'Sources and Uses Budget'!S18</f>
        <v>0</v>
      </c>
      <c r="F18" s="287"/>
      <c r="G18" s="287"/>
      <c r="H18" s="286">
        <f>'Sources and Uses Budget'!T18</f>
        <v>0</v>
      </c>
      <c r="I18" s="287"/>
      <c r="J18" s="287"/>
      <c r="K18" s="284"/>
    </row>
    <row r="19" spans="1:11" s="285" customFormat="1" ht="12.95">
      <c r="A19" s="289" t="s">
        <v>1823</v>
      </c>
      <c r="B19" s="286">
        <f>'Sources and Uses Budget'!C19</f>
        <v>0</v>
      </c>
      <c r="C19" s="287"/>
      <c r="D19" s="287"/>
      <c r="E19" s="286">
        <f>'Sources and Uses Budget'!S19</f>
        <v>0</v>
      </c>
      <c r="F19" s="287"/>
      <c r="G19" s="287"/>
      <c r="H19" s="286">
        <f>'Sources and Uses Budget'!T19</f>
        <v>0</v>
      </c>
      <c r="I19" s="287"/>
      <c r="J19" s="287"/>
      <c r="K19" s="284"/>
    </row>
    <row r="20" spans="1:11" s="285" customFormat="1" ht="12.95">
      <c r="A20" s="289" t="s">
        <v>1824</v>
      </c>
      <c r="B20" s="286">
        <f>'Sources and Uses Budget'!C20</f>
        <v>0</v>
      </c>
      <c r="C20" s="287"/>
      <c r="D20" s="287"/>
      <c r="E20" s="286">
        <f>'Sources and Uses Budget'!S20</f>
        <v>0</v>
      </c>
      <c r="F20" s="287"/>
      <c r="G20" s="287"/>
      <c r="H20" s="286">
        <f>'Sources and Uses Budget'!T20</f>
        <v>0</v>
      </c>
      <c r="I20" s="287"/>
      <c r="J20" s="287"/>
      <c r="K20" s="284"/>
    </row>
    <row r="21" spans="1:11" s="285" customFormat="1" ht="12.95">
      <c r="A21" s="289" t="s">
        <v>1825</v>
      </c>
      <c r="B21" s="286">
        <f>'Sources and Uses Budget'!C21</f>
        <v>0</v>
      </c>
      <c r="C21" s="287"/>
      <c r="D21" s="287"/>
      <c r="E21" s="286">
        <f>'Sources and Uses Budget'!S21</f>
        <v>0</v>
      </c>
      <c r="F21" s="287"/>
      <c r="G21" s="287"/>
      <c r="H21" s="286">
        <f>'Sources and Uses Budget'!T21</f>
        <v>0</v>
      </c>
      <c r="I21" s="287"/>
      <c r="J21" s="287"/>
      <c r="K21" s="284"/>
    </row>
    <row r="22" spans="1:11" s="285" customFormat="1" ht="12.95">
      <c r="A22" s="289" t="s">
        <v>1826</v>
      </c>
      <c r="B22" s="286">
        <f>'Sources and Uses Budget'!C22</f>
        <v>0</v>
      </c>
      <c r="C22" s="287"/>
      <c r="D22" s="287"/>
      <c r="E22" s="286">
        <f>'Sources and Uses Budget'!S22</f>
        <v>0</v>
      </c>
      <c r="F22" s="287"/>
      <c r="G22" s="287"/>
      <c r="H22" s="286">
        <f>'Sources and Uses Budget'!T22</f>
        <v>0</v>
      </c>
      <c r="I22" s="287"/>
      <c r="J22" s="287"/>
      <c r="K22" s="284"/>
    </row>
    <row r="23" spans="1:11" s="285" customFormat="1" ht="12.95">
      <c r="A23" s="289" t="s">
        <v>1827</v>
      </c>
      <c r="B23" s="286">
        <f>'Sources and Uses Budget'!C23</f>
        <v>0</v>
      </c>
      <c r="C23" s="287"/>
      <c r="D23" s="287"/>
      <c r="E23" s="286">
        <f>'Sources and Uses Budget'!S23</f>
        <v>0</v>
      </c>
      <c r="F23" s="287"/>
      <c r="G23" s="287"/>
      <c r="H23" s="286">
        <f>'Sources and Uses Budget'!T23</f>
        <v>0</v>
      </c>
      <c r="I23" s="287"/>
      <c r="J23" s="287"/>
      <c r="K23" s="284"/>
    </row>
    <row r="24" spans="1:11" s="285" customFormat="1" ht="12.95">
      <c r="A24" s="434" t="s">
        <v>1828</v>
      </c>
      <c r="B24" s="286">
        <f>'Sources and Uses Budget'!C24</f>
        <v>0</v>
      </c>
      <c r="C24" s="287"/>
      <c r="D24" s="287"/>
      <c r="E24" s="286">
        <f>'Sources and Uses Budget'!S24</f>
        <v>0</v>
      </c>
      <c r="F24" s="287"/>
      <c r="G24" s="287"/>
      <c r="H24" s="286">
        <f>'Sources and Uses Budget'!T24</f>
        <v>0</v>
      </c>
      <c r="I24" s="287"/>
      <c r="J24" s="287"/>
      <c r="K24" s="284"/>
    </row>
    <row r="25" spans="1:11" s="285" customFormat="1" ht="12.95">
      <c r="A25" s="289" t="str">
        <f>'Sources and Uses Budget'!$A25</f>
        <v>Other: (Specify)</v>
      </c>
      <c r="B25" s="286">
        <f>'Sources and Uses Budget'!C25</f>
        <v>0</v>
      </c>
      <c r="C25" s="287"/>
      <c r="D25" s="287"/>
      <c r="E25" s="286">
        <f>'Sources and Uses Budget'!S25</f>
        <v>0</v>
      </c>
      <c r="F25" s="287"/>
      <c r="G25" s="287"/>
      <c r="H25" s="286">
        <f>'Sources and Uses Budget'!T25</f>
        <v>0</v>
      </c>
      <c r="I25" s="287"/>
      <c r="J25" s="287"/>
      <c r="K25" s="284"/>
    </row>
    <row r="26" spans="1:11" s="285" customFormat="1" ht="12.95">
      <c r="A26" s="290" t="s">
        <v>1830</v>
      </c>
      <c r="B26" s="286">
        <f>'Sources and Uses Budget'!C26</f>
        <v>0</v>
      </c>
      <c r="C26" s="286">
        <f>SUM(C17:C25)</f>
        <v>0</v>
      </c>
      <c r="D26" s="286">
        <f>SUM(D17:D25)</f>
        <v>0</v>
      </c>
      <c r="E26" s="286">
        <f>'Sources and Uses Budget'!S26</f>
        <v>0</v>
      </c>
      <c r="F26" s="292">
        <f>SUM(F17:F25)</f>
        <v>0</v>
      </c>
      <c r="G26" s="292">
        <f>SUM(G17:G25)</f>
        <v>0</v>
      </c>
      <c r="H26" s="286">
        <f>'Sources and Uses Budget'!T26</f>
        <v>0</v>
      </c>
      <c r="I26" s="292">
        <f>SUM(I17:I25)</f>
        <v>0</v>
      </c>
      <c r="J26" s="292">
        <f>SUM(J17:J25)</f>
        <v>0</v>
      </c>
      <c r="K26" s="284"/>
    </row>
    <row r="27" spans="1:11" s="285" customFormat="1" ht="12.95">
      <c r="A27" s="290" t="s">
        <v>1831</v>
      </c>
      <c r="B27" s="286">
        <f>'Sources and Uses Budget'!C27</f>
        <v>0</v>
      </c>
      <c r="C27" s="287"/>
      <c r="D27" s="287"/>
      <c r="E27" s="286">
        <f>'Sources and Uses Budget'!S27</f>
        <v>0</v>
      </c>
      <c r="F27" s="287"/>
      <c r="G27" s="287"/>
      <c r="H27" s="286">
        <f>'Sources and Uses Budget'!T27</f>
        <v>0</v>
      </c>
      <c r="I27" s="287"/>
      <c r="J27" s="287"/>
      <c r="K27" s="284"/>
    </row>
    <row r="28" spans="1:11" s="285" customFormat="1" ht="12.95">
      <c r="A28" s="282" t="s">
        <v>1832</v>
      </c>
      <c r="B28" s="283"/>
      <c r="C28" s="283"/>
      <c r="D28" s="283"/>
      <c r="E28" s="283"/>
      <c r="F28" s="283"/>
      <c r="G28" s="283"/>
      <c r="H28" s="283"/>
      <c r="I28" s="283"/>
      <c r="J28" s="283"/>
      <c r="K28" s="284"/>
    </row>
    <row r="29" spans="1:11" s="285" customFormat="1" ht="12.95">
      <c r="A29" s="208" t="s">
        <v>1821</v>
      </c>
      <c r="B29" s="286">
        <f>'Sources and Uses Budget'!C29</f>
        <v>1000000</v>
      </c>
      <c r="C29" s="287">
        <f>B29</f>
        <v>1000000</v>
      </c>
      <c r="D29" s="287"/>
      <c r="E29" s="286">
        <f>'Sources and Uses Budget'!S29</f>
        <v>1000000</v>
      </c>
      <c r="F29" s="287">
        <f>E29</f>
        <v>1000000</v>
      </c>
      <c r="G29" s="287"/>
      <c r="H29" s="286">
        <f>'Sources and Uses Budget'!T29</f>
        <v>0</v>
      </c>
      <c r="I29" s="287"/>
      <c r="J29" s="287"/>
      <c r="K29" s="284"/>
    </row>
    <row r="30" spans="1:11" s="285" customFormat="1" ht="12.95">
      <c r="A30" s="208" t="s">
        <v>1822</v>
      </c>
      <c r="B30" s="286">
        <f>'Sources and Uses Budget'!C30</f>
        <v>13134230.300000001</v>
      </c>
      <c r="C30" s="287">
        <f t="shared" ref="C30:C35" si="0">B30</f>
        <v>13134230.300000001</v>
      </c>
      <c r="D30" s="287"/>
      <c r="E30" s="286">
        <f>'Sources and Uses Budget'!S30</f>
        <v>13134230.300000001</v>
      </c>
      <c r="F30" s="287">
        <f t="shared" ref="F30:F35" si="1">E30</f>
        <v>13134230.300000001</v>
      </c>
      <c r="G30" s="287"/>
      <c r="H30" s="286">
        <f>'Sources and Uses Budget'!T30</f>
        <v>0</v>
      </c>
      <c r="I30" s="287"/>
      <c r="J30" s="287"/>
      <c r="K30" s="284"/>
    </row>
    <row r="31" spans="1:11" s="285" customFormat="1" ht="12.95">
      <c r="A31" s="208" t="s">
        <v>1823</v>
      </c>
      <c r="B31" s="286">
        <f>'Sources and Uses Budget'!C31</f>
        <v>1053664.6000000001</v>
      </c>
      <c r="C31" s="287">
        <f t="shared" si="0"/>
        <v>1053664.6000000001</v>
      </c>
      <c r="D31" s="287"/>
      <c r="E31" s="286">
        <f>'Sources and Uses Budget'!S31</f>
        <v>1053664.6000000001</v>
      </c>
      <c r="F31" s="287">
        <f t="shared" si="1"/>
        <v>1053664.6000000001</v>
      </c>
      <c r="G31" s="287"/>
      <c r="H31" s="286">
        <f>'Sources and Uses Budget'!T31</f>
        <v>0</v>
      </c>
      <c r="I31" s="287"/>
      <c r="J31" s="287"/>
      <c r="K31" s="284"/>
    </row>
    <row r="32" spans="1:11" s="285" customFormat="1" ht="12.95">
      <c r="A32" s="208" t="s">
        <v>1824</v>
      </c>
      <c r="B32" s="286">
        <f>'Sources and Uses Budget'!C32</f>
        <v>351221.5</v>
      </c>
      <c r="C32" s="287">
        <f t="shared" si="0"/>
        <v>351221.5</v>
      </c>
      <c r="D32" s="287"/>
      <c r="E32" s="286">
        <f>'Sources and Uses Budget'!S32</f>
        <v>351221.5</v>
      </c>
      <c r="F32" s="287">
        <f t="shared" si="1"/>
        <v>351221.5</v>
      </c>
      <c r="G32" s="287"/>
      <c r="H32" s="286">
        <f>'Sources and Uses Budget'!T32</f>
        <v>0</v>
      </c>
      <c r="I32" s="287"/>
      <c r="J32" s="287"/>
      <c r="K32" s="284"/>
    </row>
    <row r="33" spans="1:11" s="285" customFormat="1" ht="12.95">
      <c r="A33" s="208" t="s">
        <v>1825</v>
      </c>
      <c r="B33" s="286">
        <f>'Sources and Uses Budget'!C33</f>
        <v>1053664.6000000001</v>
      </c>
      <c r="C33" s="287">
        <f t="shared" si="0"/>
        <v>1053664.6000000001</v>
      </c>
      <c r="D33" s="287"/>
      <c r="E33" s="286">
        <f>'Sources and Uses Budget'!S33</f>
        <v>1053664.6000000001</v>
      </c>
      <c r="F33" s="287">
        <f t="shared" si="1"/>
        <v>1053664.6000000001</v>
      </c>
      <c r="G33" s="287"/>
      <c r="H33" s="286">
        <f>'Sources and Uses Budget'!T33</f>
        <v>0</v>
      </c>
      <c r="I33" s="287"/>
      <c r="J33" s="287"/>
      <c r="K33" s="284"/>
    </row>
    <row r="34" spans="1:11" s="285" customFormat="1" ht="12.95">
      <c r="A34" s="208" t="s">
        <v>1826</v>
      </c>
      <c r="B34" s="286">
        <f>'Sources and Uses Budget'!C34</f>
        <v>2926846.1</v>
      </c>
      <c r="C34" s="287">
        <f t="shared" si="0"/>
        <v>2926846.1</v>
      </c>
      <c r="D34" s="287"/>
      <c r="E34" s="286">
        <f>'Sources and Uses Budget'!S34</f>
        <v>2926846.1</v>
      </c>
      <c r="F34" s="287">
        <f t="shared" si="1"/>
        <v>2926846.1</v>
      </c>
      <c r="G34" s="287"/>
      <c r="H34" s="286">
        <f>'Sources and Uses Budget'!T34</f>
        <v>0</v>
      </c>
      <c r="I34" s="287"/>
      <c r="J34" s="287"/>
      <c r="K34" s="284"/>
    </row>
    <row r="35" spans="1:11" s="285" customFormat="1" ht="12.95">
      <c r="A35" s="208" t="s">
        <v>1827</v>
      </c>
      <c r="B35" s="286">
        <f>'Sources and Uses Budget'!C35</f>
        <v>200196.3</v>
      </c>
      <c r="C35" s="287">
        <f t="shared" si="0"/>
        <v>200196.3</v>
      </c>
      <c r="D35" s="287"/>
      <c r="E35" s="286">
        <f>'Sources and Uses Budget'!S35</f>
        <v>200196.3</v>
      </c>
      <c r="F35" s="287">
        <f t="shared" si="1"/>
        <v>200196.3</v>
      </c>
      <c r="G35" s="287"/>
      <c r="H35" s="286">
        <f>'Sources and Uses Budget'!T35</f>
        <v>0</v>
      </c>
      <c r="I35" s="287"/>
      <c r="J35" s="287"/>
      <c r="K35" s="284"/>
    </row>
    <row r="36" spans="1:11" s="285" customFormat="1" ht="12.95">
      <c r="A36" s="434" t="s">
        <v>1828</v>
      </c>
      <c r="B36" s="286">
        <f>'Sources and Uses Budget'!C36</f>
        <v>0</v>
      </c>
      <c r="C36" s="287"/>
      <c r="D36" s="287"/>
      <c r="E36" s="286">
        <f>'Sources and Uses Budget'!S36</f>
        <v>0</v>
      </c>
      <c r="F36" s="287"/>
      <c r="G36" s="287"/>
      <c r="H36" s="286">
        <f>'Sources and Uses Budget'!T36</f>
        <v>0</v>
      </c>
      <c r="I36" s="287"/>
      <c r="J36" s="287"/>
      <c r="K36" s="284"/>
    </row>
    <row r="37" spans="1:11" s="285" customFormat="1" ht="12.95">
      <c r="A37" s="289" t="str">
        <f>'Sources and Uses Budget'!$A37</f>
        <v>Other: Bond Premium</v>
      </c>
      <c r="B37" s="286">
        <f>'Sources and Uses Budget'!C37</f>
        <v>0</v>
      </c>
      <c r="C37" s="287"/>
      <c r="D37" s="287"/>
      <c r="E37" s="286">
        <f>'Sources and Uses Budget'!S37</f>
        <v>0</v>
      </c>
      <c r="F37" s="287"/>
      <c r="G37" s="287"/>
      <c r="H37" s="286">
        <f>'Sources and Uses Budget'!T37</f>
        <v>0</v>
      </c>
      <c r="I37" s="287"/>
      <c r="J37" s="287"/>
      <c r="K37" s="284"/>
    </row>
    <row r="38" spans="1:11" s="285" customFormat="1" ht="12.95">
      <c r="A38" s="290" t="s">
        <v>1834</v>
      </c>
      <c r="B38" s="286">
        <f>'Sources and Uses Budget'!C38</f>
        <v>19719823.400000002</v>
      </c>
      <c r="C38" s="286">
        <f>SUM(C29:C37)</f>
        <v>19719823.400000002</v>
      </c>
      <c r="D38" s="286">
        <f>SUM(D29:D37)</f>
        <v>0</v>
      </c>
      <c r="E38" s="286">
        <f>'Sources and Uses Budget'!S38</f>
        <v>19719823.400000002</v>
      </c>
      <c r="F38" s="292">
        <f>SUM(F29:F37)</f>
        <v>19719823.400000002</v>
      </c>
      <c r="G38" s="292">
        <f>SUM(G29:G37)</f>
        <v>0</v>
      </c>
      <c r="H38" s="286">
        <f>'Sources and Uses Budget'!T38</f>
        <v>0</v>
      </c>
      <c r="I38" s="292">
        <f>SUM(I29:I37)</f>
        <v>0</v>
      </c>
      <c r="J38" s="292">
        <f>SUM(J29:J37)</f>
        <v>0</v>
      </c>
      <c r="K38" s="284"/>
    </row>
    <row r="39" spans="1:11" s="285" customFormat="1" ht="12.95">
      <c r="A39" s="282" t="s">
        <v>1835</v>
      </c>
      <c r="B39" s="283"/>
      <c r="C39" s="283"/>
      <c r="D39" s="283"/>
      <c r="E39" s="283"/>
      <c r="F39" s="283"/>
      <c r="G39" s="283"/>
      <c r="H39" s="283"/>
      <c r="I39" s="283"/>
      <c r="J39" s="283"/>
      <c r="K39" s="284"/>
    </row>
    <row r="40" spans="1:11" s="285" customFormat="1" ht="12.95">
      <c r="A40" s="289" t="s">
        <v>1836</v>
      </c>
      <c r="B40" s="286">
        <f>'Sources and Uses Budget'!C40</f>
        <v>820000</v>
      </c>
      <c r="C40" s="287">
        <f>B40</f>
        <v>820000</v>
      </c>
      <c r="D40" s="287"/>
      <c r="E40" s="286">
        <f>'Sources and Uses Budget'!S40</f>
        <v>820000</v>
      </c>
      <c r="F40" s="287">
        <f>E40</f>
        <v>820000</v>
      </c>
      <c r="G40" s="287"/>
      <c r="H40" s="286">
        <f>'Sources and Uses Budget'!T40</f>
        <v>0</v>
      </c>
      <c r="I40" s="287"/>
      <c r="J40" s="287"/>
      <c r="K40" s="284"/>
    </row>
    <row r="41" spans="1:11" s="285" customFormat="1" ht="12.95">
      <c r="A41" s="289" t="s">
        <v>1837</v>
      </c>
      <c r="B41" s="286">
        <f>'Sources and Uses Budget'!C41</f>
        <v>0</v>
      </c>
      <c r="C41" s="287"/>
      <c r="D41" s="287"/>
      <c r="E41" s="286">
        <f>'Sources and Uses Budget'!S41</f>
        <v>0</v>
      </c>
      <c r="F41" s="287"/>
      <c r="G41" s="287"/>
      <c r="H41" s="286">
        <f>'Sources and Uses Budget'!T41</f>
        <v>0</v>
      </c>
      <c r="I41" s="287"/>
      <c r="J41" s="287"/>
      <c r="K41" s="284"/>
    </row>
    <row r="42" spans="1:11" s="285" customFormat="1" ht="12.95">
      <c r="A42" s="290" t="s">
        <v>1838</v>
      </c>
      <c r="B42" s="286">
        <f>'Sources and Uses Budget'!C42</f>
        <v>820000</v>
      </c>
      <c r="C42" s="286">
        <f>SUM(C39:C41)</f>
        <v>820000</v>
      </c>
      <c r="D42" s="286">
        <f>SUM(D39:D41)</f>
        <v>0</v>
      </c>
      <c r="E42" s="286">
        <f>'Sources and Uses Budget'!S42</f>
        <v>820000</v>
      </c>
      <c r="F42" s="292">
        <f>SUM(F40:F41)</f>
        <v>820000</v>
      </c>
      <c r="G42" s="292">
        <f>SUM(G40:G41)</f>
        <v>0</v>
      </c>
      <c r="H42" s="286">
        <f>'Sources and Uses Budget'!T42</f>
        <v>0</v>
      </c>
      <c r="I42" s="292">
        <f>SUM(I40:I41)</f>
        <v>0</v>
      </c>
      <c r="J42" s="292">
        <f>SUM(J40:J41)</f>
        <v>0</v>
      </c>
      <c r="K42" s="284"/>
    </row>
    <row r="43" spans="1:11" s="285" customFormat="1" ht="12.95">
      <c r="A43" s="290" t="s">
        <v>1839</v>
      </c>
      <c r="B43" s="286">
        <f>'Sources and Uses Budget'!C43</f>
        <v>650000</v>
      </c>
      <c r="C43" s="287">
        <f>B43</f>
        <v>650000</v>
      </c>
      <c r="D43" s="287"/>
      <c r="E43" s="286">
        <f>'Sources and Uses Budget'!S43</f>
        <v>650000</v>
      </c>
      <c r="F43" s="287">
        <f>C43</f>
        <v>650000</v>
      </c>
      <c r="G43" s="287"/>
      <c r="H43" s="286">
        <f>'Sources and Uses Budget'!T43</f>
        <v>0</v>
      </c>
      <c r="I43" s="287"/>
      <c r="J43" s="287"/>
      <c r="K43" s="284"/>
    </row>
    <row r="44" spans="1:11" s="285" customFormat="1" ht="12.95">
      <c r="A44" s="282" t="s">
        <v>1840</v>
      </c>
      <c r="B44" s="283"/>
      <c r="C44" s="283"/>
      <c r="D44" s="283"/>
      <c r="E44" s="283"/>
      <c r="F44" s="283"/>
      <c r="G44" s="283"/>
      <c r="H44" s="283"/>
      <c r="I44" s="283"/>
      <c r="J44" s="283"/>
      <c r="K44" s="284"/>
    </row>
    <row r="45" spans="1:11" s="285" customFormat="1" ht="12.95">
      <c r="A45" s="289" t="s">
        <v>1841</v>
      </c>
      <c r="B45" s="286">
        <f>'Sources and Uses Budget'!C45</f>
        <v>1596557.5</v>
      </c>
      <c r="C45" s="287">
        <f>B45</f>
        <v>1596557.5</v>
      </c>
      <c r="D45" s="287"/>
      <c r="E45" s="286">
        <f>'Sources and Uses Budget'!S45</f>
        <v>925608</v>
      </c>
      <c r="F45" s="287">
        <f>E45</f>
        <v>925608</v>
      </c>
      <c r="G45" s="287"/>
      <c r="H45" s="286">
        <f>'Sources and Uses Budget'!T45</f>
        <v>0</v>
      </c>
      <c r="I45" s="287"/>
      <c r="J45" s="287"/>
      <c r="K45" s="284"/>
    </row>
    <row r="46" spans="1:11" s="285" customFormat="1" ht="12.95">
      <c r="A46" s="289" t="s">
        <v>1842</v>
      </c>
      <c r="B46" s="286">
        <f>'Sources and Uses Budget'!C46</f>
        <v>141019</v>
      </c>
      <c r="C46" s="287">
        <f t="shared" ref="C46:C53" si="2">B46</f>
        <v>141019</v>
      </c>
      <c r="D46" s="287"/>
      <c r="E46" s="286">
        <f>'Sources and Uses Budget'!S46</f>
        <v>105764</v>
      </c>
      <c r="F46" s="287">
        <f t="shared" ref="F46:F53" si="3">E46</f>
        <v>105764</v>
      </c>
      <c r="G46" s="287"/>
      <c r="H46" s="286">
        <f>'Sources and Uses Budget'!T46</f>
        <v>0</v>
      </c>
      <c r="I46" s="287"/>
      <c r="J46" s="287"/>
      <c r="K46" s="284"/>
    </row>
    <row r="47" spans="1:11" s="285" customFormat="1" ht="12" customHeight="1">
      <c r="A47" s="289" t="s">
        <v>1843</v>
      </c>
      <c r="B47" s="286">
        <f>'Sources and Uses Budget'!C47</f>
        <v>15000</v>
      </c>
      <c r="C47" s="287">
        <f t="shared" si="2"/>
        <v>15000</v>
      </c>
      <c r="D47" s="287"/>
      <c r="E47" s="286">
        <f>'Sources and Uses Budget'!S47</f>
        <v>11250</v>
      </c>
      <c r="F47" s="287">
        <f t="shared" si="3"/>
        <v>11250</v>
      </c>
      <c r="G47" s="287"/>
      <c r="H47" s="286">
        <f>'Sources and Uses Budget'!T47</f>
        <v>0</v>
      </c>
      <c r="I47" s="287"/>
      <c r="J47" s="287"/>
      <c r="K47" s="284"/>
    </row>
    <row r="48" spans="1:11" s="285" customFormat="1" ht="12.95">
      <c r="A48" s="289" t="s">
        <v>1844</v>
      </c>
      <c r="B48" s="286">
        <f>'Sources and Uses Budget'!C48</f>
        <v>180176.7</v>
      </c>
      <c r="C48" s="287">
        <f t="shared" si="2"/>
        <v>180176.7</v>
      </c>
      <c r="D48" s="287"/>
      <c r="E48" s="286">
        <f>'Sources and Uses Budget'!S48</f>
        <v>180176.7</v>
      </c>
      <c r="F48" s="287">
        <f t="shared" si="3"/>
        <v>180176.7</v>
      </c>
      <c r="G48" s="287"/>
      <c r="H48" s="286">
        <f>'Sources and Uses Budget'!T48</f>
        <v>0</v>
      </c>
      <c r="I48" s="287"/>
      <c r="J48" s="287"/>
      <c r="K48" s="284"/>
    </row>
    <row r="49" spans="1:11" s="285" customFormat="1" ht="12.95">
      <c r="A49" s="208" t="s">
        <v>1845</v>
      </c>
      <c r="B49" s="286">
        <f>'Sources and Uses Budget'!C49</f>
        <v>35255</v>
      </c>
      <c r="C49" s="287">
        <f t="shared" si="2"/>
        <v>35255</v>
      </c>
      <c r="D49" s="287"/>
      <c r="E49" s="286">
        <f>'Sources and Uses Budget'!S49</f>
        <v>35255</v>
      </c>
      <c r="F49" s="287">
        <f t="shared" si="3"/>
        <v>35255</v>
      </c>
      <c r="G49" s="287"/>
      <c r="H49" s="286">
        <f>'Sources and Uses Budget'!T49</f>
        <v>0</v>
      </c>
      <c r="I49" s="287"/>
      <c r="J49" s="287"/>
      <c r="K49" s="284"/>
    </row>
    <row r="50" spans="1:11" s="285" customFormat="1" ht="12.95">
      <c r="A50" s="289" t="s">
        <v>1846</v>
      </c>
      <c r="B50" s="286">
        <f>'Sources and Uses Budget'!C50</f>
        <v>100000</v>
      </c>
      <c r="C50" s="287">
        <f t="shared" si="2"/>
        <v>100000</v>
      </c>
      <c r="D50" s="287"/>
      <c r="E50" s="286">
        <f>'Sources and Uses Budget'!S50</f>
        <v>75000</v>
      </c>
      <c r="F50" s="287">
        <f t="shared" si="3"/>
        <v>75000</v>
      </c>
      <c r="G50" s="287"/>
      <c r="H50" s="286">
        <f>'Sources and Uses Budget'!T50</f>
        <v>0</v>
      </c>
      <c r="I50" s="287"/>
      <c r="J50" s="287"/>
      <c r="K50" s="284"/>
    </row>
    <row r="51" spans="1:11" s="285" customFormat="1" ht="12.95">
      <c r="A51" s="289" t="s">
        <v>1847</v>
      </c>
      <c r="B51" s="286">
        <f>'Sources and Uses Budget'!C51</f>
        <v>105000</v>
      </c>
      <c r="C51" s="287">
        <f t="shared" si="2"/>
        <v>105000</v>
      </c>
      <c r="D51" s="287"/>
      <c r="E51" s="286">
        <f>'Sources and Uses Budget'!S51</f>
        <v>105000</v>
      </c>
      <c r="F51" s="287">
        <f t="shared" si="3"/>
        <v>105000</v>
      </c>
      <c r="G51" s="287"/>
      <c r="H51" s="286">
        <f>'Sources and Uses Budget'!T51</f>
        <v>0</v>
      </c>
      <c r="I51" s="287"/>
      <c r="J51" s="287"/>
      <c r="K51" s="284"/>
    </row>
    <row r="52" spans="1:11" s="285" customFormat="1" ht="12.95">
      <c r="A52" s="289" t="s">
        <v>1848</v>
      </c>
      <c r="B52" s="286">
        <f>'Sources and Uses Budget'!C52</f>
        <v>306000</v>
      </c>
      <c r="C52" s="287">
        <f t="shared" si="2"/>
        <v>306000</v>
      </c>
      <c r="D52" s="287"/>
      <c r="E52" s="286">
        <f>'Sources and Uses Budget'!S52</f>
        <v>306000</v>
      </c>
      <c r="F52" s="287">
        <f t="shared" si="3"/>
        <v>306000</v>
      </c>
      <c r="G52" s="287"/>
      <c r="H52" s="286">
        <f>'Sources and Uses Budget'!T52</f>
        <v>0</v>
      </c>
      <c r="I52" s="287"/>
      <c r="J52" s="287"/>
      <c r="K52" s="284"/>
    </row>
    <row r="53" spans="1:11" s="285" customFormat="1" ht="12.95">
      <c r="A53" s="289" t="str">
        <f>'Sources and Uses Budget'!$A53</f>
        <v>Other: Employment Reporting</v>
      </c>
      <c r="B53" s="286">
        <f>'Sources and Uses Budget'!C53</f>
        <v>25000</v>
      </c>
      <c r="C53" s="287">
        <f t="shared" si="2"/>
        <v>25000</v>
      </c>
      <c r="D53" s="287"/>
      <c r="E53" s="286">
        <f>'Sources and Uses Budget'!S53</f>
        <v>25000</v>
      </c>
      <c r="F53" s="287">
        <f t="shared" si="3"/>
        <v>25000</v>
      </c>
      <c r="G53" s="287"/>
      <c r="H53" s="286">
        <f>'Sources and Uses Budget'!T53</f>
        <v>0</v>
      </c>
      <c r="I53" s="287"/>
      <c r="J53" s="287"/>
      <c r="K53" s="284"/>
    </row>
    <row r="54" spans="1:11" s="294" customFormat="1" ht="12.95">
      <c r="A54" s="290" t="s">
        <v>1850</v>
      </c>
      <c r="B54" s="286">
        <f>'Sources and Uses Budget'!C54</f>
        <v>2504008.2000000002</v>
      </c>
      <c r="C54" s="292">
        <f>SUM(C45:C53)</f>
        <v>2504008.2000000002</v>
      </c>
      <c r="D54" s="292">
        <f>SUM(D45:D53)</f>
        <v>0</v>
      </c>
      <c r="E54" s="286">
        <f>'Sources and Uses Budget'!S54</f>
        <v>1769053.7</v>
      </c>
      <c r="F54" s="292">
        <f>SUM(F45:F53)</f>
        <v>1769053.7</v>
      </c>
      <c r="G54" s="292">
        <f>SUM(G45:G53)</f>
        <v>0</v>
      </c>
      <c r="H54" s="286">
        <f>'Sources and Uses Budget'!T54</f>
        <v>0</v>
      </c>
      <c r="I54" s="292">
        <f>SUM(I45:I53)</f>
        <v>0</v>
      </c>
      <c r="J54" s="292">
        <f>SUM(J45:J53)</f>
        <v>0</v>
      </c>
      <c r="K54" s="293"/>
    </row>
    <row r="55" spans="1:11" s="285" customFormat="1" ht="12.95">
      <c r="A55" s="282" t="s">
        <v>1414</v>
      </c>
      <c r="B55" s="283"/>
      <c r="C55" s="283"/>
      <c r="D55" s="283"/>
      <c r="E55" s="283"/>
      <c r="F55" s="283"/>
      <c r="G55" s="283"/>
      <c r="H55" s="283"/>
      <c r="I55" s="283"/>
      <c r="J55" s="283"/>
      <c r="K55" s="284"/>
    </row>
    <row r="56" spans="1:11" s="285" customFormat="1" ht="12.95">
      <c r="A56" s="289" t="s">
        <v>1851</v>
      </c>
      <c r="B56" s="286">
        <f>'Sources and Uses Budget'!C56</f>
        <v>0</v>
      </c>
      <c r="C56" s="287"/>
      <c r="D56" s="287"/>
      <c r="E56" s="288"/>
      <c r="F56" s="288"/>
      <c r="G56" s="288"/>
      <c r="H56" s="288"/>
      <c r="I56" s="288"/>
      <c r="J56" s="288"/>
      <c r="K56" s="284"/>
    </row>
    <row r="57" spans="1:11" s="285" customFormat="1" ht="12" customHeight="1">
      <c r="A57" s="289" t="s">
        <v>1843</v>
      </c>
      <c r="B57" s="286">
        <f>'Sources and Uses Budget'!C57</f>
        <v>0</v>
      </c>
      <c r="C57" s="287"/>
      <c r="D57" s="287"/>
      <c r="E57" s="288"/>
      <c r="F57" s="288"/>
      <c r="G57" s="288"/>
      <c r="H57" s="288"/>
      <c r="I57" s="288"/>
      <c r="J57" s="288"/>
      <c r="K57" s="284"/>
    </row>
    <row r="58" spans="1:11" s="285" customFormat="1" ht="12.95">
      <c r="A58" s="289" t="s">
        <v>1846</v>
      </c>
      <c r="B58" s="286">
        <f>'Sources and Uses Budget'!C58</f>
        <v>10000</v>
      </c>
      <c r="C58" s="287">
        <f>B58</f>
        <v>10000</v>
      </c>
      <c r="D58" s="287"/>
      <c r="E58" s="288"/>
      <c r="F58" s="288"/>
      <c r="G58" s="288"/>
      <c r="H58" s="288"/>
      <c r="I58" s="288"/>
      <c r="J58" s="288"/>
      <c r="K58" s="284"/>
    </row>
    <row r="59" spans="1:11" s="285" customFormat="1" ht="12.95">
      <c r="A59" s="289" t="s">
        <v>1847</v>
      </c>
      <c r="B59" s="286">
        <f>'Sources and Uses Budget'!C59</f>
        <v>0</v>
      </c>
      <c r="C59" s="287"/>
      <c r="D59" s="287"/>
      <c r="E59" s="288"/>
      <c r="F59" s="288"/>
      <c r="G59" s="288"/>
      <c r="H59" s="288"/>
      <c r="I59" s="288"/>
      <c r="J59" s="288"/>
      <c r="K59" s="284"/>
    </row>
    <row r="60" spans="1:11" s="285" customFormat="1" ht="12.95">
      <c r="A60" s="289" t="s">
        <v>1848</v>
      </c>
      <c r="B60" s="286">
        <f>'Sources and Uses Budget'!C60</f>
        <v>0</v>
      </c>
      <c r="C60" s="287"/>
      <c r="D60" s="287"/>
      <c r="E60" s="288"/>
      <c r="F60" s="288"/>
      <c r="G60" s="288"/>
      <c r="H60" s="288"/>
      <c r="I60" s="288"/>
      <c r="J60" s="288"/>
      <c r="K60" s="284"/>
    </row>
    <row r="61" spans="1:11" s="285" customFormat="1" ht="12.95">
      <c r="A61" s="289" t="str">
        <f>'Sources and Uses Budget'!$A61</f>
        <v>Other: Legal</v>
      </c>
      <c r="B61" s="286">
        <f>'Sources and Uses Budget'!C61</f>
        <v>15000</v>
      </c>
      <c r="C61" s="287">
        <f>B61</f>
        <v>15000</v>
      </c>
      <c r="D61" s="287"/>
      <c r="E61" s="288"/>
      <c r="F61" s="288"/>
      <c r="G61" s="288"/>
      <c r="H61" s="288"/>
      <c r="I61" s="288"/>
      <c r="J61" s="288"/>
      <c r="K61" s="284"/>
    </row>
    <row r="62" spans="1:11" s="285" customFormat="1" ht="13.7" customHeight="1">
      <c r="A62" s="290" t="s">
        <v>1853</v>
      </c>
      <c r="B62" s="286">
        <f>'Sources and Uses Budget'!C62</f>
        <v>25000</v>
      </c>
      <c r="C62" s="286">
        <f>SUM(C56:C61)</f>
        <v>25000</v>
      </c>
      <c r="D62" s="286">
        <f>SUM(D56:D61)</f>
        <v>0</v>
      </c>
      <c r="E62" s="288"/>
      <c r="F62" s="288"/>
      <c r="G62" s="288"/>
      <c r="H62" s="288"/>
      <c r="I62" s="288"/>
      <c r="J62" s="288"/>
      <c r="K62" s="284"/>
    </row>
    <row r="63" spans="1:11" s="285" customFormat="1" ht="12.95">
      <c r="A63" s="295" t="s">
        <v>1854</v>
      </c>
      <c r="B63" s="286">
        <f>'Sources and Uses Budget'!C63</f>
        <v>27018831.600000001</v>
      </c>
      <c r="C63" s="286">
        <f>SUM(C8+C11+C13+C14+C15+C26+C27+C38+C42+C43+C54+C62)</f>
        <v>27018831.600000001</v>
      </c>
      <c r="D63" s="286">
        <f>SUM(D8+D11+D13+D14+D15+D26+D27+D38+D42+D43+D54+D62)</f>
        <v>0</v>
      </c>
      <c r="E63" s="286">
        <f>'Sources and Uses Budget'!S63</f>
        <v>23458877.100000001</v>
      </c>
      <c r="F63" s="286">
        <f>SUM(F10+F13+F14+F15+F26+F27+F38+F42+F43+F54)</f>
        <v>23458877.100000001</v>
      </c>
      <c r="G63" s="286">
        <f>SUM(G10+G13+G14+G15+G26+G27+G38+G42+G43+G54)</f>
        <v>0</v>
      </c>
      <c r="H63" s="286">
        <f>'Sources and Uses Budget'!T63</f>
        <v>0</v>
      </c>
      <c r="I63" s="286">
        <f>SUM(I11+I13+I14+I15+I26+I27+I38+I42+I43+I54)</f>
        <v>0</v>
      </c>
      <c r="J63" s="286">
        <f>SUM(J11+J13+J14+J15+J26+J27+J38+J42+J43+J54)</f>
        <v>0</v>
      </c>
      <c r="K63" s="284"/>
    </row>
    <row r="64" spans="1:11" s="285" customFormat="1" ht="26.1">
      <c r="A64" s="105" t="s">
        <v>1855</v>
      </c>
      <c r="B64" s="283"/>
      <c r="C64" s="283"/>
      <c r="D64" s="283"/>
      <c r="E64" s="283"/>
      <c r="F64" s="283"/>
      <c r="G64" s="283"/>
      <c r="H64" s="283"/>
      <c r="I64" s="283"/>
      <c r="J64" s="283"/>
      <c r="K64" s="284"/>
    </row>
    <row r="65" spans="1:11" s="285" customFormat="1" ht="12.95">
      <c r="A65" s="208" t="s">
        <v>1856</v>
      </c>
      <c r="B65" s="286">
        <f>'Sources and Uses Budget'!C65</f>
        <v>100000</v>
      </c>
      <c r="C65" s="287">
        <f>B65</f>
        <v>100000</v>
      </c>
      <c r="D65" s="287"/>
      <c r="E65" s="286">
        <f>'Sources and Uses Budget'!S65</f>
        <v>100000</v>
      </c>
      <c r="F65" s="287">
        <f>E65</f>
        <v>100000</v>
      </c>
      <c r="G65" s="287"/>
      <c r="H65" s="286">
        <f>'Sources and Uses Budget'!T65</f>
        <v>0</v>
      </c>
      <c r="I65" s="287"/>
      <c r="J65" s="287"/>
      <c r="K65" s="284"/>
    </row>
    <row r="66" spans="1:11" s="285" customFormat="1" ht="26.1">
      <c r="A66" s="208" t="s">
        <v>1857</v>
      </c>
      <c r="B66" s="286">
        <f>'Sources and Uses Budget'!C66</f>
        <v>0</v>
      </c>
      <c r="C66" s="287"/>
      <c r="D66" s="287"/>
      <c r="E66" s="286">
        <f>'Sources and Uses Budget'!S66</f>
        <v>0</v>
      </c>
      <c r="F66" s="287"/>
      <c r="G66" s="287"/>
      <c r="H66" s="286">
        <f>'Sources and Uses Budget'!T66</f>
        <v>0</v>
      </c>
      <c r="I66" s="287"/>
      <c r="J66" s="287"/>
      <c r="K66" s="284"/>
    </row>
    <row r="67" spans="1:11" s="285" customFormat="1" ht="26.1">
      <c r="A67" s="208" t="s">
        <v>1858</v>
      </c>
      <c r="B67" s="286">
        <f>'Sources and Uses Budget'!C67</f>
        <v>0</v>
      </c>
      <c r="C67" s="287"/>
      <c r="D67" s="287"/>
      <c r="E67" s="286">
        <f>'Sources and Uses Budget'!S67</f>
        <v>0</v>
      </c>
      <c r="F67" s="287"/>
      <c r="G67" s="287"/>
      <c r="H67" s="286">
        <f>'Sources and Uses Budget'!T67</f>
        <v>0</v>
      </c>
      <c r="I67" s="287"/>
      <c r="J67" s="287"/>
      <c r="K67" s="284"/>
    </row>
    <row r="68" spans="1:11" s="285" customFormat="1" ht="12.95">
      <c r="A68" s="208" t="s">
        <v>1859</v>
      </c>
      <c r="B68" s="286">
        <f>'Sources and Uses Budget'!C68</f>
        <v>0</v>
      </c>
      <c r="C68" s="287"/>
      <c r="D68" s="287"/>
      <c r="E68" s="286">
        <f>'Sources and Uses Budget'!S68</f>
        <v>0</v>
      </c>
      <c r="F68" s="287"/>
      <c r="G68" s="287"/>
      <c r="H68" s="286">
        <f>'Sources and Uses Budget'!T68</f>
        <v>0</v>
      </c>
      <c r="I68" s="287"/>
      <c r="J68" s="287"/>
      <c r="K68" s="284"/>
    </row>
    <row r="69" spans="1:11" s="285" customFormat="1" ht="39">
      <c r="A69" s="289" t="str">
        <f>'Sources and Uses Budget'!$A69</f>
        <v>Other: (LenderLegal +Investor Legal + Bond Issuance Legal + MGP Legal + SDHC Legal Fee)</v>
      </c>
      <c r="B69" s="286">
        <f>'Sources and Uses Budget'!C69</f>
        <v>252500</v>
      </c>
      <c r="C69" s="287">
        <f>B69</f>
        <v>252500</v>
      </c>
      <c r="D69" s="287"/>
      <c r="E69" s="286">
        <f>'Sources and Uses Budget'!S69</f>
        <v>75000</v>
      </c>
      <c r="F69" s="287">
        <f>E69</f>
        <v>75000</v>
      </c>
      <c r="G69" s="287"/>
      <c r="H69" s="286">
        <f>'Sources and Uses Budget'!T69</f>
        <v>0</v>
      </c>
      <c r="I69" s="287"/>
      <c r="J69" s="287"/>
      <c r="K69" s="284"/>
    </row>
    <row r="70" spans="1:11" s="285" customFormat="1" ht="12.95">
      <c r="A70" s="290" t="s">
        <v>1939</v>
      </c>
      <c r="B70" s="286">
        <f>'Sources and Uses Budget'!C70</f>
        <v>352500</v>
      </c>
      <c r="C70" s="286">
        <f>SUM(C64:C69)</f>
        <v>352500</v>
      </c>
      <c r="D70" s="286">
        <f>SUM(D64:D69)</f>
        <v>0</v>
      </c>
      <c r="E70" s="286">
        <f>'Sources and Uses Budget'!S70</f>
        <v>175000</v>
      </c>
      <c r="F70" s="292">
        <f>SUM(F65:F69)</f>
        <v>175000</v>
      </c>
      <c r="G70" s="292">
        <f>SUM(G65:G69)</f>
        <v>0</v>
      </c>
      <c r="H70" s="286">
        <f>'Sources and Uses Budget'!T70</f>
        <v>0</v>
      </c>
      <c r="I70" s="292">
        <f>SUM(I65:I69)</f>
        <v>0</v>
      </c>
      <c r="J70" s="292">
        <f>SUM(J65:J69)</f>
        <v>0</v>
      </c>
      <c r="K70" s="284"/>
    </row>
    <row r="71" spans="1:11" s="285" customFormat="1" ht="12.95">
      <c r="A71" s="282" t="s">
        <v>1862</v>
      </c>
      <c r="B71" s="283"/>
      <c r="C71" s="283"/>
      <c r="D71" s="283"/>
      <c r="E71" s="283"/>
      <c r="F71" s="283"/>
      <c r="G71" s="283"/>
      <c r="H71" s="283"/>
      <c r="I71" s="283"/>
      <c r="J71" s="283"/>
      <c r="K71" s="284"/>
    </row>
    <row r="72" spans="1:11" s="285" customFormat="1" ht="12.95">
      <c r="A72" s="289" t="s">
        <v>1863</v>
      </c>
      <c r="B72" s="286">
        <f>'Sources and Uses Budget'!C72</f>
        <v>0</v>
      </c>
      <c r="C72" s="287"/>
      <c r="D72" s="287"/>
      <c r="E72" s="288"/>
      <c r="F72" s="288"/>
      <c r="G72" s="288"/>
      <c r="H72" s="288"/>
      <c r="I72" s="288"/>
      <c r="J72" s="288"/>
      <c r="K72" s="284"/>
    </row>
    <row r="73" spans="1:11" s="285" customFormat="1" ht="12.95">
      <c r="A73" s="289" t="s">
        <v>1864</v>
      </c>
      <c r="B73" s="286">
        <f>'Sources and Uses Budget'!C73</f>
        <v>0</v>
      </c>
      <c r="C73" s="287"/>
      <c r="D73" s="287"/>
      <c r="E73" s="288"/>
      <c r="F73" s="288"/>
      <c r="G73" s="288"/>
      <c r="H73" s="288"/>
      <c r="I73" s="288"/>
      <c r="J73" s="288"/>
      <c r="K73" s="284"/>
    </row>
    <row r="74" spans="1:11" s="285" customFormat="1">
      <c r="A74" s="291" t="s">
        <v>1865</v>
      </c>
      <c r="B74" s="286">
        <f>'Sources and Uses Budget'!C74</f>
        <v>0</v>
      </c>
      <c r="C74" s="287"/>
      <c r="D74" s="287"/>
      <c r="E74" s="288"/>
      <c r="F74" s="288"/>
      <c r="G74" s="288"/>
      <c r="H74" s="288"/>
      <c r="I74" s="288"/>
      <c r="J74" s="288"/>
      <c r="K74" s="284"/>
    </row>
    <row r="75" spans="1:11" s="285" customFormat="1" ht="12.95">
      <c r="A75" s="289" t="s">
        <v>1866</v>
      </c>
      <c r="B75" s="286">
        <f>'Sources and Uses Budget'!C75</f>
        <v>312757.8</v>
      </c>
      <c r="C75" s="287">
        <f>B75</f>
        <v>312757.8</v>
      </c>
      <c r="D75" s="287"/>
      <c r="E75" s="288"/>
      <c r="F75" s="288"/>
      <c r="G75" s="288"/>
      <c r="H75" s="288"/>
      <c r="I75" s="288"/>
      <c r="J75" s="288"/>
      <c r="K75" s="284"/>
    </row>
    <row r="76" spans="1:11" s="285" customFormat="1" ht="12.95">
      <c r="A76" s="289" t="str">
        <f>'Sources and Uses Budget'!$A76</f>
        <v>Other: (Specify)</v>
      </c>
      <c r="B76" s="286">
        <f>'Sources and Uses Budget'!C76</f>
        <v>0</v>
      </c>
      <c r="C76" s="287"/>
      <c r="D76" s="287"/>
      <c r="E76" s="288"/>
      <c r="F76" s="288"/>
      <c r="G76" s="288"/>
      <c r="H76" s="288"/>
      <c r="I76" s="288"/>
      <c r="J76" s="288"/>
      <c r="K76" s="284"/>
    </row>
    <row r="77" spans="1:11" s="285" customFormat="1" ht="12.95">
      <c r="A77" s="290" t="s">
        <v>1867</v>
      </c>
      <c r="B77" s="286">
        <f>'Sources and Uses Budget'!C77</f>
        <v>312757.8</v>
      </c>
      <c r="C77" s="286">
        <f>SUM(C72:C76)</f>
        <v>312757.8</v>
      </c>
      <c r="D77" s="286">
        <f>SUM(D72:D76)</f>
        <v>0</v>
      </c>
      <c r="E77" s="288"/>
      <c r="F77" s="288"/>
      <c r="G77" s="288"/>
      <c r="H77" s="288"/>
      <c r="I77" s="288"/>
      <c r="J77" s="288"/>
      <c r="K77" s="284"/>
    </row>
    <row r="78" spans="1:11" s="285" customFormat="1" ht="12.95">
      <c r="A78" s="282" t="s">
        <v>1868</v>
      </c>
      <c r="B78" s="283"/>
      <c r="C78" s="283"/>
      <c r="D78" s="283"/>
      <c r="E78" s="283"/>
      <c r="F78" s="283"/>
      <c r="G78" s="283"/>
      <c r="H78" s="283"/>
      <c r="I78" s="283"/>
      <c r="J78" s="283"/>
      <c r="K78" s="284"/>
    </row>
    <row r="79" spans="1:11" s="285" customFormat="1" ht="12.95">
      <c r="A79" s="289" t="s">
        <v>1869</v>
      </c>
      <c r="B79" s="286">
        <f>'Sources and Uses Budget'!C79</f>
        <v>1025000</v>
      </c>
      <c r="C79" s="287">
        <f>B79</f>
        <v>1025000</v>
      </c>
      <c r="D79" s="287"/>
      <c r="E79" s="286">
        <f>'Sources and Uses Budget'!S79</f>
        <v>1025000</v>
      </c>
      <c r="F79" s="287">
        <f>E79</f>
        <v>1025000</v>
      </c>
      <c r="G79" s="287"/>
      <c r="H79" s="286">
        <f>'Sources and Uses Budget'!T79</f>
        <v>0</v>
      </c>
      <c r="I79" s="287"/>
      <c r="J79" s="287"/>
      <c r="K79" s="284"/>
    </row>
    <row r="80" spans="1:11" s="285" customFormat="1" ht="12.95">
      <c r="A80" s="289" t="s">
        <v>1870</v>
      </c>
      <c r="B80" s="286">
        <f>'Sources and Uses Budget'!C80</f>
        <v>292338.40000000002</v>
      </c>
      <c r="C80" s="287">
        <f>B80</f>
        <v>292338.40000000002</v>
      </c>
      <c r="D80" s="287"/>
      <c r="E80" s="286">
        <f>'Sources and Uses Budget'!S80</f>
        <v>292338.40000000002</v>
      </c>
      <c r="F80" s="287">
        <f>E80</f>
        <v>292338.40000000002</v>
      </c>
      <c r="G80" s="287"/>
      <c r="H80" s="286">
        <f>'Sources and Uses Budget'!T80</f>
        <v>0</v>
      </c>
      <c r="I80" s="287"/>
      <c r="J80" s="287"/>
      <c r="K80" s="284"/>
    </row>
    <row r="81" spans="1:11" s="285" customFormat="1" ht="12.95">
      <c r="A81" s="290" t="s">
        <v>1871</v>
      </c>
      <c r="B81" s="286">
        <f>'Sources and Uses Budget'!C81</f>
        <v>1317338.3999999999</v>
      </c>
      <c r="C81" s="286">
        <f>SUM(C79:C80)</f>
        <v>1317338.3999999999</v>
      </c>
      <c r="D81" s="286">
        <f>SUM(D79:D80)</f>
        <v>0</v>
      </c>
      <c r="E81" s="286">
        <f>'Sources and Uses Budget'!S81</f>
        <v>1317338.3999999999</v>
      </c>
      <c r="F81" s="286">
        <f>SUM(F79:F80)</f>
        <v>1317338.3999999999</v>
      </c>
      <c r="G81" s="286">
        <f>SUM(G79:G80)</f>
        <v>0</v>
      </c>
      <c r="H81" s="286">
        <f>'Sources and Uses Budget'!T81</f>
        <v>0</v>
      </c>
      <c r="I81" s="286">
        <f>SUM(I79:I80)</f>
        <v>0</v>
      </c>
      <c r="J81" s="286">
        <f>SUM(J79:J80)</f>
        <v>0</v>
      </c>
      <c r="K81" s="284"/>
    </row>
    <row r="82" spans="1:11" s="285" customFormat="1" ht="12.95">
      <c r="A82" s="282" t="s">
        <v>1872</v>
      </c>
      <c r="B82" s="283"/>
      <c r="C82" s="283"/>
      <c r="D82" s="283"/>
      <c r="E82" s="283"/>
      <c r="F82" s="283"/>
      <c r="G82" s="283"/>
      <c r="H82" s="283"/>
      <c r="I82" s="283"/>
      <c r="J82" s="283"/>
      <c r="K82" s="284"/>
    </row>
    <row r="83" spans="1:11" s="285" customFormat="1" ht="13.7" customHeight="1">
      <c r="A83" s="208" t="s">
        <v>1873</v>
      </c>
      <c r="B83" s="286">
        <f>'Sources and Uses Budget'!C83</f>
        <v>51029</v>
      </c>
      <c r="C83" s="287">
        <f>B83</f>
        <v>51029</v>
      </c>
      <c r="D83" s="287"/>
      <c r="E83" s="288"/>
      <c r="F83" s="288"/>
      <c r="G83" s="288"/>
      <c r="H83" s="288"/>
      <c r="I83" s="288"/>
      <c r="J83" s="288"/>
      <c r="K83" s="284"/>
    </row>
    <row r="84" spans="1:11" s="285" customFormat="1" ht="12.95">
      <c r="A84" s="208" t="s">
        <v>1874</v>
      </c>
      <c r="B84" s="286">
        <f>'Sources and Uses Budget'!C84</f>
        <v>50000</v>
      </c>
      <c r="C84" s="287">
        <f t="shared" ref="C84:C86" si="4">B84</f>
        <v>50000</v>
      </c>
      <c r="D84" s="287"/>
      <c r="E84" s="286">
        <f>'Sources and Uses Budget'!S84</f>
        <v>50000</v>
      </c>
      <c r="F84" s="287">
        <f>E84</f>
        <v>50000</v>
      </c>
      <c r="G84" s="287"/>
      <c r="H84" s="286">
        <f>'Sources and Uses Budget'!T84</f>
        <v>0</v>
      </c>
      <c r="I84" s="287"/>
      <c r="J84" s="287"/>
      <c r="K84" s="284"/>
    </row>
    <row r="85" spans="1:11" s="285" customFormat="1" ht="12.95">
      <c r="A85" s="208" t="s">
        <v>1875</v>
      </c>
      <c r="B85" s="286">
        <f>'Sources and Uses Budget'!C85</f>
        <v>887409</v>
      </c>
      <c r="C85" s="287">
        <f t="shared" si="4"/>
        <v>887409</v>
      </c>
      <c r="D85" s="287"/>
      <c r="E85" s="286">
        <f>'Sources and Uses Budget'!S85</f>
        <v>887409</v>
      </c>
      <c r="F85" s="287">
        <f t="shared" ref="F85:F86" si="5">E85</f>
        <v>887409</v>
      </c>
      <c r="G85" s="287"/>
      <c r="H85" s="286">
        <f>'Sources and Uses Budget'!T85</f>
        <v>0</v>
      </c>
      <c r="I85" s="287"/>
      <c r="J85" s="287"/>
      <c r="K85" s="284"/>
    </row>
    <row r="86" spans="1:11" s="285" customFormat="1" ht="12.95">
      <c r="A86" s="208" t="s">
        <v>1876</v>
      </c>
      <c r="B86" s="286">
        <f>'Sources and Uses Budget'!C86</f>
        <v>400000</v>
      </c>
      <c r="C86" s="287">
        <f t="shared" si="4"/>
        <v>400000</v>
      </c>
      <c r="D86" s="287"/>
      <c r="E86" s="286">
        <f>'Sources and Uses Budget'!S86</f>
        <v>400000</v>
      </c>
      <c r="F86" s="287">
        <f t="shared" si="5"/>
        <v>400000</v>
      </c>
      <c r="G86" s="287"/>
      <c r="H86" s="286">
        <f>'Sources and Uses Budget'!T86</f>
        <v>0</v>
      </c>
      <c r="I86" s="287"/>
      <c r="J86" s="287"/>
      <c r="K86" s="284"/>
    </row>
    <row r="87" spans="1:11" s="285" customFormat="1" ht="12.95">
      <c r="A87" s="208" t="s">
        <v>1877</v>
      </c>
      <c r="B87" s="286">
        <f>'Sources and Uses Budget'!C87</f>
        <v>0</v>
      </c>
      <c r="C87" s="287"/>
      <c r="D87" s="287"/>
      <c r="E87" s="286">
        <f>'Sources and Uses Budget'!S87</f>
        <v>0</v>
      </c>
      <c r="F87" s="287"/>
      <c r="G87" s="287"/>
      <c r="H87" s="286">
        <f>'Sources and Uses Budget'!T87</f>
        <v>0</v>
      </c>
      <c r="I87" s="287"/>
      <c r="J87" s="287"/>
      <c r="K87" s="284"/>
    </row>
    <row r="88" spans="1:11" s="285" customFormat="1" ht="12.95">
      <c r="A88" s="208" t="s">
        <v>1878</v>
      </c>
      <c r="B88" s="286">
        <f>'Sources and Uses Budget'!C88</f>
        <v>100000</v>
      </c>
      <c r="C88" s="287">
        <f>B88</f>
        <v>100000</v>
      </c>
      <c r="D88" s="287"/>
      <c r="E88" s="288"/>
      <c r="F88" s="288"/>
      <c r="G88" s="288"/>
      <c r="H88" s="288"/>
      <c r="I88" s="288"/>
      <c r="J88" s="288"/>
      <c r="K88" s="284"/>
    </row>
    <row r="89" spans="1:11" s="285" customFormat="1" ht="12.95">
      <c r="A89" s="208" t="s">
        <v>1879</v>
      </c>
      <c r="B89" s="286">
        <f>'Sources and Uses Budget'!C89</f>
        <v>100000</v>
      </c>
      <c r="C89" s="287">
        <f t="shared" ref="C89:C95" si="6">B89</f>
        <v>100000</v>
      </c>
      <c r="D89" s="287"/>
      <c r="E89" s="286">
        <f>'Sources and Uses Budget'!S89</f>
        <v>100000</v>
      </c>
      <c r="F89" s="287">
        <f>E89</f>
        <v>100000</v>
      </c>
      <c r="G89" s="287"/>
      <c r="H89" s="286">
        <f>'Sources and Uses Budget'!T89</f>
        <v>0</v>
      </c>
      <c r="I89" s="287"/>
      <c r="J89" s="287"/>
      <c r="K89" s="284"/>
    </row>
    <row r="90" spans="1:11" s="285" customFormat="1" ht="12.95">
      <c r="A90" s="208" t="s">
        <v>1880</v>
      </c>
      <c r="B90" s="286">
        <f>'Sources and Uses Budget'!C90</f>
        <v>15000</v>
      </c>
      <c r="C90" s="287">
        <f t="shared" si="6"/>
        <v>15000</v>
      </c>
      <c r="D90" s="287"/>
      <c r="E90" s="286">
        <f>'Sources and Uses Budget'!S90</f>
        <v>15000</v>
      </c>
      <c r="F90" s="287">
        <f t="shared" ref="F90:F93" si="7">E90</f>
        <v>15000</v>
      </c>
      <c r="G90" s="287"/>
      <c r="H90" s="286">
        <f>'Sources and Uses Budget'!T90</f>
        <v>0</v>
      </c>
      <c r="I90" s="287"/>
      <c r="J90" s="287"/>
      <c r="K90" s="284"/>
    </row>
    <row r="91" spans="1:11" s="285" customFormat="1" ht="12.95">
      <c r="A91" s="434" t="s">
        <v>1881</v>
      </c>
      <c r="B91" s="286">
        <f>'Sources and Uses Budget'!C91</f>
        <v>50000</v>
      </c>
      <c r="C91" s="287">
        <f t="shared" si="6"/>
        <v>50000</v>
      </c>
      <c r="D91" s="287"/>
      <c r="E91" s="286">
        <f>'Sources and Uses Budget'!S91</f>
        <v>50000</v>
      </c>
      <c r="F91" s="287">
        <f t="shared" si="7"/>
        <v>50000</v>
      </c>
      <c r="G91" s="287"/>
      <c r="H91" s="286">
        <f>'Sources and Uses Budget'!T91</f>
        <v>0</v>
      </c>
      <c r="I91" s="287"/>
      <c r="J91" s="287"/>
      <c r="K91" s="284"/>
    </row>
    <row r="92" spans="1:11" s="285" customFormat="1" ht="12.95">
      <c r="A92" s="434" t="s">
        <v>1882</v>
      </c>
      <c r="B92" s="286">
        <f>'Sources and Uses Budget'!C92</f>
        <v>20000</v>
      </c>
      <c r="C92" s="287">
        <f t="shared" si="6"/>
        <v>20000</v>
      </c>
      <c r="D92" s="287"/>
      <c r="E92" s="286">
        <f>'Sources and Uses Budget'!S92</f>
        <v>20000</v>
      </c>
      <c r="F92" s="287">
        <f t="shared" si="7"/>
        <v>20000</v>
      </c>
      <c r="G92" s="287"/>
      <c r="H92" s="286">
        <f>'Sources and Uses Budget'!T92</f>
        <v>0</v>
      </c>
      <c r="I92" s="287"/>
      <c r="J92" s="287"/>
      <c r="K92" s="284"/>
    </row>
    <row r="93" spans="1:11" s="285" customFormat="1" ht="12.95">
      <c r="A93" s="289" t="str">
        <f>'Sources and Uses Budget'!$A93</f>
        <v>Other: (Prevailing Wage Monitoring)</v>
      </c>
      <c r="B93" s="286">
        <f>'Sources and Uses Budget'!C93</f>
        <v>42000</v>
      </c>
      <c r="C93" s="287">
        <f t="shared" si="6"/>
        <v>42000</v>
      </c>
      <c r="D93" s="287"/>
      <c r="E93" s="286">
        <f>'Sources and Uses Budget'!S93</f>
        <v>42000</v>
      </c>
      <c r="F93" s="287">
        <f t="shared" si="7"/>
        <v>42000</v>
      </c>
      <c r="G93" s="287"/>
      <c r="H93" s="286">
        <f>'Sources and Uses Budget'!T93</f>
        <v>0</v>
      </c>
      <c r="I93" s="287"/>
      <c r="J93" s="287"/>
      <c r="K93" s="284"/>
    </row>
    <row r="94" spans="1:11" s="285" customFormat="1" ht="12.95">
      <c r="A94" s="289" t="str">
        <f>'Sources and Uses Budget'!$A94</f>
        <v>Other: (Relocation Costs)</v>
      </c>
      <c r="B94" s="286">
        <f>'Sources and Uses Budget'!C94</f>
        <v>200000</v>
      </c>
      <c r="C94" s="287">
        <f t="shared" si="6"/>
        <v>200000</v>
      </c>
      <c r="D94" s="287"/>
      <c r="E94" s="286">
        <f>'Sources and Uses Budget'!S94</f>
        <v>0</v>
      </c>
      <c r="F94" s="287"/>
      <c r="G94" s="287"/>
      <c r="H94" s="286">
        <f>'Sources and Uses Budget'!T94</f>
        <v>0</v>
      </c>
      <c r="I94" s="287"/>
      <c r="J94" s="287"/>
      <c r="K94" s="284"/>
    </row>
    <row r="95" spans="1:11" s="285" customFormat="1" ht="26.1">
      <c r="A95" s="289" t="str">
        <f>'Sources and Uses Budget'!$A95</f>
        <v>Other: CDLAC Fee, Miscellaneous Third-Party Costs, Predevelopment Loan Interest)</v>
      </c>
      <c r="B95" s="286">
        <f>'Sources and Uses Budget'!C95</f>
        <v>455947.6</v>
      </c>
      <c r="C95" s="287">
        <f t="shared" si="6"/>
        <v>455947.6</v>
      </c>
      <c r="D95" s="287"/>
      <c r="E95" s="286">
        <f>'Sources and Uses Budget'!S95</f>
        <v>455947.6</v>
      </c>
      <c r="F95" s="287">
        <f>E95</f>
        <v>455947.6</v>
      </c>
      <c r="G95" s="287"/>
      <c r="H95" s="286">
        <f>'Sources and Uses Budget'!T95</f>
        <v>0</v>
      </c>
      <c r="I95" s="287"/>
      <c r="J95" s="287"/>
      <c r="K95" s="284"/>
    </row>
    <row r="96" spans="1:11" s="285" customFormat="1" ht="12.95">
      <c r="A96" s="290" t="s">
        <v>1886</v>
      </c>
      <c r="B96" s="286">
        <f>'Sources and Uses Budget'!C96</f>
        <v>2371385.6</v>
      </c>
      <c r="C96" s="286">
        <f>SUM(C83:C95)</f>
        <v>2371385.6</v>
      </c>
      <c r="D96" s="286">
        <f>SUM(D83:D95)</f>
        <v>0</v>
      </c>
      <c r="E96" s="286">
        <f>'Sources and Uses Budget'!S96</f>
        <v>2020356.6</v>
      </c>
      <c r="F96" s="292">
        <f>SUM(F84:F87,F89:F95)</f>
        <v>2020356.6</v>
      </c>
      <c r="G96" s="292">
        <f>SUM(G84:G87,G89:G95)</f>
        <v>0</v>
      </c>
      <c r="H96" s="286">
        <f>'Sources and Uses Budget'!T96</f>
        <v>0</v>
      </c>
      <c r="I96" s="286">
        <f>SUM(I84:I87,I89:I95)</f>
        <v>0</v>
      </c>
      <c r="J96" s="286">
        <f>SUM(J84:J87,J89:J95)</f>
        <v>0</v>
      </c>
      <c r="K96" s="284"/>
    </row>
    <row r="97" spans="1:11" s="285" customFormat="1" ht="12.95">
      <c r="A97" s="290" t="s">
        <v>1940</v>
      </c>
      <c r="B97" s="286">
        <f>'Sources and Uses Budget'!C97</f>
        <v>31372813.400000002</v>
      </c>
      <c r="C97" s="286">
        <f>SUM(C63+C70+C77+C81+C96)</f>
        <v>31372813.400000002</v>
      </c>
      <c r="D97" s="286">
        <f>SUM(D63+D70+D77+D81+D96)</f>
        <v>0</v>
      </c>
      <c r="E97" s="286">
        <f>'Sources and Uses Budget'!S97</f>
        <v>26971572.100000001</v>
      </c>
      <c r="F97" s="292">
        <f>SUM(+F63+F70+F81+F96)</f>
        <v>26971572.100000001</v>
      </c>
      <c r="G97" s="292">
        <f>SUM(+G63+G70+G81+G96)</f>
        <v>0</v>
      </c>
      <c r="H97" s="286">
        <f>'Sources and Uses Budget'!T97</f>
        <v>0</v>
      </c>
      <c r="I97" s="292">
        <f>SUM(I63+I70+I81+I96)</f>
        <v>0</v>
      </c>
      <c r="J97" s="292">
        <f>SUM(J63+J70+J81+J96)</f>
        <v>0</v>
      </c>
      <c r="K97" s="284"/>
    </row>
    <row r="98" spans="1:11" s="285" customFormat="1" ht="12.95">
      <c r="A98" s="282" t="s">
        <v>1888</v>
      </c>
      <c r="B98" s="283"/>
      <c r="C98" s="283"/>
      <c r="D98" s="283"/>
      <c r="E98" s="283"/>
      <c r="F98" s="283"/>
      <c r="G98" s="283"/>
      <c r="H98" s="283"/>
      <c r="I98" s="283"/>
      <c r="J98" s="283"/>
      <c r="K98" s="284"/>
    </row>
    <row r="99" spans="1:11" s="285" customFormat="1" ht="12.95">
      <c r="A99" s="208" t="s">
        <v>1889</v>
      </c>
      <c r="B99" s="286">
        <f>'Sources and Uses Budget'!C99</f>
        <v>4045735.87617866</v>
      </c>
      <c r="C99" s="287">
        <f>B99</f>
        <v>4045735.87617866</v>
      </c>
      <c r="D99" s="287"/>
      <c r="E99" s="286">
        <f>'Sources and Uses Budget'!S99</f>
        <v>4045735.87617866</v>
      </c>
      <c r="F99" s="287">
        <f>E99</f>
        <v>4045735.87617866</v>
      </c>
      <c r="G99" s="287"/>
      <c r="H99" s="286">
        <f>'Sources and Uses Budget'!T99</f>
        <v>0</v>
      </c>
      <c r="I99" s="287"/>
      <c r="J99" s="287"/>
      <c r="K99" s="284"/>
    </row>
    <row r="100" spans="1:11" s="285" customFormat="1" ht="12.95">
      <c r="A100" s="208" t="s">
        <v>1890</v>
      </c>
      <c r="B100" s="286">
        <f>'Sources and Uses Budget'!C100</f>
        <v>0</v>
      </c>
      <c r="C100" s="287"/>
      <c r="D100" s="287"/>
      <c r="E100" s="286">
        <f>'Sources and Uses Budget'!S100</f>
        <v>0</v>
      </c>
      <c r="F100" s="287"/>
      <c r="G100" s="287"/>
      <c r="H100" s="286">
        <f>'Sources and Uses Budget'!T100</f>
        <v>0</v>
      </c>
      <c r="I100" s="287"/>
      <c r="J100" s="287"/>
      <c r="K100" s="284"/>
    </row>
    <row r="101" spans="1:11" s="285" customFormat="1" ht="12.95">
      <c r="A101" s="208" t="s">
        <v>1891</v>
      </c>
      <c r="B101" s="286">
        <f>'Sources and Uses Budget'!C101</f>
        <v>0</v>
      </c>
      <c r="C101" s="287"/>
      <c r="D101" s="287"/>
      <c r="E101" s="286">
        <f>'Sources and Uses Budget'!S101</f>
        <v>0</v>
      </c>
      <c r="F101" s="287"/>
      <c r="G101" s="287"/>
      <c r="H101" s="286">
        <f>'Sources and Uses Budget'!T101</f>
        <v>0</v>
      </c>
      <c r="I101" s="287"/>
      <c r="J101" s="287"/>
      <c r="K101" s="284"/>
    </row>
    <row r="102" spans="1:11" s="285" customFormat="1" ht="12" customHeight="1">
      <c r="A102" s="208" t="s">
        <v>1892</v>
      </c>
      <c r="B102" s="286">
        <f>'Sources and Uses Budget'!C102</f>
        <v>0</v>
      </c>
      <c r="C102" s="287"/>
      <c r="D102" s="287"/>
      <c r="E102" s="286">
        <f>'Sources and Uses Budget'!S102</f>
        <v>0</v>
      </c>
      <c r="F102" s="287"/>
      <c r="G102" s="287"/>
      <c r="H102" s="286">
        <f>'Sources and Uses Budget'!T102</f>
        <v>0</v>
      </c>
      <c r="I102" s="287"/>
      <c r="J102" s="287"/>
      <c r="K102" s="284"/>
    </row>
    <row r="103" spans="1:11" s="285" customFormat="1" ht="12.95">
      <c r="A103" s="289" t="str">
        <f>'Sources and Uses Budget'!$A103</f>
        <v>Other: (Specify)</v>
      </c>
      <c r="B103" s="286">
        <f>'Sources and Uses Budget'!C103</f>
        <v>0</v>
      </c>
      <c r="C103" s="287"/>
      <c r="D103" s="287"/>
      <c r="E103" s="286">
        <f>'Sources and Uses Budget'!S103</f>
        <v>0</v>
      </c>
      <c r="F103" s="287"/>
      <c r="G103" s="287"/>
      <c r="H103" s="286">
        <f>'Sources and Uses Budget'!T103</f>
        <v>0</v>
      </c>
      <c r="I103" s="287"/>
      <c r="J103" s="287"/>
      <c r="K103" s="284"/>
    </row>
    <row r="104" spans="1:11" s="285" customFormat="1" ht="12.95">
      <c r="A104" s="290" t="s">
        <v>1893</v>
      </c>
      <c r="B104" s="286">
        <f>'Sources and Uses Budget'!C104</f>
        <v>4045735.87617866</v>
      </c>
      <c r="C104" s="286">
        <f>SUM(C99:C103)</f>
        <v>4045735.87617866</v>
      </c>
      <c r="D104" s="286">
        <f>SUM(D99:D103)</f>
        <v>0</v>
      </c>
      <c r="E104" s="286">
        <f>'Sources and Uses Budget'!S104</f>
        <v>4045735.87617866</v>
      </c>
      <c r="F104" s="292">
        <f>SUM(F99:F103)</f>
        <v>4045735.87617866</v>
      </c>
      <c r="G104" s="292">
        <f>SUM(G99:G103)</f>
        <v>0</v>
      </c>
      <c r="H104" s="286">
        <f>'Sources and Uses Budget'!T104</f>
        <v>0</v>
      </c>
      <c r="I104" s="292">
        <f>SUM(I99:I103)</f>
        <v>0</v>
      </c>
      <c r="J104" s="292">
        <f>SUM(J99:J103)</f>
        <v>0</v>
      </c>
      <c r="K104" s="284"/>
    </row>
    <row r="105" spans="1:11" s="285" customFormat="1" ht="12.95">
      <c r="A105" s="290" t="s">
        <v>1941</v>
      </c>
      <c r="B105" s="286">
        <f>'Sources and Uses Budget'!C105</f>
        <v>35418549.276178665</v>
      </c>
      <c r="C105" s="292">
        <f>SUM(C97+C104)</f>
        <v>35418549.276178665</v>
      </c>
      <c r="D105" s="292">
        <f>SUM(D97+D104)</f>
        <v>0</v>
      </c>
      <c r="E105" s="286">
        <f>'Sources and Uses Budget'!S105</f>
        <v>31017307.976178661</v>
      </c>
      <c r="F105" s="292">
        <f>F97+F104</f>
        <v>31017307.976178661</v>
      </c>
      <c r="G105" s="292">
        <f>G97+G104</f>
        <v>0</v>
      </c>
      <c r="H105" s="286">
        <f>'Sources and Uses Budget'!T105</f>
        <v>0</v>
      </c>
      <c r="I105" s="292">
        <f>I97+I104</f>
        <v>0</v>
      </c>
      <c r="J105" s="292">
        <f>J97+J104</f>
        <v>0</v>
      </c>
      <c r="K105" s="284"/>
    </row>
    <row r="106" spans="1:11" s="285" customFormat="1">
      <c r="A106" s="296"/>
      <c r="B106" s="297"/>
      <c r="C106" s="297"/>
      <c r="D106" s="297"/>
      <c r="E106" s="286">
        <f>'Sources and Uses Budget'!S106</f>
        <v>0</v>
      </c>
      <c r="F106" s="287"/>
      <c r="G106" s="287"/>
      <c r="H106" s="286">
        <f>'Sources and Uses Budget'!T106</f>
        <v>0</v>
      </c>
      <c r="I106" s="287"/>
      <c r="J106" s="287"/>
      <c r="K106" s="284"/>
    </row>
    <row r="107" spans="1:11" s="285" customFormat="1">
      <c r="A107" s="298"/>
      <c r="B107" s="299"/>
      <c r="C107" s="297"/>
      <c r="D107" s="381" t="s">
        <v>1942</v>
      </c>
      <c r="E107" s="286">
        <f>'Sources and Uses Budget'!S107</f>
        <v>31017307.976178661</v>
      </c>
      <c r="F107" s="292">
        <f>F105+F106</f>
        <v>31017307.976178661</v>
      </c>
      <c r="G107" s="292">
        <f>G105+G106</f>
        <v>0</v>
      </c>
      <c r="H107" s="286">
        <f>'Sources and Uses Budget'!T107</f>
        <v>0</v>
      </c>
      <c r="I107" s="292">
        <f>I105+I106</f>
        <v>0</v>
      </c>
      <c r="J107" s="292">
        <f>J105+J106</f>
        <v>0</v>
      </c>
      <c r="K107" s="284"/>
    </row>
    <row r="108" spans="1:11" s="285" customFormat="1">
      <c r="A108" s="298"/>
      <c r="B108" s="300"/>
      <c r="C108" s="300"/>
      <c r="D108" s="300"/>
      <c r="J108" s="301"/>
      <c r="K108" s="284"/>
    </row>
    <row r="109" spans="1:11" s="285" customFormat="1">
      <c r="A109" s="298"/>
      <c r="B109" s="300"/>
      <c r="C109" s="300"/>
      <c r="D109" s="300"/>
      <c r="J109" s="301"/>
      <c r="K109" s="284"/>
    </row>
    <row r="110" spans="1:11" s="285" customFormat="1">
      <c r="A110" s="298"/>
      <c r="B110" s="300"/>
      <c r="C110" s="300"/>
      <c r="D110" s="300"/>
      <c r="J110" s="301"/>
      <c r="K110" s="284"/>
    </row>
    <row r="111" spans="1:11" s="285" customFormat="1" ht="12.95">
      <c r="A111" s="302"/>
      <c r="B111" s="300"/>
      <c r="C111" s="300"/>
      <c r="D111" s="300"/>
      <c r="J111" s="301"/>
      <c r="K111" s="284"/>
    </row>
    <row r="112" spans="1:11" s="285" customFormat="1" ht="12.95">
      <c r="A112" s="302"/>
      <c r="B112" s="300"/>
      <c r="C112" s="300"/>
      <c r="D112" s="300"/>
      <c r="J112" s="301"/>
      <c r="K112" s="284"/>
    </row>
    <row r="113" spans="1:11" s="285" customFormat="1" ht="15">
      <c r="A113" s="303"/>
      <c r="B113" s="300"/>
      <c r="C113" s="300"/>
      <c r="D113" s="300"/>
      <c r="J113" s="301"/>
      <c r="K113" s="284"/>
    </row>
    <row r="114" spans="1:11" s="285" customFormat="1" ht="12.95">
      <c r="A114" s="302"/>
      <c r="J114" s="301"/>
      <c r="K114" s="284"/>
    </row>
    <row r="115" spans="1:11" s="285" customFormat="1" ht="15">
      <c r="A115" s="303"/>
      <c r="J115" s="301"/>
      <c r="K115" s="284"/>
    </row>
    <row r="116" spans="1:11" s="285" customFormat="1" ht="15">
      <c r="A116" s="303"/>
      <c r="J116" s="301"/>
      <c r="K116" s="284"/>
    </row>
    <row r="117" spans="1:11" s="285" customFormat="1">
      <c r="B117" s="300"/>
      <c r="C117" s="300"/>
      <c r="D117" s="300"/>
      <c r="J117" s="301"/>
      <c r="K117" s="284"/>
    </row>
    <row r="118" spans="1:11" s="285" customFormat="1">
      <c r="J118" s="301"/>
      <c r="K118" s="284"/>
    </row>
    <row r="119" spans="1:11" s="285" customFormat="1">
      <c r="J119" s="301"/>
      <c r="K119" s="284"/>
    </row>
    <row r="120" spans="1:11" s="285" customFormat="1">
      <c r="J120" s="301"/>
      <c r="K120" s="284"/>
    </row>
    <row r="121" spans="1:11" s="285" customFormat="1" ht="15">
      <c r="A121" s="303"/>
      <c r="J121" s="301"/>
      <c r="K121" s="284"/>
    </row>
    <row r="122" spans="1:11" s="305" customFormat="1" ht="15.95">
      <c r="A122" s="304"/>
      <c r="J122" s="306"/>
      <c r="K122" s="307"/>
    </row>
    <row r="123" spans="1:11" s="285" customFormat="1">
      <c r="A123" s="308"/>
      <c r="J123" s="301"/>
      <c r="K123" s="284"/>
    </row>
    <row r="124" spans="1:11" s="285" customFormat="1">
      <c r="B124" s="309"/>
      <c r="D124" s="1621"/>
      <c r="E124" s="1221"/>
      <c r="F124" s="1221"/>
      <c r="G124" s="1221"/>
      <c r="H124" s="1221"/>
      <c r="I124" s="1221"/>
      <c r="J124" s="301"/>
      <c r="K124" s="284"/>
    </row>
    <row r="125" spans="1:11" s="285" customFormat="1" ht="12.95">
      <c r="A125" s="310"/>
      <c r="B125" s="309"/>
      <c r="C125" s="310"/>
      <c r="D125" s="1221"/>
      <c r="E125" s="1221"/>
      <c r="F125" s="1221"/>
      <c r="G125" s="1221"/>
      <c r="H125" s="1221"/>
      <c r="I125" s="1221"/>
      <c r="J125" s="301"/>
      <c r="K125" s="284"/>
    </row>
    <row r="126" spans="1:11" s="285" customFormat="1" ht="12.95">
      <c r="A126" s="310"/>
      <c r="B126" s="309"/>
      <c r="C126" s="310"/>
      <c r="D126" s="1221"/>
      <c r="E126" s="1221"/>
      <c r="F126" s="1221"/>
      <c r="G126" s="1221"/>
      <c r="H126" s="1221"/>
      <c r="I126" s="1221"/>
      <c r="J126" s="301"/>
      <c r="K126" s="284"/>
    </row>
    <row r="127" spans="1:11" s="285" customFormat="1" ht="12.95">
      <c r="A127" s="310"/>
      <c r="B127" s="309"/>
      <c r="C127" s="310"/>
      <c r="D127" s="311"/>
      <c r="E127" s="310"/>
      <c r="F127" s="310"/>
      <c r="G127" s="310"/>
      <c r="J127" s="301"/>
      <c r="K127" s="284"/>
    </row>
    <row r="128" spans="1:11" s="285" customFormat="1" ht="12.95">
      <c r="A128" s="310"/>
      <c r="B128" s="309"/>
      <c r="C128" s="310"/>
      <c r="D128" s="311"/>
      <c r="E128" s="310"/>
      <c r="F128" s="310"/>
      <c r="G128" s="310"/>
      <c r="J128" s="301"/>
      <c r="K128" s="284"/>
    </row>
    <row r="129" spans="1:11" s="285" customFormat="1" ht="12.95">
      <c r="A129" s="310"/>
      <c r="B129" s="309"/>
      <c r="C129" s="310"/>
      <c r="D129" s="310"/>
      <c r="E129" s="310"/>
      <c r="F129" s="310"/>
      <c r="G129" s="310"/>
      <c r="J129" s="301"/>
      <c r="K129" s="284"/>
    </row>
    <row r="130" spans="1:11" s="285" customFormat="1" ht="12.95">
      <c r="A130" s="310"/>
      <c r="B130" s="309"/>
      <c r="C130" s="310"/>
      <c r="D130" s="310"/>
      <c r="E130" s="310"/>
      <c r="F130" s="310"/>
      <c r="G130" s="310"/>
      <c r="J130" s="301"/>
      <c r="K130" s="284"/>
    </row>
    <row r="131" spans="1:11" s="285" customFormat="1" ht="12.95">
      <c r="A131" s="310"/>
      <c r="B131" s="312"/>
      <c r="C131" s="310"/>
      <c r="D131" s="310"/>
      <c r="E131" s="310"/>
      <c r="F131" s="310"/>
      <c r="G131" s="310"/>
      <c r="J131" s="301"/>
      <c r="K131" s="284"/>
    </row>
    <row r="132" spans="1:11" s="285" customFormat="1" ht="12.95">
      <c r="A132" s="313"/>
      <c r="B132" s="314"/>
      <c r="C132" s="310"/>
      <c r="D132" s="315"/>
      <c r="E132" s="310"/>
      <c r="F132" s="310"/>
      <c r="G132" s="310"/>
      <c r="J132" s="301"/>
      <c r="K132" s="284"/>
    </row>
    <row r="133" spans="1:11" s="285" customFormat="1" ht="12.95">
      <c r="A133" s="316"/>
      <c r="B133" s="310"/>
      <c r="C133" s="310"/>
      <c r="D133" s="310"/>
      <c r="E133" s="310"/>
      <c r="F133" s="310"/>
      <c r="G133" s="310"/>
      <c r="J133" s="301"/>
      <c r="K133" s="284"/>
    </row>
    <row r="134" spans="1:11" s="285" customFormat="1" ht="12.95">
      <c r="A134" s="316"/>
      <c r="B134" s="310"/>
      <c r="C134" s="310"/>
      <c r="D134" s="310"/>
      <c r="E134" s="310"/>
      <c r="F134" s="310"/>
      <c r="G134" s="310"/>
      <c r="J134" s="301"/>
      <c r="K134" s="284"/>
    </row>
    <row r="135" spans="1:11" s="285" customFormat="1" ht="12.95">
      <c r="A135" s="317"/>
      <c r="B135" s="310"/>
      <c r="C135" s="310"/>
      <c r="D135" s="310"/>
      <c r="E135" s="310"/>
      <c r="F135" s="310"/>
      <c r="G135" s="310"/>
      <c r="J135" s="301"/>
      <c r="K135" s="284"/>
    </row>
    <row r="136" spans="1:11" s="285" customFormat="1" ht="12.95">
      <c r="A136" s="302"/>
      <c r="B136" s="310"/>
      <c r="C136" s="310"/>
      <c r="D136" s="310"/>
      <c r="E136" s="310"/>
      <c r="F136" s="310"/>
      <c r="G136" s="310"/>
      <c r="J136" s="301"/>
      <c r="K136" s="284"/>
    </row>
    <row r="137" spans="1:11" ht="12.95">
      <c r="A137" s="316"/>
      <c r="B137" s="310"/>
      <c r="C137" s="310"/>
      <c r="D137" s="310"/>
      <c r="E137" s="310"/>
      <c r="F137" s="310"/>
      <c r="G137" s="310"/>
    </row>
    <row r="138" spans="1:11" ht="12" customHeight="1">
      <c r="A138" s="316"/>
      <c r="B138" s="310"/>
      <c r="C138" s="310"/>
      <c r="D138" s="310"/>
      <c r="E138" s="310"/>
      <c r="F138" s="310"/>
      <c r="G138" s="310"/>
    </row>
    <row r="139" spans="1:11" ht="12" customHeight="1">
      <c r="A139" s="1622"/>
      <c r="B139" s="1221"/>
      <c r="C139" s="1221"/>
      <c r="D139" s="281"/>
      <c r="E139" s="310"/>
      <c r="F139" s="310"/>
      <c r="G139" s="310"/>
    </row>
    <row r="140" spans="1:11" ht="12" customHeight="1">
      <c r="A140" s="1162"/>
      <c r="B140" s="1162"/>
      <c r="C140" s="1162"/>
      <c r="D140" s="281"/>
      <c r="E140" s="310"/>
      <c r="F140" s="310"/>
      <c r="G140" s="310"/>
    </row>
    <row r="141" spans="1:11" ht="12" customHeight="1">
      <c r="A141" s="316"/>
      <c r="B141" s="310"/>
      <c r="C141" s="310"/>
      <c r="D141" s="281"/>
      <c r="E141" s="310"/>
      <c r="F141" s="310"/>
      <c r="G141" s="310"/>
      <c r="H141" s="319"/>
      <c r="I141" s="319"/>
    </row>
    <row r="142" spans="1:11" ht="12" customHeight="1">
      <c r="A142" s="321"/>
      <c r="B142" s="281"/>
      <c r="C142" s="281"/>
      <c r="D142" s="281"/>
      <c r="E142" s="310"/>
      <c r="F142" s="310"/>
      <c r="G142" s="310"/>
      <c r="H142" s="319"/>
      <c r="I142" s="319"/>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31" priority="5" stopIfTrue="1" operator="notEqual">
      <formula>$C3+$D3</formula>
    </cfRule>
  </conditionalFormatting>
  <conditionalFormatting sqref="E3:E107">
    <cfRule type="cellIs" dxfId="30" priority="2" stopIfTrue="1" operator="notEqual">
      <formula>$F3+$G3</formula>
    </cfRule>
  </conditionalFormatting>
  <conditionalFormatting sqref="H3:H107">
    <cfRule type="cellIs" dxfId="29"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82" zoomScale="140" zoomScaleNormal="140" workbookViewId="0">
      <selection activeCell="AG259" sqref="AG259:AK259"/>
    </sheetView>
  </sheetViews>
  <sheetFormatPr defaultColWidth="0" defaultRowHeight="12.95" zeroHeight="1"/>
  <cols>
    <col min="1" max="1" width="2.7109375" style="14" customWidth="1"/>
    <col min="2" max="3" width="2.28515625" style="14" customWidth="1"/>
    <col min="4" max="4" width="3.140625" style="14" customWidth="1"/>
    <col min="5" max="5" width="3.28515625" style="14" customWidth="1"/>
    <col min="6" max="6" width="2.85546875" style="14" customWidth="1"/>
    <col min="7" max="14" width="2.28515625" style="14" customWidth="1"/>
    <col min="15" max="15" width="2.85546875" style="14" customWidth="1"/>
    <col min="16" max="16" width="2.28515625" style="14" customWidth="1"/>
    <col min="17" max="17" width="3.85546875" style="14" customWidth="1"/>
    <col min="18" max="18" width="4.7109375" style="14" customWidth="1"/>
    <col min="19" max="19" width="3.28515625" style="14" customWidth="1"/>
    <col min="20" max="26" width="2.28515625" style="14" customWidth="1"/>
    <col min="27" max="30" width="2.7109375" style="14" customWidth="1"/>
    <col min="31" max="32" width="2.28515625" style="14" customWidth="1"/>
    <col min="33" max="33" width="3.28515625" style="14" customWidth="1"/>
    <col min="34" max="36" width="2.28515625" style="14" customWidth="1"/>
    <col min="37" max="37" width="5.7109375" style="14" customWidth="1"/>
    <col min="38" max="38" width="2.28515625" style="14" customWidth="1"/>
    <col min="39" max="39" width="3.28515625" style="14" customWidth="1"/>
    <col min="40" max="40" width="5.7109375" style="459" customWidth="1"/>
    <col min="41" max="41" width="5.7109375" style="26" hidden="1" customWidth="1"/>
    <col min="42" max="45" width="5.7109375" style="14" hidden="1" customWidth="1"/>
    <col min="46" max="46" width="10.85546875" style="14" hidden="1" customWidth="1"/>
    <col min="47" max="48" width="5.7109375" style="14" hidden="1" customWidth="1"/>
    <col min="49" max="49" width="8.7109375" style="14" hidden="1" customWidth="1"/>
    <col min="50" max="50" width="7.28515625" style="14" hidden="1" customWidth="1"/>
    <col min="51" max="55" width="5.7109375" style="14" hidden="1" customWidth="1"/>
    <col min="56" max="60" width="5.7109375" style="28" hidden="1" customWidth="1"/>
    <col min="61" max="81" width="5.7109375" style="14" hidden="1" customWidth="1"/>
    <col min="82" max="16384" width="9.140625" style="14" hidden="1"/>
  </cols>
  <sheetData>
    <row r="1" spans="1:42" ht="15.75" customHeight="1">
      <c r="A1" s="1854" t="s">
        <v>1943</v>
      </c>
      <c r="B1" s="1854"/>
      <c r="C1" s="1854"/>
      <c r="D1" s="1854"/>
      <c r="E1" s="1854"/>
      <c r="F1" s="1854"/>
      <c r="G1" s="1854"/>
      <c r="H1" s="1854"/>
      <c r="I1" s="1854"/>
      <c r="J1" s="1854"/>
      <c r="K1" s="1854"/>
      <c r="L1" s="1854"/>
      <c r="M1" s="1854"/>
      <c r="N1" s="1854"/>
      <c r="O1" s="1854"/>
      <c r="P1" s="1854"/>
      <c r="Q1" s="1854"/>
      <c r="R1" s="1854"/>
      <c r="S1" s="1854"/>
      <c r="T1" s="1854"/>
      <c r="U1" s="1854"/>
      <c r="V1" s="1854"/>
      <c r="W1" s="1854"/>
      <c r="X1" s="1854"/>
      <c r="Y1" s="1854"/>
      <c r="Z1" s="1854"/>
      <c r="AA1" s="1854"/>
      <c r="AB1" s="1854"/>
      <c r="AC1" s="1854"/>
      <c r="AD1" s="1854"/>
      <c r="AE1" s="1854"/>
      <c r="AF1" s="1854"/>
      <c r="AG1" s="1854"/>
      <c r="AH1" s="1854"/>
      <c r="AI1" s="1854"/>
      <c r="AJ1" s="1854"/>
      <c r="AK1" s="1854"/>
      <c r="AL1" s="1854"/>
      <c r="AM1" s="1854"/>
    </row>
    <row r="2" spans="1:42" s="461" customFormat="1" ht="12.75" customHeight="1" thickBot="1">
      <c r="A2" s="1855"/>
      <c r="B2" s="1855"/>
      <c r="C2" s="1855"/>
      <c r="D2" s="1855"/>
      <c r="E2" s="1855"/>
      <c r="F2" s="1855"/>
      <c r="G2" s="1855"/>
      <c r="H2" s="1855"/>
      <c r="I2" s="1855"/>
      <c r="J2" s="1855"/>
      <c r="K2" s="1855"/>
      <c r="L2" s="1855"/>
      <c r="M2" s="1855"/>
      <c r="N2" s="1855"/>
      <c r="O2" s="1855"/>
      <c r="P2" s="1855"/>
      <c r="Q2" s="1855"/>
      <c r="R2" s="1855"/>
      <c r="S2" s="1855"/>
      <c r="T2" s="1855"/>
      <c r="U2" s="1855"/>
      <c r="V2" s="1855"/>
      <c r="W2" s="1855"/>
      <c r="X2" s="1855"/>
      <c r="Y2" s="1855"/>
      <c r="Z2" s="1855"/>
      <c r="AA2" s="1855"/>
      <c r="AB2" s="1855"/>
      <c r="AC2" s="1855"/>
      <c r="AD2" s="1855"/>
      <c r="AE2" s="1855"/>
      <c r="AF2" s="1855"/>
      <c r="AG2" s="1855"/>
      <c r="AH2" s="1855"/>
      <c r="AI2" s="1855"/>
      <c r="AJ2" s="1855"/>
      <c r="AK2" s="1855"/>
      <c r="AL2" s="1855"/>
      <c r="AM2" s="1855"/>
      <c r="AN2" s="460"/>
    </row>
    <row r="3" spans="1:42" s="461" customFormat="1" ht="12.75" customHeight="1" thickTop="1">
      <c r="A3" s="462"/>
      <c r="B3" s="462"/>
      <c r="C3" s="462"/>
      <c r="D3" s="462"/>
      <c r="E3" s="462"/>
      <c r="F3" s="462"/>
      <c r="G3" s="462"/>
      <c r="H3" s="462"/>
      <c r="I3" s="462"/>
      <c r="J3" s="462"/>
      <c r="K3" s="462"/>
      <c r="L3" s="462"/>
      <c r="M3" s="462"/>
      <c r="N3" s="462"/>
      <c r="O3" s="462"/>
      <c r="P3" s="462"/>
      <c r="Q3" s="462"/>
      <c r="R3" s="462"/>
      <c r="S3" s="462"/>
      <c r="T3" s="462"/>
      <c r="U3" s="462"/>
      <c r="V3" s="462"/>
      <c r="W3" s="462"/>
      <c r="X3" s="462"/>
      <c r="Y3" s="462"/>
      <c r="Z3" s="462"/>
      <c r="AA3" s="462"/>
      <c r="AB3" s="462"/>
      <c r="AC3" s="462"/>
      <c r="AD3" s="462"/>
      <c r="AE3" s="462"/>
      <c r="AF3" s="462"/>
      <c r="AG3" s="462"/>
      <c r="AH3" s="462"/>
      <c r="AI3" s="462"/>
      <c r="AJ3" s="462"/>
      <c r="AK3" s="462"/>
      <c r="AL3" s="462"/>
      <c r="AM3" s="462"/>
      <c r="AN3" s="460"/>
    </row>
    <row r="4" spans="1:42" s="461" customFormat="1" ht="12.75" customHeight="1">
      <c r="A4" s="463" t="s">
        <v>1944</v>
      </c>
      <c r="B4" s="464" t="s">
        <v>1945</v>
      </c>
      <c r="C4" s="465"/>
      <c r="D4" s="465"/>
      <c r="E4" s="465"/>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465"/>
      <c r="AJ4" s="465"/>
      <c r="AK4" s="465"/>
      <c r="AL4" s="465"/>
      <c r="AM4" s="465"/>
      <c r="AN4" s="460"/>
    </row>
    <row r="5" spans="1:42" s="461" customFormat="1" ht="12.75" customHeight="1" thickBot="1">
      <c r="A5" s="463"/>
      <c r="B5" s="464"/>
      <c r="C5" s="465"/>
      <c r="D5" s="465"/>
      <c r="E5" s="465"/>
      <c r="F5" s="465"/>
      <c r="G5" s="465"/>
      <c r="H5" s="465"/>
      <c r="I5" s="465"/>
      <c r="J5" s="465"/>
      <c r="K5" s="465"/>
      <c r="L5" s="465"/>
      <c r="M5" s="465"/>
      <c r="N5" s="465"/>
      <c r="O5" s="465"/>
      <c r="P5" s="465"/>
      <c r="Q5" s="465"/>
      <c r="R5" s="465"/>
      <c r="S5" s="465"/>
      <c r="T5" s="465"/>
      <c r="U5" s="465"/>
      <c r="V5" s="465"/>
      <c r="W5" s="465"/>
      <c r="X5" s="465"/>
      <c r="Y5" s="465"/>
      <c r="Z5" s="465"/>
      <c r="AA5" s="465"/>
      <c r="AB5" s="465"/>
      <c r="AC5" s="465"/>
      <c r="AD5" s="465"/>
      <c r="AE5" s="465"/>
      <c r="AF5" s="465"/>
      <c r="AG5" s="465"/>
      <c r="AH5" s="465"/>
      <c r="AI5" s="465"/>
      <c r="AJ5" s="465"/>
      <c r="AK5" s="465"/>
      <c r="AL5" s="465"/>
      <c r="AM5" s="465"/>
      <c r="AN5" s="460"/>
    </row>
    <row r="6" spans="1:42" s="461" customFormat="1" ht="12.75" customHeight="1" thickTop="1">
      <c r="A6" s="466"/>
      <c r="B6" s="466"/>
      <c r="C6" s="466"/>
      <c r="D6" s="466"/>
      <c r="E6" s="466"/>
      <c r="F6" s="466"/>
      <c r="G6" s="466"/>
      <c r="H6" s="466"/>
      <c r="I6" s="466"/>
      <c r="J6" s="466"/>
      <c r="K6" s="466"/>
      <c r="L6" s="466"/>
      <c r="M6" s="466"/>
      <c r="N6" s="466"/>
      <c r="O6" s="466"/>
      <c r="P6" s="466"/>
      <c r="Q6" s="466"/>
      <c r="R6" s="466"/>
      <c r="S6" s="466"/>
      <c r="T6" s="466"/>
      <c r="U6" s="466"/>
      <c r="V6" s="466"/>
      <c r="W6" s="466"/>
      <c r="X6" s="466"/>
      <c r="Y6" s="466"/>
      <c r="Z6" s="466"/>
      <c r="AA6" s="466"/>
      <c r="AB6" s="466"/>
      <c r="AC6" s="466"/>
      <c r="AD6" s="466"/>
      <c r="AE6" s="466"/>
      <c r="AF6" s="466"/>
      <c r="AG6" s="466"/>
      <c r="AH6" s="466"/>
      <c r="AI6" s="466"/>
      <c r="AJ6" s="466"/>
      <c r="AK6" s="466"/>
      <c r="AL6" s="466"/>
      <c r="AM6" s="467"/>
      <c r="AN6" s="460"/>
    </row>
    <row r="7" spans="1:42" s="461" customFormat="1" ht="12.75" customHeight="1">
      <c r="A7" s="463" t="s">
        <v>1946</v>
      </c>
      <c r="B7" s="464" t="s">
        <v>1947</v>
      </c>
      <c r="C7" s="464"/>
      <c r="D7" s="464"/>
      <c r="E7" s="464"/>
      <c r="F7" s="464"/>
      <c r="G7" s="464"/>
      <c r="H7" s="464"/>
      <c r="I7" s="464"/>
      <c r="J7" s="464"/>
      <c r="K7" s="464"/>
      <c r="L7" s="464"/>
      <c r="M7" s="464"/>
      <c r="N7" s="464"/>
      <c r="O7" s="464"/>
      <c r="P7" s="464"/>
      <c r="Q7" s="464"/>
      <c r="R7" s="464"/>
      <c r="S7" s="464"/>
      <c r="T7" s="464"/>
      <c r="U7" s="464"/>
      <c r="V7" s="464"/>
      <c r="W7" s="464"/>
      <c r="X7" s="464"/>
      <c r="Y7" s="464"/>
      <c r="Z7" s="464"/>
      <c r="AA7" s="464"/>
      <c r="AB7" s="464"/>
      <c r="AC7" s="464"/>
      <c r="AD7" s="464"/>
      <c r="AE7" s="1666" t="s">
        <v>1948</v>
      </c>
      <c r="AF7" s="1666"/>
      <c r="AG7" s="1666"/>
      <c r="AH7" s="1666"/>
      <c r="AI7" s="1666"/>
      <c r="AJ7" s="1666"/>
      <c r="AK7" s="1666"/>
      <c r="AL7" s="465"/>
      <c r="AM7" s="465"/>
      <c r="AN7" s="460"/>
    </row>
    <row r="8" spans="1:42" s="461" customFormat="1" ht="12.75" customHeight="1">
      <c r="A8" s="463"/>
      <c r="B8" s="464" t="s">
        <v>1949</v>
      </c>
      <c r="C8" s="464"/>
      <c r="D8" s="464"/>
      <c r="E8" s="464"/>
      <c r="F8" s="464"/>
      <c r="G8" s="464"/>
      <c r="H8" s="464"/>
      <c r="I8" s="464"/>
      <c r="J8" s="464"/>
      <c r="K8" s="464"/>
      <c r="L8" s="464"/>
      <c r="M8" s="464"/>
      <c r="N8" s="464"/>
      <c r="O8" s="464"/>
      <c r="P8" s="464"/>
      <c r="Q8" s="464"/>
      <c r="R8" s="464"/>
      <c r="S8" s="464"/>
      <c r="T8" s="464"/>
      <c r="U8" s="464"/>
      <c r="V8" s="464"/>
      <c r="W8" s="464"/>
      <c r="X8" s="464"/>
      <c r="Y8" s="464"/>
      <c r="Z8" s="464"/>
      <c r="AA8" s="464"/>
      <c r="AB8" s="464"/>
      <c r="AC8" s="464"/>
      <c r="AD8" s="464"/>
      <c r="AE8" s="468"/>
      <c r="AF8" s="468"/>
      <c r="AG8" s="468"/>
      <c r="AH8" s="468"/>
      <c r="AI8" s="468"/>
      <c r="AJ8" s="468"/>
      <c r="AK8" s="468"/>
      <c r="AL8" s="465"/>
      <c r="AM8" s="465"/>
      <c r="AN8" s="460"/>
    </row>
    <row r="9" spans="1:42" s="461" customFormat="1" ht="12.75" customHeight="1">
      <c r="A9" s="463"/>
      <c r="B9" s="464"/>
      <c r="C9" s="464"/>
      <c r="D9" s="464"/>
      <c r="E9" s="464"/>
      <c r="F9" s="464"/>
      <c r="G9" s="464"/>
      <c r="H9" s="464"/>
      <c r="I9" s="464"/>
      <c r="J9" s="464"/>
      <c r="K9" s="464"/>
      <c r="L9" s="464"/>
      <c r="M9" s="464"/>
      <c r="N9" s="464"/>
      <c r="O9" s="464"/>
      <c r="P9" s="464"/>
      <c r="Q9" s="464"/>
      <c r="R9" s="464"/>
      <c r="S9" s="464"/>
      <c r="T9" s="464"/>
      <c r="U9" s="464"/>
      <c r="V9" s="464"/>
      <c r="W9" s="464"/>
      <c r="X9" s="464"/>
      <c r="Y9" s="464"/>
      <c r="Z9" s="464"/>
      <c r="AA9" s="464"/>
      <c r="AB9" s="464"/>
      <c r="AC9" s="464"/>
      <c r="AD9" s="464"/>
      <c r="AE9" s="468"/>
      <c r="AF9" s="468"/>
      <c r="AG9" s="468"/>
      <c r="AH9" s="468"/>
      <c r="AI9" s="468"/>
      <c r="AJ9" s="468"/>
      <c r="AK9" s="468"/>
      <c r="AL9" s="465"/>
      <c r="AM9" s="465"/>
      <c r="AN9" s="460"/>
    </row>
    <row r="10" spans="1:42" s="461" customFormat="1" ht="12.75" customHeight="1">
      <c r="A10" s="463"/>
      <c r="B10" s="464" t="s">
        <v>1950</v>
      </c>
      <c r="C10" s="464"/>
      <c r="D10" s="464"/>
      <c r="E10" s="464"/>
      <c r="F10" s="464"/>
      <c r="G10" s="464"/>
      <c r="H10" s="464"/>
      <c r="I10" s="464"/>
      <c r="J10" s="464"/>
      <c r="K10" s="464"/>
      <c r="L10" s="464"/>
      <c r="M10" s="464"/>
      <c r="N10" s="464"/>
      <c r="O10" s="464"/>
      <c r="P10" s="464"/>
      <c r="Q10" s="464"/>
      <c r="R10" s="464"/>
      <c r="S10" s="464"/>
      <c r="T10" s="464"/>
      <c r="U10" s="464"/>
      <c r="V10" s="464"/>
      <c r="W10" s="464"/>
      <c r="X10" s="464"/>
      <c r="Y10" s="464"/>
      <c r="Z10" s="464"/>
      <c r="AA10" s="464"/>
      <c r="AB10" s="464"/>
      <c r="AC10" s="464"/>
      <c r="AD10" s="464"/>
      <c r="AE10" s="468"/>
      <c r="AF10" s="468"/>
      <c r="AG10" s="468"/>
      <c r="AH10" s="468"/>
      <c r="AI10" s="468"/>
      <c r="AJ10" s="468"/>
      <c r="AK10" s="468"/>
      <c r="AL10" s="465"/>
      <c r="AM10" s="465"/>
      <c r="AN10" s="460"/>
    </row>
    <row r="11" spans="1:42" s="461" customFormat="1" ht="12.75" customHeight="1">
      <c r="A11" s="465"/>
      <c r="C11" s="1065" t="s">
        <v>1951</v>
      </c>
      <c r="D11" s="1065"/>
      <c r="E11" s="1065"/>
      <c r="F11" s="1065"/>
      <c r="G11" s="1065"/>
      <c r="H11" s="1065"/>
      <c r="I11" s="1065"/>
      <c r="J11" s="1065"/>
      <c r="K11" s="1065"/>
      <c r="L11" s="1065"/>
      <c r="M11" s="1065"/>
      <c r="N11" s="1065"/>
      <c r="O11" s="1065"/>
      <c r="P11" s="1065"/>
      <c r="Q11" s="1065"/>
      <c r="R11" s="1065"/>
      <c r="S11" s="1065"/>
      <c r="T11" s="1065"/>
      <c r="U11" s="1065"/>
      <c r="V11" s="1065"/>
      <c r="W11" s="1065"/>
      <c r="X11" s="1065"/>
      <c r="Y11" s="1065"/>
      <c r="Z11" s="1065"/>
      <c r="AA11" s="1065"/>
      <c r="AB11" s="1065"/>
      <c r="AC11" s="1065"/>
      <c r="AD11" s="1065"/>
      <c r="AE11" s="1065"/>
      <c r="AF11" s="1065"/>
      <c r="AG11" s="1065"/>
      <c r="AH11" s="1065"/>
      <c r="AI11" s="1065"/>
      <c r="AJ11" s="1065"/>
      <c r="AK11" s="465"/>
      <c r="AL11" s="465"/>
      <c r="AM11" s="465"/>
      <c r="AN11" s="460"/>
      <c r="AO11" s="374"/>
      <c r="AP11" s="470"/>
    </row>
    <row r="12" spans="1:42" s="461" customFormat="1" ht="12.75" customHeight="1">
      <c r="A12" s="465"/>
      <c r="B12" s="471"/>
      <c r="C12" s="465"/>
      <c r="D12" s="465"/>
      <c r="E12" s="465"/>
      <c r="F12" s="465"/>
      <c r="G12" s="465"/>
      <c r="H12" s="465"/>
      <c r="I12" s="465"/>
      <c r="J12" s="465"/>
      <c r="K12" s="465"/>
      <c r="L12" s="465"/>
      <c r="M12" s="465"/>
      <c r="N12" s="465"/>
      <c r="O12" s="465"/>
      <c r="P12" s="465"/>
      <c r="Q12" s="465"/>
      <c r="R12" s="465"/>
      <c r="S12" s="465"/>
      <c r="T12" s="465"/>
      <c r="U12" s="465"/>
      <c r="V12" s="465"/>
      <c r="W12" s="465"/>
      <c r="X12" s="465"/>
      <c r="Y12" s="465"/>
      <c r="Z12" s="465"/>
      <c r="AA12" s="465"/>
      <c r="AB12" s="465"/>
      <c r="AC12" s="465"/>
      <c r="AD12" s="465"/>
      <c r="AE12" s="465"/>
      <c r="AF12" s="465"/>
      <c r="AG12" s="465"/>
      <c r="AH12" s="465"/>
      <c r="AI12" s="465"/>
      <c r="AJ12" s="465"/>
      <c r="AK12" s="465"/>
      <c r="AL12" s="465"/>
      <c r="AM12" s="465"/>
      <c r="AN12" s="460"/>
      <c r="AP12" s="14"/>
    </row>
    <row r="13" spans="1:42" s="461" customFormat="1" ht="12.75" customHeight="1">
      <c r="A13" s="465"/>
      <c r="B13" s="1848" t="s">
        <v>299</v>
      </c>
      <c r="C13" s="1848"/>
      <c r="D13" s="472"/>
      <c r="E13" s="473" t="s">
        <v>1952</v>
      </c>
      <c r="F13" s="474"/>
      <c r="G13" s="474"/>
      <c r="H13" s="474"/>
      <c r="I13" s="474"/>
      <c r="J13" s="474"/>
      <c r="K13" s="474"/>
      <c r="L13" s="474"/>
      <c r="M13" s="474"/>
      <c r="N13" s="474"/>
      <c r="O13" s="474"/>
      <c r="P13" s="474"/>
      <c r="Q13" s="474"/>
      <c r="R13" s="474"/>
      <c r="S13" s="474"/>
      <c r="T13" s="474"/>
      <c r="U13" s="474"/>
      <c r="V13" s="474"/>
      <c r="W13" s="474"/>
      <c r="X13" s="474"/>
      <c r="Y13" s="474"/>
      <c r="Z13" s="474"/>
      <c r="AA13" s="474"/>
      <c r="AB13" s="474"/>
      <c r="AC13" s="474"/>
      <c r="AD13" s="474"/>
      <c r="AE13" s="474"/>
      <c r="AF13" s="474"/>
      <c r="AG13" s="1856"/>
      <c r="AH13" s="1856"/>
      <c r="AI13" s="1856"/>
      <c r="AJ13" s="1857"/>
      <c r="AK13" s="465"/>
      <c r="AL13" s="465"/>
      <c r="AM13" s="465"/>
      <c r="AN13" s="460"/>
      <c r="AO13" s="475">
        <f>IF($B13="yes",20,0)</f>
        <v>0</v>
      </c>
      <c r="AP13" s="14"/>
    </row>
    <row r="14" spans="1:42" s="461" customFormat="1" ht="12.75" customHeight="1">
      <c r="A14" s="465"/>
      <c r="B14" s="465"/>
      <c r="C14" s="465"/>
      <c r="D14" s="14"/>
      <c r="E14" s="465"/>
      <c r="F14" s="465"/>
      <c r="G14" s="465"/>
      <c r="H14" s="465"/>
      <c r="I14" s="465"/>
      <c r="J14" s="465"/>
      <c r="K14" s="465"/>
      <c r="L14" s="465"/>
      <c r="M14" s="465"/>
      <c r="N14" s="465"/>
      <c r="O14" s="465"/>
      <c r="P14" s="465"/>
      <c r="Q14" s="465"/>
      <c r="R14" s="465"/>
      <c r="S14" s="465"/>
      <c r="T14" s="465"/>
      <c r="U14" s="465"/>
      <c r="V14" s="465"/>
      <c r="W14" s="465"/>
      <c r="X14" s="465"/>
      <c r="Y14" s="465"/>
      <c r="Z14" s="465"/>
      <c r="AA14" s="465"/>
      <c r="AB14" s="465"/>
      <c r="AC14" s="465"/>
      <c r="AD14" s="465"/>
      <c r="AE14" s="465"/>
      <c r="AF14" s="465"/>
      <c r="AG14" s="465"/>
      <c r="AH14" s="465"/>
      <c r="AI14" s="465"/>
      <c r="AJ14" s="465"/>
      <c r="AK14" s="465"/>
      <c r="AL14" s="465"/>
      <c r="AM14" s="465"/>
      <c r="AN14" s="460"/>
      <c r="AO14" s="475">
        <f>IF(AND($B16="yes",E20&gt;0),20,0)</f>
        <v>0</v>
      </c>
      <c r="AP14" s="14"/>
    </row>
    <row r="15" spans="1:42" s="461" customFormat="1" ht="12.75" customHeight="1">
      <c r="A15" s="465"/>
      <c r="B15" s="465"/>
      <c r="C15" s="465"/>
      <c r="D15" s="475"/>
      <c r="E15" s="465"/>
      <c r="F15" s="465"/>
      <c r="G15" s="465"/>
      <c r="H15" s="465"/>
      <c r="I15" s="465"/>
      <c r="J15" s="465"/>
      <c r="K15" s="465"/>
      <c r="L15" s="465"/>
      <c r="M15" s="465"/>
      <c r="N15" s="465"/>
      <c r="O15" s="465"/>
      <c r="P15" s="465"/>
      <c r="Q15" s="465"/>
      <c r="R15" s="465"/>
      <c r="S15" s="465"/>
      <c r="T15" s="465"/>
      <c r="U15" s="465"/>
      <c r="V15" s="465"/>
      <c r="W15" s="465"/>
      <c r="X15" s="465"/>
      <c r="Y15" s="465"/>
      <c r="Z15" s="465"/>
      <c r="AA15" s="465"/>
      <c r="AB15" s="465"/>
      <c r="AC15" s="465"/>
      <c r="AD15" s="465"/>
      <c r="AE15" s="465"/>
      <c r="AF15" s="465"/>
      <c r="AG15" s="465"/>
      <c r="AH15" s="465"/>
      <c r="AI15" s="465"/>
      <c r="AJ15" s="465"/>
      <c r="AK15" s="465"/>
      <c r="AL15" s="465"/>
      <c r="AM15" s="465"/>
      <c r="AN15" s="460"/>
      <c r="AO15" s="475">
        <f>IF($B22="yes",20,0)</f>
        <v>0</v>
      </c>
      <c r="AP15" s="14"/>
    </row>
    <row r="16" spans="1:42" s="461" customFormat="1" ht="12.75" customHeight="1">
      <c r="A16" s="465"/>
      <c r="B16" s="1848" t="s">
        <v>299</v>
      </c>
      <c r="C16" s="1848"/>
      <c r="D16" s="472"/>
      <c r="E16" s="1840" t="s">
        <v>1953</v>
      </c>
      <c r="F16" s="1841"/>
      <c r="G16" s="1841"/>
      <c r="H16" s="1841"/>
      <c r="I16" s="1841"/>
      <c r="J16" s="1841"/>
      <c r="K16" s="1841"/>
      <c r="L16" s="1841"/>
      <c r="M16" s="1841"/>
      <c r="N16" s="1841"/>
      <c r="O16" s="1841"/>
      <c r="P16" s="1841"/>
      <c r="Q16" s="1841"/>
      <c r="R16" s="1841"/>
      <c r="S16" s="1841"/>
      <c r="T16" s="1841"/>
      <c r="U16" s="1841"/>
      <c r="V16" s="1841"/>
      <c r="W16" s="1841"/>
      <c r="X16" s="1841"/>
      <c r="Y16" s="1841"/>
      <c r="Z16" s="1841"/>
      <c r="AA16" s="1841"/>
      <c r="AB16" s="1841"/>
      <c r="AC16" s="1841"/>
      <c r="AD16" s="1841"/>
      <c r="AE16" s="1841"/>
      <c r="AF16" s="1841"/>
      <c r="AG16" s="1841"/>
      <c r="AH16" s="1841"/>
      <c r="AI16" s="1841"/>
      <c r="AJ16" s="1842"/>
      <c r="AK16" s="465"/>
      <c r="AL16" s="465"/>
      <c r="AM16" s="465"/>
      <c r="AN16" s="460"/>
      <c r="AO16" s="475">
        <f>IF($B25="yes",20,0)</f>
        <v>0</v>
      </c>
      <c r="AP16" s="14"/>
    </row>
    <row r="17" spans="1:42" s="461" customFormat="1" ht="12.75" customHeight="1">
      <c r="A17" s="465"/>
      <c r="B17" s="465"/>
      <c r="C17" s="465"/>
      <c r="D17" s="476"/>
      <c r="E17" s="1843"/>
      <c r="F17" s="1844"/>
      <c r="G17" s="1844"/>
      <c r="H17" s="1844"/>
      <c r="I17" s="1844"/>
      <c r="J17" s="1844"/>
      <c r="K17" s="1844"/>
      <c r="L17" s="1844"/>
      <c r="M17" s="1844"/>
      <c r="N17" s="1844"/>
      <c r="O17" s="1844"/>
      <c r="P17" s="1844"/>
      <c r="Q17" s="1844"/>
      <c r="R17" s="1844"/>
      <c r="S17" s="1844"/>
      <c r="T17" s="1844"/>
      <c r="U17" s="1844"/>
      <c r="V17" s="1844"/>
      <c r="W17" s="1844"/>
      <c r="X17" s="1844"/>
      <c r="Y17" s="1844"/>
      <c r="Z17" s="1844"/>
      <c r="AA17" s="1844"/>
      <c r="AB17" s="1844"/>
      <c r="AC17" s="1844"/>
      <c r="AD17" s="1844"/>
      <c r="AE17" s="1844"/>
      <c r="AF17" s="1844"/>
      <c r="AG17" s="1844"/>
      <c r="AH17" s="1844"/>
      <c r="AI17" s="1844"/>
      <c r="AJ17" s="1845"/>
      <c r="AK17" s="465"/>
      <c r="AL17" s="465"/>
      <c r="AM17" s="465"/>
      <c r="AN17" s="460"/>
      <c r="AO17" s="461">
        <f>IF(SUM(AO13:AO16)&gt;20,20,(SUM(AO13:AO16)))</f>
        <v>0</v>
      </c>
      <c r="AP17" s="461" t="s">
        <v>1954</v>
      </c>
    </row>
    <row r="18" spans="1:42" s="461" customFormat="1" ht="12.75" customHeight="1">
      <c r="A18" s="465"/>
      <c r="B18" s="465"/>
      <c r="C18" s="465"/>
      <c r="D18" s="476"/>
      <c r="E18" s="1843"/>
      <c r="F18" s="1844"/>
      <c r="G18" s="1844"/>
      <c r="H18" s="1844"/>
      <c r="I18" s="1844"/>
      <c r="J18" s="1844"/>
      <c r="K18" s="1844"/>
      <c r="L18" s="1844"/>
      <c r="M18" s="1844"/>
      <c r="N18" s="1844"/>
      <c r="O18" s="1844"/>
      <c r="P18" s="1844"/>
      <c r="Q18" s="1844"/>
      <c r="R18" s="1844"/>
      <c r="S18" s="1844"/>
      <c r="T18" s="1844"/>
      <c r="U18" s="1844"/>
      <c r="V18" s="1844"/>
      <c r="W18" s="1844"/>
      <c r="X18" s="1844"/>
      <c r="Y18" s="1844"/>
      <c r="Z18" s="1844"/>
      <c r="AA18" s="1844"/>
      <c r="AB18" s="1844"/>
      <c r="AC18" s="1844"/>
      <c r="AD18" s="1844"/>
      <c r="AE18" s="1844"/>
      <c r="AF18" s="1844"/>
      <c r="AG18" s="1844"/>
      <c r="AH18" s="1844"/>
      <c r="AI18" s="1844"/>
      <c r="AJ18" s="1845"/>
      <c r="AK18" s="465"/>
      <c r="AL18" s="465"/>
      <c r="AM18" s="465"/>
      <c r="AN18" s="460"/>
    </row>
    <row r="19" spans="1:42" s="461" customFormat="1" ht="12.75" customHeight="1">
      <c r="A19" s="465"/>
      <c r="B19" s="465"/>
      <c r="C19" s="465"/>
      <c r="D19" s="476"/>
      <c r="E19" s="477" t="s">
        <v>1955</v>
      </c>
      <c r="F19" s="478"/>
      <c r="G19" s="478"/>
      <c r="H19" s="478"/>
      <c r="I19" s="478"/>
      <c r="J19" s="478"/>
      <c r="K19" s="478"/>
      <c r="L19" s="478"/>
      <c r="M19" s="478"/>
      <c r="N19" s="478"/>
      <c r="O19" s="478"/>
      <c r="P19" s="478"/>
      <c r="Q19" s="478"/>
      <c r="R19" s="478"/>
      <c r="S19" s="478"/>
      <c r="T19" s="478"/>
      <c r="U19" s="478"/>
      <c r="V19" s="478"/>
      <c r="W19" s="478"/>
      <c r="X19" s="478"/>
      <c r="Y19" s="478"/>
      <c r="Z19" s="478"/>
      <c r="AA19" s="478"/>
      <c r="AB19" s="478"/>
      <c r="AC19" s="478"/>
      <c r="AD19" s="478"/>
      <c r="AE19" s="478"/>
      <c r="AF19" s="478"/>
      <c r="AG19" s="478"/>
      <c r="AH19" s="478"/>
      <c r="AI19" s="478"/>
      <c r="AJ19" s="479"/>
      <c r="AK19" s="465"/>
      <c r="AL19" s="465"/>
      <c r="AM19" s="465"/>
      <c r="AN19" s="460"/>
    </row>
    <row r="20" spans="1:42" s="461" customFormat="1" ht="12.75" customHeight="1">
      <c r="A20" s="465"/>
      <c r="B20" s="465"/>
      <c r="C20" s="465"/>
      <c r="D20" s="476"/>
      <c r="E20" s="1864"/>
      <c r="F20" s="1865"/>
      <c r="G20" s="1865"/>
      <c r="H20" s="1865"/>
      <c r="I20" s="1865"/>
      <c r="J20" s="1865"/>
      <c r="K20" s="1865"/>
      <c r="L20" s="1865"/>
      <c r="M20" s="1865"/>
      <c r="N20" s="1865"/>
      <c r="O20" s="1865"/>
      <c r="P20" s="1865"/>
      <c r="Q20" s="1865"/>
      <c r="R20" s="1865"/>
      <c r="S20" s="1865"/>
      <c r="T20" s="1865"/>
      <c r="U20" s="1865"/>
      <c r="V20" s="1865"/>
      <c r="W20" s="1865"/>
      <c r="X20" s="1865"/>
      <c r="Y20" s="1865"/>
      <c r="Z20" s="1865"/>
      <c r="AA20" s="1865"/>
      <c r="AB20" s="1865"/>
      <c r="AC20" s="1865"/>
      <c r="AD20" s="1865"/>
      <c r="AE20" s="1865"/>
      <c r="AF20" s="1865"/>
      <c r="AG20" s="1865"/>
      <c r="AH20" s="1865"/>
      <c r="AI20" s="1865"/>
      <c r="AJ20" s="1866"/>
      <c r="AK20" s="465"/>
      <c r="AL20" s="465"/>
      <c r="AM20" s="465"/>
      <c r="AN20" s="460"/>
      <c r="AO20" s="475">
        <f>IF($B30="yes",14,0)</f>
        <v>0</v>
      </c>
    </row>
    <row r="21" spans="1:42" s="461" customFormat="1" ht="12.75" customHeight="1">
      <c r="A21" s="465"/>
      <c r="B21" s="465"/>
      <c r="C21" s="465"/>
      <c r="E21" s="465"/>
      <c r="F21" s="465"/>
      <c r="G21" s="465"/>
      <c r="H21" s="465"/>
      <c r="I21" s="465"/>
      <c r="J21" s="465"/>
      <c r="K21" s="465"/>
      <c r="L21" s="465"/>
      <c r="M21" s="465"/>
      <c r="N21" s="465"/>
      <c r="O21" s="465"/>
      <c r="P21" s="465"/>
      <c r="Q21" s="465"/>
      <c r="R21" s="465"/>
      <c r="S21" s="465"/>
      <c r="T21" s="465"/>
      <c r="U21" s="465"/>
      <c r="V21" s="465"/>
      <c r="W21" s="465"/>
      <c r="X21" s="465"/>
      <c r="Y21" s="465"/>
      <c r="Z21" s="465"/>
      <c r="AA21" s="465"/>
      <c r="AB21" s="465"/>
      <c r="AC21" s="465"/>
      <c r="AD21" s="465"/>
      <c r="AE21" s="465"/>
      <c r="AF21" s="465"/>
      <c r="AG21" s="465"/>
      <c r="AH21" s="465"/>
      <c r="AI21" s="465"/>
      <c r="AJ21" s="465"/>
      <c r="AK21" s="465"/>
      <c r="AL21" s="465"/>
      <c r="AM21" s="465"/>
      <c r="AN21" s="460"/>
      <c r="AO21" s="475">
        <f>IF($B33="yes",14,0)</f>
        <v>0</v>
      </c>
      <c r="AP21" s="14"/>
    </row>
    <row r="22" spans="1:42" s="461" customFormat="1" ht="12.75" customHeight="1">
      <c r="A22" s="465"/>
      <c r="B22" s="1848" t="s">
        <v>299</v>
      </c>
      <c r="C22" s="1848"/>
      <c r="D22" s="472"/>
      <c r="E22" s="1858" t="s">
        <v>1956</v>
      </c>
      <c r="F22" s="1859"/>
      <c r="G22" s="1859"/>
      <c r="H22" s="1859"/>
      <c r="I22" s="1859"/>
      <c r="J22" s="1859"/>
      <c r="K22" s="1859"/>
      <c r="L22" s="1859"/>
      <c r="M22" s="1859"/>
      <c r="N22" s="1859"/>
      <c r="O22" s="1859"/>
      <c r="P22" s="1859"/>
      <c r="Q22" s="1859"/>
      <c r="R22" s="1859"/>
      <c r="S22" s="1859"/>
      <c r="T22" s="1859"/>
      <c r="U22" s="1859"/>
      <c r="V22" s="1859"/>
      <c r="W22" s="1859"/>
      <c r="X22" s="1859"/>
      <c r="Y22" s="1859"/>
      <c r="Z22" s="1859"/>
      <c r="AA22" s="1859"/>
      <c r="AB22" s="1859"/>
      <c r="AC22" s="1859"/>
      <c r="AD22" s="1859"/>
      <c r="AE22" s="1859"/>
      <c r="AF22" s="1859"/>
      <c r="AG22" s="1859"/>
      <c r="AH22" s="1859"/>
      <c r="AI22" s="1859"/>
      <c r="AJ22" s="1860"/>
      <c r="AK22" s="465"/>
      <c r="AL22" s="465"/>
      <c r="AM22" s="465"/>
      <c r="AN22" s="460"/>
      <c r="AO22" s="461">
        <f>IF(SUM(AO20:AO21)&gt;14,14,SUM(AO20:AO21))</f>
        <v>0</v>
      </c>
      <c r="AP22" s="461" t="s">
        <v>1954</v>
      </c>
    </row>
    <row r="23" spans="1:42" s="461" customFormat="1" ht="12.75" customHeight="1">
      <c r="A23" s="465"/>
      <c r="B23" s="465"/>
      <c r="C23" s="465"/>
      <c r="D23" s="475"/>
      <c r="E23" s="1861"/>
      <c r="F23" s="1862"/>
      <c r="G23" s="1862"/>
      <c r="H23" s="1862"/>
      <c r="I23" s="1862"/>
      <c r="J23" s="1862"/>
      <c r="K23" s="1862"/>
      <c r="L23" s="1862"/>
      <c r="M23" s="1862"/>
      <c r="N23" s="1862"/>
      <c r="O23" s="1862"/>
      <c r="P23" s="1862"/>
      <c r="Q23" s="1862"/>
      <c r="R23" s="1862"/>
      <c r="S23" s="1862"/>
      <c r="T23" s="1862"/>
      <c r="U23" s="1862"/>
      <c r="V23" s="1862"/>
      <c r="W23" s="1862"/>
      <c r="X23" s="1862"/>
      <c r="Y23" s="1862"/>
      <c r="Z23" s="1862"/>
      <c r="AA23" s="1862"/>
      <c r="AB23" s="1862"/>
      <c r="AC23" s="1862"/>
      <c r="AD23" s="1862"/>
      <c r="AE23" s="1862"/>
      <c r="AF23" s="1862"/>
      <c r="AG23" s="1862"/>
      <c r="AH23" s="1862"/>
      <c r="AI23" s="1862"/>
      <c r="AJ23" s="1863"/>
      <c r="AK23" s="465"/>
      <c r="AL23" s="465"/>
      <c r="AM23" s="465"/>
      <c r="AN23" s="460"/>
    </row>
    <row r="24" spans="1:42" s="461" customFormat="1" ht="12.75" customHeight="1">
      <c r="A24" s="465"/>
      <c r="B24" s="465"/>
      <c r="C24" s="465"/>
      <c r="D24" s="476"/>
      <c r="E24" s="465"/>
      <c r="F24" s="465"/>
      <c r="G24" s="465"/>
      <c r="H24" s="465"/>
      <c r="I24" s="465"/>
      <c r="J24" s="465"/>
      <c r="K24" s="465"/>
      <c r="L24" s="465"/>
      <c r="M24" s="465"/>
      <c r="N24" s="465"/>
      <c r="O24" s="465"/>
      <c r="P24" s="465"/>
      <c r="Q24" s="465"/>
      <c r="R24" s="465"/>
      <c r="S24" s="465"/>
      <c r="T24" s="465"/>
      <c r="U24" s="465"/>
      <c r="V24" s="465"/>
      <c r="W24" s="465"/>
      <c r="X24" s="465"/>
      <c r="Y24" s="465"/>
      <c r="Z24" s="465"/>
      <c r="AA24" s="465"/>
      <c r="AB24" s="465"/>
      <c r="AC24" s="465"/>
      <c r="AD24" s="465"/>
      <c r="AE24" s="465"/>
      <c r="AF24" s="465"/>
      <c r="AG24" s="465"/>
      <c r="AH24" s="465"/>
      <c r="AI24" s="465"/>
      <c r="AJ24" s="465"/>
      <c r="AK24" s="465"/>
      <c r="AL24" s="465"/>
      <c r="AM24" s="465"/>
      <c r="AN24" s="460"/>
      <c r="AO24" s="475">
        <f>IF($B39="yes",6,0)</f>
        <v>0</v>
      </c>
    </row>
    <row r="25" spans="1:42" s="461" customFormat="1" ht="12.75" customHeight="1">
      <c r="A25" s="465"/>
      <c r="B25" s="1848" t="s">
        <v>299</v>
      </c>
      <c r="C25" s="1848"/>
      <c r="D25" s="472"/>
      <c r="E25" s="1776" t="s">
        <v>1957</v>
      </c>
      <c r="F25" s="1777"/>
      <c r="G25" s="1777"/>
      <c r="H25" s="1777"/>
      <c r="I25" s="1777"/>
      <c r="J25" s="1777"/>
      <c r="K25" s="1777"/>
      <c r="L25" s="1777"/>
      <c r="M25" s="1777"/>
      <c r="N25" s="1777"/>
      <c r="O25" s="1777"/>
      <c r="P25" s="1777"/>
      <c r="Q25" s="1777"/>
      <c r="R25" s="1777"/>
      <c r="S25" s="1777"/>
      <c r="T25" s="1777"/>
      <c r="U25" s="1777"/>
      <c r="V25" s="1777"/>
      <c r="W25" s="1777"/>
      <c r="X25" s="1777"/>
      <c r="Y25" s="1777"/>
      <c r="Z25" s="1777"/>
      <c r="AA25" s="1777"/>
      <c r="AB25" s="1777"/>
      <c r="AC25" s="1777"/>
      <c r="AD25" s="1777"/>
      <c r="AE25" s="1777"/>
      <c r="AF25" s="1777"/>
      <c r="AG25" s="1777"/>
      <c r="AH25" s="1777"/>
      <c r="AI25" s="1777"/>
      <c r="AJ25" s="1778"/>
      <c r="AK25" s="465"/>
      <c r="AL25" s="465"/>
      <c r="AM25" s="465"/>
      <c r="AN25" s="460"/>
      <c r="AO25" s="461">
        <f>IF(AO24&gt;6,6,AO24)</f>
        <v>0</v>
      </c>
      <c r="AP25" s="461" t="s">
        <v>1954</v>
      </c>
    </row>
    <row r="26" spans="1:42" s="461" customFormat="1" ht="12.75" customHeight="1">
      <c r="A26" s="465"/>
      <c r="B26" s="465"/>
      <c r="C26" s="465"/>
      <c r="D26" s="475"/>
      <c r="E26" s="1800"/>
      <c r="F26" s="1801"/>
      <c r="G26" s="1801"/>
      <c r="H26" s="1801"/>
      <c r="I26" s="1801"/>
      <c r="J26" s="1801"/>
      <c r="K26" s="1801"/>
      <c r="L26" s="1801"/>
      <c r="M26" s="1801"/>
      <c r="N26" s="1801"/>
      <c r="O26" s="1801"/>
      <c r="P26" s="1801"/>
      <c r="Q26" s="1801"/>
      <c r="R26" s="1801"/>
      <c r="S26" s="1801"/>
      <c r="T26" s="1801"/>
      <c r="U26" s="1801"/>
      <c r="V26" s="1801"/>
      <c r="W26" s="1801"/>
      <c r="X26" s="1801"/>
      <c r="Y26" s="1801"/>
      <c r="Z26" s="1801"/>
      <c r="AA26" s="1801"/>
      <c r="AB26" s="1801"/>
      <c r="AC26" s="1801"/>
      <c r="AD26" s="1801"/>
      <c r="AE26" s="1801"/>
      <c r="AF26" s="1801"/>
      <c r="AG26" s="1801"/>
      <c r="AH26" s="1801"/>
      <c r="AI26" s="1801"/>
      <c r="AJ26" s="1802"/>
      <c r="AK26" s="465"/>
      <c r="AL26" s="465"/>
      <c r="AM26" s="465"/>
      <c r="AN26" s="460"/>
      <c r="AO26" s="475"/>
    </row>
    <row r="27" spans="1:42" s="461" customFormat="1" ht="12.75" customHeight="1">
      <c r="A27" s="465"/>
      <c r="B27" s="465"/>
      <c r="C27" s="465"/>
      <c r="D27" s="475"/>
      <c r="E27" s="465"/>
      <c r="F27" s="465"/>
      <c r="G27" s="465"/>
      <c r="H27" s="465"/>
      <c r="I27" s="465"/>
      <c r="J27" s="465"/>
      <c r="K27" s="465"/>
      <c r="L27" s="465"/>
      <c r="M27" s="465"/>
      <c r="N27" s="465"/>
      <c r="O27" s="465"/>
      <c r="P27" s="465"/>
      <c r="Q27" s="465"/>
      <c r="R27" s="465"/>
      <c r="S27" s="465"/>
      <c r="T27" s="465"/>
      <c r="U27" s="465"/>
      <c r="V27" s="465"/>
      <c r="W27" s="465"/>
      <c r="X27" s="465"/>
      <c r="Y27" s="465"/>
      <c r="Z27" s="465"/>
      <c r="AA27" s="465"/>
      <c r="AB27" s="465"/>
      <c r="AC27" s="465"/>
      <c r="AD27" s="465"/>
      <c r="AE27" s="465"/>
      <c r="AF27" s="465"/>
      <c r="AG27" s="465"/>
      <c r="AH27" s="465"/>
      <c r="AI27" s="465"/>
      <c r="AJ27" s="465"/>
      <c r="AK27" s="465"/>
      <c r="AL27" s="465"/>
      <c r="AM27" s="465"/>
      <c r="AN27" s="460"/>
      <c r="AO27" s="475"/>
    </row>
    <row r="28" spans="1:42" s="461" customFormat="1" ht="12.75" customHeight="1">
      <c r="A28" s="465"/>
      <c r="C28" s="469" t="s">
        <v>1958</v>
      </c>
      <c r="E28" s="465"/>
      <c r="F28" s="465"/>
      <c r="G28" s="465"/>
      <c r="H28" s="465"/>
      <c r="I28" s="465"/>
      <c r="J28" s="465"/>
      <c r="K28" s="465"/>
      <c r="L28" s="465"/>
      <c r="M28" s="465"/>
      <c r="N28" s="465"/>
      <c r="O28" s="465"/>
      <c r="P28" s="465"/>
      <c r="Q28" s="465"/>
      <c r="R28" s="465"/>
      <c r="S28" s="465"/>
      <c r="T28" s="465"/>
      <c r="U28" s="465"/>
      <c r="V28" s="465"/>
      <c r="W28" s="465"/>
      <c r="X28" s="465"/>
      <c r="Y28" s="465"/>
      <c r="Z28" s="465"/>
      <c r="AA28" s="465"/>
      <c r="AB28" s="465"/>
      <c r="AC28" s="465"/>
      <c r="AD28" s="465"/>
      <c r="AE28" s="465"/>
      <c r="AF28" s="465"/>
      <c r="AG28" s="465"/>
      <c r="AH28" s="465"/>
      <c r="AI28" s="465"/>
      <c r="AJ28" s="465"/>
      <c r="AK28" s="465"/>
      <c r="AL28" s="465"/>
      <c r="AM28" s="465"/>
      <c r="AN28" s="460"/>
      <c r="AO28" s="475">
        <f>IF(AND(B46="Yes",B50="Yes",B52="Yes"),20,0)</f>
        <v>0</v>
      </c>
    </row>
    <row r="29" spans="1:42" s="461" customFormat="1" ht="12.75" customHeight="1">
      <c r="A29" s="465"/>
      <c r="B29" s="465"/>
      <c r="C29" s="465"/>
      <c r="E29" s="465"/>
      <c r="F29" s="465"/>
      <c r="G29" s="465"/>
      <c r="H29" s="465"/>
      <c r="I29" s="465"/>
      <c r="J29" s="465"/>
      <c r="K29" s="465"/>
      <c r="L29" s="465"/>
      <c r="M29" s="465"/>
      <c r="N29" s="465"/>
      <c r="O29" s="465"/>
      <c r="P29" s="465"/>
      <c r="Q29" s="465"/>
      <c r="R29" s="465"/>
      <c r="S29" s="465"/>
      <c r="T29" s="465"/>
      <c r="U29" s="465"/>
      <c r="V29" s="465"/>
      <c r="W29" s="465"/>
      <c r="X29" s="465"/>
      <c r="Y29" s="465"/>
      <c r="Z29" s="465"/>
      <c r="AA29" s="465"/>
      <c r="AB29" s="465"/>
      <c r="AC29" s="465"/>
      <c r="AD29" s="465"/>
      <c r="AE29" s="465"/>
      <c r="AF29" s="465"/>
      <c r="AG29" s="465"/>
      <c r="AH29" s="465"/>
      <c r="AI29" s="465"/>
      <c r="AJ29" s="465"/>
      <c r="AK29" s="465"/>
      <c r="AL29" s="465"/>
      <c r="AM29" s="465"/>
      <c r="AN29" s="460"/>
      <c r="AO29" s="461">
        <f>IF(AO28&gt;20,20,AO28)</f>
        <v>0</v>
      </c>
      <c r="AP29" s="461" t="s">
        <v>1954</v>
      </c>
    </row>
    <row r="30" spans="1:42" s="461" customFormat="1" ht="12.75" customHeight="1">
      <c r="A30" s="465"/>
      <c r="B30" s="1848" t="s">
        <v>299</v>
      </c>
      <c r="C30" s="1848"/>
      <c r="D30" s="472"/>
      <c r="E30" s="1858" t="s">
        <v>1959</v>
      </c>
      <c r="F30" s="1859"/>
      <c r="G30" s="1859"/>
      <c r="H30" s="1859"/>
      <c r="I30" s="1859"/>
      <c r="J30" s="1859"/>
      <c r="K30" s="1859"/>
      <c r="L30" s="1859"/>
      <c r="M30" s="1859"/>
      <c r="N30" s="1859"/>
      <c r="O30" s="1859"/>
      <c r="P30" s="1859"/>
      <c r="Q30" s="1859"/>
      <c r="R30" s="1859"/>
      <c r="S30" s="1859"/>
      <c r="T30" s="1859"/>
      <c r="U30" s="1859"/>
      <c r="V30" s="1859"/>
      <c r="W30" s="1859"/>
      <c r="X30" s="1859"/>
      <c r="Y30" s="1859"/>
      <c r="Z30" s="1859"/>
      <c r="AA30" s="1859"/>
      <c r="AB30" s="1859"/>
      <c r="AC30" s="1859"/>
      <c r="AD30" s="1859"/>
      <c r="AE30" s="1859"/>
      <c r="AF30" s="1859"/>
      <c r="AG30" s="1859"/>
      <c r="AH30" s="1859"/>
      <c r="AI30" s="1859"/>
      <c r="AJ30" s="1860"/>
      <c r="AK30" s="465"/>
      <c r="AL30" s="465"/>
      <c r="AM30" s="465"/>
      <c r="AN30" s="460"/>
      <c r="AO30" s="475"/>
    </row>
    <row r="31" spans="1:42" s="461" customFormat="1" ht="12.75" customHeight="1">
      <c r="A31" s="465"/>
      <c r="B31" s="465"/>
      <c r="C31" s="465"/>
      <c r="E31" s="1861"/>
      <c r="F31" s="1862"/>
      <c r="G31" s="1862"/>
      <c r="H31" s="1862"/>
      <c r="I31" s="1862"/>
      <c r="J31" s="1862"/>
      <c r="K31" s="1862"/>
      <c r="L31" s="1862"/>
      <c r="M31" s="1862"/>
      <c r="N31" s="1862"/>
      <c r="O31" s="1862"/>
      <c r="P31" s="1862"/>
      <c r="Q31" s="1862"/>
      <c r="R31" s="1862"/>
      <c r="S31" s="1862"/>
      <c r="T31" s="1862"/>
      <c r="U31" s="1862"/>
      <c r="V31" s="1862"/>
      <c r="W31" s="1862"/>
      <c r="X31" s="1862"/>
      <c r="Y31" s="1862"/>
      <c r="Z31" s="1862"/>
      <c r="AA31" s="1862"/>
      <c r="AB31" s="1862"/>
      <c r="AC31" s="1862"/>
      <c r="AD31" s="1862"/>
      <c r="AE31" s="1862"/>
      <c r="AF31" s="1862"/>
      <c r="AG31" s="1862"/>
      <c r="AH31" s="1862"/>
      <c r="AI31" s="1862"/>
      <c r="AJ31" s="1863"/>
      <c r="AK31" s="465"/>
      <c r="AL31" s="465"/>
      <c r="AM31" s="465"/>
      <c r="AN31" s="460"/>
    </row>
    <row r="32" spans="1:42" s="461" customFormat="1" ht="12.75" customHeight="1">
      <c r="A32" s="465"/>
      <c r="B32" s="465"/>
      <c r="C32" s="465"/>
      <c r="F32" s="828"/>
      <c r="G32" s="828"/>
      <c r="H32" s="828"/>
      <c r="I32" s="828"/>
      <c r="J32" s="828"/>
      <c r="K32" s="828"/>
      <c r="L32" s="828"/>
      <c r="M32" s="828"/>
      <c r="N32" s="828"/>
      <c r="O32" s="828"/>
      <c r="P32" s="828"/>
      <c r="Q32" s="828"/>
      <c r="R32" s="828"/>
      <c r="S32" s="828"/>
      <c r="T32" s="828"/>
      <c r="U32" s="828"/>
      <c r="V32" s="828"/>
      <c r="W32" s="828"/>
      <c r="X32" s="828"/>
      <c r="Y32" s="828"/>
      <c r="Z32" s="828"/>
      <c r="AA32" s="828"/>
      <c r="AB32" s="828"/>
      <c r="AC32" s="828"/>
      <c r="AD32" s="828"/>
      <c r="AE32" s="828"/>
      <c r="AF32" s="828"/>
      <c r="AG32" s="828"/>
      <c r="AH32" s="828"/>
      <c r="AI32" s="828"/>
      <c r="AJ32" s="828"/>
      <c r="AK32" s="465"/>
      <c r="AL32" s="465"/>
      <c r="AM32" s="465"/>
      <c r="AN32" s="460"/>
    </row>
    <row r="33" spans="1:41" s="461" customFormat="1" ht="12.75" customHeight="1">
      <c r="A33" s="465"/>
      <c r="B33" s="1848" t="s">
        <v>299</v>
      </c>
      <c r="C33" s="1848"/>
      <c r="D33" s="472"/>
      <c r="E33" s="1776" t="s">
        <v>1960</v>
      </c>
      <c r="F33" s="1777"/>
      <c r="G33" s="1777"/>
      <c r="H33" s="1777"/>
      <c r="I33" s="1777"/>
      <c r="J33" s="1777"/>
      <c r="K33" s="1777"/>
      <c r="L33" s="1777"/>
      <c r="M33" s="1777"/>
      <c r="N33" s="1777"/>
      <c r="O33" s="1777"/>
      <c r="P33" s="1777"/>
      <c r="Q33" s="1777"/>
      <c r="R33" s="1777"/>
      <c r="S33" s="1777"/>
      <c r="T33" s="1777"/>
      <c r="U33" s="1777"/>
      <c r="V33" s="1777"/>
      <c r="W33" s="1777"/>
      <c r="X33" s="1777"/>
      <c r="Y33" s="1777"/>
      <c r="Z33" s="1777"/>
      <c r="AA33" s="1777"/>
      <c r="AB33" s="1777"/>
      <c r="AC33" s="1777"/>
      <c r="AD33" s="1777"/>
      <c r="AE33" s="1777"/>
      <c r="AF33" s="1777"/>
      <c r="AG33" s="1777"/>
      <c r="AH33" s="1777"/>
      <c r="AI33" s="1777"/>
      <c r="AJ33" s="1778"/>
      <c r="AK33" s="465"/>
      <c r="AL33" s="465"/>
      <c r="AM33" s="465"/>
      <c r="AN33" s="460"/>
    </row>
    <row r="34" spans="1:41" s="461" customFormat="1" ht="12.75" customHeight="1">
      <c r="A34" s="465"/>
      <c r="B34" s="465"/>
      <c r="C34" s="465"/>
      <c r="E34" s="1779"/>
      <c r="F34" s="1780"/>
      <c r="G34" s="1780"/>
      <c r="H34" s="1780"/>
      <c r="I34" s="1780"/>
      <c r="J34" s="1780"/>
      <c r="K34" s="1780"/>
      <c r="L34" s="1780"/>
      <c r="M34" s="1780"/>
      <c r="N34" s="1780"/>
      <c r="O34" s="1780"/>
      <c r="P34" s="1780"/>
      <c r="Q34" s="1780"/>
      <c r="R34" s="1780"/>
      <c r="S34" s="1780"/>
      <c r="T34" s="1780"/>
      <c r="U34" s="1780"/>
      <c r="V34" s="1780"/>
      <c r="W34" s="1780"/>
      <c r="X34" s="1780"/>
      <c r="Y34" s="1780"/>
      <c r="Z34" s="1780"/>
      <c r="AA34" s="1780"/>
      <c r="AB34" s="1780"/>
      <c r="AC34" s="1780"/>
      <c r="AD34" s="1780"/>
      <c r="AE34" s="1780"/>
      <c r="AF34" s="1780"/>
      <c r="AG34" s="1780"/>
      <c r="AH34" s="1780"/>
      <c r="AI34" s="1780"/>
      <c r="AJ34" s="1781"/>
      <c r="AK34" s="465"/>
      <c r="AL34" s="465"/>
      <c r="AM34" s="465"/>
      <c r="AN34" s="460"/>
    </row>
    <row r="35" spans="1:41" s="461" customFormat="1" ht="12.75" customHeight="1">
      <c r="A35" s="465"/>
      <c r="B35" s="465"/>
      <c r="C35" s="465"/>
      <c r="E35" s="1800"/>
      <c r="F35" s="1801"/>
      <c r="G35" s="1801"/>
      <c r="H35" s="1801"/>
      <c r="I35" s="1801"/>
      <c r="J35" s="1801"/>
      <c r="K35" s="1801"/>
      <c r="L35" s="1801"/>
      <c r="M35" s="1801"/>
      <c r="N35" s="1801"/>
      <c r="O35" s="1801"/>
      <c r="P35" s="1801"/>
      <c r="Q35" s="1801"/>
      <c r="R35" s="1801"/>
      <c r="S35" s="1801"/>
      <c r="T35" s="1801"/>
      <c r="U35" s="1801"/>
      <c r="V35" s="1801"/>
      <c r="W35" s="1801"/>
      <c r="X35" s="1801"/>
      <c r="Y35" s="1801"/>
      <c r="Z35" s="1801"/>
      <c r="AA35" s="1801"/>
      <c r="AB35" s="1801"/>
      <c r="AC35" s="1801"/>
      <c r="AD35" s="1801"/>
      <c r="AE35" s="1801"/>
      <c r="AF35" s="1801"/>
      <c r="AG35" s="1801"/>
      <c r="AH35" s="1801"/>
      <c r="AI35" s="1801"/>
      <c r="AJ35" s="1802"/>
      <c r="AK35" s="465"/>
      <c r="AL35" s="465"/>
      <c r="AM35" s="465"/>
      <c r="AN35" s="460"/>
    </row>
    <row r="36" spans="1:41" s="461" customFormat="1" ht="12.75" customHeight="1">
      <c r="A36" s="465"/>
      <c r="B36" s="465"/>
      <c r="C36" s="465"/>
      <c r="E36" s="465"/>
      <c r="F36" s="465"/>
      <c r="G36" s="465"/>
      <c r="H36" s="465"/>
      <c r="I36" s="465"/>
      <c r="J36" s="465"/>
      <c r="K36" s="465"/>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0"/>
      <c r="AO36" s="461">
        <f>MAX(AO17,AO22,AO25,AO29)</f>
        <v>0</v>
      </c>
    </row>
    <row r="37" spans="1:41" s="461" customFormat="1" ht="12.75" customHeight="1">
      <c r="A37" s="465"/>
      <c r="C37" s="469" t="s">
        <v>1961</v>
      </c>
      <c r="E37" s="465"/>
      <c r="F37" s="465"/>
      <c r="G37" s="465"/>
      <c r="H37" s="465"/>
      <c r="I37" s="465"/>
      <c r="J37" s="465"/>
      <c r="K37" s="465"/>
      <c r="L37" s="465"/>
      <c r="M37" s="465"/>
      <c r="N37" s="465"/>
      <c r="O37" s="465"/>
      <c r="P37" s="465"/>
      <c r="Q37" s="465"/>
      <c r="R37" s="465"/>
      <c r="S37" s="465"/>
      <c r="T37" s="465"/>
      <c r="U37" s="465"/>
      <c r="V37" s="465"/>
      <c r="W37" s="465"/>
      <c r="X37" s="465"/>
      <c r="Y37" s="465"/>
      <c r="Z37" s="465"/>
      <c r="AA37" s="465"/>
      <c r="AB37" s="465"/>
      <c r="AC37" s="465"/>
      <c r="AD37" s="465"/>
      <c r="AE37" s="465"/>
      <c r="AF37" s="465"/>
      <c r="AG37" s="465"/>
      <c r="AH37" s="465"/>
      <c r="AI37" s="465"/>
      <c r="AJ37" s="465"/>
      <c r="AK37" s="465"/>
      <c r="AL37" s="465"/>
      <c r="AM37" s="465"/>
      <c r="AN37" s="460"/>
    </row>
    <row r="38" spans="1:41" s="461" customFormat="1" ht="12.75" customHeight="1">
      <c r="A38" s="465"/>
      <c r="C38" s="1066"/>
      <c r="D38" s="1066"/>
      <c r="E38" s="1066"/>
      <c r="F38" s="1066"/>
      <c r="G38" s="1066"/>
      <c r="H38" s="1066"/>
      <c r="I38" s="1066"/>
      <c r="J38" s="1066"/>
      <c r="K38" s="1066"/>
      <c r="L38" s="1066"/>
      <c r="M38" s="1066"/>
      <c r="N38" s="1066"/>
      <c r="O38" s="1066"/>
      <c r="P38" s="1066"/>
      <c r="Q38" s="1066"/>
      <c r="R38" s="1066"/>
      <c r="S38" s="1066"/>
      <c r="T38" s="1066"/>
      <c r="U38" s="1066"/>
      <c r="V38" s="1066"/>
      <c r="W38" s="1066"/>
      <c r="X38" s="1066"/>
      <c r="Y38" s="1066"/>
      <c r="Z38" s="1066"/>
      <c r="AA38" s="1066"/>
      <c r="AB38" s="1066"/>
      <c r="AC38" s="1066"/>
      <c r="AD38" s="1066"/>
      <c r="AE38" s="1066"/>
      <c r="AF38" s="1066"/>
      <c r="AG38" s="1066"/>
      <c r="AH38" s="1066"/>
      <c r="AI38" s="1066"/>
      <c r="AJ38" s="1066"/>
      <c r="AK38" s="1066"/>
      <c r="AL38" s="465"/>
      <c r="AM38" s="465"/>
      <c r="AN38" s="460"/>
    </row>
    <row r="39" spans="1:41" s="461" customFormat="1" ht="12.75" customHeight="1">
      <c r="A39" s="465"/>
      <c r="B39" s="1848" t="s">
        <v>299</v>
      </c>
      <c r="C39" s="1848"/>
      <c r="D39" s="1066"/>
      <c r="E39" s="1776" t="s">
        <v>1962</v>
      </c>
      <c r="F39" s="1777"/>
      <c r="G39" s="1777"/>
      <c r="H39" s="1777"/>
      <c r="I39" s="1777"/>
      <c r="J39" s="1777"/>
      <c r="K39" s="1777"/>
      <c r="L39" s="1777"/>
      <c r="M39" s="1777"/>
      <c r="N39" s="1777"/>
      <c r="O39" s="1777"/>
      <c r="P39" s="1777"/>
      <c r="Q39" s="1777"/>
      <c r="R39" s="1777"/>
      <c r="S39" s="1777"/>
      <c r="T39" s="1777"/>
      <c r="U39" s="1777"/>
      <c r="V39" s="1777"/>
      <c r="W39" s="1777"/>
      <c r="X39" s="1777"/>
      <c r="Y39" s="1777"/>
      <c r="Z39" s="1777"/>
      <c r="AA39" s="1777"/>
      <c r="AB39" s="1777"/>
      <c r="AC39" s="1777"/>
      <c r="AD39" s="1777"/>
      <c r="AE39" s="1777"/>
      <c r="AF39" s="1777"/>
      <c r="AG39" s="1777"/>
      <c r="AH39" s="1777"/>
      <c r="AI39" s="1777"/>
      <c r="AJ39" s="1778"/>
      <c r="AK39" s="1066"/>
      <c r="AL39" s="465"/>
      <c r="AM39" s="465"/>
      <c r="AN39" s="460"/>
    </row>
    <row r="40" spans="1:41" s="461" customFormat="1" ht="12.75" customHeight="1">
      <c r="A40" s="465"/>
      <c r="B40" s="465"/>
      <c r="C40" s="465"/>
      <c r="E40" s="1779"/>
      <c r="F40" s="1780"/>
      <c r="G40" s="1780"/>
      <c r="H40" s="1780"/>
      <c r="I40" s="1780"/>
      <c r="J40" s="1780"/>
      <c r="K40" s="1780"/>
      <c r="L40" s="1780"/>
      <c r="M40" s="1780"/>
      <c r="N40" s="1780"/>
      <c r="O40" s="1780"/>
      <c r="P40" s="1780"/>
      <c r="Q40" s="1780"/>
      <c r="R40" s="1780"/>
      <c r="S40" s="1780"/>
      <c r="T40" s="1780"/>
      <c r="U40" s="1780"/>
      <c r="V40" s="1780"/>
      <c r="W40" s="1780"/>
      <c r="X40" s="1780"/>
      <c r="Y40" s="1780"/>
      <c r="Z40" s="1780"/>
      <c r="AA40" s="1780"/>
      <c r="AB40" s="1780"/>
      <c r="AC40" s="1780"/>
      <c r="AD40" s="1780"/>
      <c r="AE40" s="1780"/>
      <c r="AF40" s="1780"/>
      <c r="AG40" s="1780"/>
      <c r="AH40" s="1780"/>
      <c r="AI40" s="1780"/>
      <c r="AJ40" s="1781"/>
      <c r="AK40" s="465"/>
      <c r="AL40" s="465"/>
      <c r="AM40" s="465"/>
      <c r="AN40" s="460"/>
    </row>
    <row r="41" spans="1:41" s="461" customFormat="1" ht="12.75" customHeight="1">
      <c r="A41" s="465"/>
      <c r="D41" s="472"/>
      <c r="E41" s="1800"/>
      <c r="F41" s="1801"/>
      <c r="G41" s="1801"/>
      <c r="H41" s="1801"/>
      <c r="I41" s="1801"/>
      <c r="J41" s="1801"/>
      <c r="K41" s="1801"/>
      <c r="L41" s="1801"/>
      <c r="M41" s="1801"/>
      <c r="N41" s="1801"/>
      <c r="O41" s="1801"/>
      <c r="P41" s="1801"/>
      <c r="Q41" s="1801"/>
      <c r="R41" s="1801"/>
      <c r="S41" s="1801"/>
      <c r="T41" s="1801"/>
      <c r="U41" s="1801"/>
      <c r="V41" s="1801"/>
      <c r="W41" s="1801"/>
      <c r="X41" s="1801"/>
      <c r="Y41" s="1801"/>
      <c r="Z41" s="1801"/>
      <c r="AA41" s="1801"/>
      <c r="AB41" s="1801"/>
      <c r="AC41" s="1801"/>
      <c r="AD41" s="1801"/>
      <c r="AE41" s="1801"/>
      <c r="AF41" s="1801"/>
      <c r="AG41" s="1801"/>
      <c r="AH41" s="1801"/>
      <c r="AI41" s="1801"/>
      <c r="AJ41" s="1802"/>
      <c r="AK41" s="465"/>
      <c r="AL41" s="465"/>
      <c r="AM41" s="465"/>
      <c r="AN41" s="460"/>
      <c r="AO41" s="481"/>
    </row>
    <row r="42" spans="1:41" s="461" customFormat="1" ht="12.75" customHeight="1">
      <c r="A42" s="465"/>
      <c r="B42" s="465"/>
      <c r="C42" s="465"/>
      <c r="E42" s="465"/>
      <c r="F42" s="465"/>
      <c r="G42" s="465"/>
      <c r="H42" s="465"/>
      <c r="I42" s="465"/>
      <c r="J42" s="465"/>
      <c r="K42" s="465"/>
      <c r="L42" s="465"/>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465"/>
      <c r="AJ42" s="465"/>
      <c r="AK42" s="465"/>
      <c r="AL42" s="465"/>
      <c r="AM42" s="465"/>
      <c r="AN42" s="460"/>
      <c r="AO42" s="481"/>
    </row>
    <row r="43" spans="1:41" s="461" customFormat="1" ht="12.75" customHeight="1">
      <c r="A43" s="464"/>
      <c r="B43" s="464" t="s">
        <v>1963</v>
      </c>
      <c r="C43" s="472"/>
      <c r="D43" s="472"/>
      <c r="E43" s="482"/>
      <c r="F43" s="465"/>
      <c r="G43" s="465"/>
      <c r="H43" s="465"/>
      <c r="I43" s="465"/>
      <c r="J43" s="465"/>
      <c r="K43" s="465"/>
      <c r="L43" s="465"/>
      <c r="M43" s="465"/>
      <c r="N43" s="465"/>
      <c r="O43" s="465"/>
      <c r="P43" s="465"/>
      <c r="Q43" s="465"/>
      <c r="R43" s="465"/>
      <c r="S43" s="465"/>
      <c r="T43" s="465"/>
      <c r="U43" s="465"/>
      <c r="V43" s="465"/>
      <c r="W43" s="465"/>
      <c r="X43" s="465"/>
      <c r="Y43" s="465"/>
      <c r="Z43" s="465"/>
      <c r="AA43" s="465"/>
      <c r="AB43" s="465"/>
      <c r="AC43" s="465"/>
      <c r="AD43" s="465"/>
      <c r="AE43" s="465"/>
      <c r="AF43" s="465"/>
      <c r="AG43" s="465"/>
      <c r="AH43" s="465"/>
      <c r="AI43" s="465"/>
      <c r="AJ43" s="465"/>
      <c r="AK43" s="465"/>
      <c r="AL43" s="465"/>
      <c r="AM43" s="465"/>
      <c r="AN43" s="460"/>
      <c r="AO43" s="481"/>
    </row>
    <row r="44" spans="1:41" s="461" customFormat="1" ht="12.75" customHeight="1">
      <c r="A44" s="465"/>
      <c r="B44" s="465"/>
      <c r="C44" s="1065" t="s">
        <v>1964</v>
      </c>
      <c r="D44" s="465"/>
      <c r="E44" s="465"/>
      <c r="F44" s="465"/>
      <c r="G44" s="465"/>
      <c r="H44" s="465"/>
      <c r="I44" s="465"/>
      <c r="J44" s="465"/>
      <c r="K44" s="465"/>
      <c r="L44" s="465"/>
      <c r="M44" s="465"/>
      <c r="N44" s="465"/>
      <c r="O44" s="465"/>
      <c r="P44" s="465"/>
      <c r="Q44" s="465"/>
      <c r="R44" s="465"/>
      <c r="S44" s="465"/>
      <c r="T44" s="465"/>
      <c r="U44" s="465"/>
      <c r="V44" s="465"/>
      <c r="W44" s="465"/>
      <c r="X44" s="465"/>
      <c r="Y44" s="465"/>
      <c r="Z44" s="465"/>
      <c r="AA44" s="465"/>
      <c r="AB44" s="465"/>
      <c r="AC44" s="465"/>
      <c r="AD44" s="465"/>
      <c r="AE44" s="465"/>
      <c r="AF44" s="465"/>
      <c r="AG44" s="465"/>
      <c r="AH44" s="465"/>
      <c r="AI44" s="465"/>
      <c r="AJ44" s="465"/>
      <c r="AK44" s="465"/>
      <c r="AL44" s="465"/>
      <c r="AM44" s="465"/>
      <c r="AN44" s="460"/>
      <c r="AO44" s="481"/>
    </row>
    <row r="45" spans="1:41" s="461" customFormat="1" ht="12.75" customHeight="1">
      <c r="A45" s="472"/>
      <c r="B45" s="472"/>
      <c r="C45" s="472"/>
      <c r="D45" s="472"/>
      <c r="E45" s="483"/>
      <c r="F45" s="465"/>
      <c r="G45" s="465"/>
      <c r="H45" s="465"/>
      <c r="I45" s="465"/>
      <c r="J45" s="465"/>
      <c r="K45" s="465"/>
      <c r="L45" s="465"/>
      <c r="M45" s="465"/>
      <c r="N45" s="465"/>
      <c r="O45" s="465"/>
      <c r="P45" s="465"/>
      <c r="Q45" s="465"/>
      <c r="R45" s="465"/>
      <c r="S45" s="465"/>
      <c r="T45" s="465"/>
      <c r="U45" s="465"/>
      <c r="V45" s="465"/>
      <c r="W45" s="465"/>
      <c r="X45" s="465"/>
      <c r="Y45" s="465"/>
      <c r="Z45" s="465"/>
      <c r="AA45" s="465"/>
      <c r="AB45" s="465"/>
      <c r="AC45" s="465"/>
      <c r="AD45" s="465"/>
      <c r="AE45" s="465"/>
      <c r="AF45" s="465"/>
      <c r="AG45" s="465"/>
      <c r="AH45" s="465"/>
      <c r="AI45" s="465"/>
      <c r="AJ45" s="465"/>
      <c r="AK45" s="465"/>
      <c r="AL45" s="465"/>
      <c r="AM45" s="465"/>
      <c r="AN45" s="460"/>
      <c r="AO45" s="481"/>
    </row>
    <row r="46" spans="1:41" s="461" customFormat="1" ht="12.75" customHeight="1">
      <c r="A46" s="465"/>
      <c r="B46" s="1848" t="s">
        <v>299</v>
      </c>
      <c r="C46" s="1848"/>
      <c r="D46" s="465"/>
      <c r="E46" s="1776" t="s">
        <v>1965</v>
      </c>
      <c r="F46" s="1777"/>
      <c r="G46" s="1777"/>
      <c r="H46" s="1777"/>
      <c r="I46" s="1777"/>
      <c r="J46" s="1777"/>
      <c r="K46" s="1777"/>
      <c r="L46" s="1777"/>
      <c r="M46" s="1777"/>
      <c r="N46" s="1777"/>
      <c r="O46" s="1777"/>
      <c r="P46" s="1777"/>
      <c r="Q46" s="1777"/>
      <c r="R46" s="1777"/>
      <c r="S46" s="1777"/>
      <c r="T46" s="1777"/>
      <c r="U46" s="1777"/>
      <c r="V46" s="1777"/>
      <c r="W46" s="1777"/>
      <c r="X46" s="1777"/>
      <c r="Y46" s="1777"/>
      <c r="Z46" s="1777"/>
      <c r="AA46" s="1777"/>
      <c r="AB46" s="1777"/>
      <c r="AC46" s="1777"/>
      <c r="AD46" s="1777"/>
      <c r="AE46" s="1777"/>
      <c r="AF46" s="1777"/>
      <c r="AG46" s="1777"/>
      <c r="AH46" s="1777"/>
      <c r="AI46" s="1777"/>
      <c r="AJ46" s="1778"/>
      <c r="AK46" s="465"/>
      <c r="AL46" s="465"/>
      <c r="AM46" s="465"/>
      <c r="AN46" s="460"/>
      <c r="AO46" s="484"/>
    </row>
    <row r="47" spans="1:41" s="461" customFormat="1" ht="12.75" customHeight="1">
      <c r="A47" s="465"/>
      <c r="D47" s="472"/>
      <c r="E47" s="1779"/>
      <c r="F47" s="1780"/>
      <c r="G47" s="1780"/>
      <c r="H47" s="1780"/>
      <c r="I47" s="1780"/>
      <c r="J47" s="1780"/>
      <c r="K47" s="1780"/>
      <c r="L47" s="1780"/>
      <c r="M47" s="1780"/>
      <c r="N47" s="1780"/>
      <c r="O47" s="1780"/>
      <c r="P47" s="1780"/>
      <c r="Q47" s="1780"/>
      <c r="R47" s="1780"/>
      <c r="S47" s="1780"/>
      <c r="T47" s="1780"/>
      <c r="U47" s="1780"/>
      <c r="V47" s="1780"/>
      <c r="W47" s="1780"/>
      <c r="X47" s="1780"/>
      <c r="Y47" s="1780"/>
      <c r="Z47" s="1780"/>
      <c r="AA47" s="1780"/>
      <c r="AB47" s="1780"/>
      <c r="AC47" s="1780"/>
      <c r="AD47" s="1780"/>
      <c r="AE47" s="1780"/>
      <c r="AF47" s="1780"/>
      <c r="AG47" s="1780"/>
      <c r="AH47" s="1780"/>
      <c r="AI47" s="1780"/>
      <c r="AJ47" s="1781"/>
      <c r="AK47" s="465"/>
      <c r="AL47" s="465"/>
      <c r="AM47" s="465"/>
      <c r="AN47" s="460"/>
      <c r="AO47" s="484"/>
    </row>
    <row r="48" spans="1:41" s="461" customFormat="1" ht="12.75" customHeight="1">
      <c r="A48" s="465"/>
      <c r="D48" s="465"/>
      <c r="E48" s="1800"/>
      <c r="F48" s="1801"/>
      <c r="G48" s="1801"/>
      <c r="H48" s="1801"/>
      <c r="I48" s="1801"/>
      <c r="J48" s="1801"/>
      <c r="K48" s="1801"/>
      <c r="L48" s="1801"/>
      <c r="M48" s="1801"/>
      <c r="N48" s="1801"/>
      <c r="O48" s="1801"/>
      <c r="P48" s="1801"/>
      <c r="Q48" s="1801"/>
      <c r="R48" s="1801"/>
      <c r="S48" s="1801"/>
      <c r="T48" s="1801"/>
      <c r="U48" s="1801"/>
      <c r="V48" s="1801"/>
      <c r="W48" s="1801"/>
      <c r="X48" s="1801"/>
      <c r="Y48" s="1801"/>
      <c r="Z48" s="1801"/>
      <c r="AA48" s="1801"/>
      <c r="AB48" s="1801"/>
      <c r="AC48" s="1801"/>
      <c r="AD48" s="1801"/>
      <c r="AE48" s="1801"/>
      <c r="AF48" s="1801"/>
      <c r="AG48" s="1801"/>
      <c r="AH48" s="1801"/>
      <c r="AI48" s="1801"/>
      <c r="AJ48" s="1802"/>
      <c r="AK48" s="465"/>
      <c r="AL48" s="465"/>
      <c r="AM48" s="465"/>
      <c r="AN48" s="460"/>
    </row>
    <row r="49" spans="1:50" s="461" customFormat="1" ht="12.75" customHeight="1">
      <c r="A49" s="465"/>
      <c r="B49" s="465"/>
      <c r="C49" s="465"/>
      <c r="D49" s="472"/>
      <c r="E49" s="483"/>
      <c r="F49" s="481"/>
      <c r="G49" s="481"/>
      <c r="H49" s="465"/>
      <c r="I49" s="465"/>
      <c r="J49" s="465"/>
      <c r="K49" s="465"/>
      <c r="L49" s="465"/>
      <c r="M49" s="465"/>
      <c r="N49" s="465"/>
      <c r="O49" s="465"/>
      <c r="P49" s="465"/>
      <c r="Q49" s="465"/>
      <c r="R49" s="465"/>
      <c r="S49" s="465"/>
      <c r="T49" s="465"/>
      <c r="U49" s="465"/>
      <c r="V49" s="465"/>
      <c r="W49" s="465"/>
      <c r="X49" s="465"/>
      <c r="Y49" s="465"/>
      <c r="Z49" s="465"/>
      <c r="AA49" s="465"/>
      <c r="AB49" s="465"/>
      <c r="AC49" s="465"/>
      <c r="AD49" s="465"/>
      <c r="AE49" s="465"/>
      <c r="AF49" s="465"/>
      <c r="AG49" s="465"/>
      <c r="AH49" s="465"/>
      <c r="AI49" s="465"/>
      <c r="AJ49" s="465"/>
      <c r="AK49" s="465"/>
      <c r="AL49" s="465"/>
      <c r="AM49" s="465"/>
      <c r="AN49" s="460"/>
    </row>
    <row r="50" spans="1:50" s="461" customFormat="1" ht="12.75" customHeight="1">
      <c r="A50" s="465"/>
      <c r="B50" s="1848" t="s">
        <v>299</v>
      </c>
      <c r="C50" s="1848"/>
      <c r="D50" s="465"/>
      <c r="E50" s="2580" t="s">
        <v>1966</v>
      </c>
      <c r="F50" s="2581"/>
      <c r="G50" s="2581"/>
      <c r="H50" s="2581"/>
      <c r="I50" s="2581"/>
      <c r="J50" s="2581"/>
      <c r="K50" s="2581"/>
      <c r="L50" s="2581"/>
      <c r="M50" s="2581"/>
      <c r="N50" s="2581"/>
      <c r="O50" s="2581"/>
      <c r="P50" s="2581"/>
      <c r="Q50" s="2581"/>
      <c r="R50" s="2581"/>
      <c r="S50" s="2581"/>
      <c r="T50" s="2581"/>
      <c r="U50" s="2581"/>
      <c r="V50" s="2581"/>
      <c r="W50" s="2581"/>
      <c r="X50" s="2581"/>
      <c r="Y50" s="2581"/>
      <c r="Z50" s="2581"/>
      <c r="AA50" s="2581"/>
      <c r="AB50" s="2581"/>
      <c r="AC50" s="2581"/>
      <c r="AD50" s="2581"/>
      <c r="AE50" s="2581"/>
      <c r="AF50" s="2581"/>
      <c r="AG50" s="2581"/>
      <c r="AH50" s="2581"/>
      <c r="AI50" s="2581"/>
      <c r="AJ50" s="2582"/>
      <c r="AK50" s="465"/>
      <c r="AL50" s="465"/>
      <c r="AM50" s="465"/>
      <c r="AN50" s="460"/>
    </row>
    <row r="51" spans="1:50" s="461" customFormat="1" ht="12.75" customHeight="1">
      <c r="A51" s="465"/>
      <c r="B51" s="465"/>
      <c r="C51" s="465"/>
      <c r="D51" s="472"/>
      <c r="E51" s="485"/>
      <c r="F51" s="481"/>
      <c r="G51" s="481"/>
      <c r="H51" s="465"/>
      <c r="I51" s="465"/>
      <c r="J51" s="465"/>
      <c r="K51" s="465"/>
      <c r="L51" s="465"/>
      <c r="M51" s="465"/>
      <c r="N51" s="465"/>
      <c r="O51" s="465"/>
      <c r="P51" s="465"/>
      <c r="Q51" s="465"/>
      <c r="R51" s="465"/>
      <c r="S51" s="465"/>
      <c r="T51" s="465"/>
      <c r="U51" s="465"/>
      <c r="V51" s="465"/>
      <c r="W51" s="465"/>
      <c r="X51" s="465"/>
      <c r="Y51" s="465"/>
      <c r="Z51" s="465"/>
      <c r="AA51" s="465"/>
      <c r="AB51" s="465"/>
      <c r="AC51" s="465"/>
      <c r="AD51" s="465"/>
      <c r="AE51" s="465"/>
      <c r="AF51" s="465"/>
      <c r="AG51" s="465"/>
      <c r="AH51" s="465"/>
      <c r="AI51" s="465"/>
      <c r="AJ51" s="465"/>
      <c r="AK51" s="465"/>
      <c r="AL51" s="465"/>
      <c r="AM51" s="465"/>
      <c r="AN51" s="460"/>
    </row>
    <row r="52" spans="1:50" s="461" customFormat="1" ht="12.75" customHeight="1">
      <c r="A52" s="465"/>
      <c r="B52" s="1848" t="s">
        <v>299</v>
      </c>
      <c r="C52" s="1848"/>
      <c r="D52" s="465"/>
      <c r="E52" s="1776" t="s">
        <v>1967</v>
      </c>
      <c r="F52" s="1777"/>
      <c r="G52" s="1777"/>
      <c r="H52" s="1777"/>
      <c r="I52" s="1777"/>
      <c r="J52" s="1777"/>
      <c r="K52" s="1777"/>
      <c r="L52" s="1777"/>
      <c r="M52" s="1777"/>
      <c r="N52" s="1777"/>
      <c r="O52" s="1777"/>
      <c r="P52" s="1777"/>
      <c r="Q52" s="1777"/>
      <c r="R52" s="1777"/>
      <c r="S52" s="1777"/>
      <c r="T52" s="1777"/>
      <c r="U52" s="1777"/>
      <c r="V52" s="1777"/>
      <c r="W52" s="1777"/>
      <c r="X52" s="1777"/>
      <c r="Y52" s="1777"/>
      <c r="Z52" s="1777"/>
      <c r="AA52" s="1777"/>
      <c r="AB52" s="1777"/>
      <c r="AC52" s="1777"/>
      <c r="AD52" s="1777"/>
      <c r="AE52" s="1777"/>
      <c r="AF52" s="1777"/>
      <c r="AG52" s="1777"/>
      <c r="AH52" s="1777"/>
      <c r="AI52" s="1777"/>
      <c r="AJ52" s="1778"/>
      <c r="AK52" s="465"/>
      <c r="AL52" s="465"/>
      <c r="AM52" s="465"/>
      <c r="AN52" s="460"/>
    </row>
    <row r="53" spans="1:50" s="461" customFormat="1" ht="12.75" customHeight="1">
      <c r="A53" s="465"/>
      <c r="B53" s="472"/>
      <c r="C53" s="472"/>
      <c r="D53" s="472"/>
      <c r="E53" s="1800"/>
      <c r="F53" s="1801"/>
      <c r="G53" s="1801"/>
      <c r="H53" s="1801"/>
      <c r="I53" s="1801"/>
      <c r="J53" s="1801"/>
      <c r="K53" s="1801"/>
      <c r="L53" s="1801"/>
      <c r="M53" s="1801"/>
      <c r="N53" s="1801"/>
      <c r="O53" s="1801"/>
      <c r="P53" s="1801"/>
      <c r="Q53" s="1801"/>
      <c r="R53" s="1801"/>
      <c r="S53" s="1801"/>
      <c r="T53" s="1801"/>
      <c r="U53" s="1801"/>
      <c r="V53" s="1801"/>
      <c r="W53" s="1801"/>
      <c r="X53" s="1801"/>
      <c r="Y53" s="1801"/>
      <c r="Z53" s="1801"/>
      <c r="AA53" s="1801"/>
      <c r="AB53" s="1801"/>
      <c r="AC53" s="1801"/>
      <c r="AD53" s="1801"/>
      <c r="AE53" s="1801"/>
      <c r="AF53" s="1801"/>
      <c r="AG53" s="1801"/>
      <c r="AH53" s="1801"/>
      <c r="AI53" s="1801"/>
      <c r="AJ53" s="1802"/>
      <c r="AK53" s="465"/>
      <c r="AL53" s="465"/>
      <c r="AM53" s="465"/>
      <c r="AN53" s="460"/>
      <c r="AX53" s="464"/>
    </row>
    <row r="54" spans="1:50" s="461" customFormat="1" ht="12.75" customHeight="1">
      <c r="A54" s="465"/>
      <c r="B54" s="472"/>
      <c r="C54" s="472"/>
      <c r="D54" s="472"/>
      <c r="E54" s="485"/>
      <c r="F54" s="465"/>
      <c r="G54" s="465"/>
      <c r="H54" s="465"/>
      <c r="I54" s="465"/>
      <c r="J54" s="465"/>
      <c r="K54" s="465"/>
      <c r="L54" s="465"/>
      <c r="M54" s="465"/>
      <c r="N54" s="465"/>
      <c r="O54" s="465"/>
      <c r="P54" s="465"/>
      <c r="Q54" s="465"/>
      <c r="R54" s="465"/>
      <c r="S54" s="465"/>
      <c r="T54" s="465"/>
      <c r="U54" s="465"/>
      <c r="V54" s="465"/>
      <c r="W54" s="465"/>
      <c r="X54" s="465"/>
      <c r="Y54" s="465"/>
      <c r="Z54" s="465"/>
      <c r="AA54" s="465"/>
      <c r="AB54" s="465"/>
      <c r="AC54" s="465"/>
      <c r="AD54" s="465"/>
      <c r="AE54" s="465"/>
      <c r="AF54" s="465"/>
      <c r="AG54" s="465"/>
      <c r="AH54" s="465"/>
      <c r="AI54" s="465"/>
      <c r="AJ54" s="465"/>
      <c r="AK54" s="465"/>
      <c r="AL54" s="465"/>
      <c r="AM54" s="465"/>
      <c r="AN54" s="460"/>
      <c r="AX54" s="464"/>
    </row>
    <row r="55" spans="1:50" s="461" customFormat="1" ht="12.75" customHeight="1">
      <c r="A55" s="465"/>
      <c r="B55" s="465"/>
      <c r="C55" s="465"/>
      <c r="D55" s="465"/>
      <c r="E55" s="465"/>
      <c r="F55" s="465"/>
      <c r="G55" s="465"/>
      <c r="H55" s="465"/>
      <c r="I55" s="465"/>
      <c r="J55" s="465"/>
      <c r="K55" s="465"/>
      <c r="L55" s="465"/>
      <c r="M55" s="465"/>
      <c r="N55" s="465"/>
      <c r="O55" s="465"/>
      <c r="P55" s="465"/>
      <c r="Q55" s="465"/>
      <c r="R55" s="465"/>
      <c r="S55" s="465"/>
      <c r="T55" s="465"/>
      <c r="U55" s="465"/>
      <c r="V55" s="465"/>
      <c r="W55" s="465"/>
      <c r="X55" s="465"/>
      <c r="Y55" s="465"/>
      <c r="Z55" s="465"/>
      <c r="AA55" s="465"/>
      <c r="AB55" s="465"/>
      <c r="AC55" s="465"/>
      <c r="AD55" s="465"/>
      <c r="AE55" s="465"/>
      <c r="AF55" s="465"/>
      <c r="AG55" s="465"/>
      <c r="AH55" s="465"/>
      <c r="AI55" s="465"/>
      <c r="AJ55" s="465"/>
      <c r="AK55" s="465"/>
      <c r="AL55" s="465"/>
      <c r="AM55" s="465"/>
      <c r="AN55" s="460"/>
    </row>
    <row r="56" spans="1:50" s="461" customFormat="1" ht="12.75" customHeight="1">
      <c r="A56" s="486"/>
      <c r="B56" s="487"/>
      <c r="C56" s="487"/>
      <c r="D56" s="487"/>
      <c r="E56" s="487"/>
      <c r="F56" s="487"/>
      <c r="G56" s="488"/>
      <c r="H56" s="489"/>
      <c r="I56" s="489"/>
      <c r="J56" s="489"/>
      <c r="K56" s="489"/>
      <c r="L56" s="489"/>
      <c r="M56" s="489"/>
      <c r="N56" s="489"/>
      <c r="O56" s="489"/>
      <c r="P56" s="489"/>
      <c r="Q56" s="489"/>
      <c r="R56" s="489"/>
      <c r="S56" s="489"/>
      <c r="T56" s="489"/>
      <c r="U56" s="489"/>
      <c r="V56" s="489"/>
      <c r="W56" s="489"/>
      <c r="X56" s="489"/>
      <c r="Y56" s="489"/>
      <c r="Z56" s="489"/>
      <c r="AA56" s="489"/>
      <c r="AB56" s="489"/>
      <c r="AC56" s="489"/>
      <c r="AD56" s="489"/>
      <c r="AE56" s="489"/>
      <c r="AF56" s="489"/>
      <c r="AG56" s="489"/>
      <c r="AH56" s="489"/>
      <c r="AI56" s="490"/>
      <c r="AJ56" s="490" t="s">
        <v>1968</v>
      </c>
      <c r="AK56" s="1821">
        <f>AO36</f>
        <v>0</v>
      </c>
      <c r="AL56" s="1822"/>
      <c r="AM56" s="1823"/>
      <c r="AN56" s="460"/>
    </row>
    <row r="57" spans="1:50" s="461" customFormat="1" ht="12.75" customHeight="1" thickBot="1">
      <c r="A57" s="491"/>
      <c r="B57" s="492"/>
      <c r="C57" s="493"/>
      <c r="D57" s="493"/>
      <c r="E57" s="493"/>
      <c r="F57" s="493"/>
      <c r="G57" s="493"/>
      <c r="H57" s="493"/>
      <c r="I57" s="493"/>
      <c r="J57" s="493"/>
      <c r="K57" s="493"/>
      <c r="L57" s="493"/>
      <c r="M57" s="493"/>
      <c r="N57" s="493"/>
      <c r="O57" s="493"/>
      <c r="P57" s="493"/>
      <c r="Q57" s="493"/>
      <c r="R57" s="493"/>
      <c r="S57" s="493"/>
      <c r="T57" s="493"/>
      <c r="U57" s="493"/>
      <c r="V57" s="493"/>
      <c r="W57" s="493"/>
      <c r="X57" s="493"/>
      <c r="Y57" s="493"/>
      <c r="Z57" s="493"/>
      <c r="AA57" s="493"/>
      <c r="AB57" s="493"/>
      <c r="AC57" s="493"/>
      <c r="AD57" s="493"/>
      <c r="AE57" s="493"/>
      <c r="AF57" s="493"/>
      <c r="AG57" s="493"/>
      <c r="AH57" s="493"/>
      <c r="AI57" s="493"/>
      <c r="AJ57" s="493"/>
      <c r="AK57" s="493"/>
      <c r="AL57" s="493"/>
      <c r="AM57" s="494"/>
      <c r="AN57" s="460"/>
    </row>
    <row r="58" spans="1:50" s="461" customFormat="1" ht="12.75" customHeight="1" thickTop="1">
      <c r="A58" s="495"/>
      <c r="B58" s="496"/>
      <c r="C58" s="497"/>
      <c r="D58" s="497"/>
      <c r="E58" s="497"/>
      <c r="F58" s="497"/>
      <c r="G58" s="497"/>
      <c r="H58" s="497"/>
      <c r="I58" s="498"/>
      <c r="J58" s="498"/>
      <c r="K58" s="498"/>
      <c r="L58" s="498"/>
      <c r="M58" s="498"/>
      <c r="N58" s="498"/>
      <c r="O58" s="498"/>
      <c r="P58" s="498"/>
      <c r="Q58" s="498"/>
      <c r="R58" s="495"/>
      <c r="S58" s="464"/>
      <c r="T58" s="464"/>
      <c r="U58" s="464"/>
      <c r="V58" s="464"/>
      <c r="W58" s="464"/>
      <c r="X58" s="464"/>
      <c r="Y58" s="464"/>
      <c r="Z58" s="464"/>
      <c r="AA58" s="464"/>
      <c r="AB58" s="464"/>
      <c r="AC58" s="464"/>
      <c r="AD58" s="464"/>
      <c r="AE58" s="464"/>
      <c r="AF58" s="495"/>
      <c r="AG58" s="464"/>
      <c r="AH58" s="464"/>
      <c r="AI58" s="464"/>
      <c r="AJ58" s="464"/>
      <c r="AK58" s="475"/>
      <c r="AL58" s="475"/>
      <c r="AM58" s="475"/>
      <c r="AN58" s="460"/>
    </row>
    <row r="59" spans="1:50" s="461" customFormat="1" ht="12.75" customHeight="1">
      <c r="A59" s="463" t="s">
        <v>1969</v>
      </c>
      <c r="B59" s="464" t="s">
        <v>785</v>
      </c>
      <c r="C59" s="464"/>
      <c r="D59" s="464"/>
      <c r="E59" s="464"/>
      <c r="F59" s="464"/>
      <c r="G59" s="464"/>
      <c r="H59" s="464"/>
      <c r="I59" s="464"/>
      <c r="J59" s="464"/>
      <c r="K59" s="464"/>
      <c r="L59" s="464"/>
      <c r="M59" s="464"/>
      <c r="N59" s="464"/>
      <c r="O59" s="464"/>
      <c r="P59" s="464"/>
      <c r="Q59" s="464"/>
      <c r="R59" s="464"/>
      <c r="S59" s="464"/>
      <c r="T59" s="464"/>
      <c r="U59" s="464"/>
      <c r="V59" s="464"/>
      <c r="W59" s="464"/>
      <c r="X59" s="464"/>
      <c r="Y59" s="464"/>
      <c r="Z59" s="464"/>
      <c r="AA59" s="464"/>
      <c r="AB59" s="464"/>
      <c r="AC59" s="464"/>
      <c r="AD59" s="464"/>
      <c r="AE59" s="1666" t="s">
        <v>1970</v>
      </c>
      <c r="AF59" s="1666"/>
      <c r="AG59" s="1666"/>
      <c r="AH59" s="1666"/>
      <c r="AI59" s="1666"/>
      <c r="AJ59" s="1666"/>
      <c r="AK59" s="1666"/>
      <c r="AL59" s="465"/>
      <c r="AM59" s="465"/>
      <c r="AN59" s="460"/>
    </row>
    <row r="60" spans="1:50" s="461" customFormat="1" ht="12.75" customHeight="1">
      <c r="A60" s="463"/>
      <c r="B60" s="464" t="s">
        <v>1971</v>
      </c>
      <c r="C60" s="464"/>
      <c r="D60" s="464"/>
      <c r="E60" s="464"/>
      <c r="F60" s="464"/>
      <c r="G60" s="464"/>
      <c r="H60" s="464"/>
      <c r="I60" s="464"/>
      <c r="J60" s="464"/>
      <c r="K60" s="464"/>
      <c r="L60" s="464"/>
      <c r="M60" s="464"/>
      <c r="N60" s="464"/>
      <c r="O60" s="464"/>
      <c r="P60" s="464"/>
      <c r="Q60" s="464"/>
      <c r="R60" s="464"/>
      <c r="S60" s="464"/>
      <c r="T60" s="464"/>
      <c r="U60" s="464"/>
      <c r="V60" s="464"/>
      <c r="W60" s="464"/>
      <c r="X60" s="464"/>
      <c r="Y60" s="464"/>
      <c r="Z60" s="464"/>
      <c r="AA60" s="464"/>
      <c r="AB60" s="464"/>
      <c r="AC60" s="464"/>
      <c r="AD60" s="464"/>
      <c r="AE60" s="468"/>
      <c r="AF60" s="468"/>
      <c r="AG60" s="468"/>
      <c r="AH60" s="468"/>
      <c r="AI60" s="468"/>
      <c r="AJ60" s="468"/>
      <c r="AK60" s="468"/>
      <c r="AL60" s="465"/>
      <c r="AM60" s="465"/>
      <c r="AN60" s="460"/>
    </row>
    <row r="61" spans="1:50" s="461" customFormat="1" ht="12.75" customHeight="1">
      <c r="A61" s="463"/>
      <c r="B61" s="464"/>
      <c r="C61" s="464"/>
      <c r="D61" s="464"/>
      <c r="E61" s="464"/>
      <c r="F61" s="464"/>
      <c r="G61" s="464"/>
      <c r="H61" s="464"/>
      <c r="I61" s="464"/>
      <c r="J61" s="464"/>
      <c r="K61" s="464"/>
      <c r="L61" s="464"/>
      <c r="M61" s="464"/>
      <c r="N61" s="464"/>
      <c r="O61" s="464"/>
      <c r="P61" s="464"/>
      <c r="Q61" s="464"/>
      <c r="R61" s="464"/>
      <c r="S61" s="464"/>
      <c r="T61" s="464"/>
      <c r="U61" s="464"/>
      <c r="V61" s="464"/>
      <c r="W61" s="464"/>
      <c r="X61" s="464"/>
      <c r="Y61" s="464"/>
      <c r="Z61" s="464"/>
      <c r="AA61" s="464"/>
      <c r="AB61" s="464"/>
      <c r="AC61" s="464"/>
      <c r="AD61" s="464"/>
      <c r="AE61" s="468"/>
      <c r="AF61" s="468"/>
      <c r="AG61" s="468"/>
      <c r="AH61" s="468"/>
      <c r="AI61" s="468"/>
      <c r="AJ61" s="468"/>
      <c r="AK61" s="468"/>
      <c r="AL61" s="465"/>
      <c r="AM61" s="465"/>
      <c r="AN61" s="460"/>
    </row>
    <row r="62" spans="1:50" s="461" customFormat="1" ht="12.75" customHeight="1">
      <c r="A62" s="463"/>
      <c r="B62" s="1848" t="s">
        <v>299</v>
      </c>
      <c r="C62" s="1848"/>
      <c r="D62" s="472" t="s">
        <v>1972</v>
      </c>
      <c r="E62" s="1840" t="s">
        <v>1973</v>
      </c>
      <c r="F62" s="1841"/>
      <c r="G62" s="1841"/>
      <c r="H62" s="1841"/>
      <c r="I62" s="1841"/>
      <c r="J62" s="1841"/>
      <c r="K62" s="1841"/>
      <c r="L62" s="1841"/>
      <c r="M62" s="1841"/>
      <c r="N62" s="1841"/>
      <c r="O62" s="1841"/>
      <c r="P62" s="1841"/>
      <c r="Q62" s="1841"/>
      <c r="R62" s="1841"/>
      <c r="S62" s="1841"/>
      <c r="T62" s="1841"/>
      <c r="U62" s="1841"/>
      <c r="V62" s="1841"/>
      <c r="W62" s="1841"/>
      <c r="X62" s="1841"/>
      <c r="Y62" s="1841"/>
      <c r="Z62" s="1841"/>
      <c r="AA62" s="1841"/>
      <c r="AB62" s="1841"/>
      <c r="AC62" s="1841"/>
      <c r="AD62" s="1841"/>
      <c r="AE62" s="1841"/>
      <c r="AF62" s="1841"/>
      <c r="AG62" s="1841"/>
      <c r="AH62" s="1841"/>
      <c r="AI62" s="1841"/>
      <c r="AJ62" s="1842"/>
      <c r="AK62" s="468"/>
      <c r="AL62" s="465"/>
      <c r="AM62" s="465"/>
      <c r="AN62" s="460"/>
      <c r="AO62" s="475">
        <f>IF($B62="yes",10,0)</f>
        <v>0</v>
      </c>
    </row>
    <row r="63" spans="1:50" s="461" customFormat="1" ht="12.75" customHeight="1">
      <c r="A63" s="463"/>
      <c r="B63" s="465"/>
      <c r="C63" s="465"/>
      <c r="D63" s="476"/>
      <c r="E63" s="1843"/>
      <c r="F63" s="1844"/>
      <c r="G63" s="1844"/>
      <c r="H63" s="1844"/>
      <c r="I63" s="1844"/>
      <c r="J63" s="1844"/>
      <c r="K63" s="1844"/>
      <c r="L63" s="1844"/>
      <c r="M63" s="1844"/>
      <c r="N63" s="1844"/>
      <c r="O63" s="1844"/>
      <c r="P63" s="1844"/>
      <c r="Q63" s="1844"/>
      <c r="R63" s="1844"/>
      <c r="S63" s="1844"/>
      <c r="T63" s="1844"/>
      <c r="U63" s="1844"/>
      <c r="V63" s="1844"/>
      <c r="W63" s="1844"/>
      <c r="X63" s="1844"/>
      <c r="Y63" s="1844"/>
      <c r="Z63" s="1844"/>
      <c r="AA63" s="1844"/>
      <c r="AB63" s="1844"/>
      <c r="AC63" s="1844"/>
      <c r="AD63" s="1844"/>
      <c r="AE63" s="1844"/>
      <c r="AF63" s="1844"/>
      <c r="AG63" s="1844"/>
      <c r="AH63" s="1844"/>
      <c r="AI63" s="1844"/>
      <c r="AJ63" s="1845"/>
      <c r="AK63" s="468"/>
      <c r="AL63" s="465"/>
      <c r="AM63" s="465"/>
      <c r="AN63" s="460"/>
      <c r="AO63" s="475">
        <f>IF($B68="yes",10,0)</f>
        <v>10</v>
      </c>
    </row>
    <row r="64" spans="1:50" s="461" customFormat="1" ht="12.75" customHeight="1">
      <c r="A64" s="463"/>
      <c r="B64" s="465"/>
      <c r="C64" s="465"/>
      <c r="D64" s="476"/>
      <c r="E64" s="1843"/>
      <c r="F64" s="1844"/>
      <c r="G64" s="1844"/>
      <c r="H64" s="1844"/>
      <c r="I64" s="1844"/>
      <c r="J64" s="1844"/>
      <c r="K64" s="1844"/>
      <c r="L64" s="1844"/>
      <c r="M64" s="1844"/>
      <c r="N64" s="1844"/>
      <c r="O64" s="1844"/>
      <c r="P64" s="1844"/>
      <c r="Q64" s="1844"/>
      <c r="R64" s="1844"/>
      <c r="S64" s="1844"/>
      <c r="T64" s="1844"/>
      <c r="U64" s="1844"/>
      <c r="V64" s="1844"/>
      <c r="W64" s="1844"/>
      <c r="X64" s="1844"/>
      <c r="Y64" s="1844"/>
      <c r="Z64" s="1844"/>
      <c r="AA64" s="1844"/>
      <c r="AB64" s="1844"/>
      <c r="AC64" s="1844"/>
      <c r="AD64" s="1844"/>
      <c r="AE64" s="1844"/>
      <c r="AF64" s="1844"/>
      <c r="AG64" s="1844"/>
      <c r="AH64" s="1844"/>
      <c r="AI64" s="1844"/>
      <c r="AJ64" s="1845"/>
      <c r="AK64" s="468"/>
      <c r="AL64" s="465"/>
      <c r="AM64" s="465"/>
      <c r="AN64" s="460"/>
      <c r="AO64" s="475">
        <f>IF($B75="yes",10,0)</f>
        <v>0</v>
      </c>
    </row>
    <row r="65" spans="1:42" s="461" customFormat="1" ht="12.75" customHeight="1">
      <c r="A65" s="463"/>
      <c r="B65" s="465"/>
      <c r="C65" s="465"/>
      <c r="D65" s="476"/>
      <c r="E65" s="1843"/>
      <c r="F65" s="1844"/>
      <c r="G65" s="1844"/>
      <c r="H65" s="1844"/>
      <c r="I65" s="1844"/>
      <c r="J65" s="1844"/>
      <c r="K65" s="1844"/>
      <c r="L65" s="1844"/>
      <c r="M65" s="1844"/>
      <c r="N65" s="1844"/>
      <c r="O65" s="1844"/>
      <c r="P65" s="1844"/>
      <c r="Q65" s="1844"/>
      <c r="R65" s="1844"/>
      <c r="S65" s="1844"/>
      <c r="T65" s="1844"/>
      <c r="U65" s="1844"/>
      <c r="V65" s="1844"/>
      <c r="W65" s="1844"/>
      <c r="X65" s="1844"/>
      <c r="Y65" s="1844"/>
      <c r="Z65" s="1844"/>
      <c r="AA65" s="1844"/>
      <c r="AB65" s="1844"/>
      <c r="AC65" s="1844"/>
      <c r="AD65" s="1844"/>
      <c r="AE65" s="1844"/>
      <c r="AF65" s="1844"/>
      <c r="AG65" s="1844"/>
      <c r="AH65" s="1844"/>
      <c r="AI65" s="1844"/>
      <c r="AJ65" s="1845"/>
      <c r="AK65" s="468"/>
      <c r="AL65" s="465"/>
      <c r="AM65" s="465"/>
      <c r="AN65" s="460"/>
      <c r="AO65" s="461">
        <f>IF(SUM(AO62:AO64)&gt;10,10,(SUM(AO62:AO64)))</f>
        <v>10</v>
      </c>
      <c r="AP65" s="499" t="s">
        <v>1974</v>
      </c>
    </row>
    <row r="66" spans="1:42" s="461" customFormat="1" ht="12.75" customHeight="1">
      <c r="A66" s="463"/>
      <c r="B66" s="465"/>
      <c r="C66" s="465"/>
      <c r="D66" s="476"/>
      <c r="E66" s="1870"/>
      <c r="F66" s="1871"/>
      <c r="G66" s="1871"/>
      <c r="H66" s="1871"/>
      <c r="I66" s="1871"/>
      <c r="J66" s="1871"/>
      <c r="K66" s="1871"/>
      <c r="L66" s="1871"/>
      <c r="M66" s="1871"/>
      <c r="N66" s="1871"/>
      <c r="O66" s="1871"/>
      <c r="P66" s="1871"/>
      <c r="Q66" s="1871"/>
      <c r="R66" s="1871"/>
      <c r="S66" s="1871"/>
      <c r="T66" s="1871"/>
      <c r="U66" s="1871"/>
      <c r="V66" s="1871"/>
      <c r="W66" s="1871"/>
      <c r="X66" s="1871"/>
      <c r="Y66" s="1871"/>
      <c r="Z66" s="1871"/>
      <c r="AA66" s="1871"/>
      <c r="AB66" s="1871"/>
      <c r="AC66" s="1871"/>
      <c r="AD66" s="1871"/>
      <c r="AE66" s="1871"/>
      <c r="AF66" s="1871"/>
      <c r="AG66" s="1871"/>
      <c r="AH66" s="1871"/>
      <c r="AI66" s="1871"/>
      <c r="AJ66" s="1872"/>
      <c r="AK66" s="468"/>
      <c r="AL66" s="465"/>
      <c r="AM66" s="465"/>
      <c r="AN66" s="460"/>
    </row>
    <row r="67" spans="1:42" s="461" customFormat="1" ht="12.75" customHeight="1">
      <c r="A67" s="463"/>
      <c r="B67" s="465"/>
      <c r="C67" s="465"/>
      <c r="E67" s="465"/>
      <c r="F67" s="465"/>
      <c r="G67" s="465"/>
      <c r="H67" s="465"/>
      <c r="I67" s="465"/>
      <c r="J67" s="465"/>
      <c r="K67" s="465"/>
      <c r="L67" s="465"/>
      <c r="M67" s="465"/>
      <c r="N67" s="465"/>
      <c r="O67" s="465"/>
      <c r="P67" s="465"/>
      <c r="Q67" s="465"/>
      <c r="R67" s="465"/>
      <c r="S67" s="465"/>
      <c r="T67" s="465"/>
      <c r="U67" s="465"/>
      <c r="V67" s="465"/>
      <c r="W67" s="465"/>
      <c r="X67" s="465"/>
      <c r="Y67" s="465"/>
      <c r="Z67" s="465"/>
      <c r="AA67" s="465"/>
      <c r="AB67" s="465"/>
      <c r="AC67" s="465"/>
      <c r="AD67" s="465"/>
      <c r="AE67" s="465"/>
      <c r="AF67" s="465"/>
      <c r="AG67" s="465"/>
      <c r="AH67" s="465"/>
      <c r="AI67" s="465"/>
      <c r="AJ67" s="465"/>
      <c r="AK67" s="468"/>
      <c r="AL67" s="465"/>
      <c r="AM67" s="465"/>
      <c r="AN67" s="460"/>
    </row>
    <row r="68" spans="1:42" s="461" customFormat="1" ht="12.75" customHeight="1">
      <c r="A68" s="463"/>
      <c r="B68" s="1848" t="s">
        <v>837</v>
      </c>
      <c r="C68" s="1848"/>
      <c r="D68" s="472" t="s">
        <v>1975</v>
      </c>
      <c r="E68" s="891" t="s">
        <v>1976</v>
      </c>
      <c r="F68" s="892"/>
      <c r="G68" s="892"/>
      <c r="H68" s="892"/>
      <c r="I68" s="892"/>
      <c r="J68" s="892"/>
      <c r="K68" s="892"/>
      <c r="L68" s="892"/>
      <c r="M68" s="892"/>
      <c r="N68" s="892"/>
      <c r="O68" s="892"/>
      <c r="P68" s="892"/>
      <c r="Q68" s="892"/>
      <c r="R68" s="892"/>
      <c r="S68" s="892"/>
      <c r="T68" s="892"/>
      <c r="U68" s="892"/>
      <c r="V68" s="892"/>
      <c r="W68" s="892"/>
      <c r="X68" s="892"/>
      <c r="Y68" s="892"/>
      <c r="Z68" s="892"/>
      <c r="AA68" s="892"/>
      <c r="AB68" s="892"/>
      <c r="AC68" s="892"/>
      <c r="AD68" s="892"/>
      <c r="AE68" s="892"/>
      <c r="AF68" s="892"/>
      <c r="AG68" s="892"/>
      <c r="AH68" s="892"/>
      <c r="AI68" s="892"/>
      <c r="AJ68" s="893"/>
      <c r="AK68" s="468"/>
      <c r="AL68" s="465"/>
      <c r="AM68" s="465"/>
      <c r="AN68" s="460"/>
    </row>
    <row r="69" spans="1:42" s="461" customFormat="1" ht="12.75" customHeight="1">
      <c r="A69" s="463"/>
      <c r="B69" s="465"/>
      <c r="C69" s="465"/>
      <c r="D69" s="475"/>
      <c r="E69" s="1873" t="s">
        <v>837</v>
      </c>
      <c r="F69" s="1848"/>
      <c r="G69" s="500"/>
      <c r="H69" s="483" t="s">
        <v>1977</v>
      </c>
      <c r="I69" s="830"/>
      <c r="J69" s="500"/>
      <c r="K69" s="500"/>
      <c r="L69" s="500"/>
      <c r="M69" s="500"/>
      <c r="N69" s="500"/>
      <c r="O69" s="500"/>
      <c r="P69" s="500"/>
      <c r="Q69" s="500"/>
      <c r="R69" s="500"/>
      <c r="S69" s="500"/>
      <c r="T69" s="500"/>
      <c r="U69" s="500"/>
      <c r="V69" s="500"/>
      <c r="W69" s="500"/>
      <c r="X69" s="500"/>
      <c r="Y69" s="500"/>
      <c r="Z69" s="500"/>
      <c r="AA69" s="500"/>
      <c r="AB69" s="500"/>
      <c r="AC69" s="500"/>
      <c r="AD69" s="500"/>
      <c r="AE69" s="500"/>
      <c r="AF69" s="500"/>
      <c r="AG69" s="500"/>
      <c r="AH69" s="500"/>
      <c r="AI69" s="500"/>
      <c r="AJ69" s="894"/>
      <c r="AK69" s="468"/>
      <c r="AL69" s="465"/>
      <c r="AM69" s="465"/>
      <c r="AN69" s="460"/>
    </row>
    <row r="70" spans="1:42" s="461" customFormat="1" ht="12.75" customHeight="1">
      <c r="A70" s="463"/>
      <c r="B70" s="465"/>
      <c r="C70" s="465"/>
      <c r="D70" s="475"/>
      <c r="E70" s="1868" t="s">
        <v>299</v>
      </c>
      <c r="F70" s="1869"/>
      <c r="G70" s="500"/>
      <c r="H70" s="483" t="s">
        <v>1978</v>
      </c>
      <c r="I70" s="500"/>
      <c r="J70" s="500"/>
      <c r="K70" s="500"/>
      <c r="L70" s="500"/>
      <c r="M70" s="500"/>
      <c r="N70" s="500"/>
      <c r="O70" s="500"/>
      <c r="P70" s="500"/>
      <c r="Q70" s="500"/>
      <c r="R70" s="500"/>
      <c r="S70" s="500"/>
      <c r="T70" s="500"/>
      <c r="U70" s="500"/>
      <c r="V70" s="500"/>
      <c r="W70" s="500"/>
      <c r="X70" s="500"/>
      <c r="Y70" s="500"/>
      <c r="Z70" s="500"/>
      <c r="AA70" s="500"/>
      <c r="AB70" s="500"/>
      <c r="AC70" s="500"/>
      <c r="AD70" s="500"/>
      <c r="AE70" s="500"/>
      <c r="AF70" s="500"/>
      <c r="AG70" s="500"/>
      <c r="AH70" s="500"/>
      <c r="AI70" s="500"/>
      <c r="AJ70" s="894"/>
      <c r="AK70" s="468"/>
      <c r="AL70" s="465"/>
      <c r="AM70" s="465"/>
      <c r="AN70" s="460"/>
    </row>
    <row r="71" spans="1:42" s="461" customFormat="1" ht="12.75" customHeight="1">
      <c r="A71" s="463"/>
      <c r="B71" s="465"/>
      <c r="C71" s="465"/>
      <c r="D71" s="475"/>
      <c r="E71" s="1868" t="s">
        <v>299</v>
      </c>
      <c r="F71" s="1869"/>
      <c r="G71" s="500"/>
      <c r="H71" s="483" t="s">
        <v>1979</v>
      </c>
      <c r="I71" s="500"/>
      <c r="J71" s="500"/>
      <c r="K71" s="500"/>
      <c r="L71" s="500"/>
      <c r="M71" s="500"/>
      <c r="N71" s="500"/>
      <c r="O71" s="500"/>
      <c r="P71" s="500"/>
      <c r="Q71" s="500"/>
      <c r="R71" s="500"/>
      <c r="S71" s="500"/>
      <c r="T71" s="500"/>
      <c r="U71" s="500"/>
      <c r="V71" s="500"/>
      <c r="W71" s="500"/>
      <c r="X71" s="500"/>
      <c r="Y71" s="500"/>
      <c r="Z71" s="500"/>
      <c r="AA71" s="500"/>
      <c r="AB71" s="500"/>
      <c r="AC71" s="500"/>
      <c r="AD71" s="500"/>
      <c r="AE71" s="500"/>
      <c r="AF71" s="500"/>
      <c r="AG71" s="500"/>
      <c r="AH71" s="500"/>
      <c r="AI71" s="500"/>
      <c r="AJ71" s="894"/>
      <c r="AK71" s="468"/>
      <c r="AL71" s="465"/>
      <c r="AM71" s="465"/>
      <c r="AN71" s="460"/>
    </row>
    <row r="72" spans="1:42" s="461" customFormat="1" ht="12.75" customHeight="1">
      <c r="A72" s="463"/>
      <c r="B72" s="465"/>
      <c r="C72" s="465"/>
      <c r="D72" s="475"/>
      <c r="E72" s="581"/>
      <c r="F72" s="500"/>
      <c r="G72" s="500"/>
      <c r="H72" s="500"/>
      <c r="I72" s="500"/>
      <c r="J72" s="500"/>
      <c r="K72" s="500"/>
      <c r="L72" s="500"/>
      <c r="M72" s="500"/>
      <c r="N72" s="500"/>
      <c r="O72" s="500"/>
      <c r="P72" s="500"/>
      <c r="Q72" s="500"/>
      <c r="R72" s="500"/>
      <c r="S72" s="500"/>
      <c r="T72" s="500"/>
      <c r="U72" s="500"/>
      <c r="V72" s="500"/>
      <c r="W72" s="500"/>
      <c r="X72" s="500"/>
      <c r="Y72" s="500"/>
      <c r="Z72" s="500"/>
      <c r="AA72" s="500"/>
      <c r="AB72" s="500"/>
      <c r="AC72" s="500"/>
      <c r="AD72" s="500"/>
      <c r="AE72" s="500"/>
      <c r="AF72" s="500"/>
      <c r="AG72" s="500"/>
      <c r="AH72" s="500"/>
      <c r="AI72" s="500"/>
      <c r="AJ72" s="894"/>
      <c r="AK72" s="468"/>
      <c r="AL72" s="465"/>
      <c r="AM72" s="465"/>
      <c r="AN72" s="460"/>
    </row>
    <row r="73" spans="1:42" s="461" customFormat="1" ht="12.75" customHeight="1">
      <c r="A73" s="463"/>
      <c r="B73" s="465"/>
      <c r="C73" s="465"/>
      <c r="D73" s="475"/>
      <c r="E73" s="1873" t="s">
        <v>299</v>
      </c>
      <c r="F73" s="1848"/>
      <c r="G73" s="828"/>
      <c r="H73" s="896" t="s">
        <v>1980</v>
      </c>
      <c r="I73" s="828"/>
      <c r="J73" s="828"/>
      <c r="K73" s="828"/>
      <c r="L73" s="828"/>
      <c r="M73" s="828"/>
      <c r="N73" s="828"/>
      <c r="O73" s="828"/>
      <c r="P73" s="828"/>
      <c r="Q73" s="828"/>
      <c r="R73" s="828"/>
      <c r="S73" s="828"/>
      <c r="T73" s="828"/>
      <c r="U73" s="828"/>
      <c r="V73" s="828"/>
      <c r="W73" s="828"/>
      <c r="X73" s="828"/>
      <c r="Y73" s="828"/>
      <c r="Z73" s="828"/>
      <c r="AA73" s="828"/>
      <c r="AB73" s="828"/>
      <c r="AC73" s="828"/>
      <c r="AD73" s="828"/>
      <c r="AE73" s="828"/>
      <c r="AF73" s="828"/>
      <c r="AG73" s="828"/>
      <c r="AH73" s="828"/>
      <c r="AI73" s="828"/>
      <c r="AJ73" s="829"/>
      <c r="AK73" s="468"/>
      <c r="AL73" s="465"/>
      <c r="AM73" s="465"/>
      <c r="AN73" s="460"/>
    </row>
    <row r="74" spans="1:42" s="461" customFormat="1" ht="12.75" customHeight="1">
      <c r="A74" s="463"/>
      <c r="B74" s="465"/>
      <c r="C74" s="465"/>
      <c r="D74" s="476"/>
      <c r="E74" s="465"/>
      <c r="F74" s="465"/>
      <c r="G74" s="465"/>
      <c r="H74" s="465"/>
      <c r="I74" s="465"/>
      <c r="J74" s="465"/>
      <c r="K74" s="465"/>
      <c r="L74" s="465"/>
      <c r="M74" s="465"/>
      <c r="N74" s="465"/>
      <c r="O74" s="465"/>
      <c r="P74" s="465"/>
      <c r="Q74" s="465"/>
      <c r="R74" s="465"/>
      <c r="S74" s="465"/>
      <c r="T74" s="465"/>
      <c r="U74" s="465"/>
      <c r="V74" s="465"/>
      <c r="W74" s="465"/>
      <c r="X74" s="465"/>
      <c r="Y74" s="465"/>
      <c r="Z74" s="465"/>
      <c r="AA74" s="465"/>
      <c r="AB74" s="465"/>
      <c r="AC74" s="465"/>
      <c r="AD74" s="465"/>
      <c r="AE74" s="465"/>
      <c r="AF74" s="465"/>
      <c r="AG74" s="465"/>
      <c r="AH74" s="465"/>
      <c r="AI74" s="465"/>
      <c r="AJ74" s="465"/>
      <c r="AK74" s="468"/>
      <c r="AL74" s="465"/>
      <c r="AM74" s="465"/>
      <c r="AN74" s="460"/>
    </row>
    <row r="75" spans="1:42" s="461" customFormat="1" ht="12.75" customHeight="1">
      <c r="A75" s="463"/>
      <c r="B75" s="1848" t="s">
        <v>299</v>
      </c>
      <c r="C75" s="1848"/>
      <c r="D75" s="472" t="s">
        <v>1981</v>
      </c>
      <c r="E75" s="1776" t="s">
        <v>1982</v>
      </c>
      <c r="F75" s="1777"/>
      <c r="G75" s="1777"/>
      <c r="H75" s="1777"/>
      <c r="I75" s="1777"/>
      <c r="J75" s="1777"/>
      <c r="K75" s="1777"/>
      <c r="L75" s="1777"/>
      <c r="M75" s="1777"/>
      <c r="N75" s="1777"/>
      <c r="O75" s="1777"/>
      <c r="P75" s="1777"/>
      <c r="Q75" s="1777"/>
      <c r="R75" s="1777"/>
      <c r="S75" s="1777"/>
      <c r="T75" s="1777"/>
      <c r="U75" s="1777"/>
      <c r="V75" s="1777"/>
      <c r="W75" s="1777"/>
      <c r="X75" s="1777"/>
      <c r="Y75" s="1777"/>
      <c r="Z75" s="1777"/>
      <c r="AA75" s="1777"/>
      <c r="AB75" s="1777"/>
      <c r="AC75" s="1777"/>
      <c r="AD75" s="1777"/>
      <c r="AE75" s="1777"/>
      <c r="AF75" s="1777"/>
      <c r="AG75" s="1777"/>
      <c r="AH75" s="1777"/>
      <c r="AI75" s="1777"/>
      <c r="AJ75" s="1778"/>
      <c r="AK75" s="468"/>
      <c r="AL75" s="465"/>
      <c r="AM75" s="465"/>
      <c r="AN75" s="460"/>
    </row>
    <row r="76" spans="1:42" s="461" customFormat="1" ht="12.75" customHeight="1">
      <c r="A76" s="463"/>
      <c r="B76" s="465"/>
      <c r="C76" s="465"/>
      <c r="D76" s="475"/>
      <c r="E76" s="1800"/>
      <c r="F76" s="1801"/>
      <c r="G76" s="1801"/>
      <c r="H76" s="1801"/>
      <c r="I76" s="1801"/>
      <c r="J76" s="1801"/>
      <c r="K76" s="1801"/>
      <c r="L76" s="1801"/>
      <c r="M76" s="1801"/>
      <c r="N76" s="1801"/>
      <c r="O76" s="1801"/>
      <c r="P76" s="1801"/>
      <c r="Q76" s="1801"/>
      <c r="R76" s="1801"/>
      <c r="S76" s="1801"/>
      <c r="T76" s="1801"/>
      <c r="U76" s="1801"/>
      <c r="V76" s="1801"/>
      <c r="W76" s="1801"/>
      <c r="X76" s="1801"/>
      <c r="Y76" s="1801"/>
      <c r="Z76" s="1801"/>
      <c r="AA76" s="1801"/>
      <c r="AB76" s="1801"/>
      <c r="AC76" s="1801"/>
      <c r="AD76" s="1801"/>
      <c r="AE76" s="1801"/>
      <c r="AF76" s="1801"/>
      <c r="AG76" s="1801"/>
      <c r="AH76" s="1801"/>
      <c r="AI76" s="1801"/>
      <c r="AJ76" s="1802"/>
      <c r="AK76" s="468"/>
      <c r="AL76" s="465"/>
      <c r="AM76" s="465"/>
      <c r="AN76" s="460"/>
    </row>
    <row r="77" spans="1:42" s="461" customFormat="1" ht="12.75" customHeight="1">
      <c r="A77" s="463"/>
      <c r="B77" s="465"/>
      <c r="C77" s="465"/>
      <c r="D77" s="475"/>
      <c r="E77" s="465"/>
      <c r="F77" s="465"/>
      <c r="G77" s="465"/>
      <c r="H77" s="465"/>
      <c r="I77" s="465"/>
      <c r="J77" s="465"/>
      <c r="K77" s="465"/>
      <c r="L77" s="465"/>
      <c r="M77" s="465"/>
      <c r="N77" s="465"/>
      <c r="O77" s="465"/>
      <c r="P77" s="465"/>
      <c r="Q77" s="465"/>
      <c r="R77" s="465"/>
      <c r="S77" s="465"/>
      <c r="T77" s="465"/>
      <c r="U77" s="465"/>
      <c r="V77" s="465"/>
      <c r="W77" s="465"/>
      <c r="X77" s="465"/>
      <c r="Y77" s="465"/>
      <c r="Z77" s="465"/>
      <c r="AA77" s="465"/>
      <c r="AB77" s="465"/>
      <c r="AC77" s="465"/>
      <c r="AD77" s="465"/>
      <c r="AE77" s="465"/>
      <c r="AF77" s="465"/>
      <c r="AG77" s="465"/>
      <c r="AH77" s="465"/>
      <c r="AI77" s="465"/>
      <c r="AJ77" s="465"/>
      <c r="AK77" s="468"/>
      <c r="AL77" s="465"/>
      <c r="AM77" s="465"/>
      <c r="AN77" s="460"/>
    </row>
    <row r="78" spans="1:42" s="461" customFormat="1" ht="12.75" customHeight="1">
      <c r="A78" s="486"/>
      <c r="B78" s="487"/>
      <c r="C78" s="487"/>
      <c r="D78" s="487"/>
      <c r="E78" s="487"/>
      <c r="F78" s="487"/>
      <c r="G78" s="488"/>
      <c r="H78" s="489"/>
      <c r="I78" s="489"/>
      <c r="J78" s="489"/>
      <c r="K78" s="489"/>
      <c r="L78" s="489"/>
      <c r="M78" s="489"/>
      <c r="N78" s="489"/>
      <c r="O78" s="489"/>
      <c r="P78" s="489"/>
      <c r="Q78" s="489"/>
      <c r="R78" s="489"/>
      <c r="S78" s="489"/>
      <c r="T78" s="489"/>
      <c r="U78" s="489"/>
      <c r="V78" s="489"/>
      <c r="W78" s="489"/>
      <c r="X78" s="489"/>
      <c r="Y78" s="489"/>
      <c r="Z78" s="489"/>
      <c r="AA78" s="489"/>
      <c r="AB78" s="489"/>
      <c r="AC78" s="489"/>
      <c r="AD78" s="489"/>
      <c r="AE78" s="489"/>
      <c r="AF78" s="489"/>
      <c r="AG78" s="489"/>
      <c r="AH78" s="489"/>
      <c r="AI78" s="490"/>
      <c r="AJ78" s="490" t="s">
        <v>1983</v>
      </c>
      <c r="AK78" s="1821">
        <f>IF(AK56&gt;0,0,AO65)</f>
        <v>10</v>
      </c>
      <c r="AL78" s="1822"/>
      <c r="AM78" s="1823"/>
      <c r="AN78" s="460"/>
    </row>
    <row r="79" spans="1:42" s="461" customFormat="1" ht="12.75" customHeight="1" thickBot="1">
      <c r="A79" s="491"/>
      <c r="B79" s="492"/>
      <c r="C79" s="493"/>
      <c r="D79" s="493"/>
      <c r="E79" s="493"/>
      <c r="F79" s="493"/>
      <c r="G79" s="493"/>
      <c r="H79" s="493"/>
      <c r="I79" s="493"/>
      <c r="J79" s="493"/>
      <c r="K79" s="493"/>
      <c r="L79" s="493"/>
      <c r="M79" s="493"/>
      <c r="N79" s="493"/>
      <c r="O79" s="493"/>
      <c r="P79" s="493"/>
      <c r="Q79" s="493"/>
      <c r="R79" s="493"/>
      <c r="S79" s="493"/>
      <c r="T79" s="493"/>
      <c r="U79" s="493"/>
      <c r="V79" s="493"/>
      <c r="W79" s="493"/>
      <c r="X79" s="493"/>
      <c r="Y79" s="493"/>
      <c r="Z79" s="493"/>
      <c r="AA79" s="493"/>
      <c r="AB79" s="493"/>
      <c r="AC79" s="493"/>
      <c r="AD79" s="493"/>
      <c r="AE79" s="493"/>
      <c r="AF79" s="493"/>
      <c r="AG79" s="493"/>
      <c r="AH79" s="493"/>
      <c r="AI79" s="493"/>
      <c r="AJ79" s="493"/>
      <c r="AK79" s="493"/>
      <c r="AL79" s="493"/>
      <c r="AM79" s="494"/>
      <c r="AN79" s="460"/>
    </row>
    <row r="80" spans="1:42" s="461" customFormat="1" ht="12.75" customHeight="1" thickTop="1">
      <c r="A80" s="495"/>
      <c r="B80" s="496"/>
      <c r="C80" s="497"/>
      <c r="D80" s="497"/>
      <c r="E80" s="497"/>
      <c r="F80" s="497"/>
      <c r="G80" s="497"/>
      <c r="H80" s="497"/>
      <c r="I80" s="498"/>
      <c r="J80" s="498"/>
      <c r="K80" s="498"/>
      <c r="L80" s="498"/>
      <c r="M80" s="498"/>
      <c r="N80" s="498"/>
      <c r="O80" s="498"/>
      <c r="P80" s="498"/>
      <c r="Q80" s="498"/>
      <c r="R80" s="495"/>
      <c r="S80" s="464"/>
      <c r="T80" s="464"/>
      <c r="U80" s="464"/>
      <c r="V80" s="464"/>
      <c r="W80" s="464"/>
      <c r="X80" s="464"/>
      <c r="Y80" s="464"/>
      <c r="Z80" s="464"/>
      <c r="AA80" s="464"/>
      <c r="AB80" s="464"/>
      <c r="AC80" s="464"/>
      <c r="AD80" s="464"/>
      <c r="AE80" s="464"/>
      <c r="AF80" s="495"/>
      <c r="AG80" s="464"/>
      <c r="AH80" s="464"/>
      <c r="AI80" s="464"/>
      <c r="AJ80" s="464"/>
      <c r="AK80" s="475"/>
      <c r="AL80" s="475"/>
      <c r="AM80" s="475"/>
      <c r="AN80" s="460"/>
    </row>
    <row r="81" spans="1:43" s="461" customFormat="1" ht="12.75" customHeight="1">
      <c r="A81" s="463" t="s">
        <v>1984</v>
      </c>
      <c r="B81" s="464" t="s">
        <v>1985</v>
      </c>
      <c r="C81" s="464"/>
      <c r="D81" s="464"/>
      <c r="E81" s="464"/>
      <c r="F81" s="464"/>
      <c r="G81" s="464"/>
      <c r="H81" s="464"/>
      <c r="I81" s="464"/>
      <c r="J81" s="464"/>
      <c r="K81" s="464"/>
      <c r="L81" s="464"/>
      <c r="M81" s="464"/>
      <c r="N81" s="464"/>
      <c r="O81" s="464"/>
      <c r="P81" s="464"/>
      <c r="Q81" s="464"/>
      <c r="R81" s="464"/>
      <c r="S81" s="464"/>
      <c r="T81" s="464"/>
      <c r="U81" s="464"/>
      <c r="V81" s="464"/>
      <c r="W81" s="464"/>
      <c r="X81" s="464"/>
      <c r="Y81" s="464"/>
      <c r="Z81" s="464"/>
      <c r="AA81" s="464"/>
      <c r="AB81" s="464"/>
      <c r="AC81" s="464"/>
      <c r="AD81" s="464"/>
      <c r="AE81" s="1666" t="s">
        <v>1948</v>
      </c>
      <c r="AF81" s="1666"/>
      <c r="AG81" s="1666"/>
      <c r="AH81" s="1666"/>
      <c r="AI81" s="1666"/>
      <c r="AJ81" s="1666"/>
      <c r="AK81" s="1666"/>
      <c r="AL81" s="465"/>
      <c r="AM81" s="465"/>
      <c r="AN81" s="460"/>
    </row>
    <row r="82" spans="1:43" s="461" customFormat="1" ht="12.75" customHeight="1">
      <c r="A82" s="463"/>
      <c r="B82" s="464" t="s">
        <v>1986</v>
      </c>
      <c r="C82" s="464"/>
      <c r="D82" s="464"/>
      <c r="E82" s="464"/>
      <c r="F82" s="464"/>
      <c r="G82" s="464"/>
      <c r="H82" s="464"/>
      <c r="I82" s="464"/>
      <c r="J82" s="464"/>
      <c r="K82" s="464"/>
      <c r="L82" s="464"/>
      <c r="M82" s="464"/>
      <c r="N82" s="464"/>
      <c r="O82" s="464"/>
      <c r="P82" s="464"/>
      <c r="Q82" s="464"/>
      <c r="R82" s="464"/>
      <c r="S82" s="464"/>
      <c r="T82" s="464"/>
      <c r="U82" s="464"/>
      <c r="V82" s="464"/>
      <c r="W82" s="464"/>
      <c r="X82" s="464"/>
      <c r="Y82" s="464"/>
      <c r="Z82" s="464"/>
      <c r="AA82" s="464"/>
      <c r="AB82" s="464"/>
      <c r="AC82" s="464"/>
      <c r="AD82" s="464"/>
      <c r="AE82" s="468"/>
      <c r="AF82" s="468"/>
      <c r="AG82" s="468"/>
      <c r="AH82" s="468"/>
      <c r="AI82" s="468"/>
      <c r="AJ82" s="468"/>
      <c r="AK82" s="468"/>
      <c r="AL82" s="465"/>
      <c r="AM82" s="465"/>
      <c r="AN82" s="460"/>
    </row>
    <row r="83" spans="1:43" s="461" customFormat="1" ht="12.75" customHeight="1">
      <c r="A83" s="463"/>
      <c r="B83" s="464"/>
      <c r="C83" s="464"/>
      <c r="D83" s="464"/>
      <c r="E83" s="464"/>
      <c r="F83" s="464"/>
      <c r="G83" s="464"/>
      <c r="H83" s="464"/>
      <c r="I83" s="464"/>
      <c r="J83" s="464"/>
      <c r="K83" s="464"/>
      <c r="L83" s="464"/>
      <c r="M83" s="464"/>
      <c r="N83" s="464"/>
      <c r="O83" s="464"/>
      <c r="P83" s="464"/>
      <c r="Q83" s="464"/>
      <c r="R83" s="464"/>
      <c r="S83" s="464"/>
      <c r="T83" s="464"/>
      <c r="U83" s="464"/>
      <c r="V83" s="464"/>
      <c r="W83" s="464"/>
      <c r="X83" s="464"/>
      <c r="Y83" s="464"/>
      <c r="Z83" s="464"/>
      <c r="AA83" s="464"/>
      <c r="AB83" s="464"/>
      <c r="AC83" s="464"/>
      <c r="AD83" s="464"/>
      <c r="AE83" s="468"/>
      <c r="AF83" s="468"/>
      <c r="AG83" s="468"/>
      <c r="AH83" s="468"/>
      <c r="AI83" s="468"/>
      <c r="AJ83" s="468"/>
      <c r="AK83" s="468"/>
      <c r="AL83" s="465"/>
      <c r="AM83" s="465"/>
      <c r="AN83" s="460"/>
    </row>
    <row r="84" spans="1:43" s="461" customFormat="1" ht="12.75" customHeight="1">
      <c r="A84" s="463"/>
      <c r="B84" s="1848" t="s">
        <v>837</v>
      </c>
      <c r="C84" s="1848"/>
      <c r="D84" s="472" t="s">
        <v>1972</v>
      </c>
      <c r="E84" s="1840" t="s">
        <v>1987</v>
      </c>
      <c r="F84" s="1841"/>
      <c r="G84" s="1841"/>
      <c r="H84" s="1841"/>
      <c r="I84" s="1841"/>
      <c r="J84" s="1841"/>
      <c r="K84" s="1841"/>
      <c r="L84" s="1841"/>
      <c r="M84" s="1841"/>
      <c r="N84" s="1841"/>
      <c r="O84" s="1841"/>
      <c r="P84" s="1841"/>
      <c r="Q84" s="1841"/>
      <c r="R84" s="1841"/>
      <c r="S84" s="1841"/>
      <c r="T84" s="1841"/>
      <c r="U84" s="1841"/>
      <c r="V84" s="1841"/>
      <c r="W84" s="1841"/>
      <c r="X84" s="1841"/>
      <c r="Y84" s="1841"/>
      <c r="Z84" s="1841"/>
      <c r="AA84" s="1841"/>
      <c r="AB84" s="1841"/>
      <c r="AC84" s="1841"/>
      <c r="AD84" s="1841"/>
      <c r="AE84" s="1841"/>
      <c r="AF84" s="1841"/>
      <c r="AG84" s="1841"/>
      <c r="AH84" s="1841"/>
      <c r="AI84" s="1841"/>
      <c r="AJ84" s="1842"/>
      <c r="AK84" s="468"/>
      <c r="AL84" s="465"/>
      <c r="AM84" s="465"/>
      <c r="AN84" s="460"/>
    </row>
    <row r="85" spans="1:43" s="461" customFormat="1" ht="12.75" customHeight="1">
      <c r="A85" s="463"/>
      <c r="B85" s="464"/>
      <c r="C85" s="464"/>
      <c r="D85" s="464"/>
      <c r="E85" s="1843"/>
      <c r="F85" s="1844"/>
      <c r="G85" s="1844"/>
      <c r="H85" s="1844"/>
      <c r="I85" s="1844"/>
      <c r="J85" s="1844"/>
      <c r="K85" s="1844"/>
      <c r="L85" s="1844"/>
      <c r="M85" s="1844"/>
      <c r="N85" s="1844"/>
      <c r="O85" s="1844"/>
      <c r="P85" s="1844"/>
      <c r="Q85" s="1844"/>
      <c r="R85" s="1844"/>
      <c r="S85" s="1844"/>
      <c r="T85" s="1844"/>
      <c r="U85" s="1844"/>
      <c r="V85" s="1844"/>
      <c r="W85" s="1844"/>
      <c r="X85" s="1844"/>
      <c r="Y85" s="1844"/>
      <c r="Z85" s="1844"/>
      <c r="AA85" s="1844"/>
      <c r="AB85" s="1844"/>
      <c r="AC85" s="1844"/>
      <c r="AD85" s="1844"/>
      <c r="AE85" s="1844"/>
      <c r="AF85" s="1844"/>
      <c r="AG85" s="1844"/>
      <c r="AH85" s="1844"/>
      <c r="AI85" s="1844"/>
      <c r="AJ85" s="1845"/>
      <c r="AK85" s="468"/>
      <c r="AL85" s="465"/>
      <c r="AM85" s="465"/>
      <c r="AN85" s="460"/>
    </row>
    <row r="86" spans="1:43" s="461" customFormat="1" ht="12.75" customHeight="1">
      <c r="A86" s="463"/>
      <c r="B86" s="464"/>
      <c r="C86" s="464"/>
      <c r="D86" s="464"/>
      <c r="E86" s="501"/>
      <c r="F86" s="502"/>
      <c r="G86" s="502"/>
      <c r="H86" s="502"/>
      <c r="I86" s="502"/>
      <c r="J86" s="502"/>
      <c r="K86" s="502"/>
      <c r="L86" s="502"/>
      <c r="M86" s="502"/>
      <c r="N86" s="502"/>
      <c r="O86" s="502"/>
      <c r="P86" s="502"/>
      <c r="Q86" s="502"/>
      <c r="R86" s="502"/>
      <c r="S86" s="502"/>
      <c r="T86" s="502"/>
      <c r="U86" s="502"/>
      <c r="V86" s="502"/>
      <c r="W86" s="502"/>
      <c r="X86" s="502"/>
      <c r="Y86" s="502"/>
      <c r="Z86" s="503"/>
      <c r="AA86" s="503"/>
      <c r="AB86" s="503"/>
      <c r="AC86" s="502"/>
      <c r="AD86" s="502"/>
      <c r="AE86" s="502"/>
      <c r="AF86" s="502"/>
      <c r="AG86" s="502"/>
      <c r="AH86" s="502"/>
      <c r="AI86" s="502"/>
      <c r="AJ86" s="504"/>
      <c r="AK86" s="468"/>
      <c r="AL86" s="465"/>
      <c r="AM86" s="465"/>
      <c r="AN86" s="460"/>
    </row>
    <row r="87" spans="1:43" s="461" customFormat="1" ht="12.75" customHeight="1">
      <c r="A87" s="463"/>
      <c r="B87" s="464"/>
      <c r="C87" s="464"/>
      <c r="D87" s="464"/>
      <c r="E87" s="1836">
        <f>Application!AC753</f>
        <v>0.45744680851063824</v>
      </c>
      <c r="F87" s="1837"/>
      <c r="G87" s="1837"/>
      <c r="H87" s="1837"/>
      <c r="I87" s="502"/>
      <c r="J87" s="505" t="s">
        <v>1988</v>
      </c>
      <c r="K87" s="502"/>
      <c r="L87" s="502"/>
      <c r="M87" s="502"/>
      <c r="N87" s="502"/>
      <c r="O87" s="502"/>
      <c r="P87" s="502"/>
      <c r="Q87" s="502"/>
      <c r="R87" s="502"/>
      <c r="S87" s="502"/>
      <c r="T87" s="502"/>
      <c r="U87" s="502"/>
      <c r="V87" s="502"/>
      <c r="W87" s="502"/>
      <c r="X87" s="502"/>
      <c r="Y87" s="502"/>
      <c r="Z87" s="506"/>
      <c r="AA87" s="506"/>
      <c r="AB87" s="506"/>
      <c r="AC87" s="502"/>
      <c r="AD87" s="502"/>
      <c r="AE87" s="502"/>
      <c r="AF87" s="502"/>
      <c r="AG87" s="502"/>
      <c r="AH87" s="502"/>
      <c r="AI87" s="502"/>
      <c r="AJ87" s="504"/>
      <c r="AK87" s="468"/>
      <c r="AL87" s="465"/>
      <c r="AM87" s="465"/>
      <c r="AN87" s="460"/>
    </row>
    <row r="88" spans="1:43" s="461" customFormat="1" ht="12.75" customHeight="1">
      <c r="A88" s="463"/>
      <c r="B88" s="464"/>
      <c r="C88" s="464"/>
      <c r="D88" s="464"/>
      <c r="E88" s="1867">
        <f>0.6-ROUNDUP(E87,2)</f>
        <v>0.13999999999999996</v>
      </c>
      <c r="F88" s="1640"/>
      <c r="G88" s="1640"/>
      <c r="H88" s="1640"/>
      <c r="I88" s="502"/>
      <c r="J88" s="505" t="s">
        <v>1989</v>
      </c>
      <c r="K88" s="502"/>
      <c r="L88" s="502"/>
      <c r="M88" s="502"/>
      <c r="N88" s="502"/>
      <c r="O88" s="502"/>
      <c r="P88" s="502"/>
      <c r="Q88" s="502"/>
      <c r="R88" s="502"/>
      <c r="S88" s="502"/>
      <c r="T88" s="502"/>
      <c r="U88" s="502"/>
      <c r="V88" s="502"/>
      <c r="W88" s="502"/>
      <c r="X88" s="502"/>
      <c r="Y88" s="502"/>
      <c r="Z88" s="502"/>
      <c r="AA88" s="502"/>
      <c r="AB88" s="502"/>
      <c r="AC88" s="502"/>
      <c r="AD88" s="502"/>
      <c r="AE88" s="502"/>
      <c r="AF88" s="502"/>
      <c r="AG88" s="502"/>
      <c r="AH88" s="502"/>
      <c r="AI88" s="502"/>
      <c r="AJ88" s="504"/>
      <c r="AK88" s="468"/>
      <c r="AL88" s="465"/>
      <c r="AM88" s="465"/>
      <c r="AN88" s="460"/>
    </row>
    <row r="89" spans="1:43" s="461" customFormat="1" ht="12.75" customHeight="1">
      <c r="A89" s="463"/>
      <c r="B89" s="464"/>
      <c r="C89" s="464"/>
      <c r="D89" s="464"/>
      <c r="E89" s="1852">
        <f>IF(E88*200&gt;20,20,E88*200)</f>
        <v>20</v>
      </c>
      <c r="F89" s="1853"/>
      <c r="G89" s="1853"/>
      <c r="H89" s="1853"/>
      <c r="I89" s="502"/>
      <c r="J89" s="505" t="s">
        <v>1990</v>
      </c>
      <c r="K89" s="502"/>
      <c r="L89" s="502"/>
      <c r="M89" s="502"/>
      <c r="N89" s="502"/>
      <c r="O89" s="502"/>
      <c r="P89" s="502"/>
      <c r="Q89" s="502"/>
      <c r="R89" s="502"/>
      <c r="S89" s="502"/>
      <c r="T89" s="502"/>
      <c r="U89" s="502"/>
      <c r="V89" s="502"/>
      <c r="W89" s="502"/>
      <c r="X89" s="502"/>
      <c r="Y89" s="502"/>
      <c r="Z89" s="502"/>
      <c r="AA89" s="502"/>
      <c r="AB89" s="502"/>
      <c r="AC89" s="502"/>
      <c r="AD89" s="502"/>
      <c r="AE89" s="502"/>
      <c r="AF89" s="502"/>
      <c r="AG89" s="502"/>
      <c r="AH89" s="502"/>
      <c r="AI89" s="502"/>
      <c r="AJ89" s="504"/>
      <c r="AK89" s="468"/>
      <c r="AL89" s="465"/>
      <c r="AM89" s="465"/>
      <c r="AN89" s="460"/>
      <c r="AP89" s="461">
        <f>IF(B84="yes",E89,0)</f>
        <v>20</v>
      </c>
      <c r="AQ89" s="461" t="s">
        <v>1954</v>
      </c>
    </row>
    <row r="90" spans="1:43" s="461" customFormat="1" ht="12.75" customHeight="1">
      <c r="A90" s="463"/>
      <c r="B90" s="464"/>
      <c r="C90" s="464"/>
      <c r="D90" s="464"/>
      <c r="E90" s="507"/>
      <c r="F90" s="508"/>
      <c r="G90" s="508"/>
      <c r="H90" s="508"/>
      <c r="I90" s="508"/>
      <c r="J90" s="508"/>
      <c r="K90" s="508"/>
      <c r="L90" s="508"/>
      <c r="M90" s="508"/>
      <c r="N90" s="508"/>
      <c r="O90" s="508"/>
      <c r="P90" s="508"/>
      <c r="Q90" s="508"/>
      <c r="R90" s="508"/>
      <c r="S90" s="508"/>
      <c r="T90" s="508"/>
      <c r="U90" s="508"/>
      <c r="V90" s="508"/>
      <c r="W90" s="508"/>
      <c r="X90" s="508"/>
      <c r="Y90" s="508"/>
      <c r="Z90" s="508"/>
      <c r="AA90" s="508"/>
      <c r="AB90" s="508"/>
      <c r="AC90" s="508"/>
      <c r="AD90" s="508"/>
      <c r="AE90" s="509"/>
      <c r="AF90" s="509"/>
      <c r="AG90" s="509"/>
      <c r="AH90" s="509"/>
      <c r="AI90" s="509"/>
      <c r="AJ90" s="510"/>
      <c r="AK90" s="468"/>
      <c r="AL90" s="465"/>
      <c r="AM90" s="465"/>
      <c r="AN90" s="460"/>
    </row>
    <row r="91" spans="1:43" s="461" customFormat="1" ht="12.75" customHeight="1">
      <c r="A91" s="463"/>
      <c r="B91" s="464"/>
      <c r="C91" s="464"/>
      <c r="D91" s="464"/>
      <c r="E91" s="464"/>
      <c r="F91" s="464"/>
      <c r="G91" s="464"/>
      <c r="H91" s="464"/>
      <c r="I91" s="464"/>
      <c r="J91" s="464"/>
      <c r="K91" s="464"/>
      <c r="L91" s="464"/>
      <c r="M91" s="464"/>
      <c r="N91" s="464"/>
      <c r="O91" s="464"/>
      <c r="P91" s="464"/>
      <c r="Q91" s="464"/>
      <c r="R91" s="464"/>
      <c r="S91" s="464"/>
      <c r="T91" s="464"/>
      <c r="U91" s="464"/>
      <c r="V91" s="464"/>
      <c r="W91" s="464"/>
      <c r="X91" s="464"/>
      <c r="Y91" s="464"/>
      <c r="Z91" s="464"/>
      <c r="AA91" s="464"/>
      <c r="AB91" s="464"/>
      <c r="AC91" s="464"/>
      <c r="AD91" s="464"/>
      <c r="AE91" s="468"/>
      <c r="AF91" s="468"/>
      <c r="AG91" s="468"/>
      <c r="AH91" s="468"/>
      <c r="AI91" s="468"/>
      <c r="AJ91" s="468"/>
      <c r="AK91" s="468"/>
      <c r="AL91" s="465"/>
      <c r="AM91" s="465"/>
      <c r="AN91" s="460"/>
    </row>
    <row r="92" spans="1:43" s="461" customFormat="1" ht="12.75" customHeight="1">
      <c r="A92" s="463"/>
      <c r="B92" s="1848" t="s">
        <v>299</v>
      </c>
      <c r="C92" s="1848"/>
      <c r="D92" s="472" t="s">
        <v>1975</v>
      </c>
      <c r="E92" s="1840" t="s">
        <v>1991</v>
      </c>
      <c r="F92" s="1841"/>
      <c r="G92" s="1841"/>
      <c r="H92" s="1841"/>
      <c r="I92" s="1841"/>
      <c r="J92" s="1841"/>
      <c r="K92" s="1841"/>
      <c r="L92" s="1841"/>
      <c r="M92" s="1841"/>
      <c r="N92" s="1841"/>
      <c r="O92" s="1841"/>
      <c r="P92" s="1841"/>
      <c r="Q92" s="1841"/>
      <c r="R92" s="1841"/>
      <c r="S92" s="1841"/>
      <c r="T92" s="1841"/>
      <c r="U92" s="1841"/>
      <c r="V92" s="1841"/>
      <c r="W92" s="1841"/>
      <c r="X92" s="1841"/>
      <c r="Y92" s="1841"/>
      <c r="Z92" s="1841"/>
      <c r="AA92" s="1841"/>
      <c r="AB92" s="1841"/>
      <c r="AC92" s="1841"/>
      <c r="AD92" s="1841"/>
      <c r="AE92" s="1841"/>
      <c r="AF92" s="1841"/>
      <c r="AG92" s="1841"/>
      <c r="AH92" s="1841"/>
      <c r="AI92" s="1841"/>
      <c r="AJ92" s="1842"/>
      <c r="AK92" s="468"/>
      <c r="AL92" s="465"/>
      <c r="AM92" s="465"/>
      <c r="AN92" s="460"/>
    </row>
    <row r="93" spans="1:43" s="461" customFormat="1" ht="12.75" customHeight="1">
      <c r="A93" s="463"/>
      <c r="B93" s="464"/>
      <c r="C93" s="464"/>
      <c r="D93" s="464"/>
      <c r="E93" s="1843"/>
      <c r="F93" s="1844"/>
      <c r="G93" s="1844"/>
      <c r="H93" s="1844"/>
      <c r="I93" s="1844"/>
      <c r="J93" s="1844"/>
      <c r="K93" s="1844"/>
      <c r="L93" s="1844"/>
      <c r="M93" s="1844"/>
      <c r="N93" s="1844"/>
      <c r="O93" s="1844"/>
      <c r="P93" s="1844"/>
      <c r="Q93" s="1844"/>
      <c r="R93" s="1844"/>
      <c r="S93" s="1844"/>
      <c r="T93" s="1844"/>
      <c r="U93" s="1844"/>
      <c r="V93" s="1844"/>
      <c r="W93" s="1844"/>
      <c r="X93" s="1844"/>
      <c r="Y93" s="1844"/>
      <c r="Z93" s="1844"/>
      <c r="AA93" s="1844"/>
      <c r="AB93" s="1844"/>
      <c r="AC93" s="1844"/>
      <c r="AD93" s="1844"/>
      <c r="AE93" s="1844"/>
      <c r="AF93" s="1844"/>
      <c r="AG93" s="1844"/>
      <c r="AH93" s="1844"/>
      <c r="AI93" s="1844"/>
      <c r="AJ93" s="1845"/>
      <c r="AK93" s="468"/>
      <c r="AL93" s="465"/>
      <c r="AM93" s="465"/>
      <c r="AN93" s="460"/>
    </row>
    <row r="94" spans="1:43" s="461" customFormat="1" ht="12.75" customHeight="1">
      <c r="A94" s="463"/>
      <c r="B94" s="464"/>
      <c r="C94" s="464"/>
      <c r="D94" s="464"/>
      <c r="E94" s="1843"/>
      <c r="F94" s="1844"/>
      <c r="G94" s="1844"/>
      <c r="H94" s="1844"/>
      <c r="I94" s="1844"/>
      <c r="J94" s="1844"/>
      <c r="K94" s="1844"/>
      <c r="L94" s="1844"/>
      <c r="M94" s="1844"/>
      <c r="N94" s="1844"/>
      <c r="O94" s="1844"/>
      <c r="P94" s="1844"/>
      <c r="Q94" s="1844"/>
      <c r="R94" s="1844"/>
      <c r="S94" s="1844"/>
      <c r="T94" s="1844"/>
      <c r="U94" s="1844"/>
      <c r="V94" s="1844"/>
      <c r="W94" s="1844"/>
      <c r="X94" s="1844"/>
      <c r="Y94" s="1844"/>
      <c r="Z94" s="1844"/>
      <c r="AA94" s="1844"/>
      <c r="AB94" s="1844"/>
      <c r="AC94" s="1844"/>
      <c r="AD94" s="1844"/>
      <c r="AE94" s="1844"/>
      <c r="AF94" s="1844"/>
      <c r="AG94" s="1844"/>
      <c r="AH94" s="1844"/>
      <c r="AI94" s="1844"/>
      <c r="AJ94" s="1845"/>
      <c r="AK94" s="468"/>
      <c r="AL94" s="465"/>
      <c r="AM94" s="465"/>
      <c r="AN94" s="460"/>
    </row>
    <row r="95" spans="1:43" s="461" customFormat="1" ht="12.75" customHeight="1">
      <c r="A95" s="463"/>
      <c r="B95" s="464"/>
      <c r="C95" s="464"/>
      <c r="D95" s="464"/>
      <c r="E95" s="1843"/>
      <c r="F95" s="1844"/>
      <c r="G95" s="1844"/>
      <c r="H95" s="1844"/>
      <c r="I95" s="1844"/>
      <c r="J95" s="1844"/>
      <c r="K95" s="1844"/>
      <c r="L95" s="1844"/>
      <c r="M95" s="1844"/>
      <c r="N95" s="1844"/>
      <c r="O95" s="1844"/>
      <c r="P95" s="1844"/>
      <c r="Q95" s="1844"/>
      <c r="R95" s="1844"/>
      <c r="S95" s="1844"/>
      <c r="T95" s="1844"/>
      <c r="U95" s="1844"/>
      <c r="V95" s="1844"/>
      <c r="W95" s="1844"/>
      <c r="X95" s="1844"/>
      <c r="Y95" s="1844"/>
      <c r="Z95" s="1844"/>
      <c r="AA95" s="1844"/>
      <c r="AB95" s="1844"/>
      <c r="AC95" s="1844"/>
      <c r="AD95" s="1844"/>
      <c r="AE95" s="1844"/>
      <c r="AF95" s="1844"/>
      <c r="AG95" s="1844"/>
      <c r="AH95" s="1844"/>
      <c r="AI95" s="1844"/>
      <c r="AJ95" s="1845"/>
      <c r="AK95" s="468"/>
      <c r="AL95" s="465"/>
      <c r="AM95" s="465"/>
      <c r="AN95" s="460"/>
    </row>
    <row r="96" spans="1:43" s="461" customFormat="1" ht="12.75" customHeight="1">
      <c r="A96" s="463"/>
      <c r="B96" s="464"/>
      <c r="C96" s="464"/>
      <c r="D96" s="464"/>
      <c r="E96" s="511"/>
      <c r="F96" s="478"/>
      <c r="G96" s="478"/>
      <c r="H96" s="478"/>
      <c r="I96" s="478"/>
      <c r="J96" s="478"/>
      <c r="K96" s="478"/>
      <c r="L96" s="478"/>
      <c r="M96" s="478"/>
      <c r="N96" s="478"/>
      <c r="O96" s="478"/>
      <c r="P96" s="478"/>
      <c r="Q96" s="478"/>
      <c r="R96" s="478"/>
      <c r="S96" s="478"/>
      <c r="T96" s="478"/>
      <c r="U96" s="478"/>
      <c r="V96" s="478"/>
      <c r="W96" s="478"/>
      <c r="X96" s="478"/>
      <c r="Y96" s="478"/>
      <c r="Z96" s="478"/>
      <c r="AA96" s="478"/>
      <c r="AB96" s="478"/>
      <c r="AC96" s="478"/>
      <c r="AD96" s="478"/>
      <c r="AE96" s="478"/>
      <c r="AF96" s="478"/>
      <c r="AG96" s="478"/>
      <c r="AH96" s="478"/>
      <c r="AI96" s="478"/>
      <c r="AJ96" s="479"/>
      <c r="AK96" s="468"/>
      <c r="AL96" s="465"/>
      <c r="AM96" s="465"/>
      <c r="AN96" s="460"/>
    </row>
    <row r="97" spans="1:49" s="461" customFormat="1" ht="12.75" customHeight="1">
      <c r="A97" s="463"/>
      <c r="B97" s="464"/>
      <c r="C97" s="464"/>
      <c r="D97" s="464"/>
      <c r="E97" s="1836">
        <f>Application!AC753</f>
        <v>0.45744680851063824</v>
      </c>
      <c r="F97" s="1837"/>
      <c r="G97" s="1837"/>
      <c r="H97" s="1837"/>
      <c r="I97" s="502"/>
      <c r="J97" s="505" t="s">
        <v>1988</v>
      </c>
      <c r="K97" s="502"/>
      <c r="L97" s="502"/>
      <c r="M97" s="502"/>
      <c r="N97" s="502"/>
      <c r="O97" s="502"/>
      <c r="P97" s="502"/>
      <c r="Q97" s="502"/>
      <c r="R97" s="478"/>
      <c r="S97" s="478"/>
      <c r="T97" s="478"/>
      <c r="U97" s="478"/>
      <c r="V97" s="478"/>
      <c r="W97" s="478"/>
      <c r="X97" s="478"/>
      <c r="Y97" s="478"/>
      <c r="Z97" s="478"/>
      <c r="AA97" s="478"/>
      <c r="AB97" s="478"/>
      <c r="AC97" s="478"/>
      <c r="AD97" s="478"/>
      <c r="AE97" s="478"/>
      <c r="AF97" s="478"/>
      <c r="AG97" s="478"/>
      <c r="AH97" s="478"/>
      <c r="AI97" s="478"/>
      <c r="AJ97" s="479"/>
      <c r="AK97" s="468"/>
      <c r="AL97" s="465"/>
      <c r="AM97" s="465"/>
      <c r="AN97" s="460"/>
    </row>
    <row r="98" spans="1:49" s="461" customFormat="1" ht="12.75" customHeight="1">
      <c r="A98" s="463"/>
      <c r="B98" s="464"/>
      <c r="C98" s="464"/>
      <c r="D98" s="464"/>
      <c r="E98" s="1836">
        <f ca="1">SUMIF(Application!AC718:AG752,0.2,Application!G718:J752)/Application!G753+SUMIF(Application!AC718:AG752,0.25,Application!G718:J752)/Application!G753+SUMIF(Application!AC718:AG752,0.3,Application!G718:J752)/Application!G753</f>
        <v>0.36170212765957449</v>
      </c>
      <c r="F98" s="1837"/>
      <c r="G98" s="1837"/>
      <c r="H98" s="1837"/>
      <c r="I98" s="502"/>
      <c r="J98" s="505" t="s">
        <v>1992</v>
      </c>
      <c r="K98" s="502"/>
      <c r="L98" s="502"/>
      <c r="M98" s="502"/>
      <c r="N98" s="502"/>
      <c r="O98" s="502"/>
      <c r="P98" s="502"/>
      <c r="Q98" s="502"/>
      <c r="R98" s="478"/>
      <c r="S98" s="478"/>
      <c r="T98" s="478"/>
      <c r="U98" s="478"/>
      <c r="V98" s="478"/>
      <c r="W98" s="478"/>
      <c r="X98" s="478"/>
      <c r="Y98" s="478"/>
      <c r="Z98" s="478"/>
      <c r="AA98" s="478"/>
      <c r="AB98" s="478"/>
      <c r="AC98" s="478"/>
      <c r="AD98" s="478"/>
      <c r="AE98" s="478"/>
      <c r="AF98" s="478"/>
      <c r="AG98" s="478"/>
      <c r="AH98" s="478"/>
      <c r="AI98" s="478"/>
      <c r="AJ98" s="479"/>
      <c r="AK98" s="468"/>
      <c r="AL98" s="465"/>
      <c r="AM98" s="465"/>
      <c r="AN98" s="460"/>
      <c r="AU98" s="786"/>
    </row>
    <row r="99" spans="1:49" s="461" customFormat="1" ht="12.75" customHeight="1">
      <c r="A99" s="463"/>
      <c r="B99" s="464"/>
      <c r="C99" s="464"/>
      <c r="D99" s="464"/>
      <c r="E99" s="1836">
        <f ca="1">SUMIF(Application!AC718:AG752,0.35,Application!G718:J752)/Application!G753+SUMIF(Application!AC718:AG752,0.4,Application!G718:J752)/Application!G753+SUMIF(Application!AC718:AG752,0.45,Application!G718:J752)/Application!G753+SUMIF(Application!AC718:AG752,0.5,Application!G718:J752)/Application!G753</f>
        <v>0.25531914893617019</v>
      </c>
      <c r="F99" s="1837"/>
      <c r="G99" s="1837"/>
      <c r="H99" s="1837"/>
      <c r="I99" s="502"/>
      <c r="J99" s="505" t="s">
        <v>1993</v>
      </c>
      <c r="K99" s="502"/>
      <c r="L99" s="502"/>
      <c r="M99" s="502"/>
      <c r="N99" s="502"/>
      <c r="O99" s="502"/>
      <c r="P99" s="502"/>
      <c r="Q99" s="502"/>
      <c r="R99" s="478"/>
      <c r="S99" s="478"/>
      <c r="T99" s="478"/>
      <c r="U99" s="478"/>
      <c r="V99" s="478"/>
      <c r="W99" s="478"/>
      <c r="X99" s="478"/>
      <c r="Y99" s="478"/>
      <c r="Z99" s="478"/>
      <c r="AA99" s="478"/>
      <c r="AB99" s="478"/>
      <c r="AC99" s="478"/>
      <c r="AD99" s="478"/>
      <c r="AE99" s="478"/>
      <c r="AF99" s="478"/>
      <c r="AG99" s="478"/>
      <c r="AH99" s="478"/>
      <c r="AI99" s="478"/>
      <c r="AJ99" s="479"/>
      <c r="AK99" s="468"/>
      <c r="AL99" s="465"/>
      <c r="AM99" s="465"/>
      <c r="AN99" s="460"/>
      <c r="AU99" s="786"/>
    </row>
    <row r="100" spans="1:49" s="461" customFormat="1" ht="12.75" customHeight="1">
      <c r="A100" s="463"/>
      <c r="B100" s="464"/>
      <c r="C100" s="464"/>
      <c r="D100" s="464"/>
      <c r="E100" s="1834">
        <f ca="1">IF(AND(E97&lt;=0.6,OR(AND(E98&gt;=0.1,E99&gt;=0.1),AND(E98&gt;0.1,(E98+E99)&gt;=0.2))),20,0)</f>
        <v>20</v>
      </c>
      <c r="F100" s="1835"/>
      <c r="G100" s="1835"/>
      <c r="H100" s="1835"/>
      <c r="I100" s="478"/>
      <c r="J100" s="512" t="s">
        <v>1990</v>
      </c>
      <c r="K100" s="478"/>
      <c r="L100" s="478"/>
      <c r="M100" s="478"/>
      <c r="N100" s="478"/>
      <c r="O100" s="478"/>
      <c r="P100" s="478"/>
      <c r="Q100" s="478"/>
      <c r="R100" s="478"/>
      <c r="S100" s="478"/>
      <c r="T100" s="478"/>
      <c r="U100" s="478"/>
      <c r="V100" s="478"/>
      <c r="W100" s="478"/>
      <c r="X100" s="478"/>
      <c r="Y100" s="478"/>
      <c r="Z100" s="478"/>
      <c r="AA100" s="478"/>
      <c r="AB100" s="478"/>
      <c r="AC100" s="478"/>
      <c r="AD100" s="478"/>
      <c r="AE100" s="478"/>
      <c r="AF100" s="478"/>
      <c r="AG100" s="478"/>
      <c r="AH100" s="478"/>
      <c r="AI100" s="478"/>
      <c r="AJ100" s="479"/>
      <c r="AK100" s="468"/>
      <c r="AL100" s="465"/>
      <c r="AM100" s="465"/>
      <c r="AN100" s="460"/>
      <c r="AP100" s="461">
        <f ca="1">IF(B92="yes",E100,0)</f>
        <v>0</v>
      </c>
      <c r="AQ100" s="461" t="s">
        <v>1954</v>
      </c>
    </row>
    <row r="101" spans="1:49" s="461" customFormat="1" ht="12.75" customHeight="1">
      <c r="A101" s="463"/>
      <c r="B101" s="464"/>
      <c r="C101" s="464"/>
      <c r="D101" s="464"/>
      <c r="E101" s="507"/>
      <c r="F101" s="508"/>
      <c r="G101" s="508"/>
      <c r="H101" s="508"/>
      <c r="I101" s="508"/>
      <c r="J101" s="508"/>
      <c r="K101" s="508"/>
      <c r="L101" s="508"/>
      <c r="M101" s="508"/>
      <c r="N101" s="508"/>
      <c r="O101" s="508"/>
      <c r="P101" s="508"/>
      <c r="Q101" s="508"/>
      <c r="R101" s="508"/>
      <c r="S101" s="508"/>
      <c r="T101" s="508"/>
      <c r="U101" s="508"/>
      <c r="V101" s="508"/>
      <c r="W101" s="508"/>
      <c r="X101" s="508"/>
      <c r="Y101" s="508"/>
      <c r="Z101" s="508"/>
      <c r="AA101" s="508"/>
      <c r="AB101" s="508"/>
      <c r="AC101" s="508"/>
      <c r="AD101" s="508"/>
      <c r="AE101" s="509"/>
      <c r="AF101" s="509"/>
      <c r="AG101" s="509"/>
      <c r="AH101" s="509"/>
      <c r="AI101" s="509"/>
      <c r="AJ101" s="510"/>
      <c r="AK101" s="468"/>
      <c r="AL101" s="465"/>
      <c r="AM101" s="465"/>
      <c r="AN101" s="460"/>
    </row>
    <row r="102" spans="1:49" s="461" customFormat="1" ht="12.75" customHeight="1">
      <c r="A102" s="463"/>
      <c r="B102" s="464"/>
      <c r="C102" s="464"/>
      <c r="D102" s="464"/>
      <c r="E102" s="464"/>
      <c r="F102" s="464"/>
      <c r="G102" s="464"/>
      <c r="H102" s="464"/>
      <c r="I102" s="464"/>
      <c r="J102" s="464"/>
      <c r="K102" s="464"/>
      <c r="L102" s="464"/>
      <c r="M102" s="464"/>
      <c r="N102" s="464"/>
      <c r="O102" s="464"/>
      <c r="P102" s="464"/>
      <c r="Q102" s="464"/>
      <c r="R102" s="464"/>
      <c r="S102" s="464"/>
      <c r="T102" s="464"/>
      <c r="U102" s="464"/>
      <c r="V102" s="464"/>
      <c r="W102" s="464"/>
      <c r="X102" s="464"/>
      <c r="Y102" s="464"/>
      <c r="Z102" s="464"/>
      <c r="AA102" s="464"/>
      <c r="AB102" s="464"/>
      <c r="AC102" s="464"/>
      <c r="AD102" s="464"/>
      <c r="AE102" s="468"/>
      <c r="AF102" s="468"/>
      <c r="AG102" s="468"/>
      <c r="AH102" s="468"/>
      <c r="AI102" s="468"/>
      <c r="AJ102" s="468"/>
      <c r="AK102" s="468"/>
      <c r="AL102" s="465"/>
      <c r="AM102" s="465"/>
      <c r="AN102" s="460"/>
    </row>
    <row r="103" spans="1:49" s="461" customFormat="1" ht="12.75" customHeight="1">
      <c r="A103" s="486"/>
      <c r="B103" s="487"/>
      <c r="C103" s="487"/>
      <c r="D103" s="487"/>
      <c r="E103" s="487"/>
      <c r="F103" s="487"/>
      <c r="G103" s="488"/>
      <c r="H103" s="489"/>
      <c r="I103" s="489"/>
      <c r="J103" s="489"/>
      <c r="K103" s="489"/>
      <c r="L103" s="489"/>
      <c r="M103" s="489"/>
      <c r="N103" s="489"/>
      <c r="O103" s="489"/>
      <c r="P103" s="489"/>
      <c r="Q103" s="489"/>
      <c r="R103" s="489"/>
      <c r="S103" s="489"/>
      <c r="T103" s="489"/>
      <c r="U103" s="489"/>
      <c r="V103" s="489"/>
      <c r="W103" s="489"/>
      <c r="X103" s="489"/>
      <c r="Y103" s="489"/>
      <c r="Z103" s="489"/>
      <c r="AA103" s="489"/>
      <c r="AB103" s="489"/>
      <c r="AC103" s="489"/>
      <c r="AD103" s="489"/>
      <c r="AE103" s="489"/>
      <c r="AF103" s="489"/>
      <c r="AG103" s="489"/>
      <c r="AH103" s="489"/>
      <c r="AI103" s="490"/>
      <c r="AJ103" s="490" t="s">
        <v>1994</v>
      </c>
      <c r="AK103" s="1821">
        <f ca="1">MAX(AP89,AP100)</f>
        <v>20</v>
      </c>
      <c r="AL103" s="1822"/>
      <c r="AM103" s="1823"/>
      <c r="AN103" s="460"/>
    </row>
    <row r="104" spans="1:49" s="461" customFormat="1" ht="12.75" customHeight="1" thickBot="1">
      <c r="A104" s="491"/>
      <c r="B104" s="492"/>
      <c r="C104" s="493"/>
      <c r="D104" s="493"/>
      <c r="E104" s="493"/>
      <c r="F104" s="493"/>
      <c r="G104" s="493"/>
      <c r="H104" s="493"/>
      <c r="I104" s="493"/>
      <c r="J104" s="493"/>
      <c r="K104" s="493"/>
      <c r="L104" s="493"/>
      <c r="M104" s="493"/>
      <c r="N104" s="493"/>
      <c r="O104" s="493"/>
      <c r="P104" s="493"/>
      <c r="Q104" s="493"/>
      <c r="R104" s="493"/>
      <c r="S104" s="493"/>
      <c r="T104" s="493"/>
      <c r="U104" s="493"/>
      <c r="V104" s="493"/>
      <c r="W104" s="493"/>
      <c r="X104" s="493"/>
      <c r="Y104" s="493"/>
      <c r="Z104" s="493"/>
      <c r="AA104" s="493"/>
      <c r="AB104" s="493"/>
      <c r="AC104" s="493"/>
      <c r="AD104" s="493"/>
      <c r="AE104" s="493"/>
      <c r="AF104" s="493"/>
      <c r="AG104" s="493"/>
      <c r="AH104" s="493"/>
      <c r="AI104" s="493"/>
      <c r="AJ104" s="493"/>
      <c r="AK104" s="493"/>
      <c r="AL104" s="493"/>
      <c r="AM104" s="494"/>
      <c r="AN104" s="460"/>
    </row>
    <row r="105" spans="1:49" s="461" customFormat="1" ht="12.75" customHeight="1" thickTop="1">
      <c r="A105" s="495"/>
      <c r="B105" s="496"/>
      <c r="C105" s="497"/>
      <c r="D105" s="497"/>
      <c r="E105" s="497"/>
      <c r="F105" s="497"/>
      <c r="G105" s="497"/>
      <c r="H105" s="497"/>
      <c r="I105" s="498"/>
      <c r="J105" s="498"/>
      <c r="K105" s="498"/>
      <c r="L105" s="498"/>
      <c r="M105" s="498"/>
      <c r="N105" s="498"/>
      <c r="O105" s="498"/>
      <c r="P105" s="498"/>
      <c r="Q105" s="498"/>
      <c r="R105" s="495"/>
      <c r="S105" s="464"/>
      <c r="T105" s="464"/>
      <c r="U105" s="464"/>
      <c r="V105" s="464"/>
      <c r="W105" s="464"/>
      <c r="X105" s="464"/>
      <c r="Y105" s="464"/>
      <c r="Z105" s="464"/>
      <c r="AA105" s="464"/>
      <c r="AB105" s="464"/>
      <c r="AC105" s="464"/>
      <c r="AD105" s="464"/>
      <c r="AE105" s="464"/>
      <c r="AF105" s="495"/>
      <c r="AG105" s="464"/>
      <c r="AH105" s="464"/>
      <c r="AI105" s="464"/>
      <c r="AJ105" s="464"/>
      <c r="AK105" s="475"/>
      <c r="AL105" s="475"/>
      <c r="AM105" s="475"/>
      <c r="AN105" s="460"/>
    </row>
    <row r="106" spans="1:49" s="461" customFormat="1" ht="12.75" customHeight="1">
      <c r="A106" s="463" t="s">
        <v>1995</v>
      </c>
      <c r="B106" s="464" t="s">
        <v>1996</v>
      </c>
      <c r="C106" s="464"/>
      <c r="D106" s="464"/>
      <c r="E106" s="464"/>
      <c r="F106" s="464"/>
      <c r="G106" s="464"/>
      <c r="H106" s="464"/>
      <c r="I106" s="464"/>
      <c r="J106" s="464"/>
      <c r="K106" s="464"/>
      <c r="L106" s="464"/>
      <c r="M106" s="464"/>
      <c r="N106" s="464"/>
      <c r="O106" s="464"/>
      <c r="P106" s="464"/>
      <c r="Q106" s="464"/>
      <c r="R106" s="464"/>
      <c r="S106" s="464"/>
      <c r="T106" s="464"/>
      <c r="U106" s="464"/>
      <c r="V106" s="464"/>
      <c r="W106" s="464"/>
      <c r="X106" s="464"/>
      <c r="Y106" s="464"/>
      <c r="Z106" s="464"/>
      <c r="AA106" s="464"/>
      <c r="AB106" s="464"/>
      <c r="AC106" s="464"/>
      <c r="AD106" s="464"/>
      <c r="AE106" s="1666" t="s">
        <v>1970</v>
      </c>
      <c r="AF106" s="1666"/>
      <c r="AG106" s="1666"/>
      <c r="AH106" s="1666"/>
      <c r="AI106" s="1666"/>
      <c r="AJ106" s="1666"/>
      <c r="AK106" s="1666"/>
      <c r="AL106" s="465"/>
      <c r="AM106" s="465"/>
      <c r="AN106" s="460"/>
      <c r="AO106" s="461" t="str">
        <f>Application!B718</f>
        <v>1 Bedroom</v>
      </c>
      <c r="AQ106" s="461">
        <f>Application!O718</f>
        <v>768</v>
      </c>
    </row>
    <row r="107" spans="1:49" s="461" customFormat="1" ht="12.75" customHeight="1">
      <c r="A107" s="465"/>
      <c r="B107" s="464" t="s">
        <v>1986</v>
      </c>
      <c r="C107" s="464"/>
      <c r="D107" s="464"/>
      <c r="E107" s="464"/>
      <c r="F107" s="464"/>
      <c r="G107" s="464"/>
      <c r="H107" s="464"/>
      <c r="I107" s="464"/>
      <c r="J107" s="464"/>
      <c r="K107" s="464"/>
      <c r="L107" s="464"/>
      <c r="M107" s="464"/>
      <c r="N107" s="464"/>
      <c r="O107" s="464"/>
      <c r="P107" s="464"/>
      <c r="Q107" s="464"/>
      <c r="R107" s="464"/>
      <c r="S107" s="464"/>
      <c r="T107" s="464"/>
      <c r="U107" s="464"/>
      <c r="V107" s="464"/>
      <c r="W107" s="464"/>
      <c r="X107" s="464"/>
      <c r="Y107" s="464"/>
      <c r="Z107" s="464"/>
      <c r="AA107" s="464"/>
      <c r="AB107" s="464"/>
      <c r="AC107" s="464"/>
      <c r="AD107" s="464"/>
      <c r="AE107" s="468"/>
      <c r="AF107" s="468"/>
      <c r="AG107" s="468"/>
      <c r="AH107" s="468"/>
      <c r="AI107" s="468"/>
      <c r="AJ107" s="468"/>
      <c r="AK107" s="465"/>
      <c r="AL107" s="465"/>
      <c r="AM107" s="465"/>
      <c r="AN107" s="460"/>
      <c r="AO107" s="461" t="str">
        <f>Application!B719</f>
        <v>2 Bedrooms</v>
      </c>
      <c r="AQ107" s="461">
        <f>Application!O719</f>
        <v>1935</v>
      </c>
    </row>
    <row r="108" spans="1:49" s="461" customFormat="1" ht="12.75" customHeight="1">
      <c r="A108" s="465"/>
      <c r="B108" s="464"/>
      <c r="C108" s="464"/>
      <c r="D108" s="464"/>
      <c r="E108" s="502"/>
      <c r="F108" s="502"/>
      <c r="G108" s="502"/>
      <c r="H108" s="502"/>
      <c r="I108" s="502"/>
      <c r="J108" s="502"/>
      <c r="K108" s="502"/>
      <c r="L108" s="502"/>
      <c r="M108" s="502"/>
      <c r="N108" s="502"/>
      <c r="O108" s="502"/>
      <c r="P108" s="502"/>
      <c r="Q108" s="502"/>
      <c r="R108" s="502"/>
      <c r="S108" s="502"/>
      <c r="T108" s="502"/>
      <c r="U108" s="502"/>
      <c r="V108" s="502"/>
      <c r="W108" s="502"/>
      <c r="X108" s="502"/>
      <c r="Y108" s="502"/>
      <c r="Z108" s="502"/>
      <c r="AA108" s="502"/>
      <c r="AB108" s="502"/>
      <c r="AC108" s="502"/>
      <c r="AD108" s="502"/>
      <c r="AE108" s="502"/>
      <c r="AF108" s="502"/>
      <c r="AG108" s="502"/>
      <c r="AH108" s="502"/>
      <c r="AI108" s="502"/>
      <c r="AJ108" s="502"/>
      <c r="AK108" s="465"/>
      <c r="AL108" s="465"/>
      <c r="AM108" s="465"/>
      <c r="AN108" s="460"/>
      <c r="AO108" s="461" t="str">
        <f>Application!B720</f>
        <v>2 Bedrooms</v>
      </c>
      <c r="AQ108" s="461">
        <f>Application!O720</f>
        <v>1594</v>
      </c>
    </row>
    <row r="109" spans="1:49" s="461" customFormat="1" ht="12.75" customHeight="1">
      <c r="A109" s="465"/>
      <c r="B109" s="1848" t="s">
        <v>837</v>
      </c>
      <c r="C109" s="1848"/>
      <c r="D109" s="472" t="s">
        <v>1972</v>
      </c>
      <c r="E109" s="1840" t="s">
        <v>1997</v>
      </c>
      <c r="F109" s="1841"/>
      <c r="G109" s="1841"/>
      <c r="H109" s="1841"/>
      <c r="I109" s="1841"/>
      <c r="J109" s="1841"/>
      <c r="K109" s="1841"/>
      <c r="L109" s="1841"/>
      <c r="M109" s="1841"/>
      <c r="N109" s="1841"/>
      <c r="O109" s="1841"/>
      <c r="P109" s="1841"/>
      <c r="Q109" s="1841"/>
      <c r="R109" s="1841"/>
      <c r="S109" s="1841"/>
      <c r="T109" s="1841"/>
      <c r="U109" s="1841"/>
      <c r="V109" s="1841"/>
      <c r="W109" s="1841"/>
      <c r="X109" s="1841"/>
      <c r="Y109" s="1841"/>
      <c r="Z109" s="1841"/>
      <c r="AA109" s="1841"/>
      <c r="AB109" s="1841"/>
      <c r="AC109" s="1841"/>
      <c r="AD109" s="1841"/>
      <c r="AE109" s="1841"/>
      <c r="AF109" s="1841"/>
      <c r="AG109" s="1841"/>
      <c r="AH109" s="1841"/>
      <c r="AI109" s="1841"/>
      <c r="AJ109" s="1842"/>
      <c r="AK109" s="465"/>
      <c r="AL109" s="465"/>
      <c r="AM109" s="465"/>
      <c r="AN109" s="460"/>
      <c r="AO109" s="461" t="str">
        <f>Application!B721</f>
        <v>2 Bedrooms</v>
      </c>
      <c r="AQ109" s="461">
        <f>Application!O721</f>
        <v>1253</v>
      </c>
      <c r="AU109" s="461" t="s">
        <v>1998</v>
      </c>
      <c r="AV109" s="520" t="s">
        <v>1999</v>
      </c>
      <c r="AW109" s="461" t="s">
        <v>2000</v>
      </c>
    </row>
    <row r="110" spans="1:49" s="461" customFormat="1" ht="12.75" customHeight="1">
      <c r="A110" s="465"/>
      <c r="B110" s="464"/>
      <c r="C110" s="464"/>
      <c r="D110" s="464"/>
      <c r="E110" s="1843"/>
      <c r="F110" s="1844"/>
      <c r="G110" s="1844"/>
      <c r="H110" s="1844"/>
      <c r="I110" s="1844"/>
      <c r="J110" s="1844"/>
      <c r="K110" s="1844"/>
      <c r="L110" s="1844"/>
      <c r="M110" s="1844"/>
      <c r="N110" s="1844"/>
      <c r="O110" s="1844"/>
      <c r="P110" s="1844"/>
      <c r="Q110" s="1844"/>
      <c r="R110" s="1844"/>
      <c r="S110" s="1844"/>
      <c r="T110" s="1844"/>
      <c r="U110" s="1844"/>
      <c r="V110" s="1844"/>
      <c r="W110" s="1844"/>
      <c r="X110" s="1844"/>
      <c r="Y110" s="1844"/>
      <c r="Z110" s="1844"/>
      <c r="AA110" s="1844"/>
      <c r="AB110" s="1844"/>
      <c r="AC110" s="1844"/>
      <c r="AD110" s="1844"/>
      <c r="AE110" s="1844"/>
      <c r="AF110" s="1844"/>
      <c r="AG110" s="1844"/>
      <c r="AH110" s="1844"/>
      <c r="AI110" s="1844"/>
      <c r="AJ110" s="1845"/>
      <c r="AK110" s="465"/>
      <c r="AL110" s="465"/>
      <c r="AM110" s="465"/>
      <c r="AN110" s="460"/>
      <c r="AO110" s="461" t="str">
        <f>Application!B722</f>
        <v>2 Bedrooms</v>
      </c>
      <c r="AQ110" s="461">
        <f>Application!O722</f>
        <v>912</v>
      </c>
      <c r="AU110" s="781" t="str">
        <f>E118</f>
        <v>Studio/SRO</v>
      </c>
      <c r="AV110" s="461">
        <f t="array" ref="AV110">SUM(IF(Application!B718:F752="SRO/Studio",Application!G718:J752))</f>
        <v>0</v>
      </c>
      <c r="AW110" s="931">
        <f>AV110/AV116</f>
        <v>0</v>
      </c>
    </row>
    <row r="111" spans="1:49" s="461" customFormat="1" ht="12.75" customHeight="1">
      <c r="A111" s="465"/>
      <c r="B111" s="464"/>
      <c r="C111" s="464"/>
      <c r="D111" s="464"/>
      <c r="E111" s="1843"/>
      <c r="F111" s="1844"/>
      <c r="G111" s="1844"/>
      <c r="H111" s="1844"/>
      <c r="I111" s="1844"/>
      <c r="J111" s="1844"/>
      <c r="K111" s="1844"/>
      <c r="L111" s="1844"/>
      <c r="M111" s="1844"/>
      <c r="N111" s="1844"/>
      <c r="O111" s="1844"/>
      <c r="P111" s="1844"/>
      <c r="Q111" s="1844"/>
      <c r="R111" s="1844"/>
      <c r="S111" s="1844"/>
      <c r="T111" s="1844"/>
      <c r="U111" s="1844"/>
      <c r="V111" s="1844"/>
      <c r="W111" s="1844"/>
      <c r="X111" s="1844"/>
      <c r="Y111" s="1844"/>
      <c r="Z111" s="1844"/>
      <c r="AA111" s="1844"/>
      <c r="AB111" s="1844"/>
      <c r="AC111" s="1844"/>
      <c r="AD111" s="1844"/>
      <c r="AE111" s="1844"/>
      <c r="AF111" s="1844"/>
      <c r="AG111" s="1844"/>
      <c r="AH111" s="1844"/>
      <c r="AI111" s="1844"/>
      <c r="AJ111" s="1845"/>
      <c r="AK111" s="465"/>
      <c r="AL111" s="465"/>
      <c r="AM111" s="465"/>
      <c r="AN111" s="460"/>
      <c r="AO111" s="461" t="str">
        <f>Application!B723</f>
        <v>3 Bedrooms</v>
      </c>
      <c r="AQ111" s="461">
        <f>Application!O723</f>
        <v>2219</v>
      </c>
      <c r="AU111" s="781" t="str">
        <f>J118</f>
        <v>1-bedroom</v>
      </c>
      <c r="AV111" s="461">
        <f t="array" ref="AV111">SUM(IF(Application!B718:F752="1 Bedroom",Application!G718:J752))</f>
        <v>12</v>
      </c>
      <c r="AW111" s="931">
        <f>AV111/AV116</f>
        <v>0.25531914893617019</v>
      </c>
    </row>
    <row r="112" spans="1:49" s="461" customFormat="1" ht="12.75" customHeight="1">
      <c r="A112" s="465"/>
      <c r="B112" s="464"/>
      <c r="C112" s="464"/>
      <c r="D112" s="464"/>
      <c r="E112" s="1843"/>
      <c r="F112" s="1844"/>
      <c r="G112" s="1844"/>
      <c r="H112" s="1844"/>
      <c r="I112" s="1844"/>
      <c r="J112" s="1844"/>
      <c r="K112" s="1844"/>
      <c r="L112" s="1844"/>
      <c r="M112" s="1844"/>
      <c r="N112" s="1844"/>
      <c r="O112" s="1844"/>
      <c r="P112" s="1844"/>
      <c r="Q112" s="1844"/>
      <c r="R112" s="1844"/>
      <c r="S112" s="1844"/>
      <c r="T112" s="1844"/>
      <c r="U112" s="1844"/>
      <c r="V112" s="1844"/>
      <c r="W112" s="1844"/>
      <c r="X112" s="1844"/>
      <c r="Y112" s="1844"/>
      <c r="Z112" s="1844"/>
      <c r="AA112" s="1844"/>
      <c r="AB112" s="1844"/>
      <c r="AC112" s="1844"/>
      <c r="AD112" s="1844"/>
      <c r="AE112" s="1844"/>
      <c r="AF112" s="1844"/>
      <c r="AG112" s="1844"/>
      <c r="AH112" s="1844"/>
      <c r="AI112" s="1844"/>
      <c r="AJ112" s="1845"/>
      <c r="AK112" s="465"/>
      <c r="AL112" s="465"/>
      <c r="AM112" s="465"/>
      <c r="AN112" s="460"/>
      <c r="AO112" s="461" t="str">
        <f>Application!B724</f>
        <v>3 Bedrooms</v>
      </c>
      <c r="AQ112" s="461">
        <f>Application!O724</f>
        <v>1825</v>
      </c>
      <c r="AU112" s="781" t="str">
        <f>O118</f>
        <v>2-bedroom</v>
      </c>
      <c r="AV112" s="461">
        <f t="array" ref="AV112">SUM(IF(Application!B718:F752="2 Bedrooms",Application!G718:J752))</f>
        <v>23</v>
      </c>
      <c r="AW112" s="931">
        <f>AV112/AV116</f>
        <v>0.48936170212765956</v>
      </c>
    </row>
    <row r="113" spans="1:52" s="461" customFormat="1" ht="12.75" customHeight="1">
      <c r="A113" s="465"/>
      <c r="B113" s="464"/>
      <c r="C113" s="464"/>
      <c r="D113" s="464"/>
      <c r="E113" s="1843"/>
      <c r="F113" s="1844"/>
      <c r="G113" s="1844"/>
      <c r="H113" s="1844"/>
      <c r="I113" s="1844"/>
      <c r="J113" s="1844"/>
      <c r="K113" s="1844"/>
      <c r="L113" s="1844"/>
      <c r="M113" s="1844"/>
      <c r="N113" s="1844"/>
      <c r="O113" s="1844"/>
      <c r="P113" s="1844"/>
      <c r="Q113" s="1844"/>
      <c r="R113" s="1844"/>
      <c r="S113" s="1844"/>
      <c r="T113" s="1844"/>
      <c r="U113" s="1844"/>
      <c r="V113" s="1844"/>
      <c r="W113" s="1844"/>
      <c r="X113" s="1844"/>
      <c r="Y113" s="1844"/>
      <c r="Z113" s="1844"/>
      <c r="AA113" s="1844"/>
      <c r="AB113" s="1844"/>
      <c r="AC113" s="1844"/>
      <c r="AD113" s="1844"/>
      <c r="AE113" s="1844"/>
      <c r="AF113" s="1844"/>
      <c r="AG113" s="1844"/>
      <c r="AH113" s="1844"/>
      <c r="AI113" s="1844"/>
      <c r="AJ113" s="1845"/>
      <c r="AK113" s="465"/>
      <c r="AL113" s="465"/>
      <c r="AM113" s="465"/>
      <c r="AN113" s="460"/>
      <c r="AO113" s="461" t="str">
        <f>Application!B725</f>
        <v>3 Bedrooms</v>
      </c>
      <c r="AQ113" s="461">
        <f>Application!O725</f>
        <v>1037</v>
      </c>
      <c r="AU113" s="781" t="str">
        <f>T118</f>
        <v>3-bedroom</v>
      </c>
      <c r="AV113" s="461">
        <f t="array" ref="AV113">SUM(IF(Application!B718:F752="3 Bedrooms",Application!G718:J752))</f>
        <v>12</v>
      </c>
      <c r="AW113" s="931">
        <f>AV113/AV116</f>
        <v>0.25531914893617019</v>
      </c>
    </row>
    <row r="114" spans="1:52" s="461" customFormat="1" ht="12.75" customHeight="1">
      <c r="A114" s="465"/>
      <c r="B114" s="464"/>
      <c r="C114" s="464"/>
      <c r="D114" s="464"/>
      <c r="E114" s="1843"/>
      <c r="F114" s="1844"/>
      <c r="G114" s="1844"/>
      <c r="H114" s="1844"/>
      <c r="I114" s="1844"/>
      <c r="J114" s="1844"/>
      <c r="K114" s="1844"/>
      <c r="L114" s="1844"/>
      <c r="M114" s="1844"/>
      <c r="N114" s="1844"/>
      <c r="O114" s="1844"/>
      <c r="P114" s="1844"/>
      <c r="Q114" s="1844"/>
      <c r="R114" s="1844"/>
      <c r="S114" s="1844"/>
      <c r="T114" s="1844"/>
      <c r="U114" s="1844"/>
      <c r="V114" s="1844"/>
      <c r="W114" s="1844"/>
      <c r="X114" s="1844"/>
      <c r="Y114" s="1844"/>
      <c r="Z114" s="1844"/>
      <c r="AA114" s="1844"/>
      <c r="AB114" s="1844"/>
      <c r="AC114" s="1844"/>
      <c r="AD114" s="1844"/>
      <c r="AE114" s="1844"/>
      <c r="AF114" s="1844"/>
      <c r="AG114" s="1844"/>
      <c r="AH114" s="1844"/>
      <c r="AI114" s="1844"/>
      <c r="AJ114" s="1845"/>
      <c r="AK114" s="465"/>
      <c r="AL114" s="465"/>
      <c r="AM114" s="465"/>
      <c r="AN114" s="460"/>
      <c r="AO114" s="461">
        <f>Application!B726</f>
        <v>0</v>
      </c>
      <c r="AQ114" s="461">
        <f>Application!O726</f>
        <v>0</v>
      </c>
      <c r="AU114" s="781" t="str">
        <f>Y118</f>
        <v>4-bedroom</v>
      </c>
      <c r="AV114" s="461">
        <f t="array" ref="AV114">SUM(IF(Application!B718:F752="4 Bedrooms",Application!G718:J752))</f>
        <v>0</v>
      </c>
      <c r="AW114" s="931">
        <f>AV114/AV116</f>
        <v>0</v>
      </c>
    </row>
    <row r="115" spans="1:52" s="461" customFormat="1" ht="12.75" customHeight="1">
      <c r="A115" s="465"/>
      <c r="B115" s="464"/>
      <c r="C115" s="464"/>
      <c r="D115" s="464"/>
      <c r="E115" s="1843"/>
      <c r="F115" s="1844"/>
      <c r="G115" s="1844"/>
      <c r="H115" s="1844"/>
      <c r="I115" s="1844"/>
      <c r="J115" s="1844"/>
      <c r="K115" s="1844"/>
      <c r="L115" s="1844"/>
      <c r="M115" s="1844"/>
      <c r="N115" s="1844"/>
      <c r="O115" s="1844"/>
      <c r="P115" s="1844"/>
      <c r="Q115" s="1844"/>
      <c r="R115" s="1844"/>
      <c r="S115" s="1844"/>
      <c r="T115" s="1844"/>
      <c r="U115" s="1844"/>
      <c r="V115" s="1844"/>
      <c r="W115" s="1844"/>
      <c r="X115" s="1844"/>
      <c r="Y115" s="1844"/>
      <c r="Z115" s="1844"/>
      <c r="AA115" s="1844"/>
      <c r="AB115" s="1844"/>
      <c r="AC115" s="1844"/>
      <c r="AD115" s="1844"/>
      <c r="AE115" s="1844"/>
      <c r="AF115" s="1844"/>
      <c r="AG115" s="1844"/>
      <c r="AH115" s="1844"/>
      <c r="AI115" s="1844"/>
      <c r="AJ115" s="1845"/>
      <c r="AK115" s="465"/>
      <c r="AL115" s="465"/>
      <c r="AM115" s="465"/>
      <c r="AN115" s="460"/>
      <c r="AO115" s="461">
        <f>Application!B727</f>
        <v>0</v>
      </c>
      <c r="AQ115" s="461">
        <f>Application!O727</f>
        <v>0</v>
      </c>
      <c r="AU115" s="781" t="str">
        <f>AD118</f>
        <v>5-bedroom</v>
      </c>
      <c r="AV115" s="461">
        <f t="array" ref="AV115">SUM(IF(Application!B718:F752="5 Bedrooms",Application!G718:J752))</f>
        <v>0</v>
      </c>
      <c r="AW115" s="931">
        <f>AV115/AV116</f>
        <v>0</v>
      </c>
    </row>
    <row r="116" spans="1:52" s="461" customFormat="1" ht="12.75" customHeight="1">
      <c r="A116" s="465"/>
      <c r="B116" s="464"/>
      <c r="C116" s="464"/>
      <c r="D116" s="464"/>
      <c r="E116" s="1843"/>
      <c r="F116" s="1844"/>
      <c r="G116" s="1844"/>
      <c r="H116" s="1844"/>
      <c r="I116" s="1844"/>
      <c r="J116" s="1844"/>
      <c r="K116" s="1844"/>
      <c r="L116" s="1844"/>
      <c r="M116" s="1844"/>
      <c r="N116" s="1844"/>
      <c r="O116" s="1844"/>
      <c r="P116" s="1844"/>
      <c r="Q116" s="1844"/>
      <c r="R116" s="1844"/>
      <c r="S116" s="1844"/>
      <c r="T116" s="1844"/>
      <c r="U116" s="1844"/>
      <c r="V116" s="1844"/>
      <c r="W116" s="1844"/>
      <c r="X116" s="1844"/>
      <c r="Y116" s="1844"/>
      <c r="Z116" s="1844"/>
      <c r="AA116" s="1844"/>
      <c r="AB116" s="1844"/>
      <c r="AC116" s="1844"/>
      <c r="AD116" s="1844"/>
      <c r="AE116" s="1844"/>
      <c r="AF116" s="1844"/>
      <c r="AG116" s="1844"/>
      <c r="AH116" s="1844"/>
      <c r="AI116" s="1844"/>
      <c r="AJ116" s="1845"/>
      <c r="AK116" s="465"/>
      <c r="AL116" s="465"/>
      <c r="AM116" s="465"/>
      <c r="AN116" s="460"/>
      <c r="AO116" s="461">
        <f>Application!B728</f>
        <v>0</v>
      </c>
      <c r="AQ116" s="461">
        <f>Application!O728</f>
        <v>0</v>
      </c>
      <c r="AV116" s="461">
        <f>SUM(AV110:AV115)</f>
        <v>47</v>
      </c>
      <c r="AW116" s="931">
        <f>SUM(AW110:AW115)</f>
        <v>1</v>
      </c>
    </row>
    <row r="117" spans="1:52" s="461" customFormat="1" ht="12.75" customHeight="1">
      <c r="A117" s="465"/>
      <c r="B117" s="464"/>
      <c r="C117" s="464"/>
      <c r="D117" s="464"/>
      <c r="E117" s="511"/>
      <c r="F117" s="478"/>
      <c r="G117" s="478"/>
      <c r="H117" s="478"/>
      <c r="I117" s="478"/>
      <c r="J117" s="478"/>
      <c r="K117" s="478"/>
      <c r="L117" s="478"/>
      <c r="M117" s="478"/>
      <c r="N117" s="478"/>
      <c r="O117" s="478"/>
      <c r="P117" s="478"/>
      <c r="Q117" s="478"/>
      <c r="R117" s="478"/>
      <c r="S117" s="478"/>
      <c r="T117" s="478"/>
      <c r="U117" s="478"/>
      <c r="V117" s="478"/>
      <c r="W117" s="478"/>
      <c r="X117" s="478"/>
      <c r="Y117" s="478"/>
      <c r="Z117" s="478"/>
      <c r="AA117" s="478"/>
      <c r="AB117" s="478"/>
      <c r="AC117" s="478"/>
      <c r="AD117" s="478"/>
      <c r="AE117" s="478"/>
      <c r="AF117" s="478"/>
      <c r="AG117" s="478"/>
      <c r="AH117" s="478"/>
      <c r="AI117" s="478"/>
      <c r="AJ117" s="479"/>
      <c r="AK117" s="465"/>
      <c r="AL117" s="465"/>
      <c r="AM117" s="465"/>
      <c r="AN117" s="460"/>
      <c r="AO117" s="461">
        <f>Application!B729</f>
        <v>0</v>
      </c>
      <c r="AQ117" s="461">
        <f>Application!O729</f>
        <v>0</v>
      </c>
    </row>
    <row r="118" spans="1:52" s="461" customFormat="1" ht="12.75" customHeight="1">
      <c r="A118" s="465"/>
      <c r="B118" s="464"/>
      <c r="C118" s="465"/>
      <c r="D118" s="465"/>
      <c r="E118" s="1836" t="s">
        <v>2001</v>
      </c>
      <c r="F118" s="1837"/>
      <c r="G118" s="1837"/>
      <c r="H118" s="1837"/>
      <c r="I118" s="502"/>
      <c r="J118" s="1837" t="s">
        <v>2002</v>
      </c>
      <c r="K118" s="1837"/>
      <c r="L118" s="1837"/>
      <c r="M118" s="1837"/>
      <c r="N118" s="502"/>
      <c r="O118" s="1837" t="s">
        <v>2003</v>
      </c>
      <c r="P118" s="1837"/>
      <c r="Q118" s="1837"/>
      <c r="R118" s="1837"/>
      <c r="S118" s="502"/>
      <c r="T118" s="1837" t="s">
        <v>2004</v>
      </c>
      <c r="U118" s="1837"/>
      <c r="V118" s="1837"/>
      <c r="W118" s="1837"/>
      <c r="X118" s="502"/>
      <c r="Y118" s="1837" t="s">
        <v>2005</v>
      </c>
      <c r="Z118" s="1837"/>
      <c r="AA118" s="1837"/>
      <c r="AB118" s="1837"/>
      <c r="AC118" s="502"/>
      <c r="AD118" s="1837" t="s">
        <v>2006</v>
      </c>
      <c r="AE118" s="1837"/>
      <c r="AF118" s="1837"/>
      <c r="AG118" s="1837"/>
      <c r="AH118" s="502"/>
      <c r="AI118" s="502"/>
      <c r="AJ118" s="504"/>
      <c r="AK118" s="465"/>
      <c r="AL118" s="465"/>
      <c r="AM118" s="465"/>
      <c r="AN118" s="460"/>
      <c r="AO118" s="461">
        <f>Application!B730</f>
        <v>0</v>
      </c>
      <c r="AQ118" s="461">
        <f>Application!O730</f>
        <v>0</v>
      </c>
    </row>
    <row r="119" spans="1:52" s="461" customFormat="1" ht="12.75" customHeight="1">
      <c r="A119" s="465"/>
      <c r="B119" s="464"/>
      <c r="C119" s="465"/>
      <c r="D119" s="465"/>
      <c r="E119" s="789"/>
      <c r="F119" s="787"/>
      <c r="G119" s="787"/>
      <c r="H119" s="787"/>
      <c r="I119" s="502"/>
      <c r="J119" s="787"/>
      <c r="K119" s="787"/>
      <c r="L119" s="787"/>
      <c r="M119" s="787"/>
      <c r="N119" s="502"/>
      <c r="O119" s="787"/>
      <c r="P119" s="787"/>
      <c r="Q119" s="787"/>
      <c r="R119" s="787"/>
      <c r="S119" s="502"/>
      <c r="T119" s="787"/>
      <c r="U119" s="787"/>
      <c r="V119" s="787"/>
      <c r="W119" s="787"/>
      <c r="X119" s="502"/>
      <c r="Y119" s="787"/>
      <c r="Z119" s="787"/>
      <c r="AA119" s="787"/>
      <c r="AB119" s="787"/>
      <c r="AC119" s="502"/>
      <c r="AD119" s="787"/>
      <c r="AE119" s="787"/>
      <c r="AF119" s="787"/>
      <c r="AG119" s="787"/>
      <c r="AH119" s="502"/>
      <c r="AI119" s="502"/>
      <c r="AJ119" s="504"/>
      <c r="AK119" s="465"/>
      <c r="AL119" s="465"/>
      <c r="AM119" s="465"/>
      <c r="AN119" s="460"/>
      <c r="AO119" s="461">
        <f>Application!B731</f>
        <v>0</v>
      </c>
      <c r="AQ119" s="461">
        <f>Application!O731</f>
        <v>0</v>
      </c>
    </row>
    <row r="120" spans="1:52" s="461" customFormat="1" ht="12.75" customHeight="1">
      <c r="A120" s="465"/>
      <c r="B120" s="464"/>
      <c r="C120" s="465"/>
      <c r="D120" s="465"/>
      <c r="E120" s="790" t="s">
        <v>2007</v>
      </c>
      <c r="F120" s="787"/>
      <c r="G120" s="787"/>
      <c r="H120" s="787"/>
      <c r="I120" s="502"/>
      <c r="J120" s="787"/>
      <c r="K120" s="787"/>
      <c r="L120" s="787"/>
      <c r="M120" s="787"/>
      <c r="N120" s="502"/>
      <c r="O120" s="787"/>
      <c r="P120" s="787"/>
      <c r="Q120" s="787"/>
      <c r="R120" s="787"/>
      <c r="S120" s="502"/>
      <c r="T120" s="787"/>
      <c r="U120" s="787"/>
      <c r="V120" s="787"/>
      <c r="W120" s="787"/>
      <c r="X120" s="502"/>
      <c r="Y120" s="787"/>
      <c r="Z120" s="787"/>
      <c r="AA120" s="787"/>
      <c r="AB120" s="787"/>
      <c r="AC120" s="502"/>
      <c r="AD120" s="787"/>
      <c r="AE120" s="787"/>
      <c r="AF120" s="787"/>
      <c r="AG120" s="787"/>
      <c r="AH120" s="502"/>
      <c r="AI120" s="502"/>
      <c r="AJ120" s="504"/>
      <c r="AK120" s="465"/>
      <c r="AL120" s="465"/>
      <c r="AM120" s="465"/>
      <c r="AN120" s="460"/>
      <c r="AO120" s="461">
        <f>Application!B732</f>
        <v>0</v>
      </c>
      <c r="AQ120" s="461">
        <f>Application!O732</f>
        <v>0</v>
      </c>
    </row>
    <row r="121" spans="1:52" s="461" customFormat="1" ht="12.75" customHeight="1">
      <c r="A121" s="465"/>
      <c r="B121" s="464"/>
      <c r="C121" s="465"/>
      <c r="D121" s="465"/>
      <c r="E121" s="1838"/>
      <c r="F121" s="1839"/>
      <c r="G121" s="1839"/>
      <c r="H121" s="1839"/>
      <c r="I121" s="788"/>
      <c r="J121" s="1839">
        <v>2809</v>
      </c>
      <c r="K121" s="1839"/>
      <c r="L121" s="1839"/>
      <c r="M121" s="1839"/>
      <c r="N121" s="788"/>
      <c r="O121" s="1839">
        <v>3062</v>
      </c>
      <c r="P121" s="1839"/>
      <c r="Q121" s="1839"/>
      <c r="R121" s="1839"/>
      <c r="S121" s="788"/>
      <c r="T121" s="1839">
        <v>3828</v>
      </c>
      <c r="U121" s="1839"/>
      <c r="V121" s="1839"/>
      <c r="W121" s="1839"/>
      <c r="X121" s="788"/>
      <c r="Y121" s="1839"/>
      <c r="Z121" s="1839"/>
      <c r="AA121" s="1839"/>
      <c r="AB121" s="1839"/>
      <c r="AC121" s="788"/>
      <c r="AD121" s="1839"/>
      <c r="AE121" s="1839"/>
      <c r="AF121" s="1839"/>
      <c r="AG121" s="1839"/>
      <c r="AH121" s="502"/>
      <c r="AI121" s="502"/>
      <c r="AJ121" s="504"/>
      <c r="AK121" s="465"/>
      <c r="AL121" s="465"/>
      <c r="AM121" s="465"/>
      <c r="AN121" s="460"/>
      <c r="AO121" s="461">
        <f>Application!B733</f>
        <v>0</v>
      </c>
      <c r="AQ121" s="461">
        <f>Application!O733</f>
        <v>0</v>
      </c>
    </row>
    <row r="122" spans="1:52" s="461" customFormat="1" ht="12.75" customHeight="1">
      <c r="A122" s="465"/>
      <c r="B122" s="464"/>
      <c r="C122" s="465"/>
      <c r="D122" s="465"/>
      <c r="E122" s="789"/>
      <c r="F122" s="787"/>
      <c r="G122" s="787"/>
      <c r="H122" s="787"/>
      <c r="I122" s="502"/>
      <c r="J122" s="787"/>
      <c r="K122" s="787"/>
      <c r="L122" s="787"/>
      <c r="M122" s="787"/>
      <c r="N122" s="502"/>
      <c r="O122" s="787"/>
      <c r="P122" s="787"/>
      <c r="Q122" s="787"/>
      <c r="R122" s="787"/>
      <c r="S122" s="502"/>
      <c r="T122" s="787"/>
      <c r="U122" s="787"/>
      <c r="V122" s="787"/>
      <c r="W122" s="787"/>
      <c r="X122" s="502"/>
      <c r="Y122" s="787"/>
      <c r="Z122" s="787"/>
      <c r="AA122" s="787"/>
      <c r="AB122" s="787"/>
      <c r="AC122" s="502"/>
      <c r="AD122" s="787"/>
      <c r="AE122" s="787"/>
      <c r="AF122" s="787"/>
      <c r="AG122" s="787"/>
      <c r="AH122" s="502"/>
      <c r="AI122" s="502"/>
      <c r="AJ122" s="504"/>
      <c r="AK122" s="465"/>
      <c r="AL122" s="465"/>
      <c r="AM122" s="465"/>
      <c r="AN122" s="460"/>
      <c r="AO122" s="461">
        <f>Application!B734</f>
        <v>0</v>
      </c>
      <c r="AQ122" s="461">
        <f>Application!O734</f>
        <v>0</v>
      </c>
      <c r="AU122" s="929"/>
      <c r="AV122" s="929"/>
      <c r="AW122" s="929"/>
      <c r="AX122" s="929"/>
      <c r="AY122" s="929"/>
      <c r="AZ122" s="929"/>
    </row>
    <row r="123" spans="1:52" s="461" customFormat="1" ht="12.75" customHeight="1">
      <c r="A123" s="465"/>
      <c r="B123" s="464"/>
      <c r="C123" s="465"/>
      <c r="D123" s="465"/>
      <c r="E123" s="790" t="s">
        <v>2008</v>
      </c>
      <c r="F123" s="787"/>
      <c r="G123" s="787"/>
      <c r="H123" s="787"/>
      <c r="I123" s="502"/>
      <c r="J123" s="787"/>
      <c r="K123" s="787"/>
      <c r="L123" s="787"/>
      <c r="M123" s="787"/>
      <c r="N123" s="502"/>
      <c r="O123" s="787"/>
      <c r="P123" s="787"/>
      <c r="Q123" s="787"/>
      <c r="R123" s="787"/>
      <c r="S123" s="502"/>
      <c r="T123" s="787"/>
      <c r="U123" s="787"/>
      <c r="V123" s="787"/>
      <c r="W123" s="787"/>
      <c r="X123" s="502"/>
      <c r="Y123" s="787"/>
      <c r="Z123" s="787"/>
      <c r="AA123" s="787"/>
      <c r="AB123" s="787"/>
      <c r="AC123" s="502"/>
      <c r="AD123" s="787"/>
      <c r="AE123" s="787"/>
      <c r="AF123" s="787"/>
      <c r="AG123" s="787"/>
      <c r="AH123" s="502"/>
      <c r="AI123" s="502"/>
      <c r="AJ123" s="504"/>
      <c r="AK123" s="465"/>
      <c r="AL123" s="465"/>
      <c r="AM123" s="465"/>
      <c r="AN123" s="460"/>
      <c r="AO123" s="461">
        <f>Application!B735</f>
        <v>0</v>
      </c>
      <c r="AQ123" s="461">
        <f>Application!O735</f>
        <v>0</v>
      </c>
      <c r="AU123" s="929"/>
      <c r="AV123" s="929"/>
      <c r="AW123" s="929"/>
      <c r="AX123" s="929"/>
      <c r="AY123" s="929"/>
      <c r="AZ123" s="929"/>
    </row>
    <row r="124" spans="1:52" s="461" customFormat="1" ht="12.75" customHeight="1">
      <c r="A124" s="465"/>
      <c r="B124" s="464"/>
      <c r="C124" s="465"/>
      <c r="D124" s="465"/>
      <c r="E124" s="1846">
        <f>Application!DX670</f>
        <v>0</v>
      </c>
      <c r="F124" s="1847"/>
      <c r="G124" s="1847"/>
      <c r="H124" s="1847"/>
      <c r="I124" s="788"/>
      <c r="J124" s="1847">
        <f>Application!EC670</f>
        <v>768</v>
      </c>
      <c r="K124" s="1847"/>
      <c r="L124" s="1847"/>
      <c r="M124" s="1847"/>
      <c r="N124" s="788"/>
      <c r="O124" s="1847">
        <f>Application!EH670</f>
        <v>1623.6521739130435</v>
      </c>
      <c r="P124" s="1847"/>
      <c r="Q124" s="1847"/>
      <c r="R124" s="1847"/>
      <c r="S124" s="792"/>
      <c r="T124" s="1847">
        <f>Application!EM670</f>
        <v>1890.6666666666665</v>
      </c>
      <c r="U124" s="1847"/>
      <c r="V124" s="1847"/>
      <c r="W124" s="1847"/>
      <c r="X124" s="792"/>
      <c r="Y124" s="1847">
        <f>Application!ER670</f>
        <v>0</v>
      </c>
      <c r="Z124" s="1847"/>
      <c r="AA124" s="1847"/>
      <c r="AB124" s="1847"/>
      <c r="AC124" s="792"/>
      <c r="AD124" s="1847">
        <f>Application!EW670</f>
        <v>0</v>
      </c>
      <c r="AE124" s="1847"/>
      <c r="AF124" s="1847"/>
      <c r="AG124" s="1847"/>
      <c r="AH124" s="502"/>
      <c r="AI124" s="502"/>
      <c r="AJ124" s="504"/>
      <c r="AK124" s="465"/>
      <c r="AL124" s="465"/>
      <c r="AM124" s="465"/>
      <c r="AN124" s="460"/>
      <c r="AO124" s="461">
        <f>Application!B736</f>
        <v>0</v>
      </c>
      <c r="AQ124" s="461">
        <f>Application!O736</f>
        <v>0</v>
      </c>
      <c r="AU124" s="929"/>
      <c r="AV124" s="929"/>
      <c r="AW124" s="930"/>
      <c r="AX124" s="930"/>
      <c r="AY124" s="929"/>
      <c r="AZ124" s="929"/>
    </row>
    <row r="125" spans="1:52" s="461" customFormat="1" ht="12.75" customHeight="1">
      <c r="A125" s="465"/>
      <c r="B125" s="464"/>
      <c r="C125" s="465"/>
      <c r="D125" s="465"/>
      <c r="E125" s="791"/>
      <c r="F125" s="787"/>
      <c r="G125" s="787"/>
      <c r="H125" s="787"/>
      <c r="I125" s="502"/>
      <c r="J125" s="505"/>
      <c r="K125" s="502"/>
      <c r="L125" s="502"/>
      <c r="M125" s="502"/>
      <c r="N125" s="502"/>
      <c r="O125" s="502"/>
      <c r="P125" s="502"/>
      <c r="Q125" s="502"/>
      <c r="R125" s="502"/>
      <c r="S125" s="502"/>
      <c r="T125" s="502"/>
      <c r="U125" s="502"/>
      <c r="V125" s="502"/>
      <c r="W125" s="502"/>
      <c r="X125" s="502"/>
      <c r="Y125" s="502"/>
      <c r="Z125" s="502"/>
      <c r="AA125" s="502"/>
      <c r="AB125" s="502"/>
      <c r="AC125" s="502"/>
      <c r="AD125" s="502"/>
      <c r="AE125" s="502"/>
      <c r="AF125" s="502"/>
      <c r="AG125" s="502"/>
      <c r="AH125" s="502"/>
      <c r="AI125" s="502"/>
      <c r="AJ125" s="504"/>
      <c r="AK125" s="465"/>
      <c r="AL125" s="465"/>
      <c r="AM125" s="465"/>
      <c r="AN125" s="460"/>
      <c r="AO125" s="461">
        <f>Application!B737</f>
        <v>0</v>
      </c>
      <c r="AQ125" s="461">
        <f>Application!O737</f>
        <v>0</v>
      </c>
      <c r="AU125" s="929"/>
      <c r="AV125" s="929"/>
      <c r="AW125" s="930"/>
      <c r="AX125" s="930"/>
      <c r="AY125" s="929"/>
      <c r="AZ125" s="929"/>
    </row>
    <row r="126" spans="1:52" s="461" customFormat="1" ht="12.75" customHeight="1">
      <c r="A126" s="465"/>
      <c r="B126" s="464"/>
      <c r="C126" s="465"/>
      <c r="D126" s="465"/>
      <c r="E126" s="790" t="s">
        <v>2009</v>
      </c>
      <c r="F126" s="787"/>
      <c r="G126" s="787"/>
      <c r="H126" s="787"/>
      <c r="I126" s="502"/>
      <c r="J126" s="505"/>
      <c r="K126" s="502"/>
      <c r="L126" s="502"/>
      <c r="M126" s="502"/>
      <c r="N126" s="502"/>
      <c r="O126" s="502"/>
      <c r="P126" s="502"/>
      <c r="Q126" s="502"/>
      <c r="R126" s="502"/>
      <c r="S126" s="502"/>
      <c r="T126" s="502"/>
      <c r="U126" s="502"/>
      <c r="V126" s="502"/>
      <c r="W126" s="502"/>
      <c r="X126" s="502"/>
      <c r="Y126" s="502"/>
      <c r="Z126" s="502"/>
      <c r="AA126" s="502"/>
      <c r="AB126" s="502"/>
      <c r="AC126" s="502"/>
      <c r="AD126" s="502"/>
      <c r="AE126" s="502"/>
      <c r="AF126" s="502"/>
      <c r="AG126" s="502"/>
      <c r="AH126" s="502"/>
      <c r="AI126" s="502"/>
      <c r="AJ126" s="504"/>
      <c r="AK126" s="465"/>
      <c r="AL126" s="465"/>
      <c r="AM126" s="465"/>
      <c r="AN126" s="460"/>
      <c r="AO126" s="461">
        <f>Application!B738</f>
        <v>0</v>
      </c>
      <c r="AQ126" s="461">
        <f>Application!O738</f>
        <v>0</v>
      </c>
      <c r="AU126" s="929"/>
      <c r="AV126" s="929"/>
      <c r="AW126" s="930"/>
      <c r="AX126" s="930"/>
      <c r="AY126" s="929"/>
      <c r="AZ126" s="929"/>
    </row>
    <row r="127" spans="1:52" s="461" customFormat="1" ht="12.75" customHeight="1">
      <c r="A127" s="465"/>
      <c r="B127" s="464"/>
      <c r="C127" s="465"/>
      <c r="D127" s="465"/>
      <c r="E127" s="1639" t="e">
        <f>(E121-E124)/E121</f>
        <v>#DIV/0!</v>
      </c>
      <c r="F127" s="1640"/>
      <c r="G127" s="1640"/>
      <c r="H127" s="1641"/>
      <c r="I127" s="502"/>
      <c r="J127" s="1639">
        <f>(J121-J124)/J121</f>
        <v>0.72659309362762547</v>
      </c>
      <c r="K127" s="1640"/>
      <c r="L127" s="1640"/>
      <c r="M127" s="1641"/>
      <c r="N127" s="502"/>
      <c r="O127" s="1639">
        <f>(O121-O124)/O121</f>
        <v>0.46974128872859455</v>
      </c>
      <c r="P127" s="1640"/>
      <c r="Q127" s="1640"/>
      <c r="R127" s="1641"/>
      <c r="S127" s="502"/>
      <c r="T127" s="1639">
        <f>(T121-T124)/T121</f>
        <v>0.50609543712991989</v>
      </c>
      <c r="U127" s="1640"/>
      <c r="V127" s="1640"/>
      <c r="W127" s="1641"/>
      <c r="X127" s="502"/>
      <c r="Y127" s="1639" t="e">
        <f>(Y121-Y124)/Y121</f>
        <v>#DIV/0!</v>
      </c>
      <c r="Z127" s="1640"/>
      <c r="AA127" s="1640"/>
      <c r="AB127" s="1641"/>
      <c r="AC127" s="502"/>
      <c r="AD127" s="1639" t="e">
        <f>(AD121-AD124)/AD121</f>
        <v>#DIV/0!</v>
      </c>
      <c r="AE127" s="1640"/>
      <c r="AF127" s="1640"/>
      <c r="AG127" s="1641"/>
      <c r="AH127" s="502"/>
      <c r="AI127" s="502"/>
      <c r="AJ127" s="504"/>
      <c r="AK127" s="465"/>
      <c r="AL127" s="465"/>
      <c r="AM127" s="465"/>
      <c r="AN127" s="460"/>
      <c r="AO127" s="461">
        <f>Application!B739</f>
        <v>0</v>
      </c>
      <c r="AQ127" s="461">
        <f>Application!O739</f>
        <v>0</v>
      </c>
      <c r="AU127" s="929"/>
      <c r="AV127" s="929"/>
      <c r="AW127" s="930"/>
      <c r="AX127" s="930"/>
      <c r="AY127" s="929"/>
      <c r="AZ127" s="929"/>
    </row>
    <row r="128" spans="1:52" s="461" customFormat="1" ht="12.75" customHeight="1">
      <c r="A128" s="465"/>
      <c r="B128" s="464"/>
      <c r="C128" s="465"/>
      <c r="D128" s="465"/>
      <c r="E128" s="924"/>
      <c r="F128" s="923"/>
      <c r="G128" s="923"/>
      <c r="H128" s="923"/>
      <c r="I128" s="502"/>
      <c r="J128" s="923"/>
      <c r="K128" s="923"/>
      <c r="L128" s="923"/>
      <c r="M128" s="923"/>
      <c r="N128" s="502"/>
      <c r="O128" s="923"/>
      <c r="P128" s="923"/>
      <c r="Q128" s="923"/>
      <c r="R128" s="923"/>
      <c r="S128" s="502"/>
      <c r="T128" s="923"/>
      <c r="U128" s="923"/>
      <c r="V128" s="923"/>
      <c r="W128" s="923"/>
      <c r="X128" s="502"/>
      <c r="Y128" s="923"/>
      <c r="Z128" s="923"/>
      <c r="AA128" s="923"/>
      <c r="AB128" s="923"/>
      <c r="AC128" s="502"/>
      <c r="AD128" s="923"/>
      <c r="AE128" s="923"/>
      <c r="AF128" s="923"/>
      <c r="AG128" s="923"/>
      <c r="AH128" s="502"/>
      <c r="AI128" s="502"/>
      <c r="AJ128" s="504"/>
      <c r="AK128" s="465"/>
      <c r="AL128" s="465"/>
      <c r="AM128" s="465"/>
      <c r="AN128" s="460"/>
      <c r="AO128" s="461">
        <f>Application!B740</f>
        <v>0</v>
      </c>
      <c r="AQ128" s="461">
        <f>Application!O740</f>
        <v>0</v>
      </c>
      <c r="AU128" s="929"/>
      <c r="AV128" s="929"/>
      <c r="AW128" s="930"/>
      <c r="AX128" s="930"/>
      <c r="AY128" s="929"/>
      <c r="AZ128" s="929"/>
    </row>
    <row r="129" spans="1:52" s="461" customFormat="1" ht="12.75" customHeight="1">
      <c r="A129" s="465"/>
      <c r="B129" s="464"/>
      <c r="C129" s="465"/>
      <c r="D129" s="465"/>
      <c r="E129" s="925" t="s">
        <v>2010</v>
      </c>
      <c r="F129" s="923"/>
      <c r="G129" s="923"/>
      <c r="H129" s="923"/>
      <c r="I129" s="502"/>
      <c r="J129" s="923"/>
      <c r="K129" s="923"/>
      <c r="L129" s="923"/>
      <c r="M129" s="923"/>
      <c r="N129" s="502"/>
      <c r="O129" s="923"/>
      <c r="P129" s="923"/>
      <c r="Q129" s="923"/>
      <c r="R129" s="923"/>
      <c r="S129" s="502"/>
      <c r="T129" s="923"/>
      <c r="U129" s="923"/>
      <c r="V129" s="923"/>
      <c r="W129" s="923"/>
      <c r="X129" s="502"/>
      <c r="Y129" s="923"/>
      <c r="Z129" s="923"/>
      <c r="AA129" s="923"/>
      <c r="AB129" s="923"/>
      <c r="AC129" s="502"/>
      <c r="AD129" s="923"/>
      <c r="AE129" s="923"/>
      <c r="AF129" s="923"/>
      <c r="AG129" s="923"/>
      <c r="AH129" s="502"/>
      <c r="AI129" s="502"/>
      <c r="AJ129" s="504"/>
      <c r="AK129" s="465"/>
      <c r="AL129" s="465"/>
      <c r="AM129" s="465"/>
      <c r="AN129" s="460"/>
      <c r="AO129" s="461">
        <f>Application!B741</f>
        <v>0</v>
      </c>
      <c r="AQ129" s="461">
        <f>Application!O741</f>
        <v>0</v>
      </c>
      <c r="AU129" s="930"/>
      <c r="AV129" s="929"/>
      <c r="AW129" s="930"/>
      <c r="AX129" s="930"/>
      <c r="AY129" s="929"/>
      <c r="AZ129" s="929"/>
    </row>
    <row r="130" spans="1:52" s="461" customFormat="1" ht="12.75" customHeight="1">
      <c r="A130" s="465"/>
      <c r="B130" s="464"/>
      <c r="C130" s="465"/>
      <c r="D130" s="465"/>
      <c r="E130" s="1849" t="e">
        <f>IF(((E127-0.1)*AW110)&gt;0,((E127-0.1)*AW110),0)</f>
        <v>#DIV/0!</v>
      </c>
      <c r="F130" s="1850"/>
      <c r="G130" s="1850"/>
      <c r="H130" s="1851"/>
      <c r="I130" s="502"/>
      <c r="J130" s="1849">
        <f>IF(((J127-0.1)*AW111)&gt;0,((J127-0.1)*AW111),0)</f>
        <v>0.15998121539428733</v>
      </c>
      <c r="K130" s="1850"/>
      <c r="L130" s="1850"/>
      <c r="M130" s="1851"/>
      <c r="N130" s="502"/>
      <c r="O130" s="1849">
        <f>IF(((O127-0.1)*AW112)&gt;0,((O127-0.1)*AW112),0)</f>
        <v>0.18093722639909945</v>
      </c>
      <c r="P130" s="1850"/>
      <c r="Q130" s="1850"/>
      <c r="R130" s="1851"/>
      <c r="S130" s="502"/>
      <c r="T130" s="1849">
        <f>IF(((T127-0.1)*AW113)&gt;0,((T127-0.1)*AW113),0)</f>
        <v>0.10368394139487316</v>
      </c>
      <c r="U130" s="1850"/>
      <c r="V130" s="1850"/>
      <c r="W130" s="1851"/>
      <c r="X130" s="502"/>
      <c r="Y130" s="1849" t="e">
        <f>IF(((Y127-0.1)*AW114)&gt;0,((Y127-0.1)*AW114),0)</f>
        <v>#DIV/0!</v>
      </c>
      <c r="Z130" s="1850"/>
      <c r="AA130" s="1850"/>
      <c r="AB130" s="1851"/>
      <c r="AC130" s="502"/>
      <c r="AD130" s="1849" t="e">
        <f>IF(((AD127-0.1)*AW115)&gt;0,((AD127-0.1)*AW115),0)</f>
        <v>#DIV/0!</v>
      </c>
      <c r="AE130" s="1850"/>
      <c r="AF130" s="1850"/>
      <c r="AG130" s="1851"/>
      <c r="AH130" s="502"/>
      <c r="AI130" s="502"/>
      <c r="AJ130" s="504"/>
      <c r="AK130" s="465"/>
      <c r="AL130" s="465"/>
      <c r="AM130" s="465"/>
      <c r="AN130" s="460"/>
      <c r="AO130" s="461">
        <f>Application!B752</f>
        <v>0</v>
      </c>
      <c r="AQ130" s="461">
        <f>Application!O752</f>
        <v>0</v>
      </c>
      <c r="AU130" s="929"/>
      <c r="AV130" s="929"/>
      <c r="AW130" s="929"/>
      <c r="AX130" s="930"/>
      <c r="AY130" s="929"/>
      <c r="AZ130" s="929"/>
    </row>
    <row r="131" spans="1:52" s="461" customFormat="1" ht="12.75" customHeight="1">
      <c r="A131" s="465"/>
      <c r="B131" s="464"/>
      <c r="C131" s="465"/>
      <c r="D131" s="465"/>
      <c r="E131" s="791"/>
      <c r="F131" s="787"/>
      <c r="G131" s="787"/>
      <c r="H131" s="787"/>
      <c r="I131" s="502"/>
      <c r="J131" s="505"/>
      <c r="K131" s="502"/>
      <c r="L131" s="502"/>
      <c r="M131" s="502"/>
      <c r="N131" s="502"/>
      <c r="O131" s="502"/>
      <c r="P131" s="502"/>
      <c r="Q131" s="502"/>
      <c r="R131" s="502"/>
      <c r="S131" s="502"/>
      <c r="T131" s="502"/>
      <c r="U131" s="502"/>
      <c r="V131" s="502"/>
      <c r="W131" s="502"/>
      <c r="X131" s="502"/>
      <c r="Y131" s="502"/>
      <c r="Z131" s="502"/>
      <c r="AA131" s="502"/>
      <c r="AB131" s="502"/>
      <c r="AC131" s="502"/>
      <c r="AD131" s="502"/>
      <c r="AE131" s="502"/>
      <c r="AF131" s="502"/>
      <c r="AG131" s="502"/>
      <c r="AH131" s="502"/>
      <c r="AI131" s="502"/>
      <c r="AJ131" s="504"/>
      <c r="AK131" s="465"/>
      <c r="AL131" s="465"/>
      <c r="AM131" s="465"/>
      <c r="AN131" s="460"/>
      <c r="AU131" s="929"/>
      <c r="AV131" s="929"/>
      <c r="AW131" s="929"/>
      <c r="AX131" s="929"/>
      <c r="AY131" s="929"/>
      <c r="AZ131" s="929"/>
    </row>
    <row r="132" spans="1:52" s="461" customFormat="1" ht="12.75" customHeight="1">
      <c r="A132" s="465"/>
      <c r="B132" s="464"/>
      <c r="C132" s="465"/>
      <c r="D132" s="465"/>
      <c r="E132" s="1639">
        <f>ROUNDDOWN(SUMIF(E130:AG130,"&gt;0"),2)</f>
        <v>0.44</v>
      </c>
      <c r="F132" s="1640"/>
      <c r="G132" s="1640"/>
      <c r="H132" s="1641"/>
      <c r="I132" s="502"/>
      <c r="J132" s="505" t="s">
        <v>2011</v>
      </c>
      <c r="K132" s="502"/>
      <c r="L132" s="502"/>
      <c r="M132" s="502"/>
      <c r="N132" s="502"/>
      <c r="O132" s="502"/>
      <c r="P132" s="502"/>
      <c r="Q132" s="502"/>
      <c r="R132" s="502"/>
      <c r="S132" s="502"/>
      <c r="T132" s="502"/>
      <c r="U132" s="502"/>
      <c r="V132" s="502"/>
      <c r="W132" s="502"/>
      <c r="X132" s="502"/>
      <c r="Y132" s="502"/>
      <c r="Z132" s="502"/>
      <c r="AA132" s="502"/>
      <c r="AB132" s="502"/>
      <c r="AC132" s="502"/>
      <c r="AD132" s="793"/>
      <c r="AE132" s="793"/>
      <c r="AF132" s="793"/>
      <c r="AG132" s="793"/>
      <c r="AH132" s="502"/>
      <c r="AI132" s="502"/>
      <c r="AJ132" s="504"/>
      <c r="AK132" s="465"/>
      <c r="AL132" s="465"/>
      <c r="AM132" s="465"/>
      <c r="AN132" s="460"/>
      <c r="AU132" s="929"/>
      <c r="AV132" s="929"/>
      <c r="AW132" s="929"/>
      <c r="AX132" s="930"/>
      <c r="AY132" s="929"/>
      <c r="AZ132" s="929"/>
    </row>
    <row r="133" spans="1:52" s="461" customFormat="1" ht="12.75" customHeight="1">
      <c r="A133" s="465"/>
      <c r="B133" s="464"/>
      <c r="C133" s="465"/>
      <c r="D133" s="465"/>
      <c r="E133" s="1821">
        <f>IF((E132*100)&gt;10,10,E132*100)</f>
        <v>10</v>
      </c>
      <c r="F133" s="1822"/>
      <c r="G133" s="1822"/>
      <c r="H133" s="1823"/>
      <c r="I133" s="502"/>
      <c r="J133" s="505" t="s">
        <v>1990</v>
      </c>
      <c r="K133" s="502"/>
      <c r="L133" s="502"/>
      <c r="M133" s="502"/>
      <c r="N133" s="502"/>
      <c r="O133" s="502"/>
      <c r="P133" s="502"/>
      <c r="Q133" s="502"/>
      <c r="R133" s="502"/>
      <c r="S133" s="502"/>
      <c r="T133" s="502"/>
      <c r="U133" s="502"/>
      <c r="V133" s="502"/>
      <c r="W133" s="502"/>
      <c r="X133" s="502"/>
      <c r="Y133" s="502"/>
      <c r="Z133" s="502"/>
      <c r="AA133" s="502"/>
      <c r="AB133" s="502"/>
      <c r="AC133" s="502"/>
      <c r="AD133" s="502"/>
      <c r="AE133" s="502"/>
      <c r="AF133" s="502"/>
      <c r="AG133" s="502"/>
      <c r="AH133" s="502"/>
      <c r="AI133" s="502"/>
      <c r="AJ133" s="504"/>
      <c r="AK133" s="465"/>
      <c r="AL133" s="465"/>
      <c r="AM133" s="465"/>
      <c r="AN133" s="460"/>
      <c r="AU133" s="929"/>
      <c r="AV133" s="929"/>
      <c r="AW133" s="929"/>
      <c r="AX133" s="929"/>
      <c r="AY133" s="929"/>
      <c r="AZ133" s="929"/>
    </row>
    <row r="134" spans="1:52" s="461" customFormat="1" ht="12.75" customHeight="1">
      <c r="A134" s="465"/>
      <c r="B134" s="465"/>
      <c r="C134" s="465"/>
      <c r="D134" s="465"/>
      <c r="E134" s="513"/>
      <c r="F134" s="514"/>
      <c r="G134" s="514"/>
      <c r="H134" s="514"/>
      <c r="I134" s="514"/>
      <c r="J134" s="514"/>
      <c r="K134" s="514"/>
      <c r="L134" s="514"/>
      <c r="M134" s="514"/>
      <c r="N134" s="514"/>
      <c r="O134" s="514"/>
      <c r="P134" s="514"/>
      <c r="Q134" s="514"/>
      <c r="R134" s="514"/>
      <c r="S134" s="514"/>
      <c r="T134" s="514"/>
      <c r="U134" s="514"/>
      <c r="V134" s="514"/>
      <c r="W134" s="514"/>
      <c r="X134" s="514"/>
      <c r="Y134" s="514"/>
      <c r="Z134" s="514"/>
      <c r="AA134" s="514"/>
      <c r="AB134" s="514"/>
      <c r="AC134" s="514"/>
      <c r="AD134" s="514"/>
      <c r="AE134" s="514"/>
      <c r="AF134" s="514"/>
      <c r="AG134" s="514"/>
      <c r="AH134" s="514"/>
      <c r="AI134" s="514"/>
      <c r="AJ134" s="515"/>
      <c r="AK134" s="465"/>
      <c r="AL134" s="465"/>
      <c r="AM134" s="465"/>
      <c r="AN134" s="460"/>
      <c r="AT134" s="922"/>
      <c r="AU134" s="929"/>
      <c r="AV134" s="929"/>
      <c r="AW134" s="930"/>
      <c r="AX134" s="929"/>
      <c r="AY134" s="929"/>
      <c r="AZ134" s="929"/>
    </row>
    <row r="135" spans="1:52" s="461" customFormat="1" ht="12.75" customHeight="1">
      <c r="A135" s="465"/>
      <c r="B135" s="465"/>
      <c r="C135" s="465"/>
      <c r="D135" s="465"/>
      <c r="E135" s="465"/>
      <c r="F135" s="465"/>
      <c r="G135" s="465"/>
      <c r="H135" s="465"/>
      <c r="I135" s="465"/>
      <c r="J135" s="465"/>
      <c r="K135" s="465"/>
      <c r="L135" s="465"/>
      <c r="M135" s="465"/>
      <c r="N135" s="465"/>
      <c r="O135" s="465"/>
      <c r="P135" s="465"/>
      <c r="Q135" s="465"/>
      <c r="R135" s="465"/>
      <c r="S135" s="465"/>
      <c r="T135" s="465"/>
      <c r="U135" s="465"/>
      <c r="V135" s="465"/>
      <c r="W135" s="465"/>
      <c r="X135" s="465"/>
      <c r="Y135" s="465"/>
      <c r="Z135" s="465"/>
      <c r="AA135" s="465"/>
      <c r="AB135" s="465"/>
      <c r="AC135" s="465"/>
      <c r="AD135" s="465"/>
      <c r="AE135" s="465"/>
      <c r="AF135" s="465"/>
      <c r="AG135" s="465"/>
      <c r="AH135" s="465"/>
      <c r="AI135" s="465"/>
      <c r="AJ135" s="465"/>
      <c r="AK135" s="465"/>
      <c r="AL135" s="465"/>
      <c r="AM135" s="465"/>
      <c r="AN135" s="460"/>
      <c r="AU135" s="929"/>
      <c r="AV135" s="929"/>
      <c r="AW135" s="929"/>
      <c r="AX135" s="929"/>
      <c r="AY135" s="929"/>
      <c r="AZ135" s="929"/>
    </row>
    <row r="136" spans="1:52" s="461" customFormat="1" ht="12.75" customHeight="1">
      <c r="A136" s="465"/>
      <c r="B136" s="465"/>
      <c r="C136" s="465"/>
      <c r="D136" s="465"/>
      <c r="E136" s="465"/>
      <c r="F136" s="465"/>
      <c r="G136" s="465"/>
      <c r="H136" s="465"/>
      <c r="I136" s="465"/>
      <c r="J136" s="465"/>
      <c r="K136" s="465"/>
      <c r="L136" s="465"/>
      <c r="M136" s="465"/>
      <c r="N136" s="465"/>
      <c r="O136" s="465"/>
      <c r="P136" s="465"/>
      <c r="Q136" s="465"/>
      <c r="R136" s="465"/>
      <c r="S136" s="465"/>
      <c r="T136" s="465"/>
      <c r="U136" s="465"/>
      <c r="V136" s="465"/>
      <c r="W136" s="465"/>
      <c r="X136" s="465"/>
      <c r="Y136" s="465"/>
      <c r="Z136" s="465"/>
      <c r="AA136" s="465"/>
      <c r="AB136" s="465"/>
      <c r="AC136" s="465"/>
      <c r="AD136" s="465"/>
      <c r="AE136" s="465"/>
      <c r="AF136" s="465"/>
      <c r="AG136" s="465"/>
      <c r="AH136" s="465"/>
      <c r="AI136" s="465"/>
      <c r="AJ136" s="465"/>
      <c r="AK136" s="465"/>
      <c r="AL136" s="465"/>
      <c r="AM136" s="465"/>
      <c r="AN136" s="460"/>
    </row>
    <row r="137" spans="1:52" s="461" customFormat="1" ht="12.75" customHeight="1">
      <c r="A137" s="486"/>
      <c r="B137" s="487"/>
      <c r="C137" s="487"/>
      <c r="D137" s="487"/>
      <c r="E137" s="487"/>
      <c r="F137" s="487"/>
      <c r="G137" s="488"/>
      <c r="H137" s="489"/>
      <c r="I137" s="489"/>
      <c r="J137" s="489"/>
      <c r="K137" s="489"/>
      <c r="L137" s="489"/>
      <c r="M137" s="489"/>
      <c r="N137" s="489"/>
      <c r="O137" s="489"/>
      <c r="P137" s="489"/>
      <c r="Q137" s="489"/>
      <c r="R137" s="489"/>
      <c r="S137" s="489"/>
      <c r="T137" s="489"/>
      <c r="U137" s="489"/>
      <c r="V137" s="489"/>
      <c r="W137" s="489"/>
      <c r="X137" s="489"/>
      <c r="Y137" s="489"/>
      <c r="Z137" s="489"/>
      <c r="AA137" s="489"/>
      <c r="AB137" s="489"/>
      <c r="AC137" s="489"/>
      <c r="AD137" s="489"/>
      <c r="AE137" s="489"/>
      <c r="AF137" s="489"/>
      <c r="AG137" s="489"/>
      <c r="AH137" s="489"/>
      <c r="AI137" s="490"/>
      <c r="AJ137" s="490" t="s">
        <v>2012</v>
      </c>
      <c r="AK137" s="1821">
        <f>E133</f>
        <v>10</v>
      </c>
      <c r="AL137" s="1822"/>
      <c r="AM137" s="1823"/>
      <c r="AN137" s="460"/>
    </row>
    <row r="138" spans="1:52" s="461" customFormat="1" ht="12.75" customHeight="1" thickBot="1">
      <c r="A138" s="491"/>
      <c r="B138" s="492"/>
      <c r="C138" s="493"/>
      <c r="D138" s="493"/>
      <c r="E138" s="493"/>
      <c r="F138" s="493"/>
      <c r="G138" s="493"/>
      <c r="H138" s="493"/>
      <c r="I138" s="493"/>
      <c r="J138" s="493"/>
      <c r="K138" s="493"/>
      <c r="L138" s="493"/>
      <c r="M138" s="493"/>
      <c r="N138" s="493"/>
      <c r="O138" s="493"/>
      <c r="P138" s="493"/>
      <c r="Q138" s="493"/>
      <c r="R138" s="493"/>
      <c r="S138" s="493"/>
      <c r="T138" s="493"/>
      <c r="U138" s="493"/>
      <c r="V138" s="493"/>
      <c r="W138" s="493"/>
      <c r="X138" s="493"/>
      <c r="Y138" s="493"/>
      <c r="Z138" s="493"/>
      <c r="AA138" s="493"/>
      <c r="AB138" s="493"/>
      <c r="AC138" s="493"/>
      <c r="AD138" s="493"/>
      <c r="AE138" s="493"/>
      <c r="AF138" s="493"/>
      <c r="AG138" s="493"/>
      <c r="AH138" s="493"/>
      <c r="AI138" s="493"/>
      <c r="AJ138" s="493"/>
      <c r="AK138" s="493"/>
      <c r="AL138" s="493"/>
      <c r="AM138" s="494"/>
      <c r="AN138" s="460"/>
    </row>
    <row r="139" spans="1:52" s="461" customFormat="1" ht="12.75" customHeight="1" thickTop="1">
      <c r="A139" s="495"/>
      <c r="B139" s="496"/>
      <c r="C139" s="497"/>
      <c r="D139" s="497"/>
      <c r="E139" s="497"/>
      <c r="F139" s="497"/>
      <c r="G139" s="497"/>
      <c r="H139" s="497"/>
      <c r="I139" s="498"/>
      <c r="J139" s="498"/>
      <c r="K139" s="498"/>
      <c r="L139" s="498"/>
      <c r="M139" s="498"/>
      <c r="N139" s="498"/>
      <c r="O139" s="498"/>
      <c r="P139" s="498"/>
      <c r="Q139" s="498"/>
      <c r="R139" s="495"/>
      <c r="S139" s="464"/>
      <c r="T139" s="464"/>
      <c r="U139" s="464"/>
      <c r="V139" s="464"/>
      <c r="W139" s="464"/>
      <c r="X139" s="464"/>
      <c r="Y139" s="464"/>
      <c r="Z139" s="464"/>
      <c r="AA139" s="464"/>
      <c r="AB139" s="464"/>
      <c r="AC139" s="464"/>
      <c r="AD139" s="464"/>
      <c r="AE139" s="464"/>
      <c r="AF139" s="495"/>
      <c r="AG139" s="464"/>
      <c r="AH139" s="464"/>
      <c r="AI139" s="464"/>
      <c r="AJ139" s="464"/>
      <c r="AK139" s="475"/>
      <c r="AL139" s="475"/>
      <c r="AM139" s="475"/>
      <c r="AN139" s="460"/>
    </row>
    <row r="140" spans="1:52" s="464" customFormat="1" ht="12.75" customHeight="1">
      <c r="A140" s="463" t="s">
        <v>2013</v>
      </c>
      <c r="AE140" s="1666" t="s">
        <v>1970</v>
      </c>
      <c r="AF140" s="1666"/>
      <c r="AG140" s="1666"/>
      <c r="AH140" s="1666"/>
      <c r="AI140" s="1666"/>
      <c r="AJ140" s="1666"/>
      <c r="AK140" s="1666"/>
      <c r="AL140" s="516"/>
      <c r="AN140" s="517"/>
      <c r="AO140" s="461"/>
    </row>
    <row r="141" spans="1:52" s="464" customFormat="1" ht="12.95" customHeight="1">
      <c r="A141" s="463"/>
      <c r="AE141" s="516"/>
      <c r="AF141" s="516"/>
      <c r="AG141" s="516"/>
      <c r="AH141" s="516"/>
      <c r="AI141" s="516"/>
      <c r="AJ141" s="516"/>
      <c r="AK141" s="516"/>
      <c r="AL141" s="516"/>
      <c r="AN141" s="517"/>
    </row>
    <row r="142" spans="1:52" s="461" customFormat="1" ht="12.75" customHeight="1">
      <c r="A142" s="463"/>
      <c r="B142" s="463" t="s">
        <v>2014</v>
      </c>
      <c r="C142" s="464"/>
      <c r="D142" s="464"/>
      <c r="E142" s="464"/>
      <c r="F142" s="464"/>
      <c r="G142" s="464"/>
      <c r="H142" s="464"/>
      <c r="I142" s="464"/>
      <c r="J142" s="464"/>
      <c r="K142" s="464"/>
      <c r="L142" s="464"/>
      <c r="M142" s="464"/>
      <c r="N142" s="464"/>
      <c r="O142" s="464"/>
      <c r="P142" s="464"/>
      <c r="Q142" s="464"/>
      <c r="R142" s="464"/>
      <c r="S142" s="464"/>
      <c r="T142" s="464"/>
      <c r="U142" s="464"/>
      <c r="V142" s="464"/>
      <c r="W142" s="464"/>
      <c r="X142" s="464"/>
      <c r="Y142" s="464"/>
      <c r="Z142" s="464"/>
      <c r="AA142" s="464"/>
      <c r="AB142" s="464"/>
      <c r="AC142" s="464"/>
      <c r="AD142" s="464"/>
      <c r="AF142" s="1733" t="s">
        <v>2015</v>
      </c>
      <c r="AG142" s="1733"/>
      <c r="AH142" s="1733"/>
      <c r="AI142" s="1733"/>
      <c r="AJ142" s="1733"/>
      <c r="AK142" s="1733"/>
      <c r="AL142" s="1733"/>
      <c r="AM142" s="464"/>
      <c r="AN142" s="460"/>
    </row>
    <row r="143" spans="1:52" s="461" customFormat="1" ht="12.75" customHeight="1">
      <c r="A143" s="463"/>
      <c r="B143" s="463" t="s">
        <v>1130</v>
      </c>
      <c r="C143" s="530"/>
      <c r="D143" s="530"/>
      <c r="E143" s="530"/>
      <c r="F143" s="530"/>
      <c r="G143" s="530"/>
      <c r="H143" s="530"/>
      <c r="I143" s="530"/>
      <c r="J143" s="530"/>
      <c r="K143" s="530"/>
      <c r="L143" s="530"/>
      <c r="M143" s="530"/>
      <c r="N143" s="530"/>
      <c r="O143" s="530"/>
      <c r="P143" s="530"/>
      <c r="Q143" s="530"/>
      <c r="R143" s="530"/>
      <c r="S143" s="530"/>
      <c r="T143" s="530"/>
      <c r="U143" s="530"/>
      <c r="V143" s="530"/>
      <c r="W143" s="530"/>
      <c r="X143" s="530"/>
      <c r="Y143" s="530"/>
      <c r="Z143" s="530"/>
      <c r="AA143" s="530"/>
      <c r="AB143" s="530"/>
      <c r="AC143" s="530"/>
      <c r="AD143" s="464"/>
      <c r="AL143" s="519"/>
      <c r="AM143" s="464"/>
      <c r="AN143" s="460"/>
    </row>
    <row r="144" spans="1:52" s="461" customFormat="1" ht="15" customHeight="1">
      <c r="A144" s="463"/>
      <c r="B144" s="1826" t="s">
        <v>2016</v>
      </c>
      <c r="C144" s="1826"/>
      <c r="D144" s="1826"/>
      <c r="E144" s="1826"/>
      <c r="F144" s="1826"/>
      <c r="G144" s="1826"/>
      <c r="H144" s="1826"/>
      <c r="I144" s="1826"/>
      <c r="J144" s="1826"/>
      <c r="K144" s="1826"/>
      <c r="L144" s="1826"/>
      <c r="M144" s="1826"/>
      <c r="N144" s="1826"/>
      <c r="O144" s="1826"/>
      <c r="P144" s="1826"/>
      <c r="Q144" s="1826"/>
      <c r="R144" s="1826"/>
      <c r="S144" s="1826"/>
      <c r="T144" s="1826"/>
      <c r="U144" s="1826"/>
      <c r="V144" s="1826"/>
      <c r="W144" s="1826"/>
      <c r="X144" s="1826"/>
      <c r="Y144" s="1826"/>
      <c r="Z144" s="1826"/>
      <c r="AA144" s="1826"/>
      <c r="AB144" s="1826"/>
      <c r="AC144" s="1826"/>
      <c r="AD144" s="464"/>
      <c r="AE144" s="519"/>
      <c r="AF144" s="519"/>
      <c r="AG144" s="519"/>
      <c r="AH144" s="519"/>
      <c r="AI144" s="519"/>
      <c r="AJ144" s="519"/>
      <c r="AK144" s="519"/>
      <c r="AL144" s="519"/>
      <c r="AM144" s="464"/>
      <c r="AN144" s="460"/>
      <c r="AP144" s="520"/>
    </row>
    <row r="145" spans="1:42" s="461" customFormat="1" ht="12.75" customHeight="1">
      <c r="A145" s="463"/>
      <c r="B145" s="463"/>
      <c r="C145" s="464"/>
      <c r="D145" s="464"/>
      <c r="E145" s="464"/>
      <c r="F145" s="464"/>
      <c r="G145" s="464"/>
      <c r="H145" s="464"/>
      <c r="I145" s="464"/>
      <c r="J145" s="464"/>
      <c r="K145" s="464"/>
      <c r="L145" s="464"/>
      <c r="M145" s="464"/>
      <c r="N145" s="464"/>
      <c r="O145" s="464"/>
      <c r="P145" s="464"/>
      <c r="Q145" s="464"/>
      <c r="R145" s="464"/>
      <c r="S145" s="464"/>
      <c r="T145" s="464"/>
      <c r="U145" s="464"/>
      <c r="V145" s="464"/>
      <c r="W145" s="464"/>
      <c r="X145" s="464"/>
      <c r="Y145" s="464"/>
      <c r="Z145" s="464"/>
      <c r="AA145" s="464"/>
      <c r="AB145" s="464"/>
      <c r="AC145" s="464"/>
      <c r="AD145" s="464"/>
      <c r="AE145" s="519"/>
      <c r="AF145" s="519"/>
      <c r="AG145" s="519"/>
      <c r="AH145" s="519"/>
      <c r="AI145" s="519"/>
      <c r="AJ145" s="519"/>
      <c r="AK145" s="519"/>
      <c r="AL145" s="519"/>
      <c r="AM145" s="464"/>
      <c r="AN145" s="460"/>
      <c r="AO145" s="374" t="s">
        <v>294</v>
      </c>
      <c r="AP145" s="470"/>
    </row>
    <row r="146" spans="1:42" s="461" customFormat="1" ht="12.75" customHeight="1">
      <c r="A146" s="463"/>
      <c r="B146" s="464" t="s">
        <v>2017</v>
      </c>
      <c r="C146" s="464"/>
      <c r="D146" s="464"/>
      <c r="E146" s="464"/>
      <c r="F146" s="464"/>
      <c r="G146" s="464"/>
      <c r="H146" s="464"/>
      <c r="I146" s="464"/>
      <c r="J146" s="464"/>
      <c r="K146" s="464"/>
      <c r="L146" s="464"/>
      <c r="M146" s="464"/>
      <c r="N146" s="464"/>
      <c r="O146" s="464"/>
      <c r="P146" s="464"/>
      <c r="Q146" s="464"/>
      <c r="R146" s="464"/>
      <c r="S146" s="464"/>
      <c r="T146" s="464"/>
      <c r="U146" s="464"/>
      <c r="V146" s="464"/>
      <c r="W146" s="464"/>
      <c r="X146" s="464"/>
      <c r="Y146" s="464"/>
      <c r="Z146" s="464"/>
      <c r="AA146" s="464"/>
      <c r="AB146" s="464"/>
      <c r="AC146" s="464"/>
      <c r="AD146" s="464"/>
      <c r="AE146" s="464"/>
      <c r="AF146" s="464"/>
      <c r="AG146" s="464"/>
      <c r="AH146" s="464"/>
      <c r="AI146" s="464"/>
      <c r="AJ146" s="464"/>
      <c r="AK146" s="464"/>
      <c r="AL146" s="464"/>
      <c r="AM146" s="464"/>
      <c r="AN146" s="460"/>
      <c r="AO146" s="402" t="s">
        <v>2018</v>
      </c>
      <c r="AP146" s="415">
        <v>5</v>
      </c>
    </row>
    <row r="147" spans="1:42" s="461" customFormat="1" ht="12.75" customHeight="1">
      <c r="A147" s="463"/>
      <c r="B147" s="1827" t="s">
        <v>2019</v>
      </c>
      <c r="C147" s="1827"/>
      <c r="D147" s="1827"/>
      <c r="E147" s="1827"/>
      <c r="F147" s="1827"/>
      <c r="G147" s="1827"/>
      <c r="H147" s="1827"/>
      <c r="I147" s="1827"/>
      <c r="J147" s="1827"/>
      <c r="K147" s="1827"/>
      <c r="L147" s="1827"/>
      <c r="M147" s="1827"/>
      <c r="N147" s="1827"/>
      <c r="O147" s="1827"/>
      <c r="P147" s="1827"/>
      <c r="Q147" s="1827"/>
      <c r="R147" s="1827"/>
      <c r="S147" s="1827"/>
      <c r="T147" s="1827"/>
      <c r="U147" s="1827"/>
      <c r="V147" s="1827"/>
      <c r="W147" s="1827"/>
      <c r="X147" s="1827"/>
      <c r="Y147" s="1827"/>
      <c r="Z147" s="1827"/>
      <c r="AA147" s="1827"/>
      <c r="AB147" s="1827"/>
      <c r="AC147" s="1827"/>
      <c r="AD147" s="1827"/>
      <c r="AE147" s="1827"/>
      <c r="AF147" s="1827"/>
      <c r="AG147" s="1827"/>
      <c r="AH147" s="1827"/>
      <c r="AI147" s="1827"/>
      <c r="AM147" s="464"/>
      <c r="AN147" s="460"/>
      <c r="AO147" s="402" t="s">
        <v>2019</v>
      </c>
      <c r="AP147" s="415">
        <v>7</v>
      </c>
    </row>
    <row r="148" spans="1:42" s="461" customFormat="1" ht="12.95" customHeight="1">
      <c r="A148" s="463"/>
      <c r="B148" s="530"/>
      <c r="C148" s="530"/>
      <c r="D148" s="530"/>
      <c r="E148" s="530"/>
      <c r="F148" s="530"/>
      <c r="G148" s="530"/>
      <c r="H148" s="530"/>
      <c r="I148" s="530"/>
      <c r="J148" s="530"/>
      <c r="K148" s="530"/>
      <c r="L148" s="530"/>
      <c r="M148" s="530"/>
      <c r="N148" s="530"/>
      <c r="O148" s="530"/>
      <c r="P148" s="530"/>
      <c r="Q148" s="530"/>
      <c r="R148" s="530"/>
      <c r="S148" s="530"/>
      <c r="T148" s="530"/>
      <c r="U148" s="530"/>
      <c r="V148" s="530"/>
      <c r="W148" s="530"/>
      <c r="X148" s="530"/>
      <c r="Y148" s="530"/>
      <c r="Z148" s="530"/>
      <c r="AA148" s="530"/>
      <c r="AB148" s="530"/>
      <c r="AC148" s="530"/>
      <c r="AD148" s="516"/>
      <c r="AM148" s="464"/>
      <c r="AN148" s="460"/>
      <c r="AO148" s="402" t="s">
        <v>2020</v>
      </c>
      <c r="AP148" s="415">
        <v>7</v>
      </c>
    </row>
    <row r="149" spans="1:42" s="461" customFormat="1" ht="12.75" customHeight="1">
      <c r="A149" s="463"/>
      <c r="B149" s="464" t="s">
        <v>2021</v>
      </c>
      <c r="AB149" s="1769" t="s">
        <v>299</v>
      </c>
      <c r="AC149" s="1769"/>
      <c r="AD149" s="516"/>
      <c r="AM149" s="464"/>
      <c r="AN149" s="460"/>
      <c r="AO149" s="402"/>
      <c r="AP149" s="402"/>
    </row>
    <row r="150" spans="1:42" s="461" customFormat="1" ht="9" customHeight="1">
      <c r="A150" s="463"/>
      <c r="B150" s="530"/>
      <c r="C150" s="530"/>
      <c r="D150" s="530"/>
      <c r="E150" s="530"/>
      <c r="F150" s="530"/>
      <c r="G150" s="530"/>
      <c r="H150" s="530"/>
      <c r="I150" s="530"/>
      <c r="J150" s="530"/>
      <c r="K150" s="530"/>
      <c r="L150" s="530"/>
      <c r="M150" s="530"/>
      <c r="N150" s="530"/>
      <c r="O150" s="530"/>
      <c r="P150" s="530"/>
      <c r="Q150" s="530"/>
      <c r="R150" s="530"/>
      <c r="S150" s="530"/>
      <c r="T150" s="530"/>
      <c r="U150" s="530"/>
      <c r="V150" s="530"/>
      <c r="W150" s="530"/>
      <c r="X150" s="530"/>
      <c r="Y150" s="530"/>
      <c r="Z150" s="530"/>
      <c r="AA150" s="530"/>
      <c r="AB150" s="530"/>
      <c r="AC150" s="530"/>
      <c r="AD150" s="516"/>
      <c r="AM150" s="464"/>
      <c r="AN150" s="460"/>
      <c r="AO150" s="374" t="s">
        <v>2022</v>
      </c>
      <c r="AP150" s="415"/>
    </row>
    <row r="151" spans="1:42" s="461" customFormat="1" ht="12.75" customHeight="1">
      <c r="A151" s="463"/>
      <c r="B151" s="463" t="s">
        <v>2023</v>
      </c>
      <c r="C151" s="530"/>
      <c r="D151" s="530"/>
      <c r="E151" s="530"/>
      <c r="F151" s="530"/>
      <c r="G151" s="530"/>
      <c r="H151" s="530"/>
      <c r="I151" s="530"/>
      <c r="J151" s="530"/>
      <c r="K151" s="530"/>
      <c r="L151" s="530"/>
      <c r="M151" s="530"/>
      <c r="N151" s="530"/>
      <c r="O151" s="530"/>
      <c r="P151" s="530"/>
      <c r="Q151" s="530"/>
      <c r="R151" s="530"/>
      <c r="S151" s="530"/>
      <c r="T151" s="530"/>
      <c r="U151" s="530"/>
      <c r="V151" s="530"/>
      <c r="W151" s="530"/>
      <c r="X151" s="530"/>
      <c r="Y151" s="530"/>
      <c r="Z151" s="530"/>
      <c r="AA151" s="530"/>
      <c r="AB151" s="530"/>
      <c r="AC151" s="530"/>
      <c r="AD151" s="516"/>
      <c r="AM151" s="464"/>
      <c r="AN151" s="460"/>
      <c r="AO151" s="402" t="s">
        <v>2024</v>
      </c>
      <c r="AP151" s="415">
        <v>5</v>
      </c>
    </row>
    <row r="152" spans="1:42" s="461" customFormat="1" ht="12.75" customHeight="1">
      <c r="A152" s="463"/>
      <c r="B152" s="1827" t="s">
        <v>2022</v>
      </c>
      <c r="C152" s="1827"/>
      <c r="D152" s="1827"/>
      <c r="E152" s="1827"/>
      <c r="F152" s="1827"/>
      <c r="G152" s="1827"/>
      <c r="H152" s="1827"/>
      <c r="I152" s="1827"/>
      <c r="J152" s="1827"/>
      <c r="K152" s="1827"/>
      <c r="L152" s="1827"/>
      <c r="M152" s="1827"/>
      <c r="N152" s="1827"/>
      <c r="O152" s="1827"/>
      <c r="P152" s="1827"/>
      <c r="Q152" s="1827"/>
      <c r="R152" s="1827"/>
      <c r="S152" s="1827"/>
      <c r="T152" s="1827"/>
      <c r="U152" s="1827"/>
      <c r="V152" s="1827"/>
      <c r="W152" s="1827"/>
      <c r="X152" s="1827"/>
      <c r="Y152" s="1827"/>
      <c r="Z152" s="1827"/>
      <c r="AA152" s="1827"/>
      <c r="AB152" s="1827"/>
      <c r="AC152" s="1827"/>
      <c r="AD152" s="1827"/>
      <c r="AE152" s="1827"/>
      <c r="AF152" s="1827"/>
      <c r="AG152" s="1827"/>
      <c r="AH152" s="1827"/>
      <c r="AI152" s="1827"/>
      <c r="AJ152" s="1827"/>
      <c r="AN152" s="460"/>
      <c r="AO152" s="402" t="s">
        <v>2025</v>
      </c>
      <c r="AP152" s="415">
        <v>7</v>
      </c>
    </row>
    <row r="153" spans="1:42" s="461" customFormat="1" ht="12.75" customHeight="1">
      <c r="B153" s="464" t="s">
        <v>2026</v>
      </c>
      <c r="C153" s="530"/>
      <c r="D153" s="530"/>
      <c r="E153" s="530"/>
      <c r="F153" s="530"/>
      <c r="G153" s="530"/>
      <c r="H153" s="530"/>
      <c r="I153" s="530"/>
      <c r="J153" s="530"/>
      <c r="K153" s="530"/>
      <c r="L153" s="530"/>
      <c r="M153" s="530"/>
      <c r="N153" s="530"/>
      <c r="O153" s="530"/>
      <c r="P153" s="530"/>
      <c r="Q153" s="530"/>
      <c r="R153" s="530"/>
      <c r="S153" s="530"/>
      <c r="T153" s="530"/>
      <c r="U153" s="530"/>
      <c r="AM153" s="464"/>
      <c r="AN153" s="460"/>
      <c r="AO153" s="402"/>
      <c r="AP153" s="415"/>
    </row>
    <row r="154" spans="1:42" s="461" customFormat="1" ht="12.75" customHeight="1">
      <c r="AM154" s="464"/>
      <c r="AN154" s="460"/>
    </row>
    <row r="155" spans="1:42" s="475" customFormat="1" ht="12.75" customHeight="1">
      <c r="A155" s="525"/>
      <c r="B155" s="526"/>
      <c r="C155" s="526"/>
      <c r="D155" s="526"/>
      <c r="E155" s="526"/>
      <c r="F155" s="526"/>
      <c r="G155" s="526"/>
      <c r="H155" s="526"/>
      <c r="I155" s="526"/>
      <c r="J155" s="526"/>
      <c r="K155" s="526"/>
      <c r="L155" s="526"/>
      <c r="M155" s="526"/>
      <c r="N155" s="526"/>
      <c r="O155" s="526"/>
      <c r="P155" s="526"/>
      <c r="Q155" s="526"/>
      <c r="R155" s="526"/>
      <c r="S155" s="526"/>
      <c r="T155" s="526"/>
      <c r="U155" s="526"/>
      <c r="V155" s="526"/>
      <c r="W155" s="526"/>
      <c r="X155" s="526"/>
      <c r="Y155" s="526"/>
      <c r="Z155" s="526"/>
      <c r="AA155" s="526"/>
      <c r="AB155" s="526"/>
      <c r="AC155" s="526"/>
      <c r="AD155" s="526"/>
      <c r="AE155" s="526"/>
      <c r="AF155" s="526"/>
      <c r="AG155" s="526"/>
      <c r="AH155" s="526"/>
      <c r="AI155" s="490" t="s">
        <v>2027</v>
      </c>
      <c r="AJ155" s="1693">
        <f>IF($AB$149="N/A",VLOOKUP($B$147,$AO$145:$AP$148,2,FALSE),VLOOKUP($B$152,$AO$150:$AP$152,2,FALSE))</f>
        <v>7</v>
      </c>
      <c r="AK155" s="1693"/>
      <c r="AL155" s="520"/>
      <c r="AM155" s="461"/>
      <c r="AN155" s="523"/>
    </row>
    <row r="156" spans="1:42" s="475" customFormat="1" ht="12.75" customHeight="1">
      <c r="A156" s="520"/>
      <c r="B156" s="520"/>
      <c r="C156" s="461"/>
      <c r="D156" s="461"/>
      <c r="E156" s="461"/>
      <c r="F156" s="461"/>
      <c r="G156" s="461"/>
      <c r="H156" s="461"/>
      <c r="I156" s="461"/>
      <c r="J156" s="461"/>
      <c r="K156" s="461"/>
      <c r="L156" s="461"/>
      <c r="M156" s="461"/>
      <c r="N156" s="461"/>
      <c r="O156" s="461"/>
      <c r="P156" s="461"/>
      <c r="Q156" s="461"/>
      <c r="R156" s="461"/>
      <c r="S156" s="461"/>
      <c r="T156" s="461"/>
      <c r="U156" s="461"/>
      <c r="V156" s="461"/>
      <c r="W156" s="461"/>
      <c r="X156" s="461"/>
      <c r="Y156" s="461"/>
      <c r="Z156" s="461"/>
      <c r="AA156" s="461"/>
      <c r="AB156" s="461"/>
      <c r="AC156" s="461"/>
      <c r="AD156" s="461"/>
      <c r="AE156" s="461"/>
      <c r="AF156" s="461"/>
      <c r="AG156" s="461"/>
      <c r="AH156" s="461"/>
      <c r="AI156" s="461"/>
      <c r="AJ156" s="461"/>
      <c r="AK156" s="461"/>
      <c r="AL156" s="461"/>
      <c r="AM156" s="461"/>
      <c r="AN156" s="523"/>
    </row>
    <row r="157" spans="1:42" s="475" customFormat="1" ht="12.75" customHeight="1">
      <c r="A157" s="461"/>
      <c r="B157" s="463" t="s">
        <v>2028</v>
      </c>
      <c r="C157" s="464"/>
      <c r="D157" s="461"/>
      <c r="E157" s="567"/>
      <c r="F157" s="567"/>
      <c r="G157" s="567"/>
      <c r="H157" s="567"/>
      <c r="I157" s="567"/>
      <c r="J157" s="567"/>
      <c r="K157" s="567"/>
      <c r="L157" s="567"/>
      <c r="M157" s="567"/>
      <c r="N157" s="567"/>
      <c r="O157" s="567"/>
      <c r="P157" s="567"/>
      <c r="Q157" s="567"/>
      <c r="R157" s="567"/>
      <c r="S157" s="567"/>
      <c r="T157" s="567"/>
      <c r="U157" s="567"/>
      <c r="V157" s="567"/>
      <c r="W157" s="567"/>
      <c r="X157" s="567"/>
      <c r="Y157" s="567"/>
      <c r="Z157" s="567"/>
      <c r="AA157" s="567"/>
      <c r="AB157" s="567"/>
      <c r="AC157" s="567"/>
      <c r="AD157" s="567"/>
      <c r="AE157" s="461"/>
      <c r="AF157" s="1733" t="s">
        <v>2029</v>
      </c>
      <c r="AG157" s="1733"/>
      <c r="AH157" s="1733"/>
      <c r="AI157" s="1733"/>
      <c r="AJ157" s="1733"/>
      <c r="AK157" s="1733"/>
      <c r="AL157" s="1733"/>
      <c r="AM157" s="528"/>
      <c r="AN157" s="523"/>
    </row>
    <row r="158" spans="1:42" s="475" customFormat="1" ht="12.75" customHeight="1">
      <c r="A158" s="461"/>
      <c r="B158" s="464" t="s">
        <v>2030</v>
      </c>
      <c r="C158" s="461"/>
      <c r="D158" s="461"/>
      <c r="E158" s="461"/>
      <c r="F158" s="461"/>
      <c r="G158" s="461"/>
      <c r="H158" s="461"/>
      <c r="I158" s="461"/>
      <c r="J158" s="461"/>
      <c r="K158" s="461"/>
      <c r="L158" s="461"/>
      <c r="M158" s="461"/>
      <c r="N158" s="461"/>
      <c r="O158" s="461"/>
      <c r="P158" s="461"/>
      <c r="Q158" s="461"/>
      <c r="R158" s="461"/>
      <c r="S158" s="461"/>
      <c r="T158" s="461"/>
      <c r="U158" s="461"/>
      <c r="V158" s="461"/>
      <c r="W158" s="461"/>
      <c r="X158" s="461"/>
      <c r="Y158" s="461"/>
      <c r="Z158" s="461"/>
      <c r="AA158" s="464"/>
      <c r="AB158" s="464"/>
      <c r="AC158" s="464"/>
      <c r="AD158" s="464"/>
      <c r="AE158" s="461"/>
      <c r="AF158" s="461"/>
      <c r="AG158" s="461"/>
      <c r="AH158" s="461"/>
      <c r="AI158" s="461"/>
      <c r="AJ158" s="461"/>
      <c r="AK158" s="461"/>
      <c r="AL158" s="461"/>
      <c r="AM158" s="528"/>
      <c r="AN158" s="523"/>
    </row>
    <row r="159" spans="1:42" s="475" customFormat="1" ht="12.75" customHeight="1">
      <c r="A159" s="461"/>
      <c r="B159" s="461"/>
      <c r="C159" s="1827" t="s">
        <v>2031</v>
      </c>
      <c r="D159" s="1827"/>
      <c r="E159" s="1827"/>
      <c r="F159" s="1827"/>
      <c r="G159" s="1827"/>
      <c r="H159" s="1827"/>
      <c r="I159" s="1827"/>
      <c r="J159" s="1827"/>
      <c r="K159" s="1827"/>
      <c r="L159" s="1827"/>
      <c r="M159" s="1827"/>
      <c r="N159" s="1827"/>
      <c r="O159" s="1827"/>
      <c r="P159" s="1827"/>
      <c r="Q159" s="1827"/>
      <c r="R159" s="1827"/>
      <c r="S159" s="1827"/>
      <c r="T159" s="1827"/>
      <c r="U159" s="1827"/>
      <c r="V159" s="1827"/>
      <c r="W159" s="1827"/>
      <c r="X159" s="1827"/>
      <c r="Y159" s="1827"/>
      <c r="Z159" s="1827"/>
      <c r="AA159" s="1827"/>
      <c r="AB159" s="1827"/>
      <c r="AC159" s="1827"/>
      <c r="AD159" s="1827"/>
      <c r="AE159" s="1827"/>
      <c r="AF159" s="1827"/>
      <c r="AG159" s="1827"/>
      <c r="AH159" s="1827"/>
      <c r="AI159" s="1827"/>
      <c r="AJ159" s="461"/>
      <c r="AK159" s="461"/>
      <c r="AL159" s="461"/>
      <c r="AM159" s="528"/>
      <c r="AN159" s="522"/>
      <c r="AO159" s="402" t="s">
        <v>294</v>
      </c>
      <c r="AP159" s="402"/>
    </row>
    <row r="160" spans="1:42" s="475" customFormat="1" ht="12.95" customHeight="1">
      <c r="A160" s="461"/>
      <c r="B160" s="461"/>
      <c r="C160" s="530"/>
      <c r="D160" s="530"/>
      <c r="E160" s="530"/>
      <c r="F160" s="530"/>
      <c r="G160" s="530"/>
      <c r="H160" s="530"/>
      <c r="I160" s="530"/>
      <c r="J160" s="530"/>
      <c r="K160" s="530"/>
      <c r="L160" s="530"/>
      <c r="M160" s="530"/>
      <c r="N160" s="530"/>
      <c r="O160" s="530"/>
      <c r="P160" s="530"/>
      <c r="Q160" s="530"/>
      <c r="R160" s="530"/>
      <c r="S160" s="530"/>
      <c r="T160" s="530"/>
      <c r="U160" s="530"/>
      <c r="V160" s="530"/>
      <c r="W160" s="530"/>
      <c r="X160" s="530"/>
      <c r="Y160" s="530"/>
      <c r="Z160" s="530"/>
      <c r="AA160" s="530"/>
      <c r="AB160" s="530"/>
      <c r="AC160" s="530"/>
      <c r="AD160" s="530"/>
      <c r="AE160" s="461"/>
      <c r="AF160" s="461"/>
      <c r="AG160" s="461"/>
      <c r="AH160" s="461"/>
      <c r="AI160" s="461"/>
      <c r="AJ160" s="461"/>
      <c r="AK160" s="461"/>
      <c r="AL160" s="461"/>
      <c r="AM160" s="528"/>
      <c r="AN160" s="522"/>
      <c r="AO160" s="402" t="s">
        <v>2032</v>
      </c>
      <c r="AP160" s="524">
        <v>2</v>
      </c>
    </row>
    <row r="161" spans="1:73" s="475" customFormat="1" ht="12.75" customHeight="1">
      <c r="A161" s="461"/>
      <c r="B161" s="461"/>
      <c r="C161" s="464" t="s">
        <v>2033</v>
      </c>
      <c r="D161" s="461"/>
      <c r="E161" s="461"/>
      <c r="F161" s="461"/>
      <c r="G161" s="461"/>
      <c r="H161" s="461"/>
      <c r="I161" s="461"/>
      <c r="J161" s="461"/>
      <c r="K161" s="461"/>
      <c r="L161" s="461"/>
      <c r="M161" s="461"/>
      <c r="N161" s="461"/>
      <c r="O161" s="461"/>
      <c r="P161" s="461"/>
      <c r="Q161" s="461"/>
      <c r="R161" s="461"/>
      <c r="S161" s="461"/>
      <c r="T161" s="461"/>
      <c r="U161" s="461"/>
      <c r="V161" s="461"/>
      <c r="W161" s="461"/>
      <c r="X161" s="461"/>
      <c r="Y161" s="461"/>
      <c r="Z161" s="461"/>
      <c r="AA161" s="461"/>
      <c r="AB161" s="461"/>
      <c r="AE161" s="461"/>
      <c r="AF161" s="1769" t="s">
        <v>299</v>
      </c>
      <c r="AG161" s="1769"/>
      <c r="AH161" s="461"/>
      <c r="AI161" s="461"/>
      <c r="AJ161" s="461"/>
      <c r="AK161" s="461"/>
      <c r="AL161" s="461"/>
      <c r="AM161" s="528"/>
      <c r="AN161" s="522"/>
      <c r="AO161" s="402" t="s">
        <v>2031</v>
      </c>
      <c r="AP161" s="524">
        <v>3</v>
      </c>
    </row>
    <row r="162" spans="1:73" s="475" customFormat="1" ht="9" customHeight="1">
      <c r="A162" s="461"/>
      <c r="B162" s="461"/>
      <c r="C162" s="530"/>
      <c r="D162" s="530"/>
      <c r="E162" s="530"/>
      <c r="F162" s="530"/>
      <c r="G162" s="530"/>
      <c r="H162" s="530"/>
      <c r="I162" s="530"/>
      <c r="J162" s="530"/>
      <c r="K162" s="530"/>
      <c r="L162" s="530"/>
      <c r="M162" s="530"/>
      <c r="N162" s="530"/>
      <c r="O162" s="530"/>
      <c r="P162" s="530"/>
      <c r="Q162" s="530"/>
      <c r="R162" s="530"/>
      <c r="S162" s="530"/>
      <c r="T162" s="530"/>
      <c r="U162" s="530"/>
      <c r="V162" s="530"/>
      <c r="W162" s="530"/>
      <c r="X162" s="530"/>
      <c r="Y162" s="530"/>
      <c r="Z162" s="530"/>
      <c r="AA162" s="530"/>
      <c r="AB162" s="530"/>
      <c r="AC162" s="530"/>
      <c r="AD162" s="530"/>
      <c r="AE162" s="461"/>
      <c r="AF162" s="461"/>
      <c r="AG162" s="461"/>
      <c r="AJ162" s="461"/>
      <c r="AK162" s="461"/>
      <c r="AL162" s="461"/>
      <c r="AM162" s="528"/>
      <c r="AN162" s="522"/>
      <c r="AO162" s="527" t="s">
        <v>2034</v>
      </c>
      <c r="AP162" s="524">
        <v>3</v>
      </c>
    </row>
    <row r="163" spans="1:73" s="475" customFormat="1" ht="12.75" customHeight="1">
      <c r="A163" s="461"/>
      <c r="B163" s="461"/>
      <c r="C163" s="1827" t="s">
        <v>2035</v>
      </c>
      <c r="D163" s="1827"/>
      <c r="E163" s="1827"/>
      <c r="F163" s="1827"/>
      <c r="G163" s="1827"/>
      <c r="H163" s="1827"/>
      <c r="I163" s="1827"/>
      <c r="J163" s="1827"/>
      <c r="K163" s="1827"/>
      <c r="L163" s="1827"/>
      <c r="M163" s="1827"/>
      <c r="N163" s="1827"/>
      <c r="O163" s="1827"/>
      <c r="P163" s="1827"/>
      <c r="Q163" s="1827"/>
      <c r="R163" s="1827"/>
      <c r="S163" s="1827"/>
      <c r="T163" s="1827"/>
      <c r="U163" s="1827"/>
      <c r="V163" s="1827"/>
      <c r="W163" s="1827"/>
      <c r="X163" s="1827"/>
      <c r="Y163" s="1827"/>
      <c r="Z163" s="1827"/>
      <c r="AA163" s="1827"/>
      <c r="AB163" s="1827"/>
      <c r="AC163" s="1827"/>
      <c r="AD163" s="1827"/>
      <c r="AE163" s="461"/>
      <c r="AF163" s="461"/>
      <c r="AG163" s="461"/>
      <c r="AH163" s="461"/>
      <c r="AI163" s="461"/>
      <c r="AJ163" s="461"/>
      <c r="AK163" s="461"/>
      <c r="AL163" s="461"/>
      <c r="AM163" s="528"/>
      <c r="AN163" s="522"/>
      <c r="AO163" s="527"/>
      <c r="AP163" s="524"/>
    </row>
    <row r="164" spans="1:73" s="475" customFormat="1" ht="12.75" customHeight="1">
      <c r="A164" s="461"/>
      <c r="B164" s="461"/>
      <c r="C164" s="464" t="s">
        <v>2026</v>
      </c>
      <c r="D164" s="464"/>
      <c r="E164" s="464"/>
      <c r="F164" s="464"/>
      <c r="G164" s="464"/>
      <c r="H164" s="464"/>
      <c r="I164" s="464"/>
      <c r="J164" s="464"/>
      <c r="K164" s="464"/>
      <c r="L164" s="464"/>
      <c r="M164" s="464"/>
      <c r="N164" s="464"/>
      <c r="O164" s="464"/>
      <c r="P164" s="464"/>
      <c r="Q164" s="464"/>
      <c r="R164" s="464"/>
      <c r="S164" s="464"/>
      <c r="T164" s="464"/>
      <c r="U164" s="464"/>
      <c r="V164" s="464"/>
      <c r="W164" s="464"/>
      <c r="X164" s="464"/>
      <c r="Y164" s="464"/>
      <c r="Z164" s="464"/>
      <c r="AA164" s="464"/>
      <c r="AB164" s="464"/>
      <c r="AC164" s="464"/>
      <c r="AD164" s="464"/>
      <c r="AE164" s="464"/>
      <c r="AF164" s="464"/>
      <c r="AG164" s="464"/>
      <c r="AH164" s="464"/>
      <c r="AI164" s="464"/>
      <c r="AJ164" s="464"/>
      <c r="AK164" s="464"/>
      <c r="AL164" s="461"/>
      <c r="AM164" s="528"/>
      <c r="AN164" s="522"/>
      <c r="AO164" s="529"/>
      <c r="AP164" s="529"/>
    </row>
    <row r="165" spans="1:73" s="475" customFormat="1" ht="12.75" customHeight="1">
      <c r="A165" s="461"/>
      <c r="B165" s="461"/>
      <c r="C165" s="461"/>
      <c r="D165" s="461"/>
      <c r="E165" s="461"/>
      <c r="F165" s="461"/>
      <c r="G165" s="461"/>
      <c r="H165" s="461"/>
      <c r="I165" s="461"/>
      <c r="J165" s="461"/>
      <c r="K165" s="461"/>
      <c r="L165" s="461"/>
      <c r="M165" s="461"/>
      <c r="N165" s="461"/>
      <c r="O165" s="461"/>
      <c r="P165" s="461"/>
      <c r="Q165" s="461"/>
      <c r="R165" s="461"/>
      <c r="S165" s="461"/>
      <c r="T165" s="461"/>
      <c r="U165" s="461"/>
      <c r="V165" s="461"/>
      <c r="W165" s="461"/>
      <c r="X165" s="461"/>
      <c r="Y165" s="461"/>
      <c r="Z165" s="461"/>
      <c r="AA165" s="461"/>
      <c r="AB165" s="461"/>
      <c r="AC165" s="461"/>
      <c r="AD165" s="461"/>
      <c r="AE165" s="461"/>
      <c r="AF165" s="461"/>
      <c r="AG165" s="461"/>
      <c r="AH165" s="461"/>
      <c r="AI165" s="461"/>
      <c r="AJ165" s="461"/>
      <c r="AK165" s="461"/>
      <c r="AL165" s="461"/>
      <c r="AM165" s="528"/>
      <c r="AN165" s="522"/>
    </row>
    <row r="166" spans="1:73" s="475" customFormat="1" ht="12.75" customHeight="1">
      <c r="A166" s="461"/>
      <c r="B166" s="461"/>
      <c r="C166" s="463" t="s">
        <v>2036</v>
      </c>
      <c r="D166" s="530"/>
      <c r="E166" s="530"/>
      <c r="F166" s="530"/>
      <c r="G166" s="530"/>
      <c r="H166" s="530"/>
      <c r="I166" s="530"/>
      <c r="J166" s="530"/>
      <c r="K166" s="530"/>
      <c r="L166" s="530"/>
      <c r="M166" s="530"/>
      <c r="N166" s="530"/>
      <c r="O166" s="530"/>
      <c r="P166" s="530"/>
      <c r="Q166" s="530"/>
      <c r="R166" s="530"/>
      <c r="S166" s="530"/>
      <c r="T166" s="530"/>
      <c r="U166" s="530"/>
      <c r="V166" s="530"/>
      <c r="W166" s="530"/>
      <c r="X166" s="530"/>
      <c r="Y166" s="530"/>
      <c r="Z166" s="530"/>
      <c r="AA166" s="530"/>
      <c r="AB166" s="530"/>
      <c r="AC166" s="530"/>
      <c r="AD166" s="530"/>
      <c r="AE166" s="461"/>
      <c r="AF166" s="461"/>
      <c r="AG166" s="461"/>
      <c r="AH166" s="461"/>
      <c r="AI166" s="461"/>
      <c r="AJ166" s="461"/>
      <c r="AK166" s="461"/>
      <c r="AL166" s="461"/>
      <c r="AM166" s="528"/>
      <c r="AN166" s="522"/>
      <c r="AO166" s="402" t="s">
        <v>2022</v>
      </c>
      <c r="AP166" s="402"/>
    </row>
    <row r="167" spans="1:73" s="475" customFormat="1" ht="12.75" customHeight="1">
      <c r="A167" s="461"/>
      <c r="B167" s="461"/>
      <c r="C167" s="1828" t="str">
        <f>Application!AA335</f>
        <v>Hyder &amp; Company</v>
      </c>
      <c r="D167" s="1828"/>
      <c r="E167" s="1828"/>
      <c r="F167" s="1828"/>
      <c r="G167" s="1828"/>
      <c r="H167" s="1828"/>
      <c r="I167" s="1828"/>
      <c r="J167" s="1828"/>
      <c r="K167" s="1828"/>
      <c r="L167" s="1828"/>
      <c r="M167" s="1828"/>
      <c r="N167" s="1828"/>
      <c r="O167" s="1828"/>
      <c r="P167" s="1828"/>
      <c r="Q167" s="1828"/>
      <c r="R167" s="1828"/>
      <c r="S167" s="1828"/>
      <c r="T167" s="1828"/>
      <c r="U167" s="1828"/>
      <c r="V167" s="1828"/>
      <c r="W167" s="1828"/>
      <c r="X167" s="1828"/>
      <c r="Y167" s="1828"/>
      <c r="Z167" s="1828"/>
      <c r="AA167" s="1828"/>
      <c r="AB167" s="1828"/>
      <c r="AC167" s="1828"/>
      <c r="AD167" s="1828"/>
      <c r="AE167" s="461"/>
      <c r="AF167" s="461"/>
      <c r="AG167" s="461"/>
      <c r="AH167" s="461"/>
      <c r="AI167" s="461"/>
      <c r="AJ167" s="461"/>
      <c r="AK167" s="461"/>
      <c r="AL167" s="461"/>
      <c r="AM167" s="528"/>
      <c r="AN167" s="522"/>
      <c r="AO167" s="402" t="s">
        <v>2037</v>
      </c>
      <c r="AP167" s="524">
        <v>2</v>
      </c>
    </row>
    <row r="168" spans="1:73" s="475" customFormat="1" ht="12.75" customHeight="1">
      <c r="A168" s="461"/>
      <c r="B168" s="461"/>
      <c r="C168" s="530"/>
      <c r="D168" s="530"/>
      <c r="E168" s="530"/>
      <c r="F168" s="530"/>
      <c r="G168" s="530"/>
      <c r="H168" s="530"/>
      <c r="I168" s="530"/>
      <c r="J168" s="530"/>
      <c r="K168" s="530"/>
      <c r="L168" s="530"/>
      <c r="M168" s="530"/>
      <c r="N168" s="530"/>
      <c r="O168" s="530"/>
      <c r="P168" s="530"/>
      <c r="Q168" s="530"/>
      <c r="R168" s="530"/>
      <c r="S168" s="530"/>
      <c r="T168" s="530"/>
      <c r="U168" s="530"/>
      <c r="V168" s="530"/>
      <c r="W168" s="530"/>
      <c r="X168" s="530"/>
      <c r="Y168" s="530"/>
      <c r="Z168" s="530"/>
      <c r="AA168" s="530"/>
      <c r="AB168" s="530"/>
      <c r="AC168" s="530"/>
      <c r="AD168" s="530"/>
      <c r="AE168" s="461"/>
      <c r="AF168" s="461"/>
      <c r="AG168" s="461"/>
      <c r="AH168" s="461"/>
      <c r="AI168" s="461"/>
      <c r="AJ168" s="461"/>
      <c r="AK168" s="461"/>
      <c r="AL168" s="461"/>
      <c r="AM168" s="528"/>
      <c r="AN168" s="522"/>
      <c r="AO168" s="402" t="s">
        <v>2035</v>
      </c>
      <c r="AP168" s="524">
        <v>3</v>
      </c>
    </row>
    <row r="169" spans="1:73" s="475" customFormat="1" ht="12.75" customHeight="1">
      <c r="A169" s="531"/>
      <c r="B169" s="489"/>
      <c r="C169" s="489"/>
      <c r="D169" s="488"/>
      <c r="E169" s="489"/>
      <c r="F169" s="489"/>
      <c r="G169" s="489"/>
      <c r="H169" s="489"/>
      <c r="I169" s="489"/>
      <c r="J169" s="489"/>
      <c r="K169" s="489"/>
      <c r="L169" s="489"/>
      <c r="M169" s="489"/>
      <c r="N169" s="489"/>
      <c r="O169" s="489"/>
      <c r="P169" s="489"/>
      <c r="Q169" s="526"/>
      <c r="R169" s="532"/>
      <c r="S169" s="489"/>
      <c r="T169" s="489"/>
      <c r="U169" s="489"/>
      <c r="V169" s="489"/>
      <c r="W169" s="489"/>
      <c r="X169" s="489"/>
      <c r="Y169" s="489"/>
      <c r="Z169" s="489"/>
      <c r="AA169" s="489"/>
      <c r="AB169" s="489"/>
      <c r="AC169" s="489"/>
      <c r="AD169" s="489"/>
      <c r="AE169" s="489"/>
      <c r="AF169" s="489"/>
      <c r="AG169" s="489"/>
      <c r="AH169" s="489"/>
      <c r="AI169" s="490" t="s">
        <v>2038</v>
      </c>
      <c r="AJ169" s="1692">
        <f>IF($AF$161="N/A",VLOOKUP($C$159,$AO$159:$AP$162,2,FALSE),VLOOKUP($C$163,$AO$166:$AP$168,2,FALSE))</f>
        <v>3</v>
      </c>
      <c r="AK169" s="1692"/>
      <c r="AL169" s="533"/>
      <c r="AM169" s="534"/>
      <c r="AN169" s="522"/>
      <c r="AO169" s="527"/>
      <c r="AP169" s="524"/>
    </row>
    <row r="170" spans="1:73" s="475" customFormat="1" ht="12.75" customHeight="1">
      <c r="A170" s="461"/>
      <c r="B170" s="535"/>
      <c r="R170" s="461"/>
      <c r="S170" s="535"/>
      <c r="AN170" s="522"/>
    </row>
    <row r="171" spans="1:73" s="475" customFormat="1" ht="12.75" customHeight="1">
      <c r="A171" s="536"/>
      <c r="B171" s="528"/>
      <c r="C171" s="528"/>
      <c r="D171" s="528"/>
      <c r="E171" s="528"/>
      <c r="F171" s="528"/>
      <c r="G171" s="528"/>
      <c r="H171" s="528"/>
      <c r="I171" s="528"/>
      <c r="J171" s="528"/>
      <c r="K171" s="528"/>
      <c r="L171" s="528"/>
      <c r="M171" s="528"/>
      <c r="N171" s="528"/>
      <c r="O171" s="528"/>
      <c r="P171" s="528"/>
      <c r="Q171" s="528"/>
      <c r="R171" s="528"/>
      <c r="S171" s="528"/>
      <c r="T171" s="528"/>
      <c r="U171" s="528"/>
      <c r="V171" s="528"/>
      <c r="W171" s="528"/>
      <c r="X171" s="528"/>
      <c r="Y171" s="528"/>
      <c r="Z171" s="528"/>
      <c r="AA171" s="528"/>
      <c r="AB171" s="528"/>
      <c r="AC171" s="528"/>
      <c r="AD171" s="528"/>
      <c r="AE171" s="528"/>
      <c r="AF171" s="528"/>
      <c r="AG171" s="528"/>
      <c r="AH171" s="528"/>
      <c r="AI171" s="528"/>
      <c r="AJ171" s="528"/>
      <c r="AK171" s="528"/>
      <c r="AL171" s="528"/>
      <c r="AM171" s="528"/>
      <c r="AN171" s="522"/>
    </row>
    <row r="172" spans="1:73" s="475" customFormat="1" ht="12.75" customHeight="1">
      <c r="A172" s="486"/>
      <c r="B172" s="487"/>
      <c r="C172" s="487"/>
      <c r="D172" s="487"/>
      <c r="E172" s="487"/>
      <c r="F172" s="487"/>
      <c r="G172" s="488"/>
      <c r="H172" s="489"/>
      <c r="I172" s="489"/>
      <c r="J172" s="489"/>
      <c r="K172" s="489"/>
      <c r="L172" s="489"/>
      <c r="M172" s="489"/>
      <c r="N172" s="489"/>
      <c r="O172" s="489"/>
      <c r="P172" s="489"/>
      <c r="Q172" s="489"/>
      <c r="R172" s="489"/>
      <c r="S172" s="489"/>
      <c r="T172" s="489"/>
      <c r="U172" s="489"/>
      <c r="V172" s="489"/>
      <c r="W172" s="489"/>
      <c r="X172" s="489"/>
      <c r="Y172" s="489"/>
      <c r="Z172" s="489"/>
      <c r="AA172" s="489"/>
      <c r="AB172" s="489"/>
      <c r="AC172" s="489"/>
      <c r="AD172" s="489"/>
      <c r="AE172" s="489"/>
      <c r="AF172" s="489"/>
      <c r="AG172" s="489"/>
      <c r="AH172" s="489"/>
      <c r="AI172" s="490"/>
      <c r="AJ172" s="490" t="s">
        <v>2039</v>
      </c>
      <c r="AK172" s="1821">
        <f>$AJ$155+$AJ$169</f>
        <v>10</v>
      </c>
      <c r="AL172" s="1822"/>
      <c r="AM172" s="1823"/>
      <c r="AN172" s="522"/>
    </row>
    <row r="173" spans="1:73" s="475" customFormat="1" ht="12.75" customHeight="1" thickBot="1">
      <c r="A173" s="491"/>
      <c r="B173" s="492"/>
      <c r="C173" s="493"/>
      <c r="D173" s="493"/>
      <c r="E173" s="493"/>
      <c r="F173" s="493"/>
      <c r="G173" s="493"/>
      <c r="H173" s="493"/>
      <c r="I173" s="493"/>
      <c r="J173" s="493"/>
      <c r="K173" s="493"/>
      <c r="L173" s="493"/>
      <c r="M173" s="493"/>
      <c r="N173" s="493"/>
      <c r="O173" s="493"/>
      <c r="P173" s="493"/>
      <c r="Q173" s="493"/>
      <c r="R173" s="493"/>
      <c r="S173" s="493"/>
      <c r="T173" s="493"/>
      <c r="U173" s="493"/>
      <c r="V173" s="493"/>
      <c r="W173" s="493"/>
      <c r="X173" s="493"/>
      <c r="Y173" s="493"/>
      <c r="Z173" s="493"/>
      <c r="AA173" s="493"/>
      <c r="AB173" s="493"/>
      <c r="AC173" s="493"/>
      <c r="AD173" s="493"/>
      <c r="AE173" s="493"/>
      <c r="AF173" s="493"/>
      <c r="AG173" s="493"/>
      <c r="AH173" s="493"/>
      <c r="AI173" s="493"/>
      <c r="AJ173" s="493"/>
      <c r="AK173" s="493"/>
      <c r="AL173" s="493"/>
      <c r="AM173" s="494"/>
      <c r="AN173" s="522"/>
      <c r="AO173" s="493"/>
      <c r="AR173" s="493"/>
      <c r="AS173" s="493"/>
      <c r="AT173" s="493"/>
      <c r="AU173" s="493"/>
      <c r="AV173" s="493"/>
      <c r="AW173" s="493"/>
      <c r="AX173" s="493"/>
      <c r="AY173" s="493"/>
      <c r="AZ173" s="493"/>
      <c r="BA173" s="493"/>
      <c r="BB173" s="493"/>
      <c r="BC173" s="493"/>
      <c r="BD173" s="493"/>
      <c r="BE173" s="493"/>
      <c r="BF173" s="493"/>
      <c r="BG173" s="493"/>
      <c r="BH173" s="493"/>
      <c r="BI173" s="493"/>
      <c r="BJ173" s="493"/>
      <c r="BK173" s="493"/>
      <c r="BL173" s="493"/>
      <c r="BM173" s="493"/>
      <c r="BN173" s="493"/>
      <c r="BO173" s="493"/>
      <c r="BP173" s="493"/>
      <c r="BQ173" s="493"/>
      <c r="BR173" s="493"/>
      <c r="BS173" s="493"/>
      <c r="BT173" s="493"/>
      <c r="BU173" s="493"/>
    </row>
    <row r="174" spans="1:73" s="475" customFormat="1" ht="12.75" customHeight="1" thickTop="1">
      <c r="A174" s="495"/>
      <c r="B174" s="496"/>
      <c r="C174" s="497"/>
      <c r="D174" s="497"/>
      <c r="E174" s="497"/>
      <c r="F174" s="497"/>
      <c r="G174" s="497"/>
      <c r="H174" s="497"/>
      <c r="I174" s="498"/>
      <c r="J174" s="498"/>
      <c r="K174" s="498"/>
      <c r="L174" s="498"/>
      <c r="M174" s="498"/>
      <c r="N174" s="498"/>
      <c r="O174" s="498"/>
      <c r="P174" s="498"/>
      <c r="Q174" s="498"/>
      <c r="R174" s="495"/>
      <c r="S174" s="464"/>
      <c r="T174" s="464"/>
      <c r="U174" s="464"/>
      <c r="V174" s="464"/>
      <c r="W174" s="464"/>
      <c r="X174" s="464"/>
      <c r="Y174" s="464"/>
      <c r="Z174" s="464"/>
      <c r="AA174" s="464"/>
      <c r="AB174" s="464"/>
      <c r="AC174" s="464"/>
      <c r="AD174" s="464"/>
      <c r="AE174" s="464"/>
      <c r="AF174" s="495"/>
      <c r="AG174" s="464"/>
      <c r="AH174" s="464"/>
      <c r="AI174" s="464"/>
      <c r="AJ174" s="464"/>
      <c r="AN174" s="522"/>
      <c r="AP174" s="537" t="s">
        <v>2040</v>
      </c>
      <c r="AQ174" s="537">
        <v>0</v>
      </c>
    </row>
    <row r="175" spans="1:73" s="475" customFormat="1" ht="12.75" customHeight="1">
      <c r="A175" s="463" t="s">
        <v>2041</v>
      </c>
      <c r="B175" s="463" t="s">
        <v>2042</v>
      </c>
      <c r="C175" s="538"/>
      <c r="D175" s="539"/>
      <c r="E175" s="539"/>
      <c r="F175" s="539"/>
      <c r="G175" s="539"/>
      <c r="H175" s="539"/>
      <c r="I175" s="539"/>
      <c r="J175" s="539"/>
      <c r="K175" s="461"/>
      <c r="L175" s="461"/>
      <c r="M175" s="461"/>
      <c r="N175" s="461"/>
      <c r="O175" s="461"/>
      <c r="P175" s="461"/>
      <c r="Q175" s="461"/>
      <c r="R175" s="461"/>
      <c r="S175" s="461"/>
      <c r="T175" s="461"/>
      <c r="U175" s="461"/>
      <c r="V175" s="461"/>
      <c r="W175" s="461"/>
      <c r="X175" s="461"/>
      <c r="Y175" s="540"/>
      <c r="Z175" s="540"/>
      <c r="AA175" s="540"/>
      <c r="AB175" s="540"/>
      <c r="AC175" s="461"/>
      <c r="AD175" s="461"/>
      <c r="AE175" s="1666" t="s">
        <v>1970</v>
      </c>
      <c r="AF175" s="1666"/>
      <c r="AG175" s="1666"/>
      <c r="AH175" s="1666"/>
      <c r="AI175" s="1666"/>
      <c r="AJ175" s="1666"/>
      <c r="AK175" s="1666"/>
      <c r="AL175" s="516"/>
      <c r="AN175" s="522"/>
      <c r="AP175" s="475" t="s">
        <v>987</v>
      </c>
      <c r="AQ175" s="475">
        <v>10</v>
      </c>
    </row>
    <row r="176" spans="1:73" s="475" customFormat="1" ht="12.75" customHeight="1">
      <c r="A176" s="463"/>
      <c r="B176" s="541"/>
      <c r="C176" s="542"/>
      <c r="D176" s="539"/>
      <c r="E176" s="539"/>
      <c r="F176" s="539"/>
      <c r="G176" s="539"/>
      <c r="H176" s="461"/>
      <c r="I176" s="461"/>
      <c r="J176" s="461"/>
      <c r="K176" s="461"/>
      <c r="L176" s="461"/>
      <c r="M176" s="461"/>
      <c r="N176" s="461"/>
      <c r="O176" s="461"/>
      <c r="P176" s="461"/>
      <c r="Q176" s="461"/>
      <c r="R176" s="540"/>
      <c r="S176" s="540"/>
      <c r="T176" s="540"/>
      <c r="U176" s="540"/>
      <c r="V176" s="540"/>
      <c r="W176" s="540"/>
      <c r="X176" s="540"/>
      <c r="Y176" s="540"/>
      <c r="Z176" s="540"/>
      <c r="AA176" s="540"/>
      <c r="AB176" s="540"/>
      <c r="AC176" s="516"/>
      <c r="AD176" s="516"/>
      <c r="AE176" s="461"/>
      <c r="AF176" s="461"/>
      <c r="AG176" s="461"/>
      <c r="AH176" s="461"/>
      <c r="AI176" s="461"/>
      <c r="AJ176" s="461"/>
      <c r="AK176" s="461"/>
      <c r="AL176" s="461"/>
      <c r="AN176" s="522"/>
      <c r="AP176" s="475" t="s">
        <v>2043</v>
      </c>
      <c r="AQ176" s="475">
        <v>10</v>
      </c>
    </row>
    <row r="177" spans="1:45" s="475" customFormat="1" ht="12.75" customHeight="1">
      <c r="A177" s="461"/>
      <c r="B177" s="1824" t="s">
        <v>987</v>
      </c>
      <c r="C177" s="1824"/>
      <c r="D177" s="1824"/>
      <c r="E177" s="1824"/>
      <c r="F177" s="1824"/>
      <c r="G177" s="1824"/>
      <c r="H177" s="1824"/>
      <c r="I177" s="1824"/>
      <c r="J177" s="1824"/>
      <c r="K177" s="1824"/>
      <c r="L177" s="1824"/>
      <c r="M177" s="1824"/>
      <c r="N177" s="1824"/>
      <c r="O177" s="1824"/>
      <c r="P177" s="1824"/>
      <c r="Q177" s="1824"/>
      <c r="R177" s="1824"/>
      <c r="S177" s="1824"/>
      <c r="T177" s="1824"/>
      <c r="U177" s="1824"/>
      <c r="V177" s="1824"/>
      <c r="W177" s="1824"/>
      <c r="X177" s="1824"/>
      <c r="Y177" s="1824"/>
      <c r="Z177" s="1824"/>
      <c r="AA177" s="1824"/>
      <c r="AB177" s="1824"/>
      <c r="AC177" s="1824"/>
      <c r="AD177" s="461"/>
      <c r="AE177" s="461"/>
      <c r="AF177" s="1733" t="s">
        <v>2044</v>
      </c>
      <c r="AG177" s="1733"/>
      <c r="AH177" s="1733"/>
      <c r="AI177" s="1733"/>
      <c r="AJ177" s="1733"/>
      <c r="AK177" s="1733"/>
      <c r="AL177" s="1733"/>
      <c r="AN177" s="522"/>
      <c r="AP177" s="475" t="s">
        <v>995</v>
      </c>
      <c r="AQ177" s="475">
        <v>10</v>
      </c>
    </row>
    <row r="178" spans="1:45" s="475" customFormat="1" ht="12.75" customHeight="1">
      <c r="A178" s="461"/>
      <c r="B178" s="1825" t="s">
        <v>2045</v>
      </c>
      <c r="C178" s="1825"/>
      <c r="D178" s="1825"/>
      <c r="E178" s="1825"/>
      <c r="F178" s="1825"/>
      <c r="G178" s="1825"/>
      <c r="H178" s="1825"/>
      <c r="I178" s="1825"/>
      <c r="J178" s="1825"/>
      <c r="K178" s="1825"/>
      <c r="L178" s="1825"/>
      <c r="M178" s="1825"/>
      <c r="N178" s="1825"/>
      <c r="O178" s="1825"/>
      <c r="P178" s="1825"/>
      <c r="Q178" s="1825"/>
      <c r="R178" s="1825"/>
      <c r="S178" s="1825"/>
      <c r="T178" s="1826" t="s">
        <v>299</v>
      </c>
      <c r="U178" s="1826"/>
      <c r="V178" s="1826"/>
      <c r="W178" s="1826"/>
      <c r="X178" s="1826"/>
      <c r="Y178" s="1826"/>
      <c r="Z178" s="1826"/>
      <c r="AA178" s="1826"/>
      <c r="AB178" s="1826"/>
      <c r="AC178" s="1826"/>
      <c r="AD178" s="461"/>
      <c r="AE178" s="461"/>
      <c r="AF178" s="461"/>
      <c r="AG178" s="461"/>
      <c r="AH178" s="461"/>
      <c r="AI178" s="461"/>
      <c r="AJ178" s="468"/>
      <c r="AK178" s="520"/>
      <c r="AL178" s="520"/>
      <c r="AM178" s="520"/>
      <c r="AN178" s="522"/>
      <c r="AP178" s="475" t="s">
        <v>996</v>
      </c>
      <c r="AQ178" s="475">
        <v>10</v>
      </c>
      <c r="AS178" s="475" t="s">
        <v>299</v>
      </c>
    </row>
    <row r="179" spans="1:45" s="475" customFormat="1" ht="12.75" customHeight="1">
      <c r="A179" s="461"/>
      <c r="B179" s="530"/>
      <c r="C179" s="530"/>
      <c r="D179" s="530"/>
      <c r="E179" s="530"/>
      <c r="F179" s="530"/>
      <c r="G179" s="530"/>
      <c r="H179" s="530"/>
      <c r="I179" s="530"/>
      <c r="J179" s="530"/>
      <c r="K179" s="530"/>
      <c r="L179" s="530"/>
      <c r="M179" s="530"/>
      <c r="N179" s="530"/>
      <c r="O179" s="530"/>
      <c r="P179" s="530"/>
      <c r="Q179" s="530"/>
      <c r="R179" s="530"/>
      <c r="S179" s="530"/>
      <c r="T179" s="530"/>
      <c r="U179" s="530"/>
      <c r="V179" s="530"/>
      <c r="W179" s="530"/>
      <c r="X179" s="530"/>
      <c r="Y179" s="530"/>
      <c r="Z179" s="530"/>
      <c r="AA179" s="530"/>
      <c r="AB179" s="530"/>
      <c r="AC179" s="530"/>
      <c r="AD179" s="530"/>
      <c r="AE179" s="461"/>
      <c r="AF179" s="461"/>
      <c r="AG179" s="461"/>
      <c r="AH179" s="461"/>
      <c r="AI179" s="461"/>
      <c r="AJ179" s="468"/>
      <c r="AK179" s="520"/>
      <c r="AL179" s="520"/>
      <c r="AM179" s="543"/>
      <c r="AP179" s="475" t="s">
        <v>2046</v>
      </c>
      <c r="AQ179" s="475">
        <v>10</v>
      </c>
      <c r="AS179" s="475" t="s">
        <v>2047</v>
      </c>
    </row>
    <row r="180" spans="1:45" s="475" customFormat="1" ht="12.75" customHeight="1">
      <c r="A180" s="531"/>
      <c r="B180" s="489"/>
      <c r="C180" s="489"/>
      <c r="D180" s="489"/>
      <c r="E180" s="489"/>
      <c r="F180" s="489"/>
      <c r="G180" s="489"/>
      <c r="H180" s="489"/>
      <c r="I180" s="489"/>
      <c r="J180" s="489"/>
      <c r="K180" s="489"/>
      <c r="L180" s="489"/>
      <c r="M180" s="489"/>
      <c r="N180" s="489"/>
      <c r="O180" s="489"/>
      <c r="P180" s="489"/>
      <c r="Q180" s="489"/>
      <c r="R180" s="489"/>
      <c r="S180" s="489"/>
      <c r="T180" s="489"/>
      <c r="U180" s="489"/>
      <c r="V180" s="489"/>
      <c r="W180" s="489"/>
      <c r="X180" s="489"/>
      <c r="Y180" s="489"/>
      <c r="Z180" s="489"/>
      <c r="AA180" s="489"/>
      <c r="AB180" s="489"/>
      <c r="AC180" s="489"/>
      <c r="AD180" s="489"/>
      <c r="AE180" s="489"/>
      <c r="AF180" s="489"/>
      <c r="AG180" s="489"/>
      <c r="AH180" s="489"/>
      <c r="AI180" s="490"/>
      <c r="AJ180" s="490" t="s">
        <v>2048</v>
      </c>
      <c r="AK180" s="1660">
        <f>IF(AK78&gt;0,VLOOKUP($B$177,AP174:AQ180,2,FALSE),0)</f>
        <v>10</v>
      </c>
      <c r="AL180" s="1661"/>
      <c r="AM180" s="1662"/>
      <c r="AN180" s="460"/>
      <c r="AP180" s="475" t="s">
        <v>2049</v>
      </c>
      <c r="AQ180" s="475">
        <v>10</v>
      </c>
      <c r="AS180" s="475" t="s">
        <v>2050</v>
      </c>
    </row>
    <row r="181" spans="1:45" s="475" customFormat="1" ht="12.75" customHeight="1" thickBot="1">
      <c r="A181" s="544"/>
      <c r="B181" s="544"/>
      <c r="C181" s="545"/>
      <c r="D181" s="546"/>
      <c r="E181" s="546"/>
      <c r="F181" s="546"/>
      <c r="G181" s="546"/>
      <c r="H181" s="546"/>
      <c r="I181" s="546"/>
      <c r="J181" s="546"/>
      <c r="K181" s="546"/>
      <c r="L181" s="546"/>
      <c r="M181" s="546"/>
      <c r="N181" s="546"/>
      <c r="O181" s="546"/>
      <c r="P181" s="546"/>
      <c r="Q181" s="546"/>
      <c r="R181" s="546"/>
      <c r="S181" s="546"/>
      <c r="T181" s="546"/>
      <c r="U181" s="546"/>
      <c r="V181" s="546"/>
      <c r="W181" s="546"/>
      <c r="X181" s="546"/>
      <c r="Y181" s="546"/>
      <c r="Z181" s="546"/>
      <c r="AA181" s="546"/>
      <c r="AB181" s="546"/>
      <c r="AC181" s="546"/>
      <c r="AD181" s="546"/>
      <c r="AE181" s="546"/>
      <c r="AF181" s="546"/>
      <c r="AG181" s="546"/>
      <c r="AH181" s="546"/>
      <c r="AI181" s="546"/>
      <c r="AJ181" s="546"/>
      <c r="AK181" s="546"/>
      <c r="AL181" s="546"/>
      <c r="AM181" s="546"/>
      <c r="AN181" s="522"/>
    </row>
    <row r="182" spans="1:45" s="475" customFormat="1" ht="12.75" customHeight="1" thickTop="1">
      <c r="A182" s="495"/>
      <c r="B182" s="496"/>
      <c r="C182" s="497"/>
      <c r="D182" s="497"/>
      <c r="E182" s="497"/>
      <c r="F182" s="497"/>
      <c r="G182" s="497"/>
      <c r="H182" s="497"/>
      <c r="I182" s="498"/>
      <c r="J182" s="498"/>
      <c r="K182" s="498"/>
      <c r="L182" s="498"/>
      <c r="M182" s="498"/>
      <c r="N182" s="498"/>
      <c r="O182" s="498"/>
      <c r="P182" s="498"/>
      <c r="Q182" s="498"/>
      <c r="R182" s="495"/>
      <c r="S182" s="464"/>
      <c r="T182" s="464"/>
      <c r="U182" s="464"/>
      <c r="V182" s="464"/>
      <c r="W182" s="464"/>
      <c r="X182" s="464"/>
      <c r="Y182" s="464"/>
      <c r="Z182" s="464"/>
      <c r="AA182" s="464"/>
      <c r="AB182" s="464"/>
      <c r="AC182" s="464"/>
      <c r="AD182" s="464"/>
      <c r="AE182" s="464"/>
      <c r="AF182" s="495"/>
      <c r="AG182" s="464"/>
      <c r="AH182" s="464"/>
      <c r="AI182" s="464"/>
      <c r="AJ182" s="464"/>
      <c r="AN182" s="522"/>
    </row>
    <row r="183" spans="1:45">
      <c r="A183" s="463" t="s">
        <v>2051</v>
      </c>
      <c r="B183" s="463" t="s">
        <v>2052</v>
      </c>
      <c r="C183" s="538"/>
      <c r="D183" s="539"/>
      <c r="E183" s="539"/>
      <c r="F183" s="539"/>
      <c r="G183" s="539"/>
      <c r="H183" s="539"/>
      <c r="I183" s="539"/>
      <c r="J183" s="539"/>
      <c r="K183" s="475"/>
      <c r="L183" s="475"/>
      <c r="M183" s="475"/>
      <c r="N183" s="475"/>
      <c r="O183" s="475"/>
      <c r="P183" s="475"/>
      <c r="Q183" s="475"/>
      <c r="R183" s="475"/>
      <c r="S183" s="475"/>
      <c r="T183" s="475"/>
      <c r="U183" s="475"/>
      <c r="V183" s="475"/>
      <c r="W183" s="475"/>
      <c r="X183" s="475"/>
      <c r="Y183" s="540"/>
      <c r="Z183" s="540"/>
      <c r="AA183" s="540"/>
      <c r="AB183" s="540"/>
      <c r="AC183" s="475"/>
      <c r="AD183" s="475"/>
      <c r="AE183" s="1666" t="s">
        <v>2053</v>
      </c>
      <c r="AF183" s="1666"/>
      <c r="AG183" s="1666"/>
      <c r="AH183" s="1666"/>
      <c r="AI183" s="1666"/>
      <c r="AJ183" s="1666"/>
      <c r="AK183" s="1666"/>
    </row>
    <row r="184" spans="1:45">
      <c r="A184" s="463"/>
      <c r="B184" s="463"/>
      <c r="C184" s="538"/>
      <c r="D184" s="539"/>
      <c r="E184" s="539"/>
      <c r="F184" s="539"/>
      <c r="G184" s="539"/>
      <c r="H184" s="539"/>
      <c r="I184" s="539"/>
      <c r="J184" s="539"/>
      <c r="K184" s="461"/>
      <c r="L184" s="461"/>
      <c r="M184" s="461"/>
      <c r="N184" s="461"/>
      <c r="O184" s="461"/>
      <c r="P184" s="461"/>
      <c r="Q184" s="461"/>
      <c r="R184" s="461"/>
      <c r="S184" s="461"/>
      <c r="T184" s="461"/>
      <c r="U184" s="461"/>
      <c r="V184" s="461"/>
      <c r="W184" s="461"/>
      <c r="X184" s="461"/>
      <c r="Y184" s="540"/>
      <c r="Z184" s="540"/>
      <c r="AA184" s="540"/>
      <c r="AB184" s="540"/>
      <c r="AC184" s="461"/>
      <c r="AD184" s="461"/>
      <c r="AE184" s="468"/>
      <c r="AF184" s="468"/>
      <c r="AG184" s="468"/>
      <c r="AH184" s="468"/>
      <c r="AI184" s="468"/>
      <c r="AJ184" s="468"/>
      <c r="AK184" s="468"/>
    </row>
    <row r="185" spans="1:45">
      <c r="A185" s="463"/>
      <c r="B185" s="769" t="s">
        <v>2054</v>
      </c>
      <c r="C185" s="538"/>
      <c r="D185" s="539"/>
      <c r="E185" s="539"/>
      <c r="F185" s="539"/>
      <c r="G185" s="539"/>
      <c r="H185" s="539"/>
      <c r="I185" s="539"/>
      <c r="J185" s="539"/>
      <c r="K185" s="461"/>
      <c r="L185" s="461"/>
      <c r="M185" s="461"/>
      <c r="N185" s="461"/>
      <c r="O185" s="461"/>
      <c r="P185" s="461"/>
      <c r="Q185" s="461"/>
      <c r="R185" s="461"/>
      <c r="S185" s="461"/>
      <c r="T185" s="461"/>
      <c r="U185" s="461"/>
      <c r="V185" s="461"/>
      <c r="W185" s="461"/>
      <c r="X185" s="461"/>
      <c r="Y185" s="540"/>
      <c r="Z185" s="540"/>
      <c r="AA185" s="540"/>
      <c r="AB185" s="540"/>
      <c r="AC185" s="461"/>
      <c r="AD185" s="461"/>
      <c r="AE185" s="468"/>
      <c r="AF185" s="468"/>
      <c r="AG185" s="468"/>
      <c r="AH185" s="468"/>
      <c r="AI185" s="468"/>
      <c r="AJ185" s="468"/>
      <c r="AK185" s="468"/>
    </row>
    <row r="186" spans="1:45">
      <c r="A186" s="530"/>
      <c r="C186" s="588"/>
      <c r="D186" s="752"/>
      <c r="E186" s="752"/>
      <c r="F186" s="752"/>
      <c r="G186" s="752"/>
      <c r="H186" s="752"/>
      <c r="I186" s="752"/>
      <c r="J186" s="752"/>
      <c r="K186" s="461"/>
      <c r="L186" s="461"/>
      <c r="M186" s="461"/>
      <c r="N186" s="461"/>
      <c r="O186" s="461"/>
      <c r="P186" s="461"/>
      <c r="Q186" s="461"/>
      <c r="R186" s="461"/>
      <c r="S186" s="461"/>
      <c r="T186" s="461"/>
      <c r="U186" s="461"/>
      <c r="V186" s="461"/>
      <c r="W186" s="461"/>
      <c r="X186" s="461"/>
      <c r="Y186" s="568"/>
      <c r="Z186" s="568"/>
      <c r="AA186" s="568"/>
      <c r="AB186" s="568"/>
      <c r="AC186" s="461"/>
      <c r="AD186" s="461"/>
      <c r="AE186" s="535"/>
      <c r="AF186" s="535"/>
      <c r="AG186" s="535"/>
      <c r="AH186" s="535"/>
      <c r="AI186" s="535"/>
      <c r="AJ186" s="535"/>
      <c r="AK186" s="535"/>
    </row>
    <row r="187" spans="1:45">
      <c r="A187" s="530"/>
      <c r="B187" s="770" t="s">
        <v>2055</v>
      </c>
      <c r="C187" s="588"/>
      <c r="D187" s="752"/>
      <c r="E187" s="752"/>
      <c r="F187" s="752"/>
      <c r="G187" s="752"/>
      <c r="H187" s="752"/>
      <c r="I187" s="752"/>
      <c r="J187" s="752"/>
      <c r="K187" s="461"/>
      <c r="L187" s="461"/>
      <c r="M187" s="461"/>
      <c r="N187" s="461"/>
      <c r="O187" s="461"/>
      <c r="P187" s="461"/>
      <c r="Q187" s="461"/>
      <c r="R187" s="461"/>
      <c r="S187" s="461"/>
      <c r="T187" s="461"/>
      <c r="U187" s="461"/>
      <c r="V187" s="461"/>
      <c r="W187" s="461"/>
      <c r="X187" s="461"/>
      <c r="Y187" s="568"/>
      <c r="Z187" s="568"/>
      <c r="AA187" s="568"/>
      <c r="AB187" s="568"/>
      <c r="AC187" s="461"/>
      <c r="AD187" s="461"/>
      <c r="AE187" s="535"/>
      <c r="AF187" s="535"/>
      <c r="AG187" s="535"/>
      <c r="AH187" s="535"/>
      <c r="AI187" s="535"/>
      <c r="AJ187" s="535"/>
      <c r="AK187" s="535"/>
    </row>
    <row r="188" spans="1:45">
      <c r="A188" s="530"/>
      <c r="B188" s="1818" t="s">
        <v>1465</v>
      </c>
      <c r="C188" s="1818"/>
      <c r="D188" s="1818"/>
      <c r="E188" s="1818"/>
      <c r="F188" s="1818"/>
      <c r="G188" s="1818"/>
      <c r="H188" s="1818"/>
      <c r="I188" s="1818"/>
      <c r="J188" s="1818"/>
      <c r="K188" s="1818"/>
      <c r="L188" s="1818"/>
      <c r="M188" s="1818"/>
      <c r="N188" s="1818"/>
      <c r="O188" s="1818"/>
      <c r="P188" s="1818"/>
      <c r="Q188" s="1818"/>
      <c r="R188" s="1818"/>
      <c r="S188" s="1818"/>
      <c r="T188" s="1818"/>
      <c r="U188" s="1818"/>
      <c r="V188" s="1818"/>
      <c r="W188" s="1818"/>
      <c r="X188" s="1818"/>
      <c r="Y188" s="1818"/>
      <c r="Z188" s="1818"/>
      <c r="AA188" s="1818"/>
      <c r="AB188" s="1818"/>
      <c r="AC188" s="771"/>
      <c r="AD188" s="1808">
        <v>2200000</v>
      </c>
      <c r="AE188" s="1808"/>
      <c r="AF188" s="1808"/>
      <c r="AG188" s="1808"/>
      <c r="AH188" s="1808"/>
      <c r="AI188" s="1808"/>
      <c r="AJ188" s="1808"/>
      <c r="AK188" s="535"/>
    </row>
    <row r="189" spans="1:45">
      <c r="A189" s="530"/>
      <c r="B189" s="1818" t="s">
        <v>1470</v>
      </c>
      <c r="C189" s="1818"/>
      <c r="D189" s="1818"/>
      <c r="E189" s="1818"/>
      <c r="F189" s="1818"/>
      <c r="G189" s="1818"/>
      <c r="H189" s="1818"/>
      <c r="I189" s="1818"/>
      <c r="J189" s="1818"/>
      <c r="K189" s="1818"/>
      <c r="L189" s="1818"/>
      <c r="M189" s="1818"/>
      <c r="N189" s="1818"/>
      <c r="O189" s="1818"/>
      <c r="P189" s="1818"/>
      <c r="Q189" s="1818"/>
      <c r="R189" s="1818"/>
      <c r="S189" s="1818"/>
      <c r="T189" s="1818"/>
      <c r="U189" s="1818"/>
      <c r="V189" s="1818"/>
      <c r="W189" s="1818"/>
      <c r="X189" s="1818"/>
      <c r="Y189" s="1818"/>
      <c r="Z189" s="1818"/>
      <c r="AA189" s="1818"/>
      <c r="AB189" s="1818"/>
      <c r="AC189" s="771"/>
      <c r="AD189" s="1808">
        <v>2750000</v>
      </c>
      <c r="AE189" s="1808"/>
      <c r="AF189" s="1808"/>
      <c r="AG189" s="1808"/>
      <c r="AH189" s="1808"/>
      <c r="AI189" s="1808"/>
      <c r="AJ189" s="1808"/>
      <c r="AK189" s="535"/>
    </row>
    <row r="190" spans="1:45">
      <c r="A190" s="530"/>
      <c r="B190" s="1818" t="s">
        <v>1468</v>
      </c>
      <c r="C190" s="1818"/>
      <c r="D190" s="1818"/>
      <c r="E190" s="1818"/>
      <c r="F190" s="1818"/>
      <c r="G190" s="1818"/>
      <c r="H190" s="1818"/>
      <c r="I190" s="1818"/>
      <c r="J190" s="1818"/>
      <c r="K190" s="1818"/>
      <c r="L190" s="1818"/>
      <c r="M190" s="1818"/>
      <c r="N190" s="1818"/>
      <c r="O190" s="1818"/>
      <c r="P190" s="1818"/>
      <c r="Q190" s="1818"/>
      <c r="R190" s="1818"/>
      <c r="S190" s="1818"/>
      <c r="T190" s="1818"/>
      <c r="U190" s="1818"/>
      <c r="V190" s="1818"/>
      <c r="W190" s="1818"/>
      <c r="X190" s="1818"/>
      <c r="Y190" s="1818"/>
      <c r="Z190" s="1818"/>
      <c r="AA190" s="1818"/>
      <c r="AB190" s="1818"/>
      <c r="AC190" s="771"/>
      <c r="AD190" s="1808">
        <v>2500000</v>
      </c>
      <c r="AE190" s="1808"/>
      <c r="AF190" s="1808"/>
      <c r="AG190" s="1808"/>
      <c r="AH190" s="1808"/>
      <c r="AI190" s="1808"/>
      <c r="AJ190" s="1808"/>
      <c r="AK190" s="535"/>
    </row>
    <row r="191" spans="1:45">
      <c r="A191" s="530"/>
      <c r="B191" s="1818"/>
      <c r="C191" s="1818"/>
      <c r="D191" s="1818"/>
      <c r="E191" s="1818"/>
      <c r="F191" s="1818"/>
      <c r="G191" s="1818"/>
      <c r="H191" s="1818"/>
      <c r="I191" s="1818"/>
      <c r="J191" s="1818"/>
      <c r="K191" s="1818"/>
      <c r="L191" s="1818"/>
      <c r="M191" s="1818"/>
      <c r="N191" s="1818"/>
      <c r="O191" s="1818"/>
      <c r="P191" s="1818"/>
      <c r="Q191" s="1818"/>
      <c r="R191" s="1818"/>
      <c r="S191" s="1818"/>
      <c r="T191" s="1818"/>
      <c r="U191" s="1818"/>
      <c r="V191" s="1818"/>
      <c r="W191" s="1818"/>
      <c r="X191" s="1818"/>
      <c r="Y191" s="1818"/>
      <c r="Z191" s="1818"/>
      <c r="AA191" s="1818"/>
      <c r="AB191" s="1818"/>
      <c r="AC191" s="771"/>
      <c r="AD191" s="1808"/>
      <c r="AE191" s="1808"/>
      <c r="AF191" s="1808"/>
      <c r="AG191" s="1808"/>
      <c r="AH191" s="1808"/>
      <c r="AI191" s="1808"/>
      <c r="AJ191" s="1808"/>
      <c r="AK191" s="535"/>
    </row>
    <row r="192" spans="1:45">
      <c r="A192" s="530"/>
      <c r="B192" s="1818"/>
      <c r="C192" s="1818"/>
      <c r="D192" s="1818"/>
      <c r="E192" s="1818"/>
      <c r="F192" s="1818"/>
      <c r="G192" s="1818"/>
      <c r="H192" s="1818"/>
      <c r="I192" s="1818"/>
      <c r="J192" s="1818"/>
      <c r="K192" s="1818"/>
      <c r="L192" s="1818"/>
      <c r="M192" s="1818"/>
      <c r="N192" s="1818"/>
      <c r="O192" s="1818"/>
      <c r="P192" s="1818"/>
      <c r="Q192" s="1818"/>
      <c r="R192" s="1818"/>
      <c r="S192" s="1818"/>
      <c r="T192" s="1818"/>
      <c r="U192" s="1818"/>
      <c r="V192" s="1818"/>
      <c r="W192" s="1818"/>
      <c r="X192" s="1818"/>
      <c r="Y192" s="1818"/>
      <c r="Z192" s="1818"/>
      <c r="AA192" s="1818"/>
      <c r="AB192" s="1818"/>
      <c r="AC192" s="771"/>
      <c r="AD192" s="1808"/>
      <c r="AE192" s="1808"/>
      <c r="AF192" s="1808"/>
      <c r="AG192" s="1808"/>
      <c r="AH192" s="1808"/>
      <c r="AI192" s="1808"/>
      <c r="AJ192" s="1808"/>
      <c r="AK192" s="535"/>
    </row>
    <row r="193" spans="1:37">
      <c r="A193" s="530"/>
      <c r="B193" s="1818"/>
      <c r="C193" s="1818"/>
      <c r="D193" s="1818"/>
      <c r="E193" s="1818"/>
      <c r="F193" s="1818"/>
      <c r="G193" s="1818"/>
      <c r="H193" s="1818"/>
      <c r="I193" s="1818"/>
      <c r="J193" s="1818"/>
      <c r="K193" s="1818"/>
      <c r="L193" s="1818"/>
      <c r="M193" s="1818"/>
      <c r="N193" s="1818"/>
      <c r="O193" s="1818"/>
      <c r="P193" s="1818"/>
      <c r="Q193" s="1818"/>
      <c r="R193" s="1818"/>
      <c r="S193" s="1818"/>
      <c r="T193" s="1818"/>
      <c r="U193" s="1818"/>
      <c r="V193" s="1818"/>
      <c r="W193" s="1818"/>
      <c r="X193" s="1818"/>
      <c r="Y193" s="1818"/>
      <c r="Z193" s="1818"/>
      <c r="AA193" s="1818"/>
      <c r="AB193" s="1818"/>
      <c r="AC193" s="771"/>
      <c r="AD193" s="1808"/>
      <c r="AE193" s="1808"/>
      <c r="AF193" s="1808"/>
      <c r="AG193" s="1808"/>
      <c r="AH193" s="1808"/>
      <c r="AI193" s="1808"/>
      <c r="AJ193" s="1808"/>
      <c r="AK193" s="535"/>
    </row>
    <row r="194" spans="1:37">
      <c r="A194" s="530"/>
      <c r="B194" s="1818"/>
      <c r="C194" s="1818"/>
      <c r="D194" s="1818"/>
      <c r="E194" s="1818"/>
      <c r="F194" s="1818"/>
      <c r="G194" s="1818"/>
      <c r="H194" s="1818"/>
      <c r="I194" s="1818"/>
      <c r="J194" s="1818"/>
      <c r="K194" s="1818"/>
      <c r="L194" s="1818"/>
      <c r="M194" s="1818"/>
      <c r="N194" s="1818"/>
      <c r="O194" s="1818"/>
      <c r="P194" s="1818"/>
      <c r="Q194" s="1818"/>
      <c r="R194" s="1818"/>
      <c r="S194" s="1818"/>
      <c r="T194" s="1818"/>
      <c r="U194" s="1818"/>
      <c r="V194" s="1818"/>
      <c r="W194" s="1818"/>
      <c r="X194" s="1818"/>
      <c r="Y194" s="1818"/>
      <c r="Z194" s="1818"/>
      <c r="AA194" s="1818"/>
      <c r="AB194" s="1818"/>
      <c r="AC194" s="771"/>
      <c r="AD194" s="1808"/>
      <c r="AE194" s="1808"/>
      <c r="AF194" s="1808"/>
      <c r="AG194" s="1808"/>
      <c r="AH194" s="1808"/>
      <c r="AI194" s="1808"/>
      <c r="AJ194" s="1808"/>
      <c r="AK194" s="535"/>
    </row>
    <row r="195" spans="1:37">
      <c r="A195" s="530"/>
      <c r="B195" s="1818"/>
      <c r="C195" s="1818"/>
      <c r="D195" s="1818"/>
      <c r="E195" s="1818"/>
      <c r="F195" s="1818"/>
      <c r="G195" s="1818"/>
      <c r="H195" s="1818"/>
      <c r="I195" s="1818"/>
      <c r="J195" s="1818"/>
      <c r="K195" s="1818"/>
      <c r="L195" s="1818"/>
      <c r="M195" s="1818"/>
      <c r="N195" s="1818"/>
      <c r="O195" s="1818"/>
      <c r="P195" s="1818"/>
      <c r="Q195" s="1818"/>
      <c r="R195" s="1818"/>
      <c r="S195" s="1818"/>
      <c r="T195" s="1818"/>
      <c r="U195" s="1818"/>
      <c r="V195" s="1818"/>
      <c r="W195" s="1818"/>
      <c r="X195" s="1818"/>
      <c r="Y195" s="1818"/>
      <c r="Z195" s="1818"/>
      <c r="AA195" s="1818"/>
      <c r="AB195" s="1818"/>
      <c r="AC195" s="771"/>
      <c r="AD195" s="1808"/>
      <c r="AE195" s="1808"/>
      <c r="AF195" s="1808"/>
      <c r="AG195" s="1808"/>
      <c r="AH195" s="1808"/>
      <c r="AI195" s="1808"/>
      <c r="AJ195" s="1808"/>
      <c r="AK195" s="535"/>
    </row>
    <row r="196" spans="1:37">
      <c r="A196" s="530"/>
      <c r="B196" s="1818"/>
      <c r="C196" s="1818"/>
      <c r="D196" s="1818"/>
      <c r="E196" s="1818"/>
      <c r="F196" s="1818"/>
      <c r="G196" s="1818"/>
      <c r="H196" s="1818"/>
      <c r="I196" s="1818"/>
      <c r="J196" s="1818"/>
      <c r="K196" s="1818"/>
      <c r="L196" s="1818"/>
      <c r="M196" s="1818"/>
      <c r="N196" s="1818"/>
      <c r="O196" s="1818"/>
      <c r="P196" s="1818"/>
      <c r="Q196" s="1818"/>
      <c r="R196" s="1818"/>
      <c r="S196" s="1818"/>
      <c r="T196" s="1818"/>
      <c r="U196" s="1818"/>
      <c r="V196" s="1818"/>
      <c r="W196" s="1818"/>
      <c r="X196" s="1818"/>
      <c r="Y196" s="1818"/>
      <c r="Z196" s="1818"/>
      <c r="AA196" s="1818"/>
      <c r="AB196" s="1818"/>
      <c r="AC196" s="771"/>
      <c r="AD196" s="1808"/>
      <c r="AE196" s="1808"/>
      <c r="AF196" s="1808"/>
      <c r="AG196" s="1808"/>
      <c r="AH196" s="1808"/>
      <c r="AI196" s="1808"/>
      <c r="AJ196" s="1808"/>
      <c r="AK196" s="535"/>
    </row>
    <row r="197" spans="1:37">
      <c r="A197" s="530"/>
      <c r="B197" s="1818"/>
      <c r="C197" s="1818"/>
      <c r="D197" s="1818"/>
      <c r="E197" s="1818"/>
      <c r="F197" s="1818"/>
      <c r="G197" s="1818"/>
      <c r="H197" s="1818"/>
      <c r="I197" s="1818"/>
      <c r="J197" s="1818"/>
      <c r="K197" s="1818"/>
      <c r="L197" s="1818"/>
      <c r="M197" s="1818"/>
      <c r="N197" s="1818"/>
      <c r="O197" s="1818"/>
      <c r="P197" s="1818"/>
      <c r="Q197" s="1818"/>
      <c r="R197" s="1818"/>
      <c r="S197" s="1818"/>
      <c r="T197" s="1818"/>
      <c r="U197" s="1818"/>
      <c r="V197" s="1818"/>
      <c r="W197" s="1818"/>
      <c r="X197" s="1818"/>
      <c r="Y197" s="1818"/>
      <c r="Z197" s="1818"/>
      <c r="AA197" s="1818"/>
      <c r="AB197" s="1818"/>
      <c r="AC197" s="771"/>
      <c r="AD197" s="1808"/>
      <c r="AE197" s="1808"/>
      <c r="AF197" s="1808"/>
      <c r="AG197" s="1808"/>
      <c r="AH197" s="1808"/>
      <c r="AI197" s="1808"/>
      <c r="AJ197" s="1808"/>
      <c r="AK197" s="535"/>
    </row>
    <row r="198" spans="1:37">
      <c r="A198" s="530"/>
      <c r="B198" s="1680" t="s">
        <v>2056</v>
      </c>
      <c r="C198" s="1680"/>
      <c r="D198" s="1680"/>
      <c r="E198" s="1680"/>
      <c r="F198" s="1680"/>
      <c r="G198" s="1680"/>
      <c r="H198" s="1680"/>
      <c r="I198" s="1680"/>
      <c r="J198" s="1680"/>
      <c r="K198" s="1680"/>
      <c r="L198" s="1680"/>
      <c r="M198" s="1680"/>
      <c r="N198" s="1680"/>
      <c r="O198" s="1680"/>
      <c r="P198" s="1680"/>
      <c r="Q198" s="1680"/>
      <c r="R198" s="1680"/>
      <c r="S198" s="1680"/>
      <c r="T198" s="1680"/>
      <c r="U198" s="1680"/>
      <c r="V198" s="1680"/>
      <c r="W198" s="1680"/>
      <c r="X198" s="1680"/>
      <c r="Y198" s="1680"/>
      <c r="Z198" s="1680"/>
      <c r="AA198" s="1680"/>
      <c r="AB198" s="1680"/>
      <c r="AC198" s="461"/>
      <c r="AD198" s="1806">
        <f>AB249</f>
        <v>1929838.5325051781</v>
      </c>
      <c r="AE198" s="1806"/>
      <c r="AF198" s="1806"/>
      <c r="AG198" s="1806"/>
      <c r="AH198" s="1806"/>
      <c r="AI198" s="1806"/>
      <c r="AJ198" s="1806"/>
      <c r="AK198" s="535"/>
    </row>
    <row r="199" spans="1:37">
      <c r="A199" s="530"/>
      <c r="B199" s="1678" t="s">
        <v>2057</v>
      </c>
      <c r="C199" s="1678"/>
      <c r="D199" s="1678"/>
      <c r="E199" s="1678"/>
      <c r="F199" s="1678"/>
      <c r="G199" s="1678"/>
      <c r="H199" s="1678"/>
      <c r="I199" s="1678"/>
      <c r="J199" s="1678"/>
      <c r="K199" s="1678"/>
      <c r="L199" s="1678"/>
      <c r="M199" s="1678"/>
      <c r="N199" s="1678"/>
      <c r="O199" s="1678"/>
      <c r="P199" s="1678"/>
      <c r="Q199" s="1678"/>
      <c r="R199" s="1678"/>
      <c r="S199" s="1678"/>
      <c r="T199" s="1678"/>
      <c r="U199" s="1678"/>
      <c r="V199" s="1678"/>
      <c r="W199" s="1678"/>
      <c r="X199" s="1678"/>
      <c r="Y199" s="1678"/>
      <c r="Z199" s="1678"/>
      <c r="AA199" s="1678"/>
      <c r="AB199" s="1678"/>
      <c r="AC199" s="771"/>
      <c r="AD199" s="1807">
        <f>'Sources and Uses Budget'!B15</f>
        <v>0</v>
      </c>
      <c r="AE199" s="1807"/>
      <c r="AF199" s="1807"/>
      <c r="AG199" s="1807"/>
      <c r="AH199" s="1807"/>
      <c r="AI199" s="1807"/>
      <c r="AJ199" s="1807"/>
      <c r="AK199" s="535"/>
    </row>
    <row r="200" spans="1:37">
      <c r="A200" s="530"/>
      <c r="B200" s="374"/>
      <c r="C200" s="374"/>
      <c r="D200" s="374"/>
      <c r="E200" s="374"/>
      <c r="F200" s="374"/>
      <c r="G200" s="374"/>
      <c r="H200" s="374"/>
      <c r="I200" s="374"/>
      <c r="J200" s="374"/>
      <c r="K200" s="374"/>
      <c r="L200" s="374"/>
      <c r="M200" s="374"/>
      <c r="N200" s="374"/>
      <c r="O200" s="374"/>
      <c r="P200" s="374"/>
      <c r="Q200" s="374"/>
      <c r="R200" s="374"/>
      <c r="S200" s="374"/>
      <c r="T200" s="374"/>
      <c r="U200" s="374"/>
      <c r="V200" s="374"/>
      <c r="W200" s="374"/>
      <c r="X200" s="374"/>
      <c r="Y200" s="374"/>
      <c r="Z200" s="374"/>
      <c r="AA200" s="374"/>
      <c r="AB200" s="548" t="s">
        <v>1549</v>
      </c>
      <c r="AC200" s="461"/>
      <c r="AD200" s="1812">
        <f>SUM(AD188:AJ198)-AD199</f>
        <v>9379838.5325051788</v>
      </c>
      <c r="AE200" s="1812"/>
      <c r="AF200" s="1812"/>
      <c r="AG200" s="1812"/>
      <c r="AH200" s="1812"/>
      <c r="AI200" s="1812"/>
      <c r="AJ200" s="1812"/>
      <c r="AK200" s="535"/>
    </row>
    <row r="201" spans="1:37">
      <c r="A201" s="530"/>
      <c r="B201" s="530"/>
      <c r="C201" s="588"/>
      <c r="D201" s="752"/>
      <c r="E201" s="752"/>
      <c r="F201" s="752"/>
      <c r="G201" s="752"/>
      <c r="H201" s="752"/>
      <c r="I201" s="752"/>
      <c r="J201" s="752"/>
      <c r="K201" s="461"/>
      <c r="L201" s="461"/>
      <c r="M201" s="461"/>
      <c r="N201" s="461"/>
      <c r="O201" s="461"/>
      <c r="P201" s="461"/>
      <c r="Q201" s="461"/>
      <c r="R201" s="461"/>
      <c r="S201" s="461"/>
      <c r="T201" s="461"/>
      <c r="U201" s="461"/>
      <c r="V201" s="461"/>
      <c r="W201" s="461"/>
      <c r="X201" s="461"/>
      <c r="Y201" s="568"/>
      <c r="Z201" s="568"/>
      <c r="AA201" s="568"/>
      <c r="AB201" s="568"/>
      <c r="AC201" s="461"/>
      <c r="AD201" s="461"/>
      <c r="AE201" s="535"/>
      <c r="AF201" s="535"/>
      <c r="AG201" s="535"/>
      <c r="AH201" s="535"/>
      <c r="AI201" s="535"/>
      <c r="AJ201" s="535"/>
      <c r="AK201" s="535"/>
    </row>
    <row r="202" spans="1:37">
      <c r="A202" s="530"/>
      <c r="B202" s="424" t="s">
        <v>2058</v>
      </c>
      <c r="C202" s="588"/>
      <c r="D202" s="752"/>
      <c r="E202" s="752"/>
      <c r="F202" s="752"/>
      <c r="G202" s="752"/>
      <c r="H202" s="752"/>
      <c r="I202" s="752"/>
      <c r="J202" s="752"/>
      <c r="K202" s="461"/>
      <c r="L202" s="461"/>
      <c r="M202" s="461"/>
      <c r="N202" s="461"/>
      <c r="O202" s="461"/>
      <c r="P202" s="461"/>
      <c r="Q202" s="461"/>
      <c r="R202" s="461"/>
      <c r="S202" s="461"/>
      <c r="T202" s="461"/>
      <c r="U202" s="461"/>
      <c r="V202" s="461"/>
      <c r="W202" s="461"/>
      <c r="X202" s="461"/>
      <c r="Y202" s="568"/>
      <c r="Z202" s="568"/>
      <c r="AA202" s="568"/>
      <c r="AB202" s="568"/>
      <c r="AC202" s="461"/>
      <c r="AD202" s="461"/>
      <c r="AE202" s="535"/>
      <c r="AF202" s="535"/>
      <c r="AG202" s="535"/>
      <c r="AH202" s="535"/>
      <c r="AI202" s="535"/>
      <c r="AJ202" s="535"/>
      <c r="AK202" s="535"/>
    </row>
    <row r="203" spans="1:37">
      <c r="A203" s="530"/>
      <c r="B203" s="402" t="s">
        <v>2059</v>
      </c>
      <c r="C203" s="588"/>
      <c r="D203" s="752"/>
      <c r="E203" s="752"/>
      <c r="F203" s="752"/>
      <c r="G203" s="752"/>
      <c r="H203" s="752"/>
      <c r="I203" s="752"/>
      <c r="J203" s="752"/>
      <c r="K203" s="461"/>
      <c r="L203" s="461"/>
      <c r="M203" s="461"/>
      <c r="N203" s="461"/>
      <c r="O203" s="461"/>
      <c r="P203" s="461"/>
      <c r="Q203" s="461"/>
      <c r="R203" s="461"/>
      <c r="S203" s="461"/>
      <c r="T203" s="461"/>
      <c r="U203" s="461"/>
      <c r="V203" s="461"/>
      <c r="W203" s="461"/>
      <c r="X203" s="461"/>
      <c r="Y203" s="568"/>
      <c r="Z203" s="568"/>
      <c r="AA203" s="568"/>
      <c r="AB203" s="568"/>
      <c r="AC203" s="461"/>
      <c r="AD203" s="461"/>
      <c r="AE203" s="535"/>
      <c r="AF203" s="535"/>
      <c r="AG203" s="535"/>
      <c r="AH203" s="535"/>
      <c r="AI203" s="535"/>
      <c r="AJ203" s="535"/>
      <c r="AK203" s="535"/>
    </row>
    <row r="204" spans="1:37">
      <c r="A204" s="779"/>
      <c r="B204" s="801" t="s">
        <v>2060</v>
      </c>
      <c r="C204" s="802"/>
      <c r="D204" s="803"/>
      <c r="E204" s="803"/>
      <c r="F204" s="803"/>
      <c r="G204" s="803"/>
      <c r="H204" s="803"/>
      <c r="I204" s="803"/>
      <c r="J204" s="803"/>
      <c r="K204" s="804"/>
      <c r="L204" s="804"/>
      <c r="M204" s="804"/>
      <c r="N204" s="804"/>
      <c r="O204" s="804"/>
      <c r="P204" s="804"/>
      <c r="Q204" s="804"/>
      <c r="R204" s="804"/>
      <c r="S204" s="669"/>
      <c r="T204" s="669"/>
      <c r="U204" s="669"/>
      <c r="V204" s="669"/>
      <c r="W204" s="669"/>
      <c r="X204" s="669"/>
      <c r="Y204" s="753"/>
      <c r="Z204" s="753"/>
      <c r="AA204" s="753"/>
      <c r="AB204" s="753"/>
      <c r="AC204" s="669"/>
      <c r="AD204" s="669"/>
      <c r="AE204" s="754"/>
      <c r="AF204" s="754"/>
      <c r="AG204" s="754"/>
      <c r="AH204" s="754"/>
      <c r="AI204" s="754"/>
      <c r="AJ204" s="755"/>
      <c r="AK204" s="535"/>
    </row>
    <row r="205" spans="1:37">
      <c r="A205" s="779"/>
      <c r="B205" s="805" t="s">
        <v>2061</v>
      </c>
      <c r="C205" s="806"/>
      <c r="D205" s="807"/>
      <c r="E205" s="807"/>
      <c r="F205" s="807"/>
      <c r="G205" s="807"/>
      <c r="H205" s="807"/>
      <c r="I205" s="807"/>
      <c r="J205" s="807"/>
      <c r="K205" s="808"/>
      <c r="L205" s="808"/>
      <c r="M205" s="808"/>
      <c r="N205" s="808"/>
      <c r="O205" s="808"/>
      <c r="P205" s="808"/>
      <c r="Q205" s="808"/>
      <c r="R205" s="808"/>
      <c r="S205" s="461"/>
      <c r="T205" s="461"/>
      <c r="U205" s="461"/>
      <c r="V205" s="461"/>
      <c r="W205" s="461"/>
      <c r="X205" s="461"/>
      <c r="Y205" s="568"/>
      <c r="Z205" s="568"/>
      <c r="AA205" s="568"/>
      <c r="AB205" s="568"/>
      <c r="AC205" s="461"/>
      <c r="AD205" s="461"/>
      <c r="AE205" s="535"/>
      <c r="AF205" s="535"/>
      <c r="AG205" s="535"/>
      <c r="AH205" s="535"/>
      <c r="AI205" s="535"/>
      <c r="AJ205" s="756"/>
      <c r="AK205" s="535"/>
    </row>
    <row r="206" spans="1:37">
      <c r="A206" s="779"/>
      <c r="B206" s="805" t="s">
        <v>2062</v>
      </c>
      <c r="C206" s="806"/>
      <c r="D206" s="807"/>
      <c r="E206" s="807"/>
      <c r="F206" s="807"/>
      <c r="G206" s="807"/>
      <c r="H206" s="807"/>
      <c r="I206" s="807"/>
      <c r="J206" s="807"/>
      <c r="K206" s="808"/>
      <c r="L206" s="808"/>
      <c r="M206" s="808"/>
      <c r="N206" s="808"/>
      <c r="O206" s="808"/>
      <c r="P206" s="808"/>
      <c r="Q206" s="808"/>
      <c r="R206" s="808"/>
      <c r="S206" s="461"/>
      <c r="T206" s="461"/>
      <c r="U206" s="461"/>
      <c r="V206" s="461"/>
      <c r="W206" s="461"/>
      <c r="X206" s="461"/>
      <c r="Y206" s="568"/>
      <c r="Z206" s="568"/>
      <c r="AA206" s="568"/>
      <c r="AB206" s="568"/>
      <c r="AC206" s="461"/>
      <c r="AD206" s="461"/>
      <c r="AE206" s="535"/>
      <c r="AF206" s="535"/>
      <c r="AG206" s="535"/>
      <c r="AH206" s="535"/>
      <c r="AI206" s="535"/>
      <c r="AJ206" s="756"/>
      <c r="AK206" s="535"/>
    </row>
    <row r="207" spans="1:37">
      <c r="A207" s="779"/>
      <c r="B207" s="805" t="s">
        <v>2063</v>
      </c>
      <c r="C207" s="806"/>
      <c r="D207" s="807"/>
      <c r="E207" s="807"/>
      <c r="F207" s="807"/>
      <c r="G207" s="807"/>
      <c r="H207" s="807"/>
      <c r="I207" s="807"/>
      <c r="J207" s="807"/>
      <c r="K207" s="808"/>
      <c r="L207" s="808"/>
      <c r="M207" s="808"/>
      <c r="N207" s="808"/>
      <c r="O207" s="808"/>
      <c r="P207" s="808"/>
      <c r="Q207" s="808"/>
      <c r="R207" s="808"/>
      <c r="S207" s="461"/>
      <c r="T207" s="461"/>
      <c r="U207" s="461"/>
      <c r="V207" s="461"/>
      <c r="W207" s="461"/>
      <c r="X207" s="461"/>
      <c r="Y207" s="568"/>
      <c r="Z207" s="568"/>
      <c r="AA207" s="568"/>
      <c r="AB207" s="568"/>
      <c r="AC207" s="461"/>
      <c r="AD207" s="461"/>
      <c r="AE207" s="535"/>
      <c r="AF207" s="535"/>
      <c r="AG207" s="535"/>
      <c r="AH207" s="535"/>
      <c r="AI207" s="535"/>
      <c r="AJ207" s="756"/>
      <c r="AK207" s="535"/>
    </row>
    <row r="208" spans="1:37">
      <c r="A208" s="779"/>
      <c r="B208" s="809" t="s">
        <v>2064</v>
      </c>
      <c r="C208" s="806"/>
      <c r="D208" s="807"/>
      <c r="E208" s="807"/>
      <c r="F208" s="807"/>
      <c r="G208" s="807"/>
      <c r="H208" s="807"/>
      <c r="I208" s="807"/>
      <c r="J208" s="807"/>
      <c r="K208" s="808"/>
      <c r="L208" s="808"/>
      <c r="M208" s="808"/>
      <c r="N208" s="808"/>
      <c r="O208" s="808"/>
      <c r="P208" s="808"/>
      <c r="Q208" s="808"/>
      <c r="R208" s="808"/>
      <c r="S208" s="461"/>
      <c r="T208" s="461"/>
      <c r="U208" s="461"/>
      <c r="V208" s="461"/>
      <c r="W208" s="461"/>
      <c r="X208" s="461"/>
      <c r="Y208" s="568"/>
      <c r="Z208" s="568"/>
      <c r="AA208" s="568"/>
      <c r="AB208" s="568"/>
      <c r="AC208" s="461"/>
      <c r="AD208" s="461"/>
      <c r="AE208" s="535"/>
      <c r="AF208" s="535"/>
      <c r="AG208" s="535"/>
      <c r="AH208" s="535"/>
      <c r="AI208" s="535"/>
      <c r="AJ208" s="756"/>
      <c r="AK208" s="535"/>
    </row>
    <row r="209" spans="1:37">
      <c r="A209" s="779"/>
      <c r="B209" s="810" t="s">
        <v>2065</v>
      </c>
      <c r="C209" s="811"/>
      <c r="D209" s="812"/>
      <c r="E209" s="812"/>
      <c r="F209" s="812"/>
      <c r="G209" s="812"/>
      <c r="H209" s="812"/>
      <c r="I209" s="812"/>
      <c r="J209" s="812"/>
      <c r="K209" s="813"/>
      <c r="L209" s="813"/>
      <c r="M209" s="813"/>
      <c r="N209" s="813"/>
      <c r="O209" s="813"/>
      <c r="P209" s="813"/>
      <c r="Q209" s="813"/>
      <c r="R209" s="813"/>
      <c r="S209" s="662"/>
      <c r="T209" s="662"/>
      <c r="U209" s="662"/>
      <c r="V209" s="662"/>
      <c r="W209" s="662"/>
      <c r="X209" s="662"/>
      <c r="Y209" s="757"/>
      <c r="Z209" s="757"/>
      <c r="AA209" s="757"/>
      <c r="AB209" s="757"/>
      <c r="AC209" s="662"/>
      <c r="AD209" s="662"/>
      <c r="AE209" s="758"/>
      <c r="AF209" s="758"/>
      <c r="AG209" s="758"/>
      <c r="AH209" s="758"/>
      <c r="AI209" s="758"/>
      <c r="AJ209" s="759"/>
      <c r="AK209" s="535"/>
    </row>
    <row r="210" spans="1:37">
      <c r="A210" s="530"/>
      <c r="B210" s="530"/>
      <c r="C210" s="588"/>
      <c r="D210" s="752"/>
      <c r="E210" s="752"/>
      <c r="F210" s="752"/>
      <c r="G210" s="752"/>
      <c r="H210" s="752"/>
      <c r="I210" s="752"/>
      <c r="J210" s="752"/>
      <c r="K210" s="461"/>
      <c r="L210" s="461"/>
      <c r="M210" s="461"/>
      <c r="N210" s="461"/>
      <c r="O210" s="461"/>
      <c r="P210" s="461"/>
      <c r="Q210" s="461"/>
      <c r="R210" s="461"/>
      <c r="S210" s="461"/>
      <c r="T210" s="461"/>
      <c r="U210" s="461"/>
      <c r="V210" s="461"/>
      <c r="W210" s="461"/>
      <c r="X210" s="461"/>
      <c r="Y210" s="568"/>
      <c r="Z210" s="568"/>
      <c r="AA210" s="568"/>
      <c r="AB210" s="568"/>
      <c r="AC210" s="461"/>
      <c r="AD210" s="461"/>
      <c r="AE210" s="535"/>
      <c r="AF210" s="535"/>
      <c r="AG210" s="535"/>
      <c r="AH210" s="535"/>
      <c r="AI210" s="535"/>
      <c r="AJ210" s="535"/>
      <c r="AK210" s="535"/>
    </row>
    <row r="211" spans="1:37">
      <c r="A211" s="530"/>
      <c r="B211" s="773"/>
      <c r="C211" s="402"/>
      <c r="D211" s="402"/>
      <c r="I211" s="1832" t="s">
        <v>2066</v>
      </c>
      <c r="J211" s="1832"/>
      <c r="K211" s="1832"/>
      <c r="L211" s="461"/>
      <c r="M211" s="461"/>
      <c r="N211" s="461"/>
      <c r="O211" s="461"/>
      <c r="P211" s="461"/>
      <c r="Q211" s="461"/>
      <c r="R211" s="461"/>
      <c r="S211" s="461"/>
      <c r="T211" s="1644" t="s">
        <v>2067</v>
      </c>
      <c r="U211" s="1644"/>
      <c r="V211" s="1644"/>
      <c r="W211" s="1644"/>
      <c r="X211" s="1644"/>
      <c r="Y211" s="1644"/>
      <c r="Z211" s="774"/>
      <c r="AA211" s="415"/>
      <c r="AB211" s="1829" t="s">
        <v>2068</v>
      </c>
      <c r="AC211" s="1829"/>
      <c r="AD211" s="1829"/>
      <c r="AE211" s="1829"/>
      <c r="AF211" s="1829"/>
      <c r="AG211" s="1829"/>
      <c r="AH211" s="752"/>
      <c r="AI211" s="752"/>
      <c r="AJ211" s="752"/>
      <c r="AK211" s="535"/>
    </row>
    <row r="212" spans="1:37">
      <c r="A212" s="530"/>
      <c r="B212" s="1830" t="s">
        <v>2069</v>
      </c>
      <c r="C212" s="1830"/>
      <c r="D212" s="1830"/>
      <c r="E212" s="1830"/>
      <c r="F212" s="1830"/>
      <c r="G212" s="1830"/>
      <c r="I212" s="1831" t="s">
        <v>2070</v>
      </c>
      <c r="J212" s="1831"/>
      <c r="K212" s="1831"/>
      <c r="L212" s="928"/>
      <c r="N212" s="1679" t="s">
        <v>2071</v>
      </c>
      <c r="O212" s="1679"/>
      <c r="P212" s="1679"/>
      <c r="Q212" s="1679"/>
      <c r="R212" s="1679"/>
      <c r="T212" s="1679" t="s">
        <v>2072</v>
      </c>
      <c r="U212" s="1679"/>
      <c r="V212" s="1679"/>
      <c r="W212" s="1679"/>
      <c r="X212" s="1679"/>
      <c r="Y212" s="1679"/>
      <c r="Z212" s="775"/>
      <c r="AA212" s="415"/>
      <c r="AB212" s="1682" t="s">
        <v>2073</v>
      </c>
      <c r="AC212" s="1682"/>
      <c r="AD212" s="1682"/>
      <c r="AE212" s="1682"/>
      <c r="AF212" s="1682"/>
      <c r="AG212" s="1682"/>
      <c r="AH212" s="752"/>
      <c r="AI212" s="752"/>
      <c r="AJ212" s="752"/>
      <c r="AK212" s="535"/>
    </row>
    <row r="213" spans="1:37">
      <c r="A213" s="530"/>
      <c r="B213" s="1681" t="s">
        <v>2074</v>
      </c>
      <c r="C213" s="1681"/>
      <c r="D213" s="1681"/>
      <c r="E213" s="1681"/>
      <c r="F213" s="1681"/>
      <c r="G213" s="1681"/>
      <c r="H213" s="777"/>
      <c r="I213" s="1649">
        <v>12</v>
      </c>
      <c r="J213" s="1649"/>
      <c r="K213" s="1649"/>
      <c r="L213" s="928"/>
      <c r="N213" s="1646">
        <v>768</v>
      </c>
      <c r="O213" s="1646"/>
      <c r="P213" s="1646"/>
      <c r="Q213" s="1646"/>
      <c r="R213" s="1646"/>
      <c r="T213" s="1645">
        <v>2208</v>
      </c>
      <c r="U213" s="1645"/>
      <c r="V213" s="1645"/>
      <c r="W213" s="1645"/>
      <c r="X213" s="1645"/>
      <c r="Y213" s="1645"/>
      <c r="Z213" s="776"/>
      <c r="AA213" s="776"/>
      <c r="AB213" s="1643">
        <f t="shared" ref="AB213:AB222" si="0">MAX(($T213-$N213)*$I213*12,0)</f>
        <v>207360</v>
      </c>
      <c r="AC213" s="1643"/>
      <c r="AD213" s="1643"/>
      <c r="AE213" s="1643"/>
      <c r="AF213" s="1643"/>
      <c r="AG213" s="1643"/>
      <c r="AH213" s="752"/>
      <c r="AI213" s="752"/>
      <c r="AJ213" s="752"/>
      <c r="AK213" s="535"/>
    </row>
    <row r="214" spans="1:37">
      <c r="A214" s="530"/>
      <c r="B214" s="1681" t="s">
        <v>1076</v>
      </c>
      <c r="C214" s="1681"/>
      <c r="D214" s="1681"/>
      <c r="E214" s="1681"/>
      <c r="F214" s="1681"/>
      <c r="G214" s="1681"/>
      <c r="I214" s="1649"/>
      <c r="J214" s="1649"/>
      <c r="K214" s="1649"/>
      <c r="L214" s="928"/>
      <c r="N214" s="1646"/>
      <c r="O214" s="1646"/>
      <c r="P214" s="1646"/>
      <c r="Q214" s="1646"/>
      <c r="R214" s="1646"/>
      <c r="T214" s="1645"/>
      <c r="U214" s="1645"/>
      <c r="V214" s="1645"/>
      <c r="W214" s="1645"/>
      <c r="X214" s="1645"/>
      <c r="Y214" s="1645"/>
      <c r="Z214" s="776"/>
      <c r="AA214" s="776"/>
      <c r="AB214" s="1643">
        <f t="shared" si="0"/>
        <v>0</v>
      </c>
      <c r="AC214" s="1643"/>
      <c r="AD214" s="1643"/>
      <c r="AE214" s="1643"/>
      <c r="AF214" s="1643"/>
      <c r="AG214" s="1643"/>
      <c r="AH214" s="752"/>
      <c r="AI214" s="752"/>
      <c r="AJ214" s="752"/>
      <c r="AK214" s="535"/>
    </row>
    <row r="215" spans="1:37">
      <c r="A215" s="530"/>
      <c r="B215" s="1681" t="s">
        <v>1076</v>
      </c>
      <c r="C215" s="1681"/>
      <c r="D215" s="1681"/>
      <c r="E215" s="1681"/>
      <c r="F215" s="1681"/>
      <c r="G215" s="1681"/>
      <c r="I215" s="1649"/>
      <c r="J215" s="1649"/>
      <c r="K215" s="1649"/>
      <c r="L215" s="928"/>
      <c r="N215" s="1646"/>
      <c r="O215" s="1646"/>
      <c r="P215" s="1646"/>
      <c r="Q215" s="1646"/>
      <c r="R215" s="1646"/>
      <c r="T215" s="1645"/>
      <c r="U215" s="1645"/>
      <c r="V215" s="1645"/>
      <c r="W215" s="1645"/>
      <c r="X215" s="1645"/>
      <c r="Y215" s="1645"/>
      <c r="Z215" s="776"/>
      <c r="AA215" s="776"/>
      <c r="AB215" s="1643">
        <f t="shared" si="0"/>
        <v>0</v>
      </c>
      <c r="AC215" s="1643"/>
      <c r="AD215" s="1643"/>
      <c r="AE215" s="1643"/>
      <c r="AF215" s="1643"/>
      <c r="AG215" s="1643"/>
      <c r="AH215" s="752"/>
      <c r="AI215" s="752"/>
      <c r="AJ215" s="752"/>
      <c r="AK215" s="535"/>
    </row>
    <row r="216" spans="1:37">
      <c r="A216" s="530"/>
      <c r="B216" s="1681" t="s">
        <v>1076</v>
      </c>
      <c r="C216" s="1681"/>
      <c r="D216" s="1681"/>
      <c r="E216" s="1681"/>
      <c r="F216" s="1681"/>
      <c r="G216" s="1681"/>
      <c r="I216" s="1649"/>
      <c r="J216" s="1649"/>
      <c r="K216" s="1649"/>
      <c r="L216" s="928"/>
      <c r="N216" s="1646"/>
      <c r="O216" s="1646"/>
      <c r="P216" s="1646"/>
      <c r="Q216" s="1646"/>
      <c r="R216" s="1646"/>
      <c r="T216" s="1645"/>
      <c r="U216" s="1645"/>
      <c r="V216" s="1645"/>
      <c r="W216" s="1645"/>
      <c r="X216" s="1645"/>
      <c r="Y216" s="1645"/>
      <c r="Z216" s="776"/>
      <c r="AA216" s="776"/>
      <c r="AB216" s="1643">
        <f t="shared" si="0"/>
        <v>0</v>
      </c>
      <c r="AC216" s="1643"/>
      <c r="AD216" s="1643"/>
      <c r="AE216" s="1643"/>
      <c r="AF216" s="1643"/>
      <c r="AG216" s="1643"/>
      <c r="AH216" s="752"/>
      <c r="AI216" s="752"/>
      <c r="AJ216" s="752"/>
      <c r="AK216" s="535"/>
    </row>
    <row r="217" spans="1:37">
      <c r="A217" s="530"/>
      <c r="B217" s="1681" t="s">
        <v>1076</v>
      </c>
      <c r="C217" s="1681"/>
      <c r="D217" s="1681"/>
      <c r="E217" s="1681"/>
      <c r="F217" s="1681"/>
      <c r="G217" s="1681"/>
      <c r="I217" s="1649"/>
      <c r="J217" s="1649"/>
      <c r="K217" s="1649"/>
      <c r="L217" s="933"/>
      <c r="N217" s="1646"/>
      <c r="O217" s="1646"/>
      <c r="P217" s="1646"/>
      <c r="Q217" s="1646"/>
      <c r="R217" s="1646"/>
      <c r="T217" s="1645"/>
      <c r="U217" s="1645"/>
      <c r="V217" s="1645"/>
      <c r="W217" s="1645"/>
      <c r="X217" s="1645"/>
      <c r="Y217" s="1645"/>
      <c r="Z217" s="776"/>
      <c r="AA217" s="776"/>
      <c r="AB217" s="1643">
        <f t="shared" si="0"/>
        <v>0</v>
      </c>
      <c r="AC217" s="1643"/>
      <c r="AD217" s="1643"/>
      <c r="AE217" s="1643"/>
      <c r="AF217" s="1643"/>
      <c r="AG217" s="1643"/>
      <c r="AH217" s="752"/>
      <c r="AI217" s="752"/>
      <c r="AJ217" s="752"/>
      <c r="AK217" s="535"/>
    </row>
    <row r="218" spans="1:37">
      <c r="A218" s="530"/>
      <c r="B218" s="1681" t="s">
        <v>1076</v>
      </c>
      <c r="C218" s="1681"/>
      <c r="D218" s="1681"/>
      <c r="E218" s="1681"/>
      <c r="F218" s="1681"/>
      <c r="G218" s="1681"/>
      <c r="I218" s="1649"/>
      <c r="J218" s="1649"/>
      <c r="K218" s="1649"/>
      <c r="L218" s="933"/>
      <c r="N218" s="1646"/>
      <c r="O218" s="1646"/>
      <c r="P218" s="1646"/>
      <c r="Q218" s="1646"/>
      <c r="R218" s="1646"/>
      <c r="T218" s="1645"/>
      <c r="U218" s="1645"/>
      <c r="V218" s="1645"/>
      <c r="W218" s="1645"/>
      <c r="X218" s="1645"/>
      <c r="Y218" s="1645"/>
      <c r="Z218" s="776"/>
      <c r="AA218" s="776"/>
      <c r="AB218" s="1643">
        <f t="shared" si="0"/>
        <v>0</v>
      </c>
      <c r="AC218" s="1643"/>
      <c r="AD218" s="1643"/>
      <c r="AE218" s="1643"/>
      <c r="AF218" s="1643"/>
      <c r="AG218" s="1643"/>
      <c r="AH218" s="752"/>
      <c r="AI218" s="752"/>
      <c r="AJ218" s="752"/>
      <c r="AK218" s="535"/>
    </row>
    <row r="219" spans="1:37">
      <c r="A219" s="530"/>
      <c r="B219" s="1681" t="s">
        <v>1076</v>
      </c>
      <c r="C219" s="1681"/>
      <c r="D219" s="1681"/>
      <c r="E219" s="1681"/>
      <c r="F219" s="1681"/>
      <c r="G219" s="1681"/>
      <c r="I219" s="1649"/>
      <c r="J219" s="1649"/>
      <c r="K219" s="1649"/>
      <c r="L219" s="933"/>
      <c r="N219" s="1646"/>
      <c r="O219" s="1646"/>
      <c r="P219" s="1646"/>
      <c r="Q219" s="1646"/>
      <c r="R219" s="1646"/>
      <c r="T219" s="1645"/>
      <c r="U219" s="1645"/>
      <c r="V219" s="1645"/>
      <c r="W219" s="1645"/>
      <c r="X219" s="1645"/>
      <c r="Y219" s="1645"/>
      <c r="Z219" s="776"/>
      <c r="AA219" s="776"/>
      <c r="AB219" s="1643">
        <f t="shared" si="0"/>
        <v>0</v>
      </c>
      <c r="AC219" s="1643"/>
      <c r="AD219" s="1643"/>
      <c r="AE219" s="1643"/>
      <c r="AF219" s="1643"/>
      <c r="AG219" s="1643"/>
      <c r="AH219" s="752"/>
      <c r="AI219" s="752"/>
      <c r="AJ219" s="752"/>
      <c r="AK219" s="535"/>
    </row>
    <row r="220" spans="1:37">
      <c r="A220" s="530"/>
      <c r="B220" s="1681" t="s">
        <v>1076</v>
      </c>
      <c r="C220" s="1681"/>
      <c r="D220" s="1681"/>
      <c r="E220" s="1681"/>
      <c r="F220" s="1681"/>
      <c r="G220" s="1681"/>
      <c r="I220" s="1649"/>
      <c r="J220" s="1649"/>
      <c r="K220" s="1649"/>
      <c r="L220" s="933"/>
      <c r="N220" s="1646"/>
      <c r="O220" s="1646"/>
      <c r="P220" s="1646"/>
      <c r="Q220" s="1646"/>
      <c r="R220" s="1646"/>
      <c r="T220" s="1645"/>
      <c r="U220" s="1645"/>
      <c r="V220" s="1645"/>
      <c r="W220" s="1645"/>
      <c r="X220" s="1645"/>
      <c r="Y220" s="1645"/>
      <c r="Z220" s="776"/>
      <c r="AA220" s="776"/>
      <c r="AB220" s="1643">
        <f t="shared" si="0"/>
        <v>0</v>
      </c>
      <c r="AC220" s="1643"/>
      <c r="AD220" s="1643"/>
      <c r="AE220" s="1643"/>
      <c r="AF220" s="1643"/>
      <c r="AG220" s="1643"/>
      <c r="AH220" s="752"/>
      <c r="AI220" s="752"/>
      <c r="AJ220" s="752"/>
      <c r="AK220" s="535"/>
    </row>
    <row r="221" spans="1:37">
      <c r="A221" s="530"/>
      <c r="B221" s="1681" t="s">
        <v>1076</v>
      </c>
      <c r="C221" s="1681"/>
      <c r="D221" s="1681"/>
      <c r="E221" s="1681"/>
      <c r="F221" s="1681"/>
      <c r="G221" s="1681"/>
      <c r="I221" s="1649"/>
      <c r="J221" s="1649"/>
      <c r="K221" s="1649"/>
      <c r="L221" s="933"/>
      <c r="N221" s="1646"/>
      <c r="O221" s="1646"/>
      <c r="P221" s="1646"/>
      <c r="Q221" s="1646"/>
      <c r="R221" s="1646"/>
      <c r="T221" s="1645"/>
      <c r="U221" s="1645"/>
      <c r="V221" s="1645"/>
      <c r="W221" s="1645"/>
      <c r="X221" s="1645"/>
      <c r="Y221" s="1645"/>
      <c r="Z221" s="776"/>
      <c r="AA221" s="776"/>
      <c r="AB221" s="1643">
        <f t="shared" si="0"/>
        <v>0</v>
      </c>
      <c r="AC221" s="1643"/>
      <c r="AD221" s="1643"/>
      <c r="AE221" s="1643"/>
      <c r="AF221" s="1643"/>
      <c r="AG221" s="1643"/>
      <c r="AH221" s="752"/>
      <c r="AI221" s="752"/>
      <c r="AJ221" s="752"/>
      <c r="AK221" s="535"/>
    </row>
    <row r="222" spans="1:37">
      <c r="A222" s="530"/>
      <c r="B222" s="1681" t="s">
        <v>1076</v>
      </c>
      <c r="C222" s="1681"/>
      <c r="D222" s="1681"/>
      <c r="E222" s="1681"/>
      <c r="F222" s="1681"/>
      <c r="G222" s="1681"/>
      <c r="I222" s="1833"/>
      <c r="J222" s="1833"/>
      <c r="K222" s="1833"/>
      <c r="L222" s="933"/>
      <c r="N222" s="1646"/>
      <c r="O222" s="1646"/>
      <c r="P222" s="1646"/>
      <c r="Q222" s="1646"/>
      <c r="R222" s="1646"/>
      <c r="T222" s="1645"/>
      <c r="U222" s="1645"/>
      <c r="V222" s="1645"/>
      <c r="W222" s="1645"/>
      <c r="X222" s="1645"/>
      <c r="Y222" s="1645"/>
      <c r="Z222" s="776"/>
      <c r="AA222" s="776"/>
      <c r="AB222" s="1650">
        <f t="shared" si="0"/>
        <v>0</v>
      </c>
      <c r="AC222" s="1650"/>
      <c r="AD222" s="1650"/>
      <c r="AE222" s="1650"/>
      <c r="AF222" s="1650"/>
      <c r="AG222" s="1650"/>
      <c r="AH222" s="752"/>
      <c r="AI222" s="752"/>
      <c r="AJ222" s="752"/>
      <c r="AK222" s="535"/>
    </row>
    <row r="223" spans="1:37">
      <c r="A223" s="530"/>
      <c r="B223" s="402"/>
      <c r="C223" s="777"/>
      <c r="D223" s="402"/>
      <c r="K223" s="461"/>
      <c r="L223" s="461"/>
      <c r="M223" s="461"/>
      <c r="N223" s="461"/>
      <c r="O223" s="461"/>
      <c r="P223" s="461"/>
      <c r="Q223" s="461"/>
      <c r="R223" s="461"/>
      <c r="S223" s="461"/>
      <c r="T223" s="461"/>
      <c r="U223" s="461"/>
      <c r="V223" s="461"/>
      <c r="W223" s="461"/>
      <c r="X223" s="461"/>
      <c r="Y223" s="778" t="s">
        <v>2075</v>
      </c>
      <c r="AA223" s="778"/>
      <c r="AB223" s="1643">
        <f>SUM(AB213:AB222)</f>
        <v>207360</v>
      </c>
      <c r="AC223" s="1643"/>
      <c r="AD223" s="1643"/>
      <c r="AE223" s="1643"/>
      <c r="AF223" s="1643"/>
      <c r="AG223" s="1643"/>
      <c r="AH223" s="752"/>
      <c r="AI223" s="752"/>
      <c r="AJ223" s="752"/>
      <c r="AK223" s="535"/>
    </row>
    <row r="224" spans="1:37">
      <c r="A224" s="530"/>
      <c r="B224" s="530"/>
      <c r="C224" s="588"/>
      <c r="D224" s="752"/>
      <c r="E224" s="752"/>
      <c r="F224" s="752"/>
      <c r="G224" s="752"/>
      <c r="H224" s="752"/>
      <c r="I224" s="752"/>
      <c r="J224" s="752"/>
      <c r="K224" s="475"/>
      <c r="L224" s="475"/>
      <c r="M224" s="475"/>
      <c r="N224" s="475"/>
      <c r="O224" s="475"/>
      <c r="P224" s="475"/>
      <c r="Q224" s="475"/>
      <c r="R224" s="475"/>
      <c r="S224" s="475"/>
      <c r="T224" s="475"/>
      <c r="U224" s="475"/>
      <c r="V224" s="475"/>
      <c r="W224" s="475"/>
      <c r="X224" s="475"/>
      <c r="Y224" s="568"/>
      <c r="Z224" s="568"/>
      <c r="AA224" s="568"/>
      <c r="AB224" s="568"/>
      <c r="AC224" s="475"/>
      <c r="AD224" s="475"/>
      <c r="AE224" s="535"/>
      <c r="AF224" s="535"/>
      <c r="AG224" s="535"/>
      <c r="AH224" s="535"/>
      <c r="AI224" s="535"/>
      <c r="AJ224" s="535"/>
      <c r="AK224" s="535"/>
    </row>
    <row r="225" spans="1:37">
      <c r="A225" s="1058" t="s">
        <v>2076</v>
      </c>
      <c r="C225" s="588"/>
      <c r="D225" s="752"/>
      <c r="E225" s="752"/>
      <c r="F225" s="752"/>
      <c r="G225" s="752"/>
      <c r="H225" s="752"/>
      <c r="I225" s="752"/>
      <c r="J225" s="752"/>
      <c r="K225" s="461"/>
      <c r="L225" s="461"/>
      <c r="M225" s="461"/>
      <c r="N225" s="461"/>
      <c r="O225" s="461"/>
      <c r="P225" s="461"/>
      <c r="Q225" s="461"/>
      <c r="R225" s="461"/>
      <c r="S225" s="461"/>
      <c r="T225" s="461"/>
      <c r="U225" s="461"/>
      <c r="V225" s="461"/>
      <c r="W225" s="461"/>
      <c r="X225" s="461"/>
      <c r="Y225" s="568"/>
      <c r="Z225" s="568"/>
      <c r="AA225" s="568"/>
      <c r="AB225" s="568"/>
      <c r="AC225" s="461"/>
      <c r="AD225" s="461"/>
      <c r="AE225" s="535"/>
      <c r="AF225" s="535"/>
      <c r="AG225" s="535"/>
      <c r="AH225" s="535"/>
      <c r="AI225" s="535"/>
      <c r="AJ225" s="535"/>
      <c r="AK225" s="535"/>
    </row>
    <row r="226" spans="1:37">
      <c r="A226" s="530"/>
      <c r="B226" s="402" t="s">
        <v>2077</v>
      </c>
      <c r="C226" s="588"/>
      <c r="D226" s="752"/>
      <c r="E226" s="752"/>
      <c r="F226" s="752"/>
      <c r="G226" s="752"/>
      <c r="H226" s="752"/>
      <c r="I226" s="752"/>
      <c r="J226" s="752"/>
      <c r="K226" s="461"/>
      <c r="L226" s="461"/>
      <c r="M226" s="461"/>
      <c r="N226" s="461"/>
      <c r="O226" s="461"/>
      <c r="P226" s="461"/>
      <c r="Q226" s="461"/>
      <c r="R226" s="461"/>
      <c r="S226" s="461"/>
      <c r="T226" s="461"/>
      <c r="U226" s="461"/>
      <c r="V226" s="461"/>
      <c r="W226" s="461"/>
      <c r="X226" s="461"/>
      <c r="Y226" s="568"/>
      <c r="Z226" s="568"/>
      <c r="AA226" s="568"/>
      <c r="AB226" s="568"/>
      <c r="AC226" s="461"/>
      <c r="AD226" s="461"/>
      <c r="AE226" s="535"/>
      <c r="AF226" s="535"/>
      <c r="AG226" s="535"/>
      <c r="AH226" s="535"/>
      <c r="AI226" s="535"/>
      <c r="AJ226" s="535"/>
      <c r="AK226" s="535"/>
    </row>
    <row r="227" spans="1:37">
      <c r="A227" s="530"/>
      <c r="B227" s="402"/>
      <c r="C227" s="588"/>
      <c r="D227" s="752"/>
      <c r="E227" s="752"/>
      <c r="F227" s="752"/>
      <c r="G227" s="752"/>
      <c r="H227" s="752"/>
      <c r="I227" s="752"/>
      <c r="J227" s="752"/>
      <c r="K227" s="461"/>
      <c r="L227" s="461"/>
      <c r="M227" s="461"/>
      <c r="N227" s="461"/>
      <c r="O227" s="461"/>
      <c r="P227" s="461"/>
      <c r="Q227" s="461"/>
      <c r="R227" s="461"/>
      <c r="S227" s="461"/>
      <c r="T227" s="461"/>
      <c r="U227" s="461"/>
      <c r="V227" s="461"/>
      <c r="W227" s="461"/>
      <c r="X227" s="461"/>
      <c r="Y227" s="568"/>
      <c r="Z227" s="568"/>
      <c r="AA227" s="568"/>
      <c r="AB227" s="568"/>
      <c r="AC227" s="461"/>
      <c r="AD227" s="461"/>
      <c r="AE227" s="535"/>
      <c r="AF227" s="535"/>
      <c r="AG227" s="535"/>
      <c r="AH227" s="535"/>
      <c r="AI227" s="535"/>
      <c r="AJ227" s="535"/>
      <c r="AK227" s="535"/>
    </row>
    <row r="228" spans="1:37">
      <c r="A228" s="530"/>
      <c r="B228" s="761" t="s">
        <v>2078</v>
      </c>
      <c r="C228" s="588"/>
      <c r="D228" s="752"/>
      <c r="E228" s="752"/>
      <c r="F228" s="752"/>
      <c r="G228" s="752"/>
      <c r="H228" s="752"/>
      <c r="I228" s="752"/>
      <c r="J228" s="752"/>
      <c r="K228" s="461"/>
      <c r="L228" s="461"/>
      <c r="M228" s="461"/>
      <c r="N228" s="461"/>
      <c r="O228" s="461"/>
      <c r="P228" s="461"/>
      <c r="Q228" s="461"/>
      <c r="R228" s="461"/>
      <c r="S228" s="461"/>
      <c r="T228" s="461"/>
      <c r="U228" s="461"/>
      <c r="V228" s="461"/>
      <c r="W228" s="461"/>
      <c r="X228" s="461"/>
      <c r="Y228" s="568"/>
      <c r="Z228" s="568"/>
      <c r="AA228" s="568"/>
      <c r="AB228" s="568"/>
      <c r="AC228" s="461"/>
      <c r="AD228" s="461"/>
      <c r="AE228" s="535"/>
      <c r="AF228" s="535"/>
      <c r="AG228" s="535"/>
      <c r="AH228" s="535"/>
      <c r="AI228" s="535"/>
      <c r="AJ228" s="535"/>
      <c r="AK228" s="535"/>
    </row>
    <row r="229" spans="1:37">
      <c r="A229" s="530"/>
      <c r="B229" s="761" t="s">
        <v>2079</v>
      </c>
      <c r="C229" s="588"/>
      <c r="D229" s="752"/>
      <c r="E229" s="752"/>
      <c r="F229" s="752"/>
      <c r="G229" s="752"/>
      <c r="H229" s="752"/>
      <c r="I229" s="752"/>
      <c r="J229" s="752"/>
      <c r="K229" s="461"/>
      <c r="L229" s="461"/>
      <c r="M229" s="461"/>
      <c r="N229" s="461"/>
      <c r="O229" s="461"/>
      <c r="P229" s="461"/>
      <c r="Q229" s="461"/>
      <c r="R229" s="461"/>
      <c r="S229" s="461"/>
      <c r="T229" s="461"/>
      <c r="U229" s="461"/>
      <c r="V229" s="461"/>
      <c r="W229" s="461"/>
      <c r="X229" s="461"/>
      <c r="Y229" s="568"/>
      <c r="Z229" s="568"/>
      <c r="AA229" s="568"/>
      <c r="AB229" s="1683"/>
      <c r="AC229" s="1683"/>
      <c r="AD229" s="1683"/>
      <c r="AE229" s="1683"/>
      <c r="AF229" s="1683"/>
      <c r="AG229" s="1683"/>
      <c r="AH229" s="535"/>
      <c r="AI229" s="535"/>
      <c r="AJ229" s="535"/>
      <c r="AK229" s="535"/>
    </row>
    <row r="230" spans="1:37">
      <c r="A230" s="530"/>
      <c r="B230" s="762" t="s">
        <v>2080</v>
      </c>
      <c r="C230" s="541"/>
      <c r="D230" s="760"/>
      <c r="E230" s="752"/>
      <c r="F230" s="752"/>
      <c r="G230" s="752"/>
      <c r="H230" s="752"/>
      <c r="I230" s="752"/>
      <c r="J230" s="752"/>
      <c r="K230" s="461"/>
      <c r="L230" s="461"/>
      <c r="M230" s="461"/>
      <c r="N230" s="461"/>
      <c r="O230" s="461"/>
      <c r="P230" s="461"/>
      <c r="Q230" s="461"/>
      <c r="R230" s="461"/>
      <c r="S230" s="461"/>
      <c r="T230" s="461"/>
      <c r="U230" s="461"/>
      <c r="V230" s="461"/>
      <c r="W230" s="461"/>
      <c r="X230" s="461"/>
      <c r="Y230" s="568"/>
      <c r="Z230" s="568"/>
      <c r="AA230" s="568"/>
      <c r="AB230" s="568"/>
      <c r="AC230" s="461"/>
      <c r="AD230" s="461"/>
      <c r="AE230" s="535"/>
      <c r="AF230" s="535"/>
      <c r="AG230" s="535"/>
      <c r="AH230" s="535"/>
      <c r="AI230" s="535"/>
      <c r="AJ230" s="535"/>
      <c r="AK230" s="535"/>
    </row>
    <row r="231" spans="1:37">
      <c r="A231" s="530"/>
      <c r="B231" s="763" t="s">
        <v>2081</v>
      </c>
      <c r="C231" s="588"/>
      <c r="D231" s="752"/>
      <c r="E231" s="752"/>
      <c r="F231" s="752"/>
      <c r="G231" s="752"/>
      <c r="H231" s="752"/>
      <c r="I231" s="752"/>
      <c r="J231" s="752"/>
      <c r="K231" s="461"/>
      <c r="L231" s="461"/>
      <c r="M231" s="461"/>
      <c r="N231" s="461"/>
      <c r="O231" s="461"/>
      <c r="P231" s="461"/>
      <c r="Q231" s="461"/>
      <c r="R231" s="461"/>
      <c r="S231" s="461"/>
      <c r="T231" s="461"/>
      <c r="U231" s="461"/>
      <c r="V231" s="461"/>
      <c r="W231" s="461"/>
      <c r="X231" s="461"/>
      <c r="Y231" s="568"/>
      <c r="Z231" s="568"/>
      <c r="AA231" s="568"/>
      <c r="AB231" s="568"/>
      <c r="AC231" s="461"/>
      <c r="AD231" s="461"/>
      <c r="AE231" s="535"/>
      <c r="AF231" s="535"/>
      <c r="AG231" s="535"/>
      <c r="AH231" s="535"/>
      <c r="AI231" s="535"/>
      <c r="AJ231" s="535"/>
      <c r="AK231" s="535"/>
    </row>
    <row r="232" spans="1:37">
      <c r="A232" s="530"/>
      <c r="B232" s="763" t="s">
        <v>2082</v>
      </c>
      <c r="C232" s="588"/>
      <c r="D232" s="752"/>
      <c r="E232" s="752"/>
      <c r="F232" s="752"/>
      <c r="G232" s="752"/>
      <c r="H232" s="752"/>
      <c r="I232" s="752"/>
      <c r="J232" s="752"/>
      <c r="K232" s="461"/>
      <c r="L232" s="461"/>
      <c r="M232" s="461"/>
      <c r="N232" s="461"/>
      <c r="O232" s="461"/>
      <c r="P232" s="461"/>
      <c r="Q232" s="461"/>
      <c r="R232" s="461"/>
      <c r="S232" s="461"/>
      <c r="T232" s="461"/>
      <c r="U232" s="461"/>
      <c r="V232" s="461"/>
      <c r="W232" s="461"/>
      <c r="X232" s="461"/>
      <c r="Y232" s="568"/>
      <c r="Z232" s="568"/>
      <c r="AA232" s="568"/>
      <c r="AB232" s="1683"/>
      <c r="AC232" s="1683"/>
      <c r="AD232" s="1683"/>
      <c r="AE232" s="1683"/>
      <c r="AF232" s="1683"/>
      <c r="AG232" s="1683"/>
      <c r="AH232" s="535"/>
      <c r="AI232" s="535"/>
      <c r="AJ232" s="535"/>
      <c r="AK232" s="535"/>
    </row>
    <row r="233" spans="1:37">
      <c r="A233" s="530"/>
      <c r="B233" s="763" t="s">
        <v>2083</v>
      </c>
      <c r="C233" s="588"/>
      <c r="D233" s="752"/>
      <c r="E233" s="752"/>
      <c r="F233" s="752"/>
      <c r="G233" s="752"/>
      <c r="H233" s="752"/>
      <c r="I233" s="752"/>
      <c r="J233" s="752"/>
      <c r="K233" s="461"/>
      <c r="L233" s="461"/>
      <c r="M233" s="461"/>
      <c r="N233" s="461"/>
      <c r="O233" s="461"/>
      <c r="P233" s="461"/>
      <c r="Q233" s="461"/>
      <c r="R233" s="461"/>
      <c r="S233" s="461"/>
      <c r="T233" s="461"/>
      <c r="U233" s="461"/>
      <c r="V233" s="461"/>
      <c r="W233" s="461"/>
      <c r="X233" s="461"/>
      <c r="Y233" s="568"/>
      <c r="Z233" s="568"/>
      <c r="AA233" s="568"/>
      <c r="AB233" s="1642"/>
      <c r="AC233" s="1642"/>
      <c r="AD233" s="1642"/>
      <c r="AE233" s="1642"/>
      <c r="AF233" s="1642"/>
      <c r="AG233" s="1642"/>
      <c r="AH233" s="535"/>
      <c r="AI233" s="535"/>
      <c r="AJ233" s="535"/>
      <c r="AK233" s="535"/>
    </row>
    <row r="234" spans="1:37">
      <c r="A234" s="530"/>
      <c r="B234" s="763" t="s">
        <v>2084</v>
      </c>
      <c r="C234" s="588"/>
      <c r="D234" s="752"/>
      <c r="E234" s="752"/>
      <c r="F234" s="752"/>
      <c r="G234" s="752"/>
      <c r="H234" s="752"/>
      <c r="I234" s="752"/>
      <c r="J234" s="752"/>
      <c r="K234" s="461"/>
      <c r="L234" s="461"/>
      <c r="M234" s="461"/>
      <c r="N234" s="461"/>
      <c r="O234" s="461"/>
      <c r="P234" s="461"/>
      <c r="Q234" s="461"/>
      <c r="R234" s="461"/>
      <c r="S234" s="461"/>
      <c r="T234" s="461"/>
      <c r="U234" s="461"/>
      <c r="V234" s="461"/>
      <c r="W234" s="461"/>
      <c r="X234" s="461"/>
      <c r="Y234" s="568"/>
      <c r="Z234" s="568"/>
      <c r="AA234" s="568"/>
      <c r="AB234" s="1651">
        <f>IFERROR(AB232/AB233,0)</f>
        <v>0</v>
      </c>
      <c r="AC234" s="1651"/>
      <c r="AD234" s="1651"/>
      <c r="AE234" s="1651"/>
      <c r="AF234" s="1651"/>
      <c r="AG234" s="1651"/>
      <c r="AH234" s="535"/>
      <c r="AI234" s="535"/>
      <c r="AJ234" s="535"/>
      <c r="AK234" s="535"/>
    </row>
    <row r="235" spans="1:37">
      <c r="A235" s="530"/>
      <c r="B235" s="402"/>
      <c r="C235" s="588"/>
      <c r="D235" s="752"/>
      <c r="E235" s="752"/>
      <c r="F235" s="752"/>
      <c r="G235" s="752"/>
      <c r="H235" s="752"/>
      <c r="I235" s="752"/>
      <c r="J235" s="752"/>
      <c r="K235" s="461"/>
      <c r="L235" s="461"/>
      <c r="M235" s="461"/>
      <c r="N235" s="461"/>
      <c r="O235" s="461"/>
      <c r="P235" s="461"/>
      <c r="Q235" s="461"/>
      <c r="R235" s="461"/>
      <c r="S235" s="461"/>
      <c r="T235" s="461"/>
      <c r="U235" s="461"/>
      <c r="V235" s="461"/>
      <c r="W235" s="461"/>
      <c r="X235" s="461"/>
      <c r="Y235" s="568"/>
      <c r="Z235" s="568"/>
      <c r="AA235" s="568"/>
      <c r="AB235" s="568"/>
      <c r="AC235" s="461"/>
      <c r="AD235" s="461"/>
      <c r="AE235" s="535"/>
      <c r="AF235" s="535"/>
      <c r="AG235" s="535"/>
      <c r="AH235" s="535"/>
      <c r="AI235" s="535"/>
      <c r="AJ235" s="535"/>
      <c r="AK235" s="535"/>
    </row>
    <row r="236" spans="1:37">
      <c r="A236" s="530"/>
      <c r="B236" s="402" t="s">
        <v>2085</v>
      </c>
      <c r="C236" s="588"/>
      <c r="D236" s="752"/>
      <c r="E236" s="752"/>
      <c r="F236" s="752"/>
      <c r="G236" s="752"/>
      <c r="H236" s="752"/>
      <c r="I236" s="752"/>
      <c r="J236" s="752"/>
      <c r="K236" s="461"/>
      <c r="L236" s="461"/>
      <c r="M236" s="461"/>
      <c r="N236" s="461"/>
      <c r="O236" s="461"/>
      <c r="P236" s="461"/>
      <c r="Q236" s="461"/>
      <c r="R236" s="461"/>
      <c r="S236" s="461"/>
      <c r="T236" s="461"/>
      <c r="U236" s="461"/>
      <c r="V236" s="461"/>
      <c r="W236" s="461"/>
      <c r="X236" s="461"/>
      <c r="Y236" s="568"/>
      <c r="Z236" s="568"/>
      <c r="AA236" s="568"/>
      <c r="AB236" s="1650">
        <f>MAX(AB229,AB234)</f>
        <v>0</v>
      </c>
      <c r="AC236" s="1650"/>
      <c r="AD236" s="1650"/>
      <c r="AE236" s="1650"/>
      <c r="AF236" s="1650"/>
      <c r="AG236" s="1650"/>
      <c r="AH236" s="535"/>
      <c r="AI236" s="535"/>
      <c r="AJ236" s="535"/>
      <c r="AK236" s="535"/>
    </row>
    <row r="237" spans="1:37">
      <c r="A237" s="530"/>
      <c r="B237" s="402"/>
      <c r="C237" s="588"/>
      <c r="D237" s="752"/>
      <c r="E237" s="752"/>
      <c r="F237" s="752"/>
      <c r="G237" s="752"/>
      <c r="H237" s="752"/>
      <c r="I237" s="752"/>
      <c r="J237" s="752"/>
      <c r="K237" s="461"/>
      <c r="L237" s="461"/>
      <c r="M237" s="461"/>
      <c r="N237" s="461"/>
      <c r="O237" s="461"/>
      <c r="P237" s="461"/>
      <c r="Q237" s="461"/>
      <c r="R237" s="461"/>
      <c r="S237" s="461"/>
      <c r="T237" s="461"/>
      <c r="U237" s="461"/>
      <c r="V237" s="461"/>
      <c r="W237" s="461"/>
      <c r="X237" s="461"/>
      <c r="Y237" s="568"/>
      <c r="Z237" s="568"/>
      <c r="AA237" s="568"/>
      <c r="AB237" s="568"/>
      <c r="AC237" s="461"/>
      <c r="AD237" s="461"/>
      <c r="AE237" s="535"/>
      <c r="AF237" s="535"/>
      <c r="AG237" s="535"/>
      <c r="AH237" s="535"/>
      <c r="AI237" s="535"/>
      <c r="AJ237" s="535"/>
      <c r="AK237" s="535"/>
    </row>
    <row r="238" spans="1:37">
      <c r="A238" s="530"/>
      <c r="B238" s="402"/>
      <c r="C238" s="588"/>
      <c r="D238" s="752"/>
      <c r="E238" s="752"/>
      <c r="F238" s="752"/>
      <c r="G238" s="752"/>
      <c r="H238" s="752"/>
      <c r="I238" s="752"/>
      <c r="J238" s="752"/>
      <c r="K238" s="461"/>
      <c r="L238" s="461"/>
      <c r="M238" s="461"/>
      <c r="N238" s="461"/>
      <c r="O238" s="461"/>
      <c r="P238" s="461"/>
      <c r="Q238" s="461"/>
      <c r="R238" s="461"/>
      <c r="S238" s="461"/>
      <c r="T238" s="461"/>
      <c r="U238" s="461"/>
      <c r="V238" s="461"/>
      <c r="W238" s="461"/>
      <c r="X238" s="461"/>
      <c r="Y238" s="568"/>
      <c r="Z238" s="568"/>
      <c r="AA238" s="568"/>
      <c r="AB238" s="568"/>
      <c r="AC238" s="461"/>
      <c r="AD238" s="461"/>
      <c r="AE238" s="535"/>
      <c r="AF238" s="535"/>
      <c r="AG238" s="535"/>
      <c r="AH238" s="535"/>
      <c r="AI238" s="535"/>
      <c r="AJ238" s="535"/>
      <c r="AK238" s="535"/>
    </row>
    <row r="239" spans="1:37">
      <c r="A239" s="530"/>
      <c r="B239" s="402" t="s">
        <v>2086</v>
      </c>
      <c r="C239" s="588"/>
      <c r="D239" s="752"/>
      <c r="E239" s="752"/>
      <c r="F239" s="752"/>
      <c r="G239" s="752"/>
      <c r="H239" s="752"/>
      <c r="I239" s="752"/>
      <c r="J239" s="752"/>
      <c r="K239" s="461"/>
      <c r="L239" s="461"/>
      <c r="M239" s="461"/>
      <c r="N239" s="461"/>
      <c r="O239" s="461"/>
      <c r="P239" s="461"/>
      <c r="Q239" s="461"/>
      <c r="R239" s="461"/>
      <c r="S239" s="461"/>
      <c r="U239" s="764"/>
      <c r="V239" s="764"/>
      <c r="W239" s="764"/>
      <c r="X239" s="764"/>
      <c r="Y239" s="764"/>
      <c r="Z239" s="568"/>
      <c r="AA239" s="568"/>
      <c r="AB239" s="1643">
        <f>AB223+AB236</f>
        <v>207360</v>
      </c>
      <c r="AC239" s="1643"/>
      <c r="AD239" s="1643"/>
      <c r="AE239" s="1643"/>
      <c r="AF239" s="1643"/>
      <c r="AG239" s="1643"/>
      <c r="AH239" s="535"/>
      <c r="AI239" s="535"/>
      <c r="AJ239" s="535"/>
      <c r="AK239" s="535"/>
    </row>
    <row r="240" spans="1:37">
      <c r="A240" s="530"/>
      <c r="B240" s="402" t="s">
        <v>2087</v>
      </c>
      <c r="C240" s="588"/>
      <c r="D240" s="752"/>
      <c r="E240" s="752"/>
      <c r="F240" s="752"/>
      <c r="G240" s="752"/>
      <c r="H240" s="752"/>
      <c r="I240" s="752"/>
      <c r="J240" s="752"/>
      <c r="K240" s="461"/>
      <c r="L240" s="461"/>
      <c r="M240" s="461"/>
      <c r="N240" s="461"/>
      <c r="O240" s="461"/>
      <c r="P240" s="461"/>
      <c r="Q240" s="461"/>
      <c r="R240" s="461"/>
      <c r="S240" s="461"/>
      <c r="U240" s="765"/>
      <c r="V240" s="765"/>
      <c r="W240" s="765"/>
      <c r="X240" s="765"/>
      <c r="Y240" s="765"/>
      <c r="Z240" s="568"/>
      <c r="AA240" s="568"/>
      <c r="AB240" s="1816">
        <v>0.05</v>
      </c>
      <c r="AC240" s="1816"/>
      <c r="AD240" s="1816"/>
      <c r="AE240" s="1816"/>
      <c r="AF240" s="1816"/>
      <c r="AG240" s="1816"/>
      <c r="AH240" s="535"/>
      <c r="AI240" s="535"/>
      <c r="AJ240" s="535"/>
      <c r="AK240" s="535"/>
    </row>
    <row r="241" spans="1:37">
      <c r="A241" s="530"/>
      <c r="B241" s="402" t="s">
        <v>2088</v>
      </c>
      <c r="C241" s="588"/>
      <c r="D241" s="752"/>
      <c r="E241" s="752"/>
      <c r="F241" s="752"/>
      <c r="G241" s="752"/>
      <c r="H241" s="752"/>
      <c r="I241" s="752"/>
      <c r="J241" s="752"/>
      <c r="K241" s="461"/>
      <c r="L241" s="461"/>
      <c r="M241" s="461"/>
      <c r="N241" s="461"/>
      <c r="O241" s="461"/>
      <c r="P241" s="461"/>
      <c r="Q241" s="461"/>
      <c r="R241" s="461"/>
      <c r="S241" s="461"/>
      <c r="U241" s="764"/>
      <c r="V241" s="764"/>
      <c r="W241" s="764"/>
      <c r="X241" s="764"/>
      <c r="Y241" s="764"/>
      <c r="Z241" s="568"/>
      <c r="AA241" s="568"/>
      <c r="AB241" s="1817">
        <f>AB239-(AB239*AB240)</f>
        <v>196992</v>
      </c>
      <c r="AC241" s="1817"/>
      <c r="AD241" s="1817"/>
      <c r="AE241" s="1817"/>
      <c r="AF241" s="1817"/>
      <c r="AG241" s="1817"/>
      <c r="AH241" s="535"/>
      <c r="AI241" s="535"/>
      <c r="AJ241" s="535"/>
      <c r="AK241" s="535"/>
    </row>
    <row r="242" spans="1:37">
      <c r="A242" s="530"/>
      <c r="B242" s="402" t="s">
        <v>2089</v>
      </c>
      <c r="C242" s="588"/>
      <c r="D242" s="752"/>
      <c r="E242" s="752"/>
      <c r="F242" s="752"/>
      <c r="G242" s="752"/>
      <c r="H242" s="752"/>
      <c r="I242" s="752"/>
      <c r="J242" s="752"/>
      <c r="K242" s="461"/>
      <c r="L242" s="461"/>
      <c r="M242" s="461"/>
      <c r="N242" s="461"/>
      <c r="O242" s="461"/>
      <c r="P242" s="461"/>
      <c r="Q242" s="461"/>
      <c r="R242" s="461"/>
      <c r="S242" s="461"/>
      <c r="U242" s="461"/>
      <c r="V242" s="461"/>
      <c r="W242" s="461"/>
      <c r="X242" s="461"/>
      <c r="Y242" s="766"/>
      <c r="Z242" s="568"/>
      <c r="AA242" s="568"/>
      <c r="AB242" s="461"/>
      <c r="AC242" s="461"/>
      <c r="AD242" s="461"/>
      <c r="AE242" s="535"/>
      <c r="AF242" s="535"/>
      <c r="AG242" s="535"/>
      <c r="AH242" s="535"/>
      <c r="AI242" s="535"/>
      <c r="AJ242" s="535"/>
      <c r="AK242" s="535"/>
    </row>
    <row r="243" spans="1:37">
      <c r="A243" s="530"/>
      <c r="B243" s="402" t="s">
        <v>2090</v>
      </c>
      <c r="C243" s="588"/>
      <c r="D243" s="752"/>
      <c r="E243" s="752"/>
      <c r="F243" s="752"/>
      <c r="G243" s="752"/>
      <c r="H243" s="752"/>
      <c r="I243" s="752"/>
      <c r="J243" s="752"/>
      <c r="K243" s="461"/>
      <c r="L243" s="461"/>
      <c r="M243" s="461"/>
      <c r="N243" s="461"/>
      <c r="O243" s="461"/>
      <c r="P243" s="461"/>
      <c r="Q243" s="461"/>
      <c r="R243" s="461"/>
      <c r="S243" s="461"/>
      <c r="U243" s="764"/>
      <c r="V243" s="764"/>
      <c r="W243" s="764"/>
      <c r="X243" s="764"/>
      <c r="Y243" s="764"/>
      <c r="Z243" s="568"/>
      <c r="AA243" s="568"/>
      <c r="AB243" s="1643">
        <f>AB241/AB247</f>
        <v>171297.39130434784</v>
      </c>
      <c r="AC243" s="1643"/>
      <c r="AD243" s="1643"/>
      <c r="AE243" s="1643"/>
      <c r="AF243" s="1643"/>
      <c r="AG243" s="1643"/>
      <c r="AH243" s="535"/>
      <c r="AI243" s="535"/>
      <c r="AJ243" s="535"/>
      <c r="AK243" s="535"/>
    </row>
    <row r="244" spans="1:37">
      <c r="A244" s="530"/>
      <c r="B244" s="402"/>
      <c r="C244" s="588"/>
      <c r="D244" s="752"/>
      <c r="E244" s="752"/>
      <c r="F244" s="752"/>
      <c r="G244" s="752"/>
      <c r="H244" s="752"/>
      <c r="I244" s="752"/>
      <c r="J244" s="752"/>
      <c r="K244" s="461"/>
      <c r="L244" s="461"/>
      <c r="M244" s="461"/>
      <c r="N244" s="461"/>
      <c r="O244" s="461"/>
      <c r="P244" s="461"/>
      <c r="Q244" s="461"/>
      <c r="R244" s="461"/>
      <c r="S244" s="461"/>
      <c r="U244" s="461"/>
      <c r="V244" s="461"/>
      <c r="W244" s="461"/>
      <c r="X244" s="461"/>
      <c r="Y244" s="402"/>
      <c r="Z244" s="568"/>
      <c r="AA244" s="568"/>
      <c r="AB244" s="461"/>
      <c r="AC244" s="461"/>
      <c r="AD244" s="461"/>
      <c r="AE244" s="535"/>
      <c r="AF244" s="535"/>
      <c r="AG244" s="535"/>
      <c r="AH244" s="535"/>
      <c r="AI244" s="535"/>
      <c r="AJ244" s="535"/>
      <c r="AK244" s="535"/>
    </row>
    <row r="245" spans="1:37">
      <c r="A245" s="530"/>
      <c r="B245" s="402" t="s">
        <v>2091</v>
      </c>
      <c r="C245" s="588"/>
      <c r="D245" s="752"/>
      <c r="E245" s="752"/>
      <c r="F245" s="752"/>
      <c r="G245" s="752"/>
      <c r="H245" s="752"/>
      <c r="I245" s="752"/>
      <c r="J245" s="752"/>
      <c r="K245" s="461"/>
      <c r="L245" s="461"/>
      <c r="M245" s="461"/>
      <c r="N245" s="461"/>
      <c r="O245" s="461"/>
      <c r="P245" s="461"/>
      <c r="Q245" s="461"/>
      <c r="R245" s="461"/>
      <c r="S245" s="461"/>
      <c r="U245" s="402"/>
      <c r="V245" s="402"/>
      <c r="W245" s="402"/>
      <c r="X245" s="402"/>
      <c r="Y245" s="402"/>
      <c r="Z245" s="568"/>
      <c r="AA245" s="568"/>
      <c r="AB245" s="1829">
        <v>15</v>
      </c>
      <c r="AC245" s="1829"/>
      <c r="AD245" s="1829"/>
      <c r="AE245" s="1829"/>
      <c r="AF245" s="1829"/>
      <c r="AG245" s="1829"/>
      <c r="AH245" s="535"/>
      <c r="AI245" s="535"/>
      <c r="AJ245" s="535"/>
      <c r="AK245" s="535"/>
    </row>
    <row r="246" spans="1:37">
      <c r="A246" s="530"/>
      <c r="B246" s="402" t="s">
        <v>2092</v>
      </c>
      <c r="C246" s="588"/>
      <c r="D246" s="752"/>
      <c r="E246" s="752"/>
      <c r="F246" s="752"/>
      <c r="G246" s="752"/>
      <c r="H246" s="752"/>
      <c r="I246" s="752"/>
      <c r="J246" s="752"/>
      <c r="K246" s="461"/>
      <c r="L246" s="461"/>
      <c r="M246" s="461"/>
      <c r="N246" s="461"/>
      <c r="O246" s="461"/>
      <c r="P246" s="461"/>
      <c r="Q246" s="461"/>
      <c r="R246" s="461"/>
      <c r="S246" s="461"/>
      <c r="U246" s="765"/>
      <c r="V246" s="765"/>
      <c r="W246" s="765"/>
      <c r="X246" s="765"/>
      <c r="Y246" s="765"/>
      <c r="Z246" s="568"/>
      <c r="AA246" s="568"/>
      <c r="AB246" s="1819">
        <v>0.04</v>
      </c>
      <c r="AC246" s="1819"/>
      <c r="AD246" s="1819"/>
      <c r="AE246" s="1819"/>
      <c r="AF246" s="1819"/>
      <c r="AG246" s="1819"/>
      <c r="AH246" s="535"/>
      <c r="AI246" s="535"/>
      <c r="AJ246" s="535"/>
      <c r="AK246" s="535"/>
    </row>
    <row r="247" spans="1:37">
      <c r="A247" s="530"/>
      <c r="B247" s="402" t="s">
        <v>2093</v>
      </c>
      <c r="C247" s="588"/>
      <c r="D247" s="752"/>
      <c r="E247" s="752"/>
      <c r="F247" s="752"/>
      <c r="G247" s="752"/>
      <c r="H247" s="752"/>
      <c r="I247" s="752"/>
      <c r="J247" s="752"/>
      <c r="K247" s="461"/>
      <c r="L247" s="461"/>
      <c r="M247" s="461"/>
      <c r="N247" s="461"/>
      <c r="O247" s="461"/>
      <c r="P247" s="461"/>
      <c r="Q247" s="461"/>
      <c r="R247" s="461"/>
      <c r="S247" s="461"/>
      <c r="U247" s="767"/>
      <c r="V247" s="767"/>
      <c r="W247" s="767"/>
      <c r="X247" s="767"/>
      <c r="Y247" s="767"/>
      <c r="Z247" s="568"/>
      <c r="AA247" s="568"/>
      <c r="AB247" s="1820">
        <v>1.1499999999999999</v>
      </c>
      <c r="AC247" s="1820"/>
      <c r="AD247" s="1820"/>
      <c r="AE247" s="1820"/>
      <c r="AF247" s="1820"/>
      <c r="AG247" s="1820"/>
      <c r="AH247" s="535"/>
      <c r="AI247" s="535"/>
      <c r="AJ247" s="535"/>
      <c r="AK247" s="535"/>
    </row>
    <row r="248" spans="1:37">
      <c r="A248" s="530"/>
      <c r="B248" s="402"/>
      <c r="C248" s="588"/>
      <c r="D248" s="752"/>
      <c r="E248" s="752"/>
      <c r="F248" s="752"/>
      <c r="G248" s="752"/>
      <c r="H248" s="752"/>
      <c r="I248" s="752"/>
      <c r="J248" s="752"/>
      <c r="K248" s="461"/>
      <c r="L248" s="461"/>
      <c r="M248" s="461"/>
      <c r="N248" s="461"/>
      <c r="O248" s="461"/>
      <c r="P248" s="461"/>
      <c r="Q248" s="461"/>
      <c r="R248" s="461"/>
      <c r="S248" s="461"/>
      <c r="U248" s="461"/>
      <c r="V248" s="461"/>
      <c r="W248" s="461"/>
      <c r="X248" s="461"/>
      <c r="Y248" s="415"/>
      <c r="Z248" s="568"/>
      <c r="AA248" s="568"/>
      <c r="AB248" s="461"/>
      <c r="AC248" s="461"/>
      <c r="AD248" s="461"/>
      <c r="AE248" s="535"/>
      <c r="AF248" s="535"/>
      <c r="AG248" s="535"/>
      <c r="AH248" s="535"/>
      <c r="AI248" s="535"/>
      <c r="AJ248" s="535"/>
      <c r="AK248" s="535"/>
    </row>
    <row r="249" spans="1:37">
      <c r="A249" s="530"/>
      <c r="B249" s="769" t="s">
        <v>2094</v>
      </c>
      <c r="C249" s="588"/>
      <c r="D249" s="752"/>
      <c r="E249" s="752"/>
      <c r="F249" s="752"/>
      <c r="G249" s="752"/>
      <c r="H249" s="752"/>
      <c r="I249" s="752"/>
      <c r="J249" s="752"/>
      <c r="K249" s="461"/>
      <c r="L249" s="461"/>
      <c r="M249" s="461"/>
      <c r="N249" s="461"/>
      <c r="O249" s="461"/>
      <c r="P249" s="461"/>
      <c r="Q249" s="461"/>
      <c r="R249" s="461"/>
      <c r="S249" s="461"/>
      <c r="U249" s="768"/>
      <c r="V249" s="768"/>
      <c r="W249" s="768"/>
      <c r="X249" s="768"/>
      <c r="Y249" s="768"/>
      <c r="Z249" s="568"/>
      <c r="AA249" s="568"/>
      <c r="AB249" s="1809">
        <f>PV(AB246/12,AB245*12,-AB243/12, ,0)</f>
        <v>1929838.5325051781</v>
      </c>
      <c r="AC249" s="1810"/>
      <c r="AD249" s="1810"/>
      <c r="AE249" s="1810"/>
      <c r="AF249" s="1810"/>
      <c r="AG249" s="1811"/>
      <c r="AH249" s="535"/>
      <c r="AI249" s="535"/>
      <c r="AJ249" s="535"/>
      <c r="AK249" s="535"/>
    </row>
    <row r="250" spans="1:37">
      <c r="A250" s="530"/>
      <c r="B250" s="769"/>
      <c r="C250" s="588"/>
      <c r="D250" s="752"/>
      <c r="E250" s="752"/>
      <c r="F250" s="752"/>
      <c r="G250" s="752"/>
      <c r="H250" s="752"/>
      <c r="I250" s="752"/>
      <c r="J250" s="752"/>
      <c r="K250" s="461"/>
      <c r="L250" s="461"/>
      <c r="M250" s="461"/>
      <c r="N250" s="461"/>
      <c r="O250" s="461"/>
      <c r="P250" s="461"/>
      <c r="Q250" s="461"/>
      <c r="R250" s="461"/>
      <c r="S250" s="461"/>
      <c r="U250" s="768"/>
      <c r="V250" s="768"/>
      <c r="W250" s="768"/>
      <c r="X250" s="768"/>
      <c r="Y250" s="768"/>
      <c r="Z250" s="568"/>
      <c r="AA250" s="568"/>
      <c r="AB250" s="780"/>
      <c r="AC250" s="780"/>
      <c r="AD250" s="780"/>
      <c r="AE250" s="780"/>
      <c r="AF250" s="780"/>
      <c r="AG250" s="780"/>
      <c r="AH250" s="535"/>
      <c r="AI250" s="535"/>
      <c r="AJ250" s="535"/>
      <c r="AK250" s="535"/>
    </row>
    <row r="251" spans="1:37">
      <c r="A251" s="530"/>
      <c r="B251" s="769"/>
      <c r="C251" s="588"/>
      <c r="D251" s="752"/>
      <c r="E251" s="752"/>
      <c r="F251" s="752"/>
      <c r="G251" s="752"/>
      <c r="H251" s="752"/>
      <c r="I251" s="752"/>
      <c r="J251" s="752"/>
      <c r="K251" s="461"/>
      <c r="L251" s="461"/>
      <c r="M251" s="461"/>
      <c r="N251" s="461"/>
      <c r="O251" s="461"/>
      <c r="P251" s="461"/>
      <c r="Q251" s="461"/>
      <c r="R251" s="461"/>
      <c r="S251" s="461"/>
      <c r="U251" s="768"/>
      <c r="V251" s="768"/>
      <c r="W251" s="768"/>
      <c r="X251" s="768"/>
      <c r="Y251" s="768"/>
      <c r="Z251" s="568"/>
      <c r="AA251" s="568"/>
      <c r="AB251" s="780"/>
      <c r="AC251" s="780"/>
      <c r="AD251" s="780"/>
      <c r="AE251" s="780"/>
      <c r="AF251" s="780"/>
      <c r="AG251" s="780"/>
      <c r="AH251" s="535"/>
      <c r="AI251" s="535"/>
      <c r="AJ251" s="535"/>
      <c r="AK251" s="535"/>
    </row>
    <row r="252" spans="1:37">
      <c r="A252" s="530"/>
      <c r="B252" s="772" t="s">
        <v>2095</v>
      </c>
      <c r="C252" s="772"/>
      <c r="D252" s="752"/>
      <c r="E252" s="752"/>
      <c r="F252" s="752"/>
      <c r="G252" s="752"/>
      <c r="H252" s="752"/>
      <c r="I252" s="752"/>
      <c r="J252" s="752"/>
      <c r="K252" s="461"/>
      <c r="L252" s="461"/>
      <c r="M252" s="461"/>
      <c r="N252" s="461"/>
      <c r="O252" s="461"/>
      <c r="P252" s="461"/>
      <c r="Q252" s="461"/>
      <c r="R252" s="461"/>
      <c r="S252" s="461"/>
      <c r="T252" s="461"/>
      <c r="U252" s="461"/>
      <c r="V252" s="461"/>
      <c r="W252" s="461"/>
      <c r="X252" s="461"/>
      <c r="Y252" s="568"/>
      <c r="Z252" s="568"/>
      <c r="AA252" s="568"/>
      <c r="AB252" s="568"/>
      <c r="AC252" s="461"/>
      <c r="AD252" s="461"/>
      <c r="AE252" s="535"/>
      <c r="AF252" s="535"/>
      <c r="AG252" s="535"/>
      <c r="AH252" s="535"/>
      <c r="AI252" s="535"/>
      <c r="AJ252" s="535"/>
      <c r="AK252" s="535"/>
    </row>
    <row r="253" spans="1:37">
      <c r="A253" s="530"/>
      <c r="B253" s="530" t="s">
        <v>2096</v>
      </c>
      <c r="C253" s="588"/>
      <c r="D253" s="752"/>
      <c r="E253" s="752"/>
      <c r="F253" s="752"/>
      <c r="G253" s="752"/>
      <c r="H253" s="752"/>
      <c r="I253" s="752"/>
      <c r="J253" s="752"/>
      <c r="K253" s="461"/>
      <c r="L253" s="461"/>
      <c r="M253" s="461"/>
      <c r="N253" s="461"/>
      <c r="O253" s="461"/>
      <c r="P253" s="461"/>
      <c r="Q253" s="461"/>
      <c r="R253" s="461"/>
      <c r="S253" s="461"/>
      <c r="T253" s="461"/>
      <c r="U253" s="461"/>
      <c r="V253" s="461"/>
      <c r="W253" s="461"/>
      <c r="X253" s="461"/>
      <c r="Y253" s="568"/>
      <c r="Z253" s="568"/>
      <c r="AA253" s="568"/>
      <c r="AB253" s="568"/>
      <c r="AC253" s="461"/>
      <c r="AD253" s="461"/>
      <c r="AE253" s="535"/>
      <c r="AF253" s="535"/>
      <c r="AG253" s="535"/>
      <c r="AH253" s="535"/>
      <c r="AI253" s="535"/>
      <c r="AJ253" s="535"/>
      <c r="AK253" s="535"/>
    </row>
    <row r="254" spans="1:37">
      <c r="A254" s="530"/>
      <c r="B254" s="530" t="s">
        <v>2097</v>
      </c>
      <c r="C254" s="588"/>
      <c r="D254" s="752"/>
      <c r="E254" s="752"/>
      <c r="F254" s="752"/>
      <c r="G254" s="752"/>
      <c r="H254" s="752"/>
      <c r="I254" s="752"/>
      <c r="J254" s="752"/>
      <c r="K254" s="461"/>
      <c r="L254" s="461"/>
      <c r="M254" s="461"/>
      <c r="N254" s="461"/>
      <c r="O254" s="461"/>
      <c r="P254" s="461"/>
      <c r="Q254" s="461"/>
      <c r="R254" s="461"/>
      <c r="S254" s="461"/>
      <c r="T254" s="461"/>
      <c r="U254" s="461"/>
      <c r="V254" s="461"/>
      <c r="W254" s="461"/>
      <c r="X254" s="461"/>
      <c r="Y254" s="568"/>
      <c r="Z254" s="568"/>
      <c r="AA254" s="568"/>
      <c r="AB254" s="568"/>
      <c r="AC254" s="461"/>
      <c r="AD254" s="461"/>
      <c r="AE254" s="535"/>
      <c r="AF254" s="535"/>
      <c r="AG254" s="535"/>
      <c r="AH254" s="535"/>
      <c r="AI254" s="535"/>
      <c r="AJ254" s="535"/>
      <c r="AK254" s="535"/>
    </row>
    <row r="255" spans="1:37">
      <c r="A255" s="530"/>
      <c r="B255" s="530" t="s">
        <v>2098</v>
      </c>
      <c r="C255" s="588"/>
      <c r="D255" s="752"/>
      <c r="E255" s="752"/>
      <c r="F255" s="752"/>
      <c r="G255" s="752"/>
      <c r="H255" s="752"/>
      <c r="I255" s="752"/>
      <c r="J255" s="752"/>
      <c r="K255" s="461"/>
      <c r="L255" s="461"/>
      <c r="M255" s="461"/>
      <c r="N255" s="461"/>
      <c r="O255" s="461"/>
      <c r="P255" s="461"/>
      <c r="Q255" s="461"/>
      <c r="R255" s="461"/>
      <c r="S255" s="461"/>
      <c r="T255" s="461"/>
      <c r="U255" s="461"/>
      <c r="V255" s="461"/>
      <c r="W255" s="461"/>
      <c r="X255" s="461"/>
      <c r="Y255" s="568"/>
      <c r="Z255" s="568"/>
      <c r="AA255" s="568"/>
      <c r="AB255" s="1813">
        <f>IFERROR(('Sources and Uses Budget'!D105/'Sources and Uses Budget'!B105),0)</f>
        <v>0</v>
      </c>
      <c r="AC255" s="1814"/>
      <c r="AD255" s="1814"/>
      <c r="AE255" s="1814"/>
      <c r="AF255" s="1814"/>
      <c r="AG255" s="1815"/>
      <c r="AH255" s="781"/>
      <c r="AI255" s="781"/>
      <c r="AJ255" s="781"/>
      <c r="AK255" s="535"/>
    </row>
    <row r="256" spans="1:37">
      <c r="A256" s="530"/>
      <c r="B256" s="402"/>
      <c r="C256" s="588"/>
      <c r="D256" s="752"/>
      <c r="E256" s="752"/>
      <c r="F256" s="752"/>
      <c r="G256" s="752"/>
      <c r="H256" s="752"/>
      <c r="I256" s="752"/>
      <c r="J256" s="752"/>
      <c r="K256" s="461"/>
      <c r="L256" s="461"/>
      <c r="M256" s="461"/>
      <c r="N256" s="461"/>
      <c r="O256" s="461"/>
      <c r="P256" s="461"/>
      <c r="Q256" s="461"/>
      <c r="R256" s="461"/>
      <c r="S256" s="461"/>
      <c r="T256" s="461"/>
      <c r="U256" s="461"/>
      <c r="V256" s="461"/>
      <c r="W256" s="461"/>
      <c r="X256" s="461"/>
      <c r="Y256" s="568"/>
      <c r="Z256" s="568"/>
      <c r="AA256" s="568"/>
      <c r="AB256" s="568"/>
      <c r="AC256" s="461"/>
      <c r="AD256" s="461"/>
      <c r="AE256" s="535"/>
      <c r="AF256" s="535"/>
      <c r="AG256" s="535"/>
      <c r="AH256" s="535"/>
      <c r="AI256" s="535"/>
      <c r="AJ256" s="535"/>
      <c r="AK256" s="535"/>
    </row>
    <row r="257" spans="1:52">
      <c r="A257" s="547"/>
      <c r="B257" s="374" t="s">
        <v>2099</v>
      </c>
      <c r="C257" s="548"/>
      <c r="D257" s="548"/>
      <c r="E257" s="548"/>
      <c r="F257" s="548"/>
      <c r="H257" s="549"/>
      <c r="I257" s="549"/>
      <c r="J257" s="549"/>
      <c r="K257" s="549"/>
      <c r="L257" s="549"/>
      <c r="M257" s="549"/>
      <c r="N257" s="549"/>
      <c r="O257" s="549"/>
      <c r="P257" s="549"/>
      <c r="Q257" s="549"/>
      <c r="R257" s="549"/>
      <c r="Y257" s="549"/>
      <c r="Z257" s="549"/>
      <c r="AA257" s="549"/>
      <c r="AB257" s="547"/>
      <c r="AC257" s="547"/>
      <c r="AD257" s="547"/>
      <c r="AE257" s="547"/>
      <c r="AG257" s="1657">
        <f>AD200*(1-AB255)</f>
        <v>9379838.5325051788</v>
      </c>
      <c r="AH257" s="1657"/>
      <c r="AI257" s="1657"/>
      <c r="AJ257" s="1657"/>
      <c r="AK257" s="1657"/>
    </row>
    <row r="258" spans="1:52">
      <c r="A258" s="547"/>
      <c r="B258" s="550" t="s">
        <v>2100</v>
      </c>
      <c r="C258" s="551"/>
      <c r="D258" s="549"/>
      <c r="E258" s="549"/>
      <c r="F258" s="551"/>
      <c r="G258" s="551"/>
      <c r="H258" s="551"/>
      <c r="I258" s="551"/>
      <c r="J258" s="551"/>
      <c r="K258" s="551"/>
      <c r="L258" s="551"/>
      <c r="M258" s="549"/>
      <c r="N258" s="551"/>
      <c r="O258" s="551"/>
      <c r="P258" s="551"/>
      <c r="Q258" s="551"/>
      <c r="R258" s="551"/>
      <c r="Y258" s="549"/>
      <c r="Z258" s="549"/>
      <c r="AA258" s="549"/>
      <c r="AB258" s="547"/>
      <c r="AC258" s="547"/>
      <c r="AD258" s="547"/>
      <c r="AE258" s="547"/>
      <c r="AG258" s="1657">
        <f>'Sources and Uses Budget'!C105</f>
        <v>35418549.276178665</v>
      </c>
      <c r="AH258" s="1657"/>
      <c r="AI258" s="1657"/>
      <c r="AJ258" s="1657"/>
      <c r="AK258" s="1657"/>
    </row>
    <row r="259" spans="1:52">
      <c r="A259" s="547"/>
      <c r="B259" s="549" t="s">
        <v>1713</v>
      </c>
      <c r="C259" s="549"/>
      <c r="D259" s="549"/>
      <c r="E259" s="549"/>
      <c r="F259" s="549"/>
      <c r="G259" s="549"/>
      <c r="H259" s="549"/>
      <c r="I259" s="549"/>
      <c r="J259" s="549"/>
      <c r="K259" s="549"/>
      <c r="L259" s="549"/>
      <c r="M259" s="549"/>
      <c r="N259" s="549"/>
      <c r="O259" s="549"/>
      <c r="P259" s="549"/>
      <c r="Q259" s="549"/>
      <c r="R259" s="549"/>
      <c r="Y259" s="549"/>
      <c r="Z259" s="549"/>
      <c r="AA259" s="549"/>
      <c r="AB259" s="547"/>
      <c r="AC259" s="547"/>
      <c r="AD259" s="547"/>
      <c r="AE259" s="547"/>
      <c r="AG259" s="1805">
        <f>ROUNDDOWN(IF(AND(C281="Yes",AK78=10),((AG257*2)/AG258),AG257/AG258),2)</f>
        <v>0.52</v>
      </c>
      <c r="AH259" s="1805"/>
      <c r="AI259" s="1805"/>
      <c r="AJ259" s="1805"/>
      <c r="AK259" s="1805"/>
    </row>
    <row r="260" spans="1:52">
      <c r="A260" s="547"/>
      <c r="B260" s="898" t="s">
        <v>2101</v>
      </c>
      <c r="C260" s="549"/>
      <c r="D260" s="549"/>
      <c r="E260" s="549"/>
      <c r="F260" s="549"/>
      <c r="G260" s="549"/>
      <c r="H260" s="549"/>
      <c r="I260" s="549"/>
      <c r="J260" s="549"/>
      <c r="K260" s="549"/>
      <c r="L260" s="549"/>
      <c r="M260" s="549"/>
      <c r="N260" s="549"/>
      <c r="O260" s="549"/>
      <c r="P260" s="549"/>
      <c r="Q260" s="549"/>
      <c r="R260" s="549"/>
      <c r="Y260" s="549"/>
      <c r="Z260" s="549"/>
      <c r="AA260" s="549"/>
      <c r="AB260" s="547"/>
      <c r="AC260" s="547"/>
      <c r="AD260" s="547"/>
      <c r="AE260" s="547"/>
      <c r="AG260" s="897"/>
      <c r="AH260" s="897"/>
      <c r="AI260" s="897"/>
      <c r="AJ260" s="897"/>
      <c r="AK260" s="897"/>
    </row>
    <row r="261" spans="1:52">
      <c r="A261" s="552"/>
      <c r="B261" s="552"/>
      <c r="C261" s="552"/>
      <c r="D261" s="552"/>
      <c r="E261" s="552"/>
      <c r="F261" s="552"/>
      <c r="G261" s="552"/>
      <c r="H261" s="552"/>
      <c r="I261" s="552"/>
      <c r="J261" s="552"/>
      <c r="K261" s="552"/>
      <c r="L261" s="552"/>
      <c r="M261" s="552"/>
      <c r="N261" s="552"/>
      <c r="O261" s="552"/>
      <c r="P261" s="552"/>
      <c r="Q261" s="552"/>
      <c r="R261" s="552"/>
      <c r="S261" s="552"/>
      <c r="T261" s="552"/>
      <c r="U261" s="552"/>
      <c r="V261" s="552"/>
      <c r="W261" s="552"/>
      <c r="X261" s="552"/>
      <c r="Y261" s="552"/>
      <c r="Z261" s="552"/>
      <c r="AA261" s="552"/>
      <c r="AB261" s="552"/>
      <c r="AC261" s="552"/>
      <c r="AD261" s="552"/>
      <c r="AE261" s="552"/>
      <c r="AF261" s="552"/>
      <c r="AG261" s="552"/>
      <c r="AH261" s="552"/>
      <c r="AI261" s="552"/>
      <c r="AJ261" s="552"/>
    </row>
    <row r="262" spans="1:52">
      <c r="A262" s="553"/>
      <c r="B262" s="553"/>
      <c r="C262" s="553"/>
      <c r="D262" s="553"/>
      <c r="E262" s="553"/>
      <c r="F262" s="553"/>
      <c r="G262" s="553"/>
      <c r="H262" s="553"/>
      <c r="I262" s="553"/>
      <c r="J262" s="553"/>
      <c r="K262" s="553"/>
      <c r="L262" s="553"/>
      <c r="M262" s="553"/>
      <c r="N262" s="553"/>
      <c r="O262" s="553"/>
      <c r="P262" s="553"/>
      <c r="Q262" s="553"/>
      <c r="R262" s="553"/>
      <c r="S262" s="553"/>
      <c r="T262" s="553"/>
      <c r="U262" s="553"/>
      <c r="V262" s="553"/>
      <c r="W262" s="553"/>
      <c r="X262" s="553"/>
      <c r="Y262" s="553"/>
      <c r="Z262" s="553"/>
      <c r="AA262" s="553"/>
      <c r="AB262" s="553"/>
      <c r="AC262" s="553"/>
      <c r="AD262" s="553"/>
      <c r="AE262" s="553"/>
      <c r="AF262" s="553"/>
      <c r="AG262" s="553"/>
      <c r="AH262" s="554"/>
      <c r="AI262" s="490"/>
      <c r="AJ262" s="490" t="s">
        <v>2102</v>
      </c>
      <c r="AK262" s="1795">
        <f>IFERROR(IF(AG259=0,0,IF((AG259*100)&gt;8,8,(AG259*100))),0)</f>
        <v>8</v>
      </c>
      <c r="AL262" s="1795"/>
      <c r="AM262" s="1796"/>
    </row>
    <row r="263" spans="1:52" ht="14.1" thickBot="1"/>
    <row r="264" spans="1:52" s="475" customFormat="1" ht="12.75" customHeight="1" thickTop="1">
      <c r="A264" s="537"/>
      <c r="B264" s="555"/>
      <c r="C264" s="555"/>
      <c r="D264" s="555"/>
      <c r="E264" s="555"/>
      <c r="F264" s="555"/>
      <c r="G264" s="555"/>
      <c r="H264" s="555"/>
      <c r="I264" s="555"/>
      <c r="J264" s="555"/>
      <c r="K264" s="555"/>
      <c r="L264" s="555"/>
      <c r="M264" s="555"/>
      <c r="N264" s="555"/>
      <c r="O264" s="555"/>
      <c r="P264" s="555"/>
      <c r="Q264" s="555"/>
      <c r="R264" s="555"/>
      <c r="S264" s="555"/>
      <c r="T264" s="555"/>
      <c r="U264" s="555"/>
      <c r="V264" s="555"/>
      <c r="W264" s="555"/>
      <c r="X264" s="555"/>
      <c r="Y264" s="555"/>
      <c r="Z264" s="555"/>
      <c r="AA264" s="555"/>
      <c r="AB264" s="555"/>
      <c r="AC264" s="556"/>
      <c r="AD264" s="555"/>
      <c r="AE264" s="555"/>
      <c r="AF264" s="555"/>
      <c r="AG264" s="555"/>
      <c r="AH264" s="537"/>
      <c r="AI264" s="557"/>
      <c r="AJ264" s="557"/>
      <c r="AK264" s="558"/>
      <c r="AL264" s="558"/>
      <c r="AM264" s="559"/>
      <c r="AN264" s="522"/>
      <c r="AP264" s="461"/>
      <c r="AQ264" s="461"/>
      <c r="AR264" s="461"/>
      <c r="AS264" s="461"/>
      <c r="AT264" s="461"/>
      <c r="AU264" s="461"/>
      <c r="AV264" s="461"/>
      <c r="AW264" s="461"/>
      <c r="AX264" s="461"/>
      <c r="AY264" s="461"/>
      <c r="AZ264" s="461"/>
    </row>
    <row r="265" spans="1:52">
      <c r="A265" s="463" t="s">
        <v>2103</v>
      </c>
      <c r="B265" s="463" t="s">
        <v>2104</v>
      </c>
      <c r="C265" s="464"/>
      <c r="D265" s="475"/>
      <c r="E265" s="475"/>
      <c r="F265" s="475"/>
      <c r="G265" s="475"/>
      <c r="H265" s="475"/>
      <c r="I265" s="475"/>
      <c r="J265" s="475"/>
      <c r="K265" s="475"/>
      <c r="L265" s="475"/>
      <c r="M265" s="475"/>
      <c r="N265" s="475"/>
      <c r="O265" s="475"/>
      <c r="P265" s="475"/>
      <c r="Q265" s="475"/>
      <c r="R265" s="475"/>
      <c r="S265" s="475"/>
      <c r="T265" s="475"/>
      <c r="U265" s="475"/>
      <c r="V265" s="475"/>
      <c r="W265" s="475"/>
      <c r="X265" s="475"/>
      <c r="Y265" s="475"/>
      <c r="Z265" s="475"/>
      <c r="AA265" s="475"/>
      <c r="AB265" s="475"/>
      <c r="AC265" s="475"/>
      <c r="AD265" s="475"/>
      <c r="AE265" s="475"/>
      <c r="AF265" s="475"/>
      <c r="AG265" s="475"/>
      <c r="AH265" s="516" t="s">
        <v>1970</v>
      </c>
      <c r="AI265" s="475"/>
      <c r="AJ265" s="475"/>
      <c r="AK265" s="475"/>
      <c r="AL265" s="475"/>
      <c r="AM265" s="475"/>
      <c r="AO265" s="475"/>
    </row>
    <row r="266" spans="1:52" ht="14.25" customHeight="1">
      <c r="A266" s="516"/>
      <c r="AI266" s="476"/>
      <c r="AJ266" s="475"/>
      <c r="AK266" s="475"/>
      <c r="AL266" s="475"/>
      <c r="AM266" s="475"/>
      <c r="AO266" s="475"/>
    </row>
    <row r="267" spans="1:52" ht="13.7" customHeight="1">
      <c r="A267" s="475"/>
      <c r="B267" s="521"/>
      <c r="C267" s="1675" t="s">
        <v>837</v>
      </c>
      <c r="D267" s="1675"/>
      <c r="E267" s="472"/>
      <c r="F267" s="1626" t="s">
        <v>2105</v>
      </c>
      <c r="G267" s="1627"/>
      <c r="H267" s="1627"/>
      <c r="I267" s="1627"/>
      <c r="J267" s="1627"/>
      <c r="K267" s="1627"/>
      <c r="L267" s="1627"/>
      <c r="M267" s="1627"/>
      <c r="N267" s="1627"/>
      <c r="O267" s="1627"/>
      <c r="P267" s="1627"/>
      <c r="Q267" s="1627"/>
      <c r="R267" s="1627"/>
      <c r="S267" s="1627"/>
      <c r="T267" s="1627"/>
      <c r="U267" s="1627"/>
      <c r="V267" s="1627"/>
      <c r="W267" s="1627"/>
      <c r="X267" s="1627"/>
      <c r="Y267" s="1627"/>
      <c r="Z267" s="1627"/>
      <c r="AA267" s="1627"/>
      <c r="AB267" s="1627"/>
      <c r="AC267" s="1627"/>
      <c r="AD267" s="1628"/>
      <c r="AE267" s="475"/>
      <c r="AF267" s="560"/>
      <c r="AG267" s="1803" t="s">
        <v>2044</v>
      </c>
      <c r="AH267" s="1803"/>
      <c r="AI267" s="1803"/>
      <c r="AJ267" s="1803"/>
      <c r="AK267" s="475"/>
      <c r="AL267" s="475"/>
      <c r="AM267" s="475"/>
      <c r="AO267" s="475"/>
    </row>
    <row r="268" spans="1:52" ht="13.7" customHeight="1">
      <c r="A268" s="475"/>
      <c r="B268" s="521"/>
      <c r="C268" s="561"/>
      <c r="D268" s="475"/>
      <c r="E268" s="472"/>
      <c r="F268" s="1629"/>
      <c r="G268" s="1630"/>
      <c r="H268" s="1630"/>
      <c r="I268" s="1630"/>
      <c r="J268" s="1630"/>
      <c r="K268" s="1630"/>
      <c r="L268" s="1630"/>
      <c r="M268" s="1630"/>
      <c r="N268" s="1630"/>
      <c r="O268" s="1630"/>
      <c r="P268" s="1630"/>
      <c r="Q268" s="1630"/>
      <c r="R268" s="1630"/>
      <c r="S268" s="1630"/>
      <c r="T268" s="1630"/>
      <c r="U268" s="1630"/>
      <c r="V268" s="1630"/>
      <c r="W268" s="1630"/>
      <c r="X268" s="1630"/>
      <c r="Y268" s="1630"/>
      <c r="Z268" s="1630"/>
      <c r="AA268" s="1630"/>
      <c r="AB268" s="1630"/>
      <c r="AC268" s="1630"/>
      <c r="AD268" s="1631"/>
      <c r="AE268" s="475"/>
      <c r="AF268" s="560"/>
      <c r="AG268" s="560"/>
      <c r="AH268" s="560"/>
      <c r="AI268" s="560"/>
      <c r="AJ268" s="475"/>
      <c r="AK268" s="475"/>
      <c r="AL268" s="475"/>
      <c r="AM268" s="475"/>
      <c r="AO268" s="475"/>
    </row>
    <row r="269" spans="1:52">
      <c r="A269" s="475"/>
      <c r="B269" s="521"/>
      <c r="C269" s="561"/>
      <c r="D269" s="475"/>
      <c r="E269" s="472"/>
      <c r="F269" s="1629"/>
      <c r="G269" s="1630"/>
      <c r="H269" s="1630"/>
      <c r="I269" s="1630"/>
      <c r="J269" s="1630"/>
      <c r="K269" s="1630"/>
      <c r="L269" s="1630"/>
      <c r="M269" s="1630"/>
      <c r="N269" s="1630"/>
      <c r="O269" s="1630"/>
      <c r="P269" s="1630"/>
      <c r="Q269" s="1630"/>
      <c r="R269" s="1630"/>
      <c r="S269" s="1630"/>
      <c r="T269" s="1630"/>
      <c r="U269" s="1630"/>
      <c r="V269" s="1630"/>
      <c r="W269" s="1630"/>
      <c r="X269" s="1630"/>
      <c r="Y269" s="1630"/>
      <c r="Z269" s="1630"/>
      <c r="AA269" s="1630"/>
      <c r="AB269" s="1630"/>
      <c r="AC269" s="1630"/>
      <c r="AD269" s="1631"/>
      <c r="AE269" s="475"/>
      <c r="AF269" s="560"/>
      <c r="AG269" s="560"/>
      <c r="AH269" s="560"/>
      <c r="AI269" s="560"/>
      <c r="AJ269" s="475"/>
      <c r="AK269" s="475"/>
      <c r="AL269" s="475"/>
      <c r="AM269" s="475"/>
      <c r="AO269" s="475"/>
      <c r="AP269" s="562"/>
    </row>
    <row r="270" spans="1:52">
      <c r="A270" s="475"/>
      <c r="B270" s="521"/>
      <c r="C270" s="561"/>
      <c r="D270" s="475"/>
      <c r="E270" s="472"/>
      <c r="F270" s="1629"/>
      <c r="G270" s="1630"/>
      <c r="H270" s="1630"/>
      <c r="I270" s="1630"/>
      <c r="J270" s="1630"/>
      <c r="K270" s="1630"/>
      <c r="L270" s="1630"/>
      <c r="M270" s="1630"/>
      <c r="N270" s="1630"/>
      <c r="O270" s="1630"/>
      <c r="P270" s="1630"/>
      <c r="Q270" s="1630"/>
      <c r="R270" s="1630"/>
      <c r="S270" s="1630"/>
      <c r="T270" s="1630"/>
      <c r="U270" s="1630"/>
      <c r="V270" s="1630"/>
      <c r="W270" s="1630"/>
      <c r="X270" s="1630"/>
      <c r="Y270" s="1630"/>
      <c r="Z270" s="1630"/>
      <c r="AA270" s="1630"/>
      <c r="AB270" s="1630"/>
      <c r="AC270" s="1630"/>
      <c r="AD270" s="1631"/>
      <c r="AE270" s="475"/>
      <c r="AF270" s="560"/>
      <c r="AG270" s="560"/>
      <c r="AH270" s="560"/>
      <c r="AI270" s="560"/>
      <c r="AJ270" s="475"/>
      <c r="AK270" s="475"/>
      <c r="AL270" s="475"/>
      <c r="AM270" s="475"/>
      <c r="AO270" s="475"/>
      <c r="AP270" s="562"/>
    </row>
    <row r="271" spans="1:52" ht="13.7" customHeight="1">
      <c r="A271" s="475"/>
      <c r="B271" s="521"/>
      <c r="C271" s="1804"/>
      <c r="D271" s="1804"/>
      <c r="E271" s="472"/>
      <c r="F271" s="1632"/>
      <c r="G271" s="1633"/>
      <c r="H271" s="1633"/>
      <c r="I271" s="1633"/>
      <c r="J271" s="1633"/>
      <c r="K271" s="1633"/>
      <c r="L271" s="1633"/>
      <c r="M271" s="1633"/>
      <c r="N271" s="1633"/>
      <c r="O271" s="1633"/>
      <c r="P271" s="1633"/>
      <c r="Q271" s="1633"/>
      <c r="R271" s="1633"/>
      <c r="S271" s="1633"/>
      <c r="T271" s="1633"/>
      <c r="U271" s="1633"/>
      <c r="V271" s="1633"/>
      <c r="W271" s="1633"/>
      <c r="X271" s="1633"/>
      <c r="Y271" s="1633"/>
      <c r="Z271" s="1633"/>
      <c r="AA271" s="1633"/>
      <c r="AB271" s="1633"/>
      <c r="AC271" s="1633"/>
      <c r="AD271" s="1634"/>
      <c r="AE271" s="475"/>
      <c r="AF271" s="560"/>
      <c r="AG271" s="1803"/>
      <c r="AH271" s="1803"/>
      <c r="AI271" s="1803"/>
      <c r="AJ271" s="1803"/>
      <c r="AK271" s="475"/>
      <c r="AL271" s="475"/>
      <c r="AM271" s="475"/>
    </row>
    <row r="272" spans="1:52" ht="13.7" hidden="1" customHeight="1">
      <c r="A272" s="475"/>
      <c r="C272" s="528"/>
      <c r="D272" s="528"/>
      <c r="E272" s="528"/>
      <c r="F272" s="940"/>
      <c r="G272" s="941"/>
      <c r="H272" s="941"/>
      <c r="I272" s="941"/>
      <c r="J272" s="941"/>
      <c r="K272" s="941"/>
      <c r="L272" s="941"/>
      <c r="M272" s="941"/>
      <c r="N272" s="941"/>
      <c r="O272" s="941"/>
      <c r="P272" s="941"/>
      <c r="Q272" s="941"/>
      <c r="R272" s="941"/>
      <c r="S272" s="941"/>
      <c r="T272" s="941"/>
      <c r="U272" s="941"/>
      <c r="V272" s="941"/>
      <c r="W272" s="941"/>
      <c r="X272" s="941"/>
      <c r="Y272" s="941"/>
      <c r="Z272" s="941"/>
      <c r="AA272" s="941"/>
      <c r="AB272" s="941"/>
      <c r="AC272" s="941"/>
      <c r="AD272" s="942"/>
      <c r="AE272" s="528"/>
      <c r="AF272" s="528"/>
      <c r="AG272" s="528"/>
      <c r="AH272" s="528"/>
      <c r="AI272" s="560"/>
      <c r="AJ272" s="475"/>
      <c r="AK272" s="475"/>
      <c r="AL272" s="475"/>
      <c r="AM272" s="475"/>
    </row>
    <row r="273" spans="1:49">
      <c r="A273" s="475"/>
      <c r="B273" s="528"/>
      <c r="C273" s="528"/>
      <c r="D273" s="528"/>
      <c r="E273" s="528"/>
      <c r="F273" s="528"/>
      <c r="G273" s="528"/>
      <c r="H273" s="528"/>
      <c r="I273" s="528"/>
      <c r="J273" s="528"/>
      <c r="K273" s="528"/>
      <c r="L273" s="528"/>
      <c r="M273" s="528"/>
      <c r="N273" s="528"/>
      <c r="O273" s="528"/>
      <c r="P273" s="528"/>
      <c r="Q273" s="528"/>
      <c r="R273" s="528"/>
      <c r="S273" s="528"/>
      <c r="T273" s="528"/>
      <c r="U273" s="528"/>
      <c r="V273" s="528"/>
      <c r="W273" s="528"/>
      <c r="X273" s="528"/>
      <c r="Y273" s="528"/>
      <c r="Z273" s="528"/>
      <c r="AA273" s="528"/>
      <c r="AB273" s="528"/>
      <c r="AC273" s="528"/>
      <c r="AD273" s="528"/>
      <c r="AE273" s="528"/>
      <c r="AF273" s="528"/>
      <c r="AG273" s="528"/>
      <c r="AH273" s="528"/>
      <c r="AI273" s="528"/>
      <c r="AJ273" s="528"/>
      <c r="AK273" s="528"/>
      <c r="AL273" s="475"/>
      <c r="AM273" s="475"/>
      <c r="AN273" s="59"/>
    </row>
    <row r="274" spans="1:49">
      <c r="A274" s="531"/>
      <c r="B274" s="489"/>
      <c r="C274" s="489"/>
      <c r="D274" s="489"/>
      <c r="E274" s="489"/>
      <c r="F274" s="489"/>
      <c r="G274" s="489"/>
      <c r="H274" s="489"/>
      <c r="I274" s="489"/>
      <c r="J274" s="489"/>
      <c r="K274" s="489"/>
      <c r="L274" s="489"/>
      <c r="M274" s="489"/>
      <c r="N274" s="489"/>
      <c r="O274" s="489"/>
      <c r="P274" s="489"/>
      <c r="Q274" s="489"/>
      <c r="R274" s="489"/>
      <c r="S274" s="489"/>
      <c r="T274" s="489"/>
      <c r="U274" s="489"/>
      <c r="V274" s="489"/>
      <c r="W274" s="489"/>
      <c r="X274" s="489"/>
      <c r="Y274" s="489"/>
      <c r="Z274" s="489"/>
      <c r="AA274" s="489"/>
      <c r="AB274" s="489"/>
      <c r="AC274" s="489"/>
      <c r="AD274" s="489"/>
      <c r="AE274" s="489"/>
      <c r="AF274" s="489"/>
      <c r="AG274" s="489"/>
      <c r="AH274" s="489"/>
      <c r="AI274" s="490"/>
      <c r="AJ274" s="490" t="s">
        <v>2106</v>
      </c>
      <c r="AK274" s="1795">
        <f>IF($C$267="yes",10,0)</f>
        <v>10</v>
      </c>
      <c r="AL274" s="1795"/>
      <c r="AM274" s="1796"/>
      <c r="AN274" s="59"/>
    </row>
    <row r="275" spans="1:49" ht="14.1" thickBot="1"/>
    <row r="276" spans="1:49" ht="14.1" thickTop="1">
      <c r="A276" s="563"/>
      <c r="B276" s="563"/>
      <c r="C276" s="563"/>
      <c r="D276" s="563"/>
      <c r="E276" s="563"/>
      <c r="F276" s="563"/>
      <c r="G276" s="563"/>
      <c r="H276" s="563"/>
      <c r="I276" s="563"/>
      <c r="J276" s="563"/>
      <c r="K276" s="563"/>
      <c r="L276" s="563"/>
      <c r="M276" s="563"/>
      <c r="N276" s="563"/>
      <c r="O276" s="563"/>
      <c r="P276" s="563"/>
      <c r="Q276" s="563"/>
      <c r="R276" s="563"/>
      <c r="S276" s="563"/>
      <c r="T276" s="563"/>
      <c r="U276" s="563"/>
      <c r="V276" s="563"/>
      <c r="W276" s="563"/>
      <c r="X276" s="563"/>
      <c r="Y276" s="563"/>
      <c r="Z276" s="563"/>
      <c r="AA276" s="563"/>
      <c r="AB276" s="563"/>
      <c r="AC276" s="563"/>
      <c r="AD276" s="563"/>
      <c r="AE276" s="563"/>
      <c r="AF276" s="563"/>
      <c r="AG276" s="563"/>
      <c r="AH276" s="563"/>
      <c r="AI276" s="563"/>
      <c r="AJ276" s="563"/>
      <c r="AK276" s="563"/>
      <c r="AL276" s="563"/>
      <c r="AM276" s="564"/>
    </row>
    <row r="277" spans="1:49">
      <c r="A277" s="463" t="s">
        <v>2107</v>
      </c>
      <c r="B277" s="463" t="s">
        <v>2108</v>
      </c>
      <c r="AH277" s="516" t="s">
        <v>1970</v>
      </c>
    </row>
    <row r="278" spans="1:49" ht="15" customHeight="1">
      <c r="B278" s="464"/>
    </row>
    <row r="279" spans="1:49" ht="15" customHeight="1">
      <c r="B279" s="464" t="s">
        <v>1971</v>
      </c>
    </row>
    <row r="280" spans="1:49">
      <c r="B280" s="475"/>
      <c r="C280" s="565"/>
      <c r="D280" s="475"/>
      <c r="E280" s="475"/>
      <c r="F280" s="475"/>
      <c r="G280" s="475"/>
      <c r="H280" s="475"/>
      <c r="I280" s="475"/>
      <c r="J280" s="475"/>
      <c r="K280" s="475"/>
      <c r="L280" s="475"/>
      <c r="M280" s="475"/>
      <c r="N280" s="475"/>
      <c r="O280" s="475"/>
      <c r="P280" s="475"/>
      <c r="Q280" s="475"/>
      <c r="R280" s="475"/>
      <c r="S280" s="475"/>
      <c r="T280" s="475"/>
      <c r="U280" s="475"/>
      <c r="V280" s="475"/>
      <c r="W280" s="475"/>
      <c r="X280" s="475"/>
      <c r="Y280" s="475"/>
      <c r="Z280" s="475"/>
      <c r="AA280" s="475"/>
      <c r="AB280" s="475"/>
      <c r="AC280" s="475"/>
      <c r="AD280" s="475"/>
      <c r="AG280" s="475"/>
      <c r="AI280" s="475"/>
      <c r="AJ280" s="475"/>
      <c r="AK280" s="475"/>
      <c r="AL280" s="475"/>
      <c r="AM280" s="475"/>
      <c r="AN280" s="59"/>
      <c r="AO280" s="14"/>
      <c r="AP280" s="495"/>
      <c r="AQ280" s="566"/>
      <c r="AR280" s="495"/>
      <c r="AS280" s="495"/>
      <c r="AT280" s="495"/>
      <c r="AU280" s="495"/>
      <c r="AV280" s="28"/>
      <c r="AW280" s="28"/>
    </row>
    <row r="281" spans="1:49" ht="12.75" customHeight="1">
      <c r="A281" s="1411" t="s">
        <v>2109</v>
      </c>
      <c r="B281" s="1411"/>
      <c r="C281" s="1769" t="s">
        <v>837</v>
      </c>
      <c r="D281" s="1675"/>
      <c r="E281" s="472"/>
      <c r="F281" s="1797" t="s">
        <v>2110</v>
      </c>
      <c r="G281" s="1798"/>
      <c r="H281" s="1798"/>
      <c r="I281" s="1798"/>
      <c r="J281" s="1798"/>
      <c r="K281" s="1798"/>
      <c r="L281" s="1798"/>
      <c r="M281" s="1798"/>
      <c r="N281" s="1798"/>
      <c r="O281" s="1798"/>
      <c r="P281" s="1798"/>
      <c r="Q281" s="1798"/>
      <c r="R281" s="1798"/>
      <c r="S281" s="1798"/>
      <c r="T281" s="1798"/>
      <c r="U281" s="1798"/>
      <c r="V281" s="1798"/>
      <c r="W281" s="1798"/>
      <c r="X281" s="1798"/>
      <c r="Y281" s="1798"/>
      <c r="Z281" s="1798"/>
      <c r="AA281" s="1798"/>
      <c r="AB281" s="1798"/>
      <c r="AC281" s="1798"/>
      <c r="AD281" s="1799"/>
      <c r="AE281" s="567"/>
      <c r="AF281" s="475"/>
      <c r="AG281" s="2583" t="s">
        <v>2111</v>
      </c>
      <c r="AH281" s="2583"/>
      <c r="AI281" s="2583"/>
      <c r="AJ281" s="2583"/>
      <c r="AK281" s="2583"/>
      <c r="AL281" s="475"/>
      <c r="AM281" s="475"/>
      <c r="AN281" s="59"/>
      <c r="AO281" s="14"/>
      <c r="AP281" s="26"/>
      <c r="AS281" s="495"/>
      <c r="AT281" s="495"/>
      <c r="AU281" s="495"/>
      <c r="AV281" s="28"/>
      <c r="AW281" s="28"/>
    </row>
    <row r="282" spans="1:49">
      <c r="A282" s="565"/>
      <c r="B282" s="521"/>
      <c r="F282" s="1652"/>
      <c r="G282" s="1653"/>
      <c r="H282" s="1653"/>
      <c r="I282" s="1653"/>
      <c r="J282" s="1653"/>
      <c r="K282" s="1653"/>
      <c r="L282" s="1653"/>
      <c r="M282" s="1653"/>
      <c r="N282" s="1653"/>
      <c r="O282" s="1653"/>
      <c r="P282" s="1653"/>
      <c r="Q282" s="1653"/>
      <c r="R282" s="1653"/>
      <c r="S282" s="1653"/>
      <c r="T282" s="1653"/>
      <c r="U282" s="1653"/>
      <c r="V282" s="1653"/>
      <c r="W282" s="1653"/>
      <c r="X282" s="1653"/>
      <c r="Y282" s="1653"/>
      <c r="Z282" s="1653"/>
      <c r="AA282" s="1653"/>
      <c r="AB282" s="1653"/>
      <c r="AC282" s="1653"/>
      <c r="AD282" s="1654"/>
      <c r="AE282" s="567"/>
      <c r="AF282" s="476"/>
      <c r="AH282" s="476"/>
      <c r="AI282" s="476"/>
      <c r="AJ282" s="475"/>
      <c r="AK282" s="475"/>
      <c r="AL282" s="475"/>
      <c r="AM282" s="475"/>
      <c r="AN282" s="59"/>
      <c r="AO282" s="14"/>
      <c r="AP282" s="475">
        <f>IF($C$281="yes",10,IF(C281="50% Met",9,0))</f>
        <v>10</v>
      </c>
      <c r="AS282" s="495"/>
      <c r="AT282" s="495"/>
      <c r="AU282" s="495"/>
      <c r="AV282" s="28"/>
      <c r="AW282" s="28"/>
    </row>
    <row r="283" spans="1:49" ht="15" customHeight="1">
      <c r="A283" s="565"/>
      <c r="B283" s="521"/>
      <c r="F283" s="1652"/>
      <c r="G283" s="1653"/>
      <c r="H283" s="1653"/>
      <c r="I283" s="1653"/>
      <c r="J283" s="1653"/>
      <c r="K283" s="1653"/>
      <c r="L283" s="1653"/>
      <c r="M283" s="1653"/>
      <c r="N283" s="1653"/>
      <c r="O283" s="1653"/>
      <c r="P283" s="1653"/>
      <c r="Q283" s="1653"/>
      <c r="R283" s="1653"/>
      <c r="S283" s="1653"/>
      <c r="T283" s="1653"/>
      <c r="U283" s="1653"/>
      <c r="V283" s="1653"/>
      <c r="W283" s="1653"/>
      <c r="X283" s="1653"/>
      <c r="Y283" s="1653"/>
      <c r="Z283" s="1653"/>
      <c r="AA283" s="1653"/>
      <c r="AB283" s="1653"/>
      <c r="AC283" s="1653"/>
      <c r="AD283" s="1654"/>
      <c r="AE283" s="567"/>
      <c r="AF283" s="476"/>
      <c r="AH283" s="476"/>
      <c r="AI283" s="476"/>
      <c r="AJ283" s="475"/>
      <c r="AK283" s="475"/>
      <c r="AL283" s="475"/>
      <c r="AM283" s="475"/>
      <c r="AN283" s="59"/>
      <c r="AO283" s="14"/>
      <c r="AP283" s="475">
        <f>IF($C$291="yes",9,0)</f>
        <v>0</v>
      </c>
      <c r="AS283" s="495"/>
      <c r="AT283" s="495"/>
      <c r="AU283" s="495"/>
      <c r="AV283" s="28"/>
      <c r="AW283" s="28"/>
    </row>
    <row r="284" spans="1:49" ht="12.75" customHeight="1">
      <c r="A284" s="565"/>
      <c r="B284" s="521"/>
      <c r="F284" s="1652" t="s">
        <v>2112</v>
      </c>
      <c r="G284" s="1653"/>
      <c r="H284" s="1653"/>
      <c r="I284" s="1653"/>
      <c r="J284" s="1653"/>
      <c r="K284" s="1653"/>
      <c r="L284" s="1653"/>
      <c r="M284" s="1653"/>
      <c r="N284" s="1653"/>
      <c r="O284" s="1653"/>
      <c r="P284" s="1653"/>
      <c r="Q284" s="1653"/>
      <c r="R284" s="1653"/>
      <c r="S284" s="1653"/>
      <c r="T284" s="1653"/>
      <c r="U284" s="1653"/>
      <c r="V284" s="1653"/>
      <c r="W284" s="1653"/>
      <c r="X284" s="1653"/>
      <c r="Y284" s="1653"/>
      <c r="Z284" s="1653"/>
      <c r="AA284" s="1653"/>
      <c r="AB284" s="1653"/>
      <c r="AC284" s="1653"/>
      <c r="AD284" s="1654"/>
      <c r="AE284" s="567"/>
      <c r="AF284" s="476"/>
      <c r="AH284" s="476"/>
      <c r="AI284" s="476"/>
      <c r="AJ284" s="475"/>
      <c r="AK284" s="475"/>
      <c r="AL284" s="475"/>
      <c r="AM284" s="475"/>
      <c r="AN284" s="59"/>
      <c r="AO284" s="14"/>
      <c r="AP284" s="536">
        <f>MAX(AP282,AP283)</f>
        <v>10</v>
      </c>
      <c r="AQ284" s="499" t="s">
        <v>1974</v>
      </c>
      <c r="AS284" s="495"/>
      <c r="AT284" s="495"/>
      <c r="AU284" s="495"/>
      <c r="AV284" s="28"/>
      <c r="AW284" s="28"/>
    </row>
    <row r="285" spans="1:49">
      <c r="A285" s="565"/>
      <c r="B285" s="521"/>
      <c r="F285" s="1652"/>
      <c r="G285" s="1653"/>
      <c r="H285" s="1653"/>
      <c r="I285" s="1653"/>
      <c r="J285" s="1653"/>
      <c r="K285" s="1653"/>
      <c r="L285" s="1653"/>
      <c r="M285" s="1653"/>
      <c r="N285" s="1653"/>
      <c r="O285" s="1653"/>
      <c r="P285" s="1653"/>
      <c r="Q285" s="1653"/>
      <c r="R285" s="1653"/>
      <c r="S285" s="1653"/>
      <c r="T285" s="1653"/>
      <c r="U285" s="1653"/>
      <c r="V285" s="1653"/>
      <c r="W285" s="1653"/>
      <c r="X285" s="1653"/>
      <c r="Y285" s="1653"/>
      <c r="Z285" s="1653"/>
      <c r="AA285" s="1653"/>
      <c r="AB285" s="1653"/>
      <c r="AC285" s="1653"/>
      <c r="AD285" s="1654"/>
      <c r="AE285" s="567"/>
      <c r="AF285" s="476"/>
      <c r="AH285" s="476"/>
      <c r="AI285" s="476"/>
      <c r="AJ285" s="475"/>
      <c r="AK285" s="475"/>
      <c r="AL285" s="475"/>
      <c r="AM285" s="475"/>
      <c r="AN285" s="59"/>
      <c r="AO285" s="14"/>
      <c r="AP285" s="475"/>
      <c r="AS285" s="495"/>
      <c r="AT285" s="495"/>
      <c r="AU285" s="495"/>
      <c r="AV285" s="28"/>
      <c r="AW285" s="28"/>
    </row>
    <row r="286" spans="1:49" ht="12.75" customHeight="1">
      <c r="A286" s="475"/>
      <c r="B286" s="476"/>
      <c r="C286" s="475"/>
      <c r="D286" s="476"/>
      <c r="E286" s="475"/>
      <c r="F286" s="1652" t="s">
        <v>2113</v>
      </c>
      <c r="G286" s="1653"/>
      <c r="H286" s="1653"/>
      <c r="I286" s="1653"/>
      <c r="J286" s="1653"/>
      <c r="K286" s="1653"/>
      <c r="L286" s="1653"/>
      <c r="M286" s="1653"/>
      <c r="N286" s="1653"/>
      <c r="O286" s="1653"/>
      <c r="P286" s="1653"/>
      <c r="Q286" s="1653"/>
      <c r="R286" s="1653"/>
      <c r="S286" s="1653"/>
      <c r="T286" s="1653"/>
      <c r="U286" s="1653"/>
      <c r="V286" s="1653"/>
      <c r="W286" s="1653"/>
      <c r="X286" s="1653"/>
      <c r="Y286" s="1653"/>
      <c r="Z286" s="1653"/>
      <c r="AA286" s="1653"/>
      <c r="AB286" s="1653"/>
      <c r="AC286" s="1653"/>
      <c r="AD286" s="1654"/>
      <c r="AE286" s="567"/>
      <c r="AF286" s="476"/>
      <c r="AG286" s="476"/>
      <c r="AH286" s="476"/>
      <c r="AI286" s="476"/>
      <c r="AJ286" s="475"/>
      <c r="AK286" s="475"/>
      <c r="AL286" s="475"/>
      <c r="AM286" s="475"/>
      <c r="AN286" s="59"/>
      <c r="AO286" s="14"/>
      <c r="AS286" s="495"/>
      <c r="AT286" s="495"/>
      <c r="AU286" s="495"/>
      <c r="AV286" s="28"/>
      <c r="AW286" s="28"/>
    </row>
    <row r="287" spans="1:49" ht="15" customHeight="1">
      <c r="A287" s="475"/>
      <c r="B287" s="476"/>
      <c r="C287" s="476"/>
      <c r="D287" s="476"/>
      <c r="E287" s="476"/>
      <c r="F287" s="1652"/>
      <c r="G287" s="1653"/>
      <c r="H287" s="1653"/>
      <c r="I287" s="1653"/>
      <c r="J287" s="1653"/>
      <c r="K287" s="1653"/>
      <c r="L287" s="1653"/>
      <c r="M287" s="1653"/>
      <c r="N287" s="1653"/>
      <c r="O287" s="1653"/>
      <c r="P287" s="1653"/>
      <c r="Q287" s="1653"/>
      <c r="R287" s="1653"/>
      <c r="S287" s="1653"/>
      <c r="T287" s="1653"/>
      <c r="U287" s="1653"/>
      <c r="V287" s="1653"/>
      <c r="W287" s="1653"/>
      <c r="X287" s="1653"/>
      <c r="Y287" s="1653"/>
      <c r="Z287" s="1653"/>
      <c r="AA287" s="1653"/>
      <c r="AB287" s="1653"/>
      <c r="AC287" s="1653"/>
      <c r="AD287" s="1654"/>
      <c r="AE287" s="567"/>
      <c r="AF287" s="476"/>
      <c r="AG287" s="476"/>
      <c r="AH287" s="476"/>
      <c r="AI287" s="476"/>
      <c r="AJ287" s="475"/>
      <c r="AK287" s="475"/>
      <c r="AL287" s="475"/>
      <c r="AM287" s="475"/>
      <c r="AN287" s="59"/>
      <c r="AO287" s="14"/>
      <c r="AS287" s="495"/>
      <c r="AT287" s="495"/>
      <c r="AU287" s="495"/>
      <c r="AV287" s="28"/>
      <c r="AW287" s="28"/>
    </row>
    <row r="288" spans="1:49" ht="12.75" customHeight="1">
      <c r="A288" s="475"/>
      <c r="B288" s="476"/>
      <c r="C288" s="476"/>
      <c r="D288" s="476"/>
      <c r="E288" s="476"/>
      <c r="F288" s="1652" t="s">
        <v>2114</v>
      </c>
      <c r="G288" s="1653"/>
      <c r="H288" s="1653"/>
      <c r="I288" s="1653"/>
      <c r="J288" s="1653"/>
      <c r="K288" s="1653"/>
      <c r="L288" s="1653"/>
      <c r="M288" s="1653"/>
      <c r="N288" s="1653"/>
      <c r="O288" s="1653"/>
      <c r="P288" s="1653"/>
      <c r="Q288" s="1653"/>
      <c r="R288" s="1653"/>
      <c r="S288" s="1653"/>
      <c r="T288" s="1653"/>
      <c r="U288" s="1653"/>
      <c r="V288" s="1653"/>
      <c r="W288" s="1653"/>
      <c r="X288" s="1653"/>
      <c r="Y288" s="1653"/>
      <c r="Z288" s="1653"/>
      <c r="AA288" s="1653"/>
      <c r="AB288" s="1653"/>
      <c r="AC288" s="1653"/>
      <c r="AD288" s="1654"/>
      <c r="AE288" s="568"/>
      <c r="AF288" s="476"/>
      <c r="AG288" s="476"/>
      <c r="AH288" s="476"/>
      <c r="AI288" s="476"/>
      <c r="AJ288" s="475"/>
      <c r="AK288" s="475"/>
      <c r="AL288" s="475"/>
      <c r="AM288" s="475"/>
      <c r="AN288" s="59"/>
      <c r="AO288" s="14"/>
      <c r="AP288" s="475"/>
      <c r="AS288" s="495"/>
      <c r="AT288" s="495"/>
      <c r="AU288" s="495"/>
      <c r="AV288" s="28"/>
      <c r="AW288" s="28"/>
    </row>
    <row r="289" spans="1:49">
      <c r="A289" s="475"/>
      <c r="B289" s="476"/>
      <c r="C289" s="476"/>
      <c r="D289" s="476"/>
      <c r="E289" s="476"/>
      <c r="F289" s="1655"/>
      <c r="G289" s="1656"/>
      <c r="H289" s="1656"/>
      <c r="I289" s="1656"/>
      <c r="J289" s="1656"/>
      <c r="K289" s="1656"/>
      <c r="L289" s="1656"/>
      <c r="M289" s="1656"/>
      <c r="N289" s="1656"/>
      <c r="O289" s="1656"/>
      <c r="P289" s="1656"/>
      <c r="Q289" s="1656"/>
      <c r="R289" s="1656"/>
      <c r="S289" s="1656"/>
      <c r="T289" s="1656"/>
      <c r="U289" s="1656"/>
      <c r="V289" s="1656"/>
      <c r="W289" s="1656"/>
      <c r="X289" s="1656"/>
      <c r="Y289" s="1656"/>
      <c r="Z289" s="1656"/>
      <c r="AA289" s="1656"/>
      <c r="AB289" s="1656"/>
      <c r="AC289" s="1656"/>
      <c r="AD289" s="1794"/>
      <c r="AE289" s="568"/>
      <c r="AF289" s="476"/>
      <c r="AG289" s="476"/>
      <c r="AH289" s="476"/>
      <c r="AI289" s="476"/>
      <c r="AJ289" s="475"/>
      <c r="AK289" s="475"/>
      <c r="AL289" s="475"/>
      <c r="AM289" s="475"/>
      <c r="AN289" s="59"/>
      <c r="AO289" s="14"/>
      <c r="AP289" s="475"/>
      <c r="AS289" s="495"/>
      <c r="AT289" s="495"/>
      <c r="AU289" s="495"/>
      <c r="AV289" s="28"/>
      <c r="AW289" s="28"/>
    </row>
    <row r="290" spans="1:49">
      <c r="A290" s="475"/>
      <c r="B290" s="476"/>
      <c r="C290" s="476"/>
      <c r="D290" s="476"/>
      <c r="E290" s="476"/>
      <c r="F290" s="568"/>
      <c r="G290" s="568"/>
      <c r="H290" s="568"/>
      <c r="I290" s="568"/>
      <c r="J290" s="568"/>
      <c r="K290" s="568"/>
      <c r="L290" s="568"/>
      <c r="M290" s="568"/>
      <c r="N290" s="568"/>
      <c r="O290" s="568"/>
      <c r="P290" s="568"/>
      <c r="Q290" s="568"/>
      <c r="R290" s="568"/>
      <c r="S290" s="568"/>
      <c r="T290" s="568"/>
      <c r="U290" s="568"/>
      <c r="V290" s="568"/>
      <c r="W290" s="568"/>
      <c r="X290" s="568"/>
      <c r="Y290" s="568"/>
      <c r="Z290" s="568"/>
      <c r="AA290" s="568"/>
      <c r="AB290" s="568"/>
      <c r="AC290" s="568"/>
      <c r="AD290" s="568"/>
      <c r="AE290" s="476"/>
      <c r="AF290" s="476"/>
      <c r="AG290" s="476"/>
      <c r="AH290" s="476"/>
      <c r="AI290" s="476"/>
      <c r="AJ290" s="475"/>
      <c r="AK290" s="475"/>
      <c r="AL290" s="475"/>
      <c r="AM290" s="475"/>
      <c r="AN290" s="59"/>
      <c r="AO290" s="14"/>
      <c r="AS290" s="495"/>
      <c r="AT290" s="495"/>
      <c r="AU290" s="495"/>
      <c r="AV290" s="28"/>
      <c r="AW290" s="28"/>
    </row>
    <row r="291" spans="1:49" ht="15" customHeight="1">
      <c r="A291" s="1411" t="s">
        <v>2115</v>
      </c>
      <c r="B291" s="1411"/>
      <c r="C291" s="1675" t="s">
        <v>299</v>
      </c>
      <c r="D291" s="1675"/>
      <c r="E291" s="472"/>
      <c r="F291" s="569" t="s">
        <v>2116</v>
      </c>
      <c r="G291" s="570"/>
      <c r="H291" s="570"/>
      <c r="I291" s="570"/>
      <c r="J291" s="570"/>
      <c r="K291" s="570"/>
      <c r="L291" s="570"/>
      <c r="M291" s="570"/>
      <c r="N291" s="570"/>
      <c r="O291" s="570"/>
      <c r="P291" s="570"/>
      <c r="Q291" s="570"/>
      <c r="R291" s="570"/>
      <c r="S291" s="570"/>
      <c r="T291" s="570"/>
      <c r="U291" s="570"/>
      <c r="V291" s="570"/>
      <c r="W291" s="570"/>
      <c r="X291" s="570"/>
      <c r="Y291" s="570"/>
      <c r="Z291" s="570"/>
      <c r="AA291" s="570"/>
      <c r="AB291" s="570"/>
      <c r="AC291" s="570"/>
      <c r="AD291" s="571"/>
      <c r="AE291" s="476"/>
      <c r="AF291" s="476"/>
      <c r="AG291" s="464" t="s">
        <v>2117</v>
      </c>
      <c r="AH291" s="476"/>
      <c r="AI291" s="476"/>
      <c r="AJ291" s="475"/>
      <c r="AK291" s="475"/>
      <c r="AL291" s="475"/>
      <c r="AM291" s="475"/>
      <c r="AN291" s="572"/>
      <c r="AO291" s="14"/>
    </row>
    <row r="292" spans="1:49">
      <c r="A292" s="475"/>
      <c r="B292" s="476"/>
      <c r="C292" s="475"/>
      <c r="D292" s="476"/>
      <c r="E292" s="475"/>
      <c r="F292" s="1779" t="s">
        <v>2118</v>
      </c>
      <c r="G292" s="1780"/>
      <c r="H292" s="1780"/>
      <c r="I292" s="1780"/>
      <c r="J292" s="1780"/>
      <c r="K292" s="1780"/>
      <c r="L292" s="1780"/>
      <c r="M292" s="1780"/>
      <c r="N292" s="1780"/>
      <c r="O292" s="1780"/>
      <c r="P292" s="1780"/>
      <c r="Q292" s="1780"/>
      <c r="R292" s="1780"/>
      <c r="S292" s="1780"/>
      <c r="T292" s="1780"/>
      <c r="U292" s="1780"/>
      <c r="V292" s="1780"/>
      <c r="W292" s="1780"/>
      <c r="X292" s="1780"/>
      <c r="Y292" s="1780"/>
      <c r="Z292" s="1780"/>
      <c r="AA292" s="1780"/>
      <c r="AB292" s="1780"/>
      <c r="AC292" s="1780"/>
      <c r="AD292" s="1781"/>
      <c r="AE292" s="476"/>
      <c r="AF292" s="476"/>
      <c r="AG292" s="476"/>
      <c r="AH292" s="476"/>
      <c r="AI292" s="476"/>
      <c r="AJ292" s="475"/>
      <c r="AK292" s="475"/>
      <c r="AL292" s="475"/>
      <c r="AM292" s="475"/>
      <c r="AR292" s="573"/>
    </row>
    <row r="293" spans="1:49" ht="15" customHeight="1">
      <c r="A293" s="475"/>
      <c r="B293" s="476"/>
      <c r="C293" s="475"/>
      <c r="D293" s="476"/>
      <c r="E293" s="475"/>
      <c r="F293" s="1779"/>
      <c r="G293" s="1780"/>
      <c r="H293" s="1780"/>
      <c r="I293" s="1780"/>
      <c r="J293" s="1780"/>
      <c r="K293" s="1780"/>
      <c r="L293" s="1780"/>
      <c r="M293" s="1780"/>
      <c r="N293" s="1780"/>
      <c r="O293" s="1780"/>
      <c r="P293" s="1780"/>
      <c r="Q293" s="1780"/>
      <c r="R293" s="1780"/>
      <c r="S293" s="1780"/>
      <c r="T293" s="1780"/>
      <c r="U293" s="1780"/>
      <c r="V293" s="1780"/>
      <c r="W293" s="1780"/>
      <c r="X293" s="1780"/>
      <c r="Y293" s="1780"/>
      <c r="Z293" s="1780"/>
      <c r="AA293" s="1780"/>
      <c r="AB293" s="1780"/>
      <c r="AC293" s="1780"/>
      <c r="AD293" s="1781"/>
      <c r="AE293" s="476"/>
      <c r="AF293" s="476"/>
      <c r="AG293" s="476"/>
      <c r="AH293" s="476"/>
      <c r="AI293" s="476"/>
      <c r="AJ293" s="475"/>
      <c r="AK293" s="475"/>
      <c r="AL293" s="475"/>
      <c r="AM293" s="475"/>
      <c r="AR293" s="573"/>
    </row>
    <row r="294" spans="1:49">
      <c r="A294" s="475"/>
      <c r="B294" s="476"/>
      <c r="C294" s="475"/>
      <c r="D294" s="476"/>
      <c r="E294" s="475"/>
      <c r="F294" s="1779"/>
      <c r="G294" s="1780"/>
      <c r="H294" s="1780"/>
      <c r="I294" s="1780"/>
      <c r="J294" s="1780"/>
      <c r="K294" s="1780"/>
      <c r="L294" s="1780"/>
      <c r="M294" s="1780"/>
      <c r="N294" s="1780"/>
      <c r="O294" s="1780"/>
      <c r="P294" s="1780"/>
      <c r="Q294" s="1780"/>
      <c r="R294" s="1780"/>
      <c r="S294" s="1780"/>
      <c r="T294" s="1780"/>
      <c r="U294" s="1780"/>
      <c r="V294" s="1780"/>
      <c r="W294" s="1780"/>
      <c r="X294" s="1780"/>
      <c r="Y294" s="1780"/>
      <c r="Z294" s="1780"/>
      <c r="AA294" s="1780"/>
      <c r="AB294" s="1780"/>
      <c r="AC294" s="1780"/>
      <c r="AD294" s="1781"/>
      <c r="AE294" s="476"/>
      <c r="AF294" s="476"/>
      <c r="AG294" s="476"/>
      <c r="AH294" s="476"/>
      <c r="AI294" s="476"/>
      <c r="AJ294" s="475"/>
      <c r="AK294" s="475"/>
      <c r="AL294" s="475"/>
      <c r="AM294" s="475"/>
      <c r="AP294" s="536"/>
      <c r="AQ294" s="499"/>
      <c r="AR294" s="573"/>
    </row>
    <row r="295" spans="1:49" ht="15" customHeight="1">
      <c r="A295" s="475"/>
      <c r="B295" s="476"/>
      <c r="C295" s="475"/>
      <c r="D295" s="476"/>
      <c r="E295" s="475"/>
      <c r="F295" s="1800"/>
      <c r="G295" s="1801"/>
      <c r="H295" s="1801"/>
      <c r="I295" s="1801"/>
      <c r="J295" s="1801"/>
      <c r="K295" s="1801"/>
      <c r="L295" s="1801"/>
      <c r="M295" s="1801"/>
      <c r="N295" s="1801"/>
      <c r="O295" s="1801"/>
      <c r="P295" s="1801"/>
      <c r="Q295" s="1801"/>
      <c r="R295" s="1801"/>
      <c r="S295" s="1801"/>
      <c r="T295" s="1801"/>
      <c r="U295" s="1801"/>
      <c r="V295" s="1801"/>
      <c r="W295" s="1801"/>
      <c r="X295" s="1801"/>
      <c r="Y295" s="1801"/>
      <c r="Z295" s="1801"/>
      <c r="AA295" s="1801"/>
      <c r="AB295" s="1801"/>
      <c r="AC295" s="1801"/>
      <c r="AD295" s="1802"/>
      <c r="AE295" s="476"/>
      <c r="AF295" s="476"/>
      <c r="AG295" s="476"/>
      <c r="AH295" s="476"/>
      <c r="AI295" s="476"/>
      <c r="AJ295" s="475"/>
      <c r="AK295" s="475"/>
      <c r="AL295" s="475"/>
      <c r="AM295" s="475"/>
      <c r="AP295" s="536"/>
      <c r="AQ295" s="499"/>
      <c r="AR295" s="573"/>
    </row>
    <row r="296" spans="1:49">
      <c r="A296" s="475"/>
      <c r="B296" s="476"/>
      <c r="C296" s="476"/>
      <c r="D296" s="476"/>
      <c r="E296" s="476"/>
      <c r="F296" s="476"/>
      <c r="G296" s="476"/>
      <c r="H296" s="476"/>
      <c r="I296" s="476"/>
      <c r="J296" s="476"/>
      <c r="K296" s="476"/>
      <c r="L296" s="476"/>
      <c r="M296" s="476"/>
      <c r="N296" s="476"/>
      <c r="O296" s="476"/>
      <c r="P296" s="476"/>
      <c r="Q296" s="476"/>
      <c r="R296" s="476"/>
      <c r="S296" s="476"/>
      <c r="T296" s="476"/>
      <c r="U296" s="476"/>
      <c r="V296" s="476"/>
      <c r="W296" s="476"/>
      <c r="X296" s="476"/>
      <c r="Y296" s="476"/>
      <c r="Z296" s="476"/>
      <c r="AA296" s="476"/>
      <c r="AB296" s="476"/>
      <c r="AC296" s="476"/>
      <c r="AD296" s="476"/>
      <c r="AE296" s="476"/>
      <c r="AF296" s="476"/>
      <c r="AG296" s="476"/>
      <c r="AH296" s="476"/>
      <c r="AI296" s="476"/>
      <c r="AJ296" s="475"/>
      <c r="AK296" s="475"/>
      <c r="AL296" s="475"/>
      <c r="AM296" s="475"/>
      <c r="AP296" s="536"/>
      <c r="AQ296" s="499"/>
      <c r="AR296" s="573"/>
    </row>
    <row r="297" spans="1:49" hidden="1">
      <c r="A297" s="475"/>
      <c r="B297" s="476"/>
      <c r="C297" s="476"/>
      <c r="D297" s="476"/>
      <c r="E297" s="476"/>
      <c r="F297" s="476"/>
      <c r="G297" s="476"/>
      <c r="H297" s="476"/>
      <c r="I297" s="476"/>
      <c r="J297" s="476"/>
      <c r="K297" s="476"/>
      <c r="L297" s="476"/>
      <c r="M297" s="476"/>
      <c r="N297" s="476"/>
      <c r="O297" s="476"/>
      <c r="P297" s="476"/>
      <c r="Q297" s="476"/>
      <c r="R297" s="476"/>
      <c r="S297" s="476"/>
      <c r="T297" s="476"/>
      <c r="U297" s="476"/>
      <c r="V297" s="476"/>
      <c r="W297" s="476"/>
      <c r="X297" s="476"/>
      <c r="Y297" s="476"/>
      <c r="Z297" s="476"/>
      <c r="AA297" s="476"/>
      <c r="AB297" s="476"/>
      <c r="AC297" s="476"/>
      <c r="AD297" s="476"/>
      <c r="AE297" s="476"/>
      <c r="AF297" s="476"/>
      <c r="AG297" s="476"/>
      <c r="AH297" s="476"/>
      <c r="AI297" s="476"/>
      <c r="AJ297" s="475"/>
      <c r="AK297" s="475"/>
      <c r="AL297" s="475"/>
      <c r="AM297" s="475"/>
      <c r="AP297" s="536"/>
      <c r="AQ297" s="499"/>
      <c r="AR297" s="573"/>
    </row>
    <row r="298" spans="1:49" hidden="1">
      <c r="A298" s="475"/>
      <c r="B298" s="476"/>
      <c r="C298" s="476"/>
      <c r="D298" s="476"/>
      <c r="E298" s="476"/>
      <c r="F298" s="476"/>
      <c r="G298" s="476"/>
      <c r="H298" s="476"/>
      <c r="I298" s="476"/>
      <c r="J298" s="476"/>
      <c r="K298" s="476"/>
      <c r="L298" s="476"/>
      <c r="M298" s="476"/>
      <c r="N298" s="476"/>
      <c r="O298" s="476"/>
      <c r="P298" s="476"/>
      <c r="Q298" s="476"/>
      <c r="R298" s="476"/>
      <c r="S298" s="476"/>
      <c r="T298" s="476"/>
      <c r="U298" s="476"/>
      <c r="V298" s="476"/>
      <c r="W298" s="476"/>
      <c r="X298" s="476"/>
      <c r="Y298" s="476"/>
      <c r="Z298" s="476"/>
      <c r="AA298" s="476"/>
      <c r="AB298" s="476"/>
      <c r="AC298" s="476"/>
      <c r="AD298" s="476"/>
      <c r="AE298" s="476"/>
      <c r="AF298" s="476"/>
      <c r="AG298" s="476"/>
      <c r="AH298" s="476"/>
      <c r="AI298" s="476"/>
      <c r="AJ298" s="475"/>
      <c r="AK298" s="475"/>
      <c r="AL298" s="475"/>
      <c r="AM298" s="475"/>
      <c r="AN298" s="59"/>
      <c r="AO298" s="14"/>
    </row>
    <row r="299" spans="1:49" hidden="1">
      <c r="A299" s="1411" t="s">
        <v>2119</v>
      </c>
      <c r="B299" s="1411"/>
      <c r="C299" s="1675" t="s">
        <v>299</v>
      </c>
      <c r="D299" s="1675"/>
      <c r="E299" s="472"/>
      <c r="F299" s="569" t="s">
        <v>2120</v>
      </c>
      <c r="G299" s="574"/>
      <c r="H299" s="574"/>
      <c r="I299" s="574"/>
      <c r="J299" s="574"/>
      <c r="K299" s="574"/>
      <c r="L299" s="574"/>
      <c r="M299" s="574"/>
      <c r="N299" s="574"/>
      <c r="O299" s="574"/>
      <c r="P299" s="574"/>
      <c r="Q299" s="574"/>
      <c r="R299" s="574"/>
      <c r="S299" s="574"/>
      <c r="T299" s="574"/>
      <c r="U299" s="574"/>
      <c r="V299" s="574"/>
      <c r="W299" s="574"/>
      <c r="X299" s="574"/>
      <c r="Y299" s="574"/>
      <c r="Z299" s="574"/>
      <c r="AA299" s="574"/>
      <c r="AB299" s="574"/>
      <c r="AC299" s="574"/>
      <c r="AD299" s="575"/>
      <c r="AE299" s="476"/>
      <c r="AF299" s="476"/>
      <c r="AG299" s="464" t="s">
        <v>2117</v>
      </c>
      <c r="AH299" s="476"/>
      <c r="AI299" s="476"/>
      <c r="AJ299" s="475"/>
      <c r="AK299" s="475"/>
      <c r="AL299" s="475"/>
      <c r="AM299" s="475"/>
      <c r="AN299" s="59"/>
      <c r="AO299" s="14"/>
    </row>
    <row r="300" spans="1:49" hidden="1">
      <c r="A300" s="66"/>
      <c r="B300" s="66"/>
      <c r="C300" s="655"/>
      <c r="D300" s="655"/>
      <c r="E300" s="472"/>
      <c r="F300" s="1652" t="s">
        <v>2121</v>
      </c>
      <c r="G300" s="1653"/>
      <c r="H300" s="1653"/>
      <c r="I300" s="1653"/>
      <c r="J300" s="1653"/>
      <c r="K300" s="1653"/>
      <c r="L300" s="1653"/>
      <c r="M300" s="1653"/>
      <c r="N300" s="1653"/>
      <c r="O300" s="1653"/>
      <c r="P300" s="1653"/>
      <c r="Q300" s="1653"/>
      <c r="R300" s="1653"/>
      <c r="S300" s="1653"/>
      <c r="T300" s="1653"/>
      <c r="U300" s="1653"/>
      <c r="V300" s="1653"/>
      <c r="W300" s="1653"/>
      <c r="X300" s="1653"/>
      <c r="Y300" s="1653"/>
      <c r="Z300" s="1653"/>
      <c r="AA300" s="1653"/>
      <c r="AB300" s="1653"/>
      <c r="AC300" s="1653"/>
      <c r="AD300" s="1654"/>
      <c r="AE300" s="476"/>
      <c r="AF300" s="476"/>
      <c r="AG300" s="464"/>
      <c r="AH300" s="476"/>
      <c r="AI300" s="476"/>
      <c r="AJ300" s="475"/>
      <c r="AK300" s="475"/>
      <c r="AL300" s="475"/>
      <c r="AM300" s="475"/>
      <c r="AN300" s="59"/>
      <c r="AO300" s="14"/>
      <c r="AP300" s="482" t="s">
        <v>1076</v>
      </c>
    </row>
    <row r="301" spans="1:49" hidden="1">
      <c r="F301" s="1652"/>
      <c r="G301" s="1653"/>
      <c r="H301" s="1653"/>
      <c r="I301" s="1653"/>
      <c r="J301" s="1653"/>
      <c r="K301" s="1653"/>
      <c r="L301" s="1653"/>
      <c r="M301" s="1653"/>
      <c r="N301" s="1653"/>
      <c r="O301" s="1653"/>
      <c r="P301" s="1653"/>
      <c r="Q301" s="1653"/>
      <c r="R301" s="1653"/>
      <c r="S301" s="1653"/>
      <c r="T301" s="1653"/>
      <c r="U301" s="1653"/>
      <c r="V301" s="1653"/>
      <c r="W301" s="1653"/>
      <c r="X301" s="1653"/>
      <c r="Y301" s="1653"/>
      <c r="Z301" s="1653"/>
      <c r="AA301" s="1653"/>
      <c r="AB301" s="1653"/>
      <c r="AC301" s="1653"/>
      <c r="AD301" s="1654"/>
      <c r="AE301" s="476"/>
      <c r="AF301" s="476"/>
      <c r="AH301" s="476"/>
      <c r="AI301" s="476"/>
      <c r="AJ301" s="475"/>
      <c r="AK301" s="475"/>
      <c r="AL301" s="475"/>
      <c r="AM301" s="475"/>
      <c r="AN301" s="59"/>
      <c r="AO301" s="14"/>
      <c r="AP301" s="482" t="s">
        <v>2122</v>
      </c>
    </row>
    <row r="302" spans="1:49" hidden="1">
      <c r="A302" s="475"/>
      <c r="B302" s="476"/>
      <c r="C302" s="655"/>
      <c r="D302" s="655"/>
      <c r="E302" s="472"/>
      <c r="F302" s="577" t="s">
        <v>2123</v>
      </c>
      <c r="G302" s="588"/>
      <c r="H302" s="588"/>
      <c r="I302" s="588"/>
      <c r="J302" s="588"/>
      <c r="K302" s="588"/>
      <c r="L302" s="588"/>
      <c r="M302" s="588"/>
      <c r="N302" s="588"/>
      <c r="O302" s="588"/>
      <c r="P302" s="588"/>
      <c r="Q302" s="588"/>
      <c r="R302" s="588"/>
      <c r="S302" s="588"/>
      <c r="T302" s="588"/>
      <c r="U302" s="588"/>
      <c r="V302" s="588"/>
      <c r="W302" s="588"/>
      <c r="X302" s="588"/>
      <c r="Y302" s="588"/>
      <c r="Z302" s="588"/>
      <c r="AA302" s="588"/>
      <c r="AB302" s="588"/>
      <c r="AC302" s="588"/>
      <c r="AD302" s="938"/>
      <c r="AE302" s="476"/>
      <c r="AF302" s="476"/>
      <c r="AG302" s="464"/>
      <c r="AH302" s="476"/>
      <c r="AI302" s="476"/>
      <c r="AJ302" s="475"/>
      <c r="AK302" s="475"/>
      <c r="AL302" s="475"/>
      <c r="AM302" s="475"/>
      <c r="AN302" s="59"/>
      <c r="AO302" s="14"/>
      <c r="AP302" s="482" t="s">
        <v>2124</v>
      </c>
    </row>
    <row r="303" spans="1:49" hidden="1">
      <c r="A303" s="475"/>
      <c r="B303" s="476"/>
      <c r="C303" s="655"/>
      <c r="D303" s="655"/>
      <c r="E303" s="472"/>
      <c r="F303" s="577"/>
      <c r="G303" s="588"/>
      <c r="H303" s="588"/>
      <c r="I303" s="588"/>
      <c r="J303" s="588"/>
      <c r="K303" s="588"/>
      <c r="L303" s="588"/>
      <c r="M303" s="588"/>
      <c r="N303" s="588"/>
      <c r="O303" s="588"/>
      <c r="P303" s="588"/>
      <c r="Q303" s="588"/>
      <c r="R303" s="588"/>
      <c r="S303" s="588"/>
      <c r="T303" s="588"/>
      <c r="U303" s="588"/>
      <c r="V303" s="588"/>
      <c r="W303" s="588"/>
      <c r="X303" s="588"/>
      <c r="Y303" s="588"/>
      <c r="Z303" s="588"/>
      <c r="AA303" s="588"/>
      <c r="AB303" s="588"/>
      <c r="AC303" s="588"/>
      <c r="AD303" s="938"/>
      <c r="AE303" s="476"/>
      <c r="AF303" s="476"/>
      <c r="AG303" s="464"/>
      <c r="AH303" s="476"/>
      <c r="AI303" s="476"/>
      <c r="AJ303" s="475"/>
      <c r="AK303" s="475"/>
      <c r="AL303" s="475"/>
      <c r="AM303" s="475"/>
      <c r="AN303" s="59"/>
      <c r="AO303" s="14"/>
      <c r="AP303" s="482" t="s">
        <v>2125</v>
      </c>
    </row>
    <row r="304" spans="1:49" ht="12.75" hidden="1" customHeight="1">
      <c r="A304" s="475"/>
      <c r="B304" s="476"/>
      <c r="C304" s="655"/>
      <c r="D304" s="655"/>
      <c r="E304" s="472"/>
      <c r="F304" s="577"/>
      <c r="G304" s="567"/>
      <c r="H304" s="567"/>
      <c r="I304" s="567"/>
      <c r="J304" s="567"/>
      <c r="K304" s="567"/>
      <c r="L304" s="567"/>
      <c r="M304" s="567"/>
      <c r="N304" s="567"/>
      <c r="O304" s="567"/>
      <c r="P304" s="567"/>
      <c r="Q304" s="567"/>
      <c r="R304" s="567"/>
      <c r="S304" s="567"/>
      <c r="T304" s="567"/>
      <c r="U304" s="567"/>
      <c r="V304" s="567"/>
      <c r="W304" s="567"/>
      <c r="X304" s="567"/>
      <c r="Y304" s="567"/>
      <c r="Z304" s="567"/>
      <c r="AA304" s="567"/>
      <c r="AB304" s="567"/>
      <c r="AC304" s="567"/>
      <c r="AD304" s="578"/>
      <c r="AE304" s="476"/>
      <c r="AF304" s="476"/>
      <c r="AG304" s="464"/>
      <c r="AH304" s="476"/>
      <c r="AI304" s="476"/>
      <c r="AJ304" s="475"/>
      <c r="AK304" s="475"/>
      <c r="AL304" s="475"/>
      <c r="AM304" s="475"/>
      <c r="AN304" s="59"/>
      <c r="AO304" s="14"/>
      <c r="AP304" s="26"/>
    </row>
    <row r="305" spans="1:42" ht="12.75" hidden="1" customHeight="1">
      <c r="A305" s="475"/>
      <c r="B305" s="476"/>
      <c r="C305" s="655"/>
      <c r="D305" s="655"/>
      <c r="E305" s="472"/>
      <c r="F305" s="1782" t="s">
        <v>1076</v>
      </c>
      <c r="G305" s="1783"/>
      <c r="H305" s="1783"/>
      <c r="I305" s="1783"/>
      <c r="J305" s="1783"/>
      <c r="K305" s="1783"/>
      <c r="L305" s="1783"/>
      <c r="M305" s="1783"/>
      <c r="N305" s="1783"/>
      <c r="O305" s="1783"/>
      <c r="P305" s="1783"/>
      <c r="Q305" s="1783"/>
      <c r="R305" s="1783"/>
      <c r="S305" s="1783"/>
      <c r="T305" s="1783"/>
      <c r="U305" s="1783"/>
      <c r="V305" s="1783"/>
      <c r="W305" s="1783"/>
      <c r="X305" s="1783"/>
      <c r="Y305" s="1783"/>
      <c r="Z305" s="1783"/>
      <c r="AA305" s="1783"/>
      <c r="AB305" s="1783"/>
      <c r="AC305" s="1783"/>
      <c r="AD305" s="1784"/>
      <c r="AE305" s="567"/>
      <c r="AF305" s="567"/>
      <c r="AG305" s="567"/>
      <c r="AH305" s="567"/>
      <c r="AI305" s="567"/>
      <c r="AJ305" s="567"/>
      <c r="AK305" s="567"/>
      <c r="AL305" s="475"/>
      <c r="AM305" s="475"/>
      <c r="AN305" s="59"/>
      <c r="AO305" s="14"/>
      <c r="AP305" s="26"/>
    </row>
    <row r="306" spans="1:42" hidden="1">
      <c r="A306" s="475"/>
      <c r="B306" s="476"/>
      <c r="C306" s="655"/>
      <c r="D306" s="655"/>
      <c r="E306" s="472"/>
      <c r="F306" s="1782"/>
      <c r="G306" s="1783"/>
      <c r="H306" s="1783"/>
      <c r="I306" s="1783"/>
      <c r="J306" s="1783"/>
      <c r="K306" s="1783"/>
      <c r="L306" s="1783"/>
      <c r="M306" s="1783"/>
      <c r="N306" s="1783"/>
      <c r="O306" s="1783"/>
      <c r="P306" s="1783"/>
      <c r="Q306" s="1783"/>
      <c r="R306" s="1783"/>
      <c r="S306" s="1783"/>
      <c r="T306" s="1783"/>
      <c r="U306" s="1783"/>
      <c r="V306" s="1783"/>
      <c r="W306" s="1783"/>
      <c r="X306" s="1783"/>
      <c r="Y306" s="1783"/>
      <c r="Z306" s="1783"/>
      <c r="AA306" s="1783"/>
      <c r="AB306" s="1783"/>
      <c r="AC306" s="1783"/>
      <c r="AD306" s="1784"/>
      <c r="AE306" s="476"/>
      <c r="AF306" s="476"/>
      <c r="AG306" s="464"/>
      <c r="AH306" s="476"/>
      <c r="AI306" s="476"/>
      <c r="AJ306" s="475"/>
      <c r="AK306" s="475"/>
      <c r="AL306" s="475"/>
      <c r="AM306" s="475"/>
      <c r="AN306" s="59"/>
      <c r="AO306" s="14"/>
      <c r="AP306" s="26"/>
    </row>
    <row r="307" spans="1:42" hidden="1">
      <c r="A307" s="475"/>
      <c r="B307" s="476"/>
      <c r="C307" s="655"/>
      <c r="D307" s="655"/>
      <c r="E307" s="472"/>
      <c r="F307" s="1782"/>
      <c r="G307" s="1783"/>
      <c r="H307" s="1783"/>
      <c r="I307" s="1783"/>
      <c r="J307" s="1783"/>
      <c r="K307" s="1783"/>
      <c r="L307" s="1783"/>
      <c r="M307" s="1783"/>
      <c r="N307" s="1783"/>
      <c r="O307" s="1783"/>
      <c r="P307" s="1783"/>
      <c r="Q307" s="1783"/>
      <c r="R307" s="1783"/>
      <c r="S307" s="1783"/>
      <c r="T307" s="1783"/>
      <c r="U307" s="1783"/>
      <c r="V307" s="1783"/>
      <c r="W307" s="1783"/>
      <c r="X307" s="1783"/>
      <c r="Y307" s="1783"/>
      <c r="Z307" s="1783"/>
      <c r="AA307" s="1783"/>
      <c r="AB307" s="1783"/>
      <c r="AC307" s="1783"/>
      <c r="AD307" s="1784"/>
      <c r="AE307" s="476"/>
      <c r="AF307" s="476"/>
      <c r="AG307" s="464"/>
      <c r="AH307" s="476"/>
      <c r="AI307" s="476"/>
      <c r="AJ307" s="475"/>
      <c r="AK307" s="475"/>
      <c r="AL307" s="475"/>
      <c r="AM307" s="475"/>
      <c r="AN307" s="59"/>
      <c r="AO307" s="14"/>
      <c r="AP307" s="26"/>
    </row>
    <row r="308" spans="1:42" hidden="1">
      <c r="A308" s="475"/>
      <c r="B308" s="476"/>
      <c r="C308" s="655"/>
      <c r="D308" s="655"/>
      <c r="E308" s="472"/>
      <c r="F308" s="1782"/>
      <c r="G308" s="1783"/>
      <c r="H308" s="1783"/>
      <c r="I308" s="1783"/>
      <c r="J308" s="1783"/>
      <c r="K308" s="1783"/>
      <c r="L308" s="1783"/>
      <c r="M308" s="1783"/>
      <c r="N308" s="1783"/>
      <c r="O308" s="1783"/>
      <c r="P308" s="1783"/>
      <c r="Q308" s="1783"/>
      <c r="R308" s="1783"/>
      <c r="S308" s="1783"/>
      <c r="T308" s="1783"/>
      <c r="U308" s="1783"/>
      <c r="V308" s="1783"/>
      <c r="W308" s="1783"/>
      <c r="X308" s="1783"/>
      <c r="Y308" s="1783"/>
      <c r="Z308" s="1783"/>
      <c r="AA308" s="1783"/>
      <c r="AB308" s="1783"/>
      <c r="AC308" s="1783"/>
      <c r="AD308" s="1784"/>
      <c r="AE308" s="476"/>
      <c r="AF308" s="476"/>
      <c r="AG308" s="464"/>
      <c r="AH308" s="476"/>
      <c r="AI308" s="476"/>
      <c r="AJ308" s="475"/>
      <c r="AK308" s="475"/>
      <c r="AL308" s="475"/>
      <c r="AM308" s="475"/>
      <c r="AN308" s="59"/>
      <c r="AO308" s="14"/>
      <c r="AP308" s="26"/>
    </row>
    <row r="309" spans="1:42" hidden="1">
      <c r="A309" s="475"/>
      <c r="B309" s="476"/>
      <c r="C309" s="655"/>
      <c r="D309" s="655"/>
      <c r="E309" s="472"/>
      <c r="F309" s="1785"/>
      <c r="G309" s="1786"/>
      <c r="H309" s="1786"/>
      <c r="I309" s="1786"/>
      <c r="J309" s="1786"/>
      <c r="K309" s="1786"/>
      <c r="L309" s="1786"/>
      <c r="M309" s="1786"/>
      <c r="N309" s="1786"/>
      <c r="O309" s="1786"/>
      <c r="P309" s="1786"/>
      <c r="Q309" s="1786"/>
      <c r="R309" s="1786"/>
      <c r="S309" s="1786"/>
      <c r="T309" s="1786"/>
      <c r="U309" s="1786"/>
      <c r="V309" s="1786"/>
      <c r="W309" s="1786"/>
      <c r="X309" s="1786"/>
      <c r="Y309" s="1786"/>
      <c r="Z309" s="1786"/>
      <c r="AA309" s="1786"/>
      <c r="AB309" s="1786"/>
      <c r="AC309" s="1786"/>
      <c r="AD309" s="1787"/>
      <c r="AE309" s="476"/>
      <c r="AF309" s="476"/>
      <c r="AG309" s="464"/>
      <c r="AH309" s="476"/>
      <c r="AI309" s="476"/>
      <c r="AJ309" s="475"/>
      <c r="AK309" s="475"/>
      <c r="AL309" s="475"/>
      <c r="AM309" s="475"/>
      <c r="AN309" s="59"/>
      <c r="AO309" s="14"/>
      <c r="AP309" s="26"/>
    </row>
    <row r="310" spans="1:42" hidden="1">
      <c r="A310" s="475"/>
      <c r="B310" s="476"/>
      <c r="C310" s="655"/>
      <c r="D310" s="655"/>
      <c r="E310" s="472"/>
      <c r="F310" s="895"/>
      <c r="G310" s="567"/>
      <c r="H310" s="567"/>
      <c r="I310" s="567"/>
      <c r="J310" s="567"/>
      <c r="K310" s="567"/>
      <c r="L310" s="567"/>
      <c r="M310" s="567"/>
      <c r="N310" s="567"/>
      <c r="O310" s="567"/>
      <c r="P310" s="567"/>
      <c r="Q310" s="567"/>
      <c r="R310" s="567"/>
      <c r="S310" s="567"/>
      <c r="T310" s="567"/>
      <c r="U310" s="567"/>
      <c r="V310" s="567"/>
      <c r="W310" s="567"/>
      <c r="X310" s="567"/>
      <c r="Y310" s="567"/>
      <c r="Z310" s="567"/>
      <c r="AA310" s="567"/>
      <c r="AB310" s="567"/>
      <c r="AC310" s="567"/>
      <c r="AD310" s="578"/>
      <c r="AE310" s="476"/>
      <c r="AF310" s="476"/>
      <c r="AG310" s="464"/>
      <c r="AH310" s="476"/>
      <c r="AI310" s="476"/>
      <c r="AJ310" s="475"/>
      <c r="AK310" s="475"/>
      <c r="AL310" s="475"/>
      <c r="AM310" s="475"/>
      <c r="AN310" s="59"/>
      <c r="AO310" s="14"/>
      <c r="AP310" s="26"/>
    </row>
    <row r="311" spans="1:42" hidden="1">
      <c r="A311" s="475"/>
      <c r="B311" s="476"/>
      <c r="C311" s="655"/>
      <c r="D311" s="655"/>
      <c r="E311" s="472"/>
      <c r="F311" s="579" t="s">
        <v>2126</v>
      </c>
      <c r="G311" s="476"/>
      <c r="H311" s="476"/>
      <c r="I311" s="476"/>
      <c r="J311" s="476"/>
      <c r="K311" s="476"/>
      <c r="L311" s="476"/>
      <c r="M311" s="476"/>
      <c r="N311" s="476"/>
      <c r="O311" s="476"/>
      <c r="P311" s="476"/>
      <c r="Q311" s="476"/>
      <c r="R311" s="476"/>
      <c r="S311" s="476"/>
      <c r="T311" s="476"/>
      <c r="U311" s="476"/>
      <c r="V311" s="476"/>
      <c r="W311" s="476"/>
      <c r="X311" s="476"/>
      <c r="Y311" s="476"/>
      <c r="Z311" s="476"/>
      <c r="AA311" s="476"/>
      <c r="AB311" s="476"/>
      <c r="AC311" s="476"/>
      <c r="AD311" s="580"/>
      <c r="AE311" s="476"/>
      <c r="AF311" s="476"/>
      <c r="AG311" s="464"/>
      <c r="AH311" s="476"/>
      <c r="AI311" s="476"/>
      <c r="AJ311" s="475"/>
      <c r="AK311" s="475"/>
      <c r="AL311" s="475"/>
      <c r="AM311" s="475"/>
      <c r="AN311" s="59"/>
      <c r="AO311" s="14"/>
      <c r="AP311" s="26"/>
    </row>
    <row r="312" spans="1:42" hidden="1">
      <c r="A312" s="475"/>
      <c r="B312" s="476"/>
      <c r="C312" s="655"/>
      <c r="D312" s="655"/>
      <c r="E312" s="472"/>
      <c r="F312" s="579"/>
      <c r="G312" s="476"/>
      <c r="H312" s="476"/>
      <c r="I312" s="476"/>
      <c r="J312" s="476"/>
      <c r="K312" s="476"/>
      <c r="L312" s="476"/>
      <c r="M312" s="476"/>
      <c r="N312" s="476"/>
      <c r="O312" s="476"/>
      <c r="P312" s="476"/>
      <c r="Q312" s="476"/>
      <c r="R312" s="476"/>
      <c r="S312" s="476"/>
      <c r="T312" s="476"/>
      <c r="U312" s="476"/>
      <c r="V312" s="476"/>
      <c r="W312" s="476"/>
      <c r="X312" s="476"/>
      <c r="Y312" s="476"/>
      <c r="Z312" s="476"/>
      <c r="AA312" s="476"/>
      <c r="AB312" s="476"/>
      <c r="AC312" s="476"/>
      <c r="AD312" s="580"/>
      <c r="AE312" s="476"/>
      <c r="AF312" s="476"/>
      <c r="AG312" s="464"/>
      <c r="AH312" s="476"/>
      <c r="AI312" s="476"/>
      <c r="AJ312" s="475"/>
      <c r="AK312" s="475"/>
      <c r="AL312" s="475"/>
      <c r="AM312" s="475"/>
      <c r="AN312" s="59"/>
      <c r="AO312" s="14"/>
      <c r="AP312" s="482" t="s">
        <v>1076</v>
      </c>
    </row>
    <row r="313" spans="1:42" ht="12.75" hidden="1" customHeight="1">
      <c r="A313" s="475"/>
      <c r="B313" s="476"/>
      <c r="C313" s="655"/>
      <c r="D313" s="655"/>
      <c r="E313" s="472"/>
      <c r="F313" s="581"/>
      <c r="G313" s="500" t="s">
        <v>21</v>
      </c>
      <c r="H313" s="500"/>
      <c r="I313" s="1788" t="s">
        <v>1076</v>
      </c>
      <c r="J313" s="1788"/>
      <c r="K313" s="1788"/>
      <c r="L313" s="1788"/>
      <c r="M313" s="1788"/>
      <c r="N313" s="1788"/>
      <c r="O313" s="1788"/>
      <c r="P313" s="1788"/>
      <c r="Q313" s="1788"/>
      <c r="R313" s="1788"/>
      <c r="S313" s="1788"/>
      <c r="T313" s="1788"/>
      <c r="U313" s="1788"/>
      <c r="V313" s="1788"/>
      <c r="W313" s="1788"/>
      <c r="X313" s="1788"/>
      <c r="Y313" s="1788"/>
      <c r="Z313" s="1788"/>
      <c r="AA313" s="1788"/>
      <c r="AB313" s="1788"/>
      <c r="AC313" s="1788"/>
      <c r="AD313" s="1789"/>
      <c r="AE313" s="476"/>
      <c r="AF313" s="476"/>
      <c r="AG313" s="464"/>
      <c r="AH313" s="476"/>
      <c r="AI313" s="476"/>
      <c r="AJ313" s="475"/>
      <c r="AK313" s="475"/>
      <c r="AL313" s="475"/>
      <c r="AM313" s="475"/>
      <c r="AN313" s="59"/>
      <c r="AO313" s="14"/>
      <c r="AP313" s="482" t="s">
        <v>2127</v>
      </c>
    </row>
    <row r="314" spans="1:42" hidden="1">
      <c r="A314" s="475"/>
      <c r="B314" s="476"/>
      <c r="C314" s="655"/>
      <c r="D314" s="655"/>
      <c r="E314" s="472"/>
      <c r="F314" s="581"/>
      <c r="G314" s="500"/>
      <c r="H314" s="500"/>
      <c r="I314" s="1788"/>
      <c r="J314" s="1788"/>
      <c r="K314" s="1788"/>
      <c r="L314" s="1788"/>
      <c r="M314" s="1788"/>
      <c r="N314" s="1788"/>
      <c r="O314" s="1788"/>
      <c r="P314" s="1788"/>
      <c r="Q314" s="1788"/>
      <c r="R314" s="1788"/>
      <c r="S314" s="1788"/>
      <c r="T314" s="1788"/>
      <c r="U314" s="1788"/>
      <c r="V314" s="1788"/>
      <c r="W314" s="1788"/>
      <c r="X314" s="1788"/>
      <c r="Y314" s="1788"/>
      <c r="Z314" s="1788"/>
      <c r="AA314" s="1788"/>
      <c r="AB314" s="1788"/>
      <c r="AC314" s="1788"/>
      <c r="AD314" s="1789"/>
      <c r="AE314" s="476"/>
      <c r="AF314" s="476"/>
      <c r="AG314" s="464"/>
      <c r="AH314" s="476"/>
      <c r="AI314" s="476"/>
      <c r="AJ314" s="475"/>
      <c r="AK314" s="475"/>
      <c r="AL314" s="475"/>
      <c r="AM314" s="475"/>
      <c r="AN314" s="59"/>
      <c r="AO314" s="14"/>
      <c r="AP314" s="482" t="s">
        <v>2128</v>
      </c>
    </row>
    <row r="315" spans="1:42" hidden="1">
      <c r="A315" s="475"/>
      <c r="B315" s="476"/>
      <c r="C315" s="576"/>
      <c r="D315" s="576"/>
      <c r="E315" s="472"/>
      <c r="F315" s="581"/>
      <c r="G315" s="500"/>
      <c r="H315" s="500"/>
      <c r="I315" s="1788"/>
      <c r="J315" s="1788"/>
      <c r="K315" s="1788"/>
      <c r="L315" s="1788"/>
      <c r="M315" s="1788"/>
      <c r="N315" s="1788"/>
      <c r="O315" s="1788"/>
      <c r="P315" s="1788"/>
      <c r="Q315" s="1788"/>
      <c r="R315" s="1788"/>
      <c r="S315" s="1788"/>
      <c r="T315" s="1788"/>
      <c r="U315" s="1788"/>
      <c r="V315" s="1788"/>
      <c r="W315" s="1788"/>
      <c r="X315" s="1788"/>
      <c r="Y315" s="1788"/>
      <c r="Z315" s="1788"/>
      <c r="AA315" s="1788"/>
      <c r="AB315" s="1788"/>
      <c r="AC315" s="1788"/>
      <c r="AD315" s="1789"/>
      <c r="AE315" s="476"/>
      <c r="AF315" s="476"/>
      <c r="AG315" s="464"/>
      <c r="AH315" s="476"/>
      <c r="AI315" s="476"/>
      <c r="AJ315" s="475"/>
      <c r="AK315" s="475"/>
      <c r="AL315" s="475"/>
      <c r="AM315" s="475"/>
      <c r="AN315" s="59"/>
      <c r="AO315" s="14"/>
      <c r="AP315" s="482" t="s">
        <v>2129</v>
      </c>
    </row>
    <row r="316" spans="1:42" hidden="1">
      <c r="A316" s="475"/>
      <c r="B316" s="476"/>
      <c r="C316" s="576"/>
      <c r="D316" s="576"/>
      <c r="E316" s="472"/>
      <c r="F316" s="579"/>
      <c r="G316" s="476"/>
      <c r="H316" s="476"/>
      <c r="I316" s="1790"/>
      <c r="J316" s="1790"/>
      <c r="K316" s="1790"/>
      <c r="L316" s="1790"/>
      <c r="M316" s="1790"/>
      <c r="N316" s="1790"/>
      <c r="O316" s="1790"/>
      <c r="P316" s="1790"/>
      <c r="Q316" s="1790"/>
      <c r="R316" s="1790"/>
      <c r="S316" s="1790"/>
      <c r="T316" s="1790"/>
      <c r="U316" s="1790"/>
      <c r="V316" s="1790"/>
      <c r="W316" s="1790"/>
      <c r="X316" s="1790"/>
      <c r="Y316" s="1790"/>
      <c r="Z316" s="1790"/>
      <c r="AA316" s="1790"/>
      <c r="AB316" s="1790"/>
      <c r="AC316" s="1790"/>
      <c r="AD316" s="1791"/>
      <c r="AE316" s="476"/>
      <c r="AF316" s="476"/>
      <c r="AG316" s="464"/>
      <c r="AH316" s="476"/>
      <c r="AI316" s="476"/>
      <c r="AJ316" s="475"/>
      <c r="AK316" s="475"/>
      <c r="AL316" s="475"/>
      <c r="AM316" s="475"/>
      <c r="AN316" s="59"/>
      <c r="AO316" s="14"/>
      <c r="AP316" s="482" t="s">
        <v>2130</v>
      </c>
    </row>
    <row r="317" spans="1:42" hidden="1">
      <c r="A317" s="475"/>
      <c r="B317" s="476"/>
      <c r="C317" s="576"/>
      <c r="D317" s="576"/>
      <c r="E317" s="472"/>
      <c r="F317" s="579"/>
      <c r="G317" s="476"/>
      <c r="H317" s="476"/>
      <c r="I317" s="476"/>
      <c r="J317" s="476"/>
      <c r="K317" s="476"/>
      <c r="L317" s="476"/>
      <c r="M317" s="476"/>
      <c r="N317" s="476"/>
      <c r="O317" s="476"/>
      <c r="P317" s="476"/>
      <c r="Q317" s="476"/>
      <c r="R317" s="476"/>
      <c r="S317" s="476"/>
      <c r="T317" s="476"/>
      <c r="U317" s="476"/>
      <c r="V317" s="476"/>
      <c r="W317" s="476"/>
      <c r="X317" s="476"/>
      <c r="Y317" s="476"/>
      <c r="Z317" s="476"/>
      <c r="AA317" s="476"/>
      <c r="AB317" s="476"/>
      <c r="AC317" s="476"/>
      <c r="AD317" s="580"/>
      <c r="AE317" s="476"/>
      <c r="AF317" s="476"/>
      <c r="AG317" s="464"/>
      <c r="AH317" s="476"/>
      <c r="AI317" s="476"/>
      <c r="AJ317" s="475"/>
      <c r="AK317" s="475"/>
      <c r="AL317" s="475"/>
      <c r="AM317" s="475"/>
      <c r="AN317" s="59"/>
      <c r="AO317" s="14"/>
      <c r="AP317" s="26"/>
    </row>
    <row r="318" spans="1:42" hidden="1">
      <c r="A318" s="475"/>
      <c r="B318" s="476"/>
      <c r="C318" s="576"/>
      <c r="D318" s="576"/>
      <c r="E318" s="472"/>
      <c r="F318" s="579"/>
      <c r="G318" s="476" t="s">
        <v>26</v>
      </c>
      <c r="H318" s="476"/>
      <c r="I318" s="1788" t="s">
        <v>1076</v>
      </c>
      <c r="J318" s="1788"/>
      <c r="K318" s="1788"/>
      <c r="L318" s="1788"/>
      <c r="M318" s="1788"/>
      <c r="N318" s="1788"/>
      <c r="O318" s="1788"/>
      <c r="P318" s="1788"/>
      <c r="Q318" s="1788"/>
      <c r="R318" s="1788"/>
      <c r="S318" s="1788"/>
      <c r="T318" s="1788"/>
      <c r="U318" s="1788"/>
      <c r="V318" s="1788"/>
      <c r="W318" s="1788"/>
      <c r="X318" s="1788"/>
      <c r="Y318" s="1788"/>
      <c r="Z318" s="1788"/>
      <c r="AA318" s="1788"/>
      <c r="AB318" s="1788"/>
      <c r="AC318" s="1788"/>
      <c r="AD318" s="1789"/>
      <c r="AE318" s="476"/>
      <c r="AF318" s="476"/>
      <c r="AG318" s="464"/>
      <c r="AH318" s="476"/>
      <c r="AI318" s="476"/>
      <c r="AJ318" s="475"/>
      <c r="AK318" s="475"/>
      <c r="AL318" s="475"/>
      <c r="AM318" s="475"/>
      <c r="AN318" s="59"/>
      <c r="AO318" s="14"/>
    </row>
    <row r="319" spans="1:42" hidden="1">
      <c r="A319" s="475"/>
      <c r="B319" s="476"/>
      <c r="C319" s="576"/>
      <c r="D319" s="576"/>
      <c r="E319" s="472"/>
      <c r="F319" s="579"/>
      <c r="G319" s="476"/>
      <c r="H319" s="476"/>
      <c r="I319" s="1788"/>
      <c r="J319" s="1788"/>
      <c r="K319" s="1788"/>
      <c r="L319" s="1788"/>
      <c r="M319" s="1788"/>
      <c r="N319" s="1788"/>
      <c r="O319" s="1788"/>
      <c r="P319" s="1788"/>
      <c r="Q319" s="1788"/>
      <c r="R319" s="1788"/>
      <c r="S319" s="1788"/>
      <c r="T319" s="1788"/>
      <c r="U319" s="1788"/>
      <c r="V319" s="1788"/>
      <c r="W319" s="1788"/>
      <c r="X319" s="1788"/>
      <c r="Y319" s="1788"/>
      <c r="Z319" s="1788"/>
      <c r="AA319" s="1788"/>
      <c r="AB319" s="1788"/>
      <c r="AC319" s="1788"/>
      <c r="AD319" s="1789"/>
      <c r="AE319" s="476"/>
      <c r="AF319" s="476"/>
      <c r="AG319" s="464"/>
      <c r="AH319" s="476"/>
      <c r="AI319" s="476"/>
      <c r="AJ319" s="475"/>
      <c r="AK319" s="475"/>
      <c r="AL319" s="475"/>
      <c r="AM319" s="475"/>
      <c r="AN319" s="59"/>
      <c r="AO319" s="14"/>
      <c r="AP319" s="482" t="s">
        <v>1076</v>
      </c>
    </row>
    <row r="320" spans="1:42" hidden="1">
      <c r="A320" s="475"/>
      <c r="B320" s="476"/>
      <c r="C320" s="576"/>
      <c r="D320" s="576"/>
      <c r="E320" s="472"/>
      <c r="F320" s="582"/>
      <c r="G320" s="583"/>
      <c r="H320" s="583"/>
      <c r="I320" s="1790"/>
      <c r="J320" s="1790"/>
      <c r="K320" s="1790"/>
      <c r="L320" s="1790"/>
      <c r="M320" s="1790"/>
      <c r="N320" s="1790"/>
      <c r="O320" s="1790"/>
      <c r="P320" s="1790"/>
      <c r="Q320" s="1790"/>
      <c r="R320" s="1790"/>
      <c r="S320" s="1790"/>
      <c r="T320" s="1790"/>
      <c r="U320" s="1790"/>
      <c r="V320" s="1790"/>
      <c r="W320" s="1790"/>
      <c r="X320" s="1790"/>
      <c r="Y320" s="1790"/>
      <c r="Z320" s="1790"/>
      <c r="AA320" s="1790"/>
      <c r="AB320" s="1790"/>
      <c r="AC320" s="1790"/>
      <c r="AD320" s="1791"/>
      <c r="AE320" s="476"/>
      <c r="AF320" s="476"/>
      <c r="AG320" s="464"/>
      <c r="AH320" s="476"/>
      <c r="AI320" s="476"/>
      <c r="AJ320" s="475"/>
      <c r="AK320" s="475"/>
      <c r="AL320" s="475"/>
      <c r="AM320" s="475"/>
      <c r="AN320" s="59"/>
      <c r="AO320" s="14"/>
      <c r="AP320" s="482" t="s">
        <v>2131</v>
      </c>
    </row>
    <row r="321" spans="1:44" hidden="1">
      <c r="A321" s="475"/>
      <c r="B321" s="476"/>
      <c r="C321" s="475"/>
      <c r="D321" s="476"/>
      <c r="E321" s="475"/>
      <c r="F321" s="541"/>
      <c r="G321" s="476"/>
      <c r="H321" s="476"/>
      <c r="I321" s="476"/>
      <c r="J321" s="476"/>
      <c r="K321" s="476"/>
      <c r="L321" s="476"/>
      <c r="M321" s="476"/>
      <c r="N321" s="476"/>
      <c r="O321" s="476"/>
      <c r="P321" s="476"/>
      <c r="Q321" s="476"/>
      <c r="R321" s="476"/>
      <c r="S321" s="476"/>
      <c r="T321" s="476"/>
      <c r="U321" s="476"/>
      <c r="V321" s="476"/>
      <c r="W321" s="476"/>
      <c r="X321" s="476"/>
      <c r="Y321" s="476"/>
      <c r="Z321" s="476"/>
      <c r="AA321" s="476"/>
      <c r="AB321" s="476"/>
      <c r="AC321" s="476"/>
      <c r="AD321" s="476"/>
      <c r="AE321" s="476"/>
      <c r="AF321" s="476"/>
      <c r="AG321" s="476"/>
      <c r="AH321" s="476"/>
      <c r="AI321" s="476"/>
      <c r="AJ321" s="475"/>
      <c r="AK321" s="475"/>
      <c r="AL321" s="475"/>
      <c r="AM321" s="475"/>
      <c r="AN321" s="59"/>
      <c r="AO321" s="14"/>
      <c r="AP321" s="482" t="s">
        <v>2132</v>
      </c>
    </row>
    <row r="322" spans="1:44" ht="12.75" hidden="1" customHeight="1">
      <c r="A322" s="1411" t="s">
        <v>2133</v>
      </c>
      <c r="B322" s="1411"/>
      <c r="C322" s="1675" t="s">
        <v>299</v>
      </c>
      <c r="D322" s="1675"/>
      <c r="E322" s="472"/>
      <c r="F322" s="1776" t="s">
        <v>2134</v>
      </c>
      <c r="G322" s="1777"/>
      <c r="H322" s="1777"/>
      <c r="I322" s="1777"/>
      <c r="J322" s="1777"/>
      <c r="K322" s="1777"/>
      <c r="L322" s="1777"/>
      <c r="M322" s="1777"/>
      <c r="N322" s="1777"/>
      <c r="O322" s="1777"/>
      <c r="P322" s="1777"/>
      <c r="Q322" s="1777"/>
      <c r="R322" s="1777"/>
      <c r="S322" s="1777"/>
      <c r="T322" s="1777"/>
      <c r="U322" s="1777"/>
      <c r="V322" s="1777"/>
      <c r="W322" s="1777"/>
      <c r="X322" s="1777"/>
      <c r="Y322" s="1777"/>
      <c r="Z322" s="1777"/>
      <c r="AA322" s="1777"/>
      <c r="AB322" s="1777"/>
      <c r="AC322" s="1777"/>
      <c r="AD322" s="1778"/>
      <c r="AE322" s="476"/>
      <c r="AF322" s="476"/>
      <c r="AG322" s="464" t="s">
        <v>2117</v>
      </c>
      <c r="AH322" s="476"/>
      <c r="AI322" s="476"/>
      <c r="AJ322" s="475"/>
      <c r="AK322" s="475"/>
      <c r="AL322" s="475"/>
      <c r="AM322" s="475"/>
      <c r="AN322" s="59"/>
      <c r="AO322" s="14"/>
    </row>
    <row r="323" spans="1:44" ht="15" hidden="1" customHeight="1">
      <c r="A323" s="475"/>
      <c r="B323" s="476"/>
      <c r="C323" s="476"/>
      <c r="D323" s="476"/>
      <c r="E323" s="476"/>
      <c r="F323" s="1779"/>
      <c r="G323" s="1780"/>
      <c r="H323" s="1780"/>
      <c r="I323" s="1780"/>
      <c r="J323" s="1780"/>
      <c r="K323" s="1780"/>
      <c r="L323" s="1780"/>
      <c r="M323" s="1780"/>
      <c r="N323" s="1780"/>
      <c r="O323" s="1780"/>
      <c r="P323" s="1780"/>
      <c r="Q323" s="1780"/>
      <c r="R323" s="1780"/>
      <c r="S323" s="1780"/>
      <c r="T323" s="1780"/>
      <c r="U323" s="1780"/>
      <c r="V323" s="1780"/>
      <c r="W323" s="1780"/>
      <c r="X323" s="1780"/>
      <c r="Y323" s="1780"/>
      <c r="Z323" s="1780"/>
      <c r="AA323" s="1780"/>
      <c r="AB323" s="1780"/>
      <c r="AC323" s="1780"/>
      <c r="AD323" s="1781"/>
      <c r="AE323" s="476"/>
      <c r="AF323" s="476"/>
      <c r="AG323" s="476"/>
      <c r="AH323" s="476"/>
      <c r="AI323" s="476"/>
      <c r="AJ323" s="475"/>
      <c r="AK323" s="475"/>
      <c r="AL323" s="475"/>
      <c r="AM323" s="475"/>
      <c r="AN323" s="59"/>
      <c r="AO323" s="14"/>
    </row>
    <row r="324" spans="1:44" ht="15" hidden="1" customHeight="1">
      <c r="A324" s="475"/>
      <c r="B324" s="476"/>
      <c r="C324" s="476"/>
      <c r="D324" s="476"/>
      <c r="E324" s="476"/>
      <c r="F324" s="1779"/>
      <c r="G324" s="1780"/>
      <c r="H324" s="1780"/>
      <c r="I324" s="1780"/>
      <c r="J324" s="1780"/>
      <c r="K324" s="1780"/>
      <c r="L324" s="1780"/>
      <c r="M324" s="1780"/>
      <c r="N324" s="1780"/>
      <c r="O324" s="1780"/>
      <c r="P324" s="1780"/>
      <c r="Q324" s="1780"/>
      <c r="R324" s="1780"/>
      <c r="S324" s="1780"/>
      <c r="T324" s="1780"/>
      <c r="U324" s="1780"/>
      <c r="V324" s="1780"/>
      <c r="W324" s="1780"/>
      <c r="X324" s="1780"/>
      <c r="Y324" s="1780"/>
      <c r="Z324" s="1780"/>
      <c r="AA324" s="1780"/>
      <c r="AB324" s="1780"/>
      <c r="AC324" s="1780"/>
      <c r="AD324" s="1781"/>
      <c r="AE324" s="476"/>
      <c r="AF324" s="476"/>
      <c r="AG324" s="476"/>
      <c r="AH324" s="476"/>
      <c r="AI324" s="476"/>
      <c r="AJ324" s="475"/>
      <c r="AK324" s="475"/>
      <c r="AL324" s="475"/>
      <c r="AM324" s="584"/>
      <c r="AN324" s="14"/>
      <c r="AO324" s="14"/>
    </row>
    <row r="325" spans="1:44" hidden="1">
      <c r="A325" s="475"/>
      <c r="B325" s="476"/>
      <c r="C325" s="475"/>
      <c r="D325" s="476"/>
      <c r="E325" s="475"/>
      <c r="F325" s="585" t="s">
        <v>2135</v>
      </c>
      <c r="G325" s="586"/>
      <c r="H325" s="586"/>
      <c r="I325" s="586"/>
      <c r="J325" s="586"/>
      <c r="K325" s="586"/>
      <c r="L325" s="586"/>
      <c r="M325" s="586"/>
      <c r="N325" s="586"/>
      <c r="O325" s="586"/>
      <c r="P325" s="586"/>
      <c r="Q325" s="586"/>
      <c r="R325" s="586"/>
      <c r="S325" s="586"/>
      <c r="T325" s="586"/>
      <c r="U325" s="586"/>
      <c r="V325" s="586"/>
      <c r="W325" s="586"/>
      <c r="X325" s="586"/>
      <c r="Y325" s="586"/>
      <c r="Z325" s="586"/>
      <c r="AA325" s="586"/>
      <c r="AB325" s="586"/>
      <c r="AC325" s="586"/>
      <c r="AD325" s="587"/>
      <c r="AE325" s="476"/>
      <c r="AF325" s="476"/>
      <c r="AG325" s="476"/>
      <c r="AH325" s="476"/>
      <c r="AI325" s="476"/>
      <c r="AJ325" s="475"/>
      <c r="AK325" s="475"/>
      <c r="AL325" s="475"/>
      <c r="AM325" s="584"/>
      <c r="AN325" s="26"/>
    </row>
    <row r="326" spans="1:44" hidden="1">
      <c r="A326" s="475"/>
      <c r="B326" s="476"/>
      <c r="C326" s="475"/>
      <c r="D326" s="476"/>
      <c r="E326" s="475"/>
      <c r="F326" s="588"/>
      <c r="G326" s="588"/>
      <c r="H326" s="588"/>
      <c r="I326" s="588"/>
      <c r="J326" s="588"/>
      <c r="K326" s="588"/>
      <c r="L326" s="588"/>
      <c r="M326" s="588"/>
      <c r="N326" s="588"/>
      <c r="O326" s="588"/>
      <c r="P326" s="588"/>
      <c r="Q326" s="588"/>
      <c r="R326" s="588"/>
      <c r="S326" s="588"/>
      <c r="T326" s="588"/>
      <c r="U326" s="588"/>
      <c r="V326" s="588"/>
      <c r="W326" s="588"/>
      <c r="X326" s="588"/>
      <c r="Y326" s="588"/>
      <c r="Z326" s="588"/>
      <c r="AA326" s="588"/>
      <c r="AB326" s="588"/>
      <c r="AC326" s="588"/>
      <c r="AD326" s="588"/>
      <c r="AE326" s="476"/>
      <c r="AF326" s="476"/>
      <c r="AG326" s="476"/>
      <c r="AH326" s="476"/>
      <c r="AI326" s="476"/>
      <c r="AJ326" s="475"/>
      <c r="AK326" s="475"/>
      <c r="AL326" s="475"/>
      <c r="AM326" s="584"/>
      <c r="AN326" s="26"/>
    </row>
    <row r="327" spans="1:44">
      <c r="A327" s="531"/>
      <c r="B327" s="589"/>
      <c r="C327" s="589"/>
      <c r="D327" s="589"/>
      <c r="E327" s="589"/>
      <c r="F327" s="589"/>
      <c r="G327" s="589"/>
      <c r="H327" s="589"/>
      <c r="I327" s="589"/>
      <c r="J327" s="589"/>
      <c r="K327" s="589"/>
      <c r="L327" s="589"/>
      <c r="M327" s="589"/>
      <c r="N327" s="589"/>
      <c r="O327" s="589"/>
      <c r="P327" s="589"/>
      <c r="Q327" s="589"/>
      <c r="R327" s="589"/>
      <c r="S327" s="589"/>
      <c r="T327" s="589"/>
      <c r="U327" s="589"/>
      <c r="V327" s="589"/>
      <c r="W327" s="589"/>
      <c r="X327" s="589"/>
      <c r="Y327" s="589"/>
      <c r="Z327" s="589"/>
      <c r="AA327" s="589"/>
      <c r="AB327" s="589"/>
      <c r="AC327" s="590"/>
      <c r="AD327" s="589"/>
      <c r="AE327" s="489"/>
      <c r="AF327" s="489"/>
      <c r="AG327" s="489"/>
      <c r="AH327" s="489"/>
      <c r="AI327" s="490"/>
      <c r="AJ327" s="490" t="s">
        <v>2136</v>
      </c>
      <c r="AK327" s="1660">
        <f>IF(NOT(OR(Application!M355="Yes",Application!M356="Yes")),0,AP284)</f>
        <v>10</v>
      </c>
      <c r="AL327" s="1661"/>
      <c r="AM327" s="1662"/>
      <c r="AN327" s="26"/>
    </row>
    <row r="328" spans="1:44" s="475" customFormat="1" ht="12.75" customHeight="1" thickBot="1">
      <c r="A328" s="546"/>
      <c r="B328" s="546"/>
      <c r="C328" s="546"/>
      <c r="D328" s="546"/>
      <c r="E328" s="546"/>
      <c r="F328" s="546"/>
      <c r="G328" s="546"/>
      <c r="H328" s="546"/>
      <c r="I328" s="546"/>
      <c r="J328" s="546"/>
      <c r="K328" s="546"/>
      <c r="L328" s="546"/>
      <c r="M328" s="546"/>
      <c r="N328" s="546"/>
      <c r="O328" s="546"/>
      <c r="P328" s="546"/>
      <c r="Q328" s="546"/>
      <c r="R328" s="546"/>
      <c r="S328" s="546"/>
      <c r="T328" s="546"/>
      <c r="U328" s="546"/>
      <c r="V328" s="546"/>
      <c r="W328" s="546"/>
      <c r="X328" s="546"/>
      <c r="Y328" s="546"/>
      <c r="Z328" s="546"/>
      <c r="AA328" s="546"/>
      <c r="AB328" s="546"/>
      <c r="AC328" s="546"/>
      <c r="AD328" s="546"/>
      <c r="AE328" s="546"/>
      <c r="AF328" s="546"/>
      <c r="AG328" s="546"/>
      <c r="AH328" s="546"/>
      <c r="AI328" s="546"/>
      <c r="AJ328" s="546"/>
      <c r="AK328" s="546"/>
      <c r="AL328" s="546"/>
      <c r="AM328" s="546"/>
      <c r="AN328" s="522"/>
    </row>
    <row r="329" spans="1:44" s="475"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522"/>
    </row>
    <row r="330" spans="1:44" s="475" customFormat="1" ht="12.75" customHeight="1">
      <c r="A330" s="464" t="s">
        <v>2137</v>
      </c>
      <c r="B330" s="464" t="s">
        <v>2138</v>
      </c>
      <c r="C330" s="461"/>
      <c r="AC330" s="464"/>
      <c r="AE330" s="1666" t="s">
        <v>1970</v>
      </c>
      <c r="AF330" s="1666"/>
      <c r="AG330" s="1666"/>
      <c r="AH330" s="1666"/>
      <c r="AI330" s="1666"/>
      <c r="AJ330" s="1666"/>
      <c r="AK330" s="1666"/>
      <c r="AL330" s="464"/>
      <c r="AM330" s="464"/>
      <c r="AN330" s="517"/>
    </row>
    <row r="331" spans="1:44" s="475" customFormat="1" ht="12.75" customHeight="1">
      <c r="A331" s="464"/>
      <c r="B331" s="464"/>
      <c r="C331" s="461"/>
      <c r="AC331" s="464"/>
      <c r="AE331" s="468"/>
      <c r="AF331" s="468"/>
      <c r="AG331" s="468"/>
      <c r="AH331" s="468"/>
      <c r="AI331" s="468"/>
      <c r="AJ331" s="468"/>
      <c r="AK331" s="468"/>
      <c r="AL331" s="464"/>
      <c r="AM331" s="464"/>
      <c r="AN331" s="517"/>
    </row>
    <row r="332" spans="1:44" s="475" customFormat="1" ht="12.75" customHeight="1">
      <c r="A332" s="528"/>
      <c r="B332" s="536"/>
      <c r="C332" s="1670" t="s">
        <v>2139</v>
      </c>
      <c r="D332" s="1670"/>
      <c r="E332" s="1670"/>
      <c r="F332" s="1670"/>
      <c r="G332" s="1670"/>
      <c r="H332" s="1670"/>
      <c r="I332" s="1670"/>
      <c r="J332" s="1670"/>
      <c r="K332" s="1670"/>
      <c r="L332" s="1670"/>
      <c r="M332" s="1670"/>
      <c r="N332" s="1670"/>
      <c r="O332" s="1670"/>
      <c r="P332" s="1670"/>
      <c r="Q332" s="1670"/>
      <c r="R332" s="1670"/>
      <c r="S332" s="1670"/>
      <c r="T332" s="1670"/>
      <c r="U332" s="1670"/>
      <c r="V332" s="1670"/>
      <c r="W332" s="1670"/>
      <c r="X332" s="1670"/>
      <c r="Y332" s="1670"/>
      <c r="Z332" s="1670"/>
      <c r="AA332" s="1670"/>
      <c r="AB332" s="1670"/>
      <c r="AC332" s="1670"/>
      <c r="AD332" s="1670"/>
      <c r="AE332" s="1670"/>
      <c r="AF332" s="1670"/>
      <c r="AG332" s="1670"/>
      <c r="AH332" s="1670"/>
      <c r="AI332" s="1670"/>
      <c r="AJ332" s="1670"/>
      <c r="AK332" s="528"/>
      <c r="AL332" s="528"/>
      <c r="AM332" s="528"/>
      <c r="AN332" s="522"/>
    </row>
    <row r="333" spans="1:44" s="475" customFormat="1" ht="12.75" customHeight="1">
      <c r="A333" s="528"/>
      <c r="B333" s="536"/>
      <c r="C333" s="1670"/>
      <c r="D333" s="1670"/>
      <c r="E333" s="1670"/>
      <c r="F333" s="1670"/>
      <c r="G333" s="1670"/>
      <c r="H333" s="1670"/>
      <c r="I333" s="1670"/>
      <c r="J333" s="1670"/>
      <c r="K333" s="1670"/>
      <c r="L333" s="1670"/>
      <c r="M333" s="1670"/>
      <c r="N333" s="1670"/>
      <c r="O333" s="1670"/>
      <c r="P333" s="1670"/>
      <c r="Q333" s="1670"/>
      <c r="R333" s="1670"/>
      <c r="S333" s="1670"/>
      <c r="T333" s="1670"/>
      <c r="U333" s="1670"/>
      <c r="V333" s="1670"/>
      <c r="W333" s="1670"/>
      <c r="X333" s="1670"/>
      <c r="Y333" s="1670"/>
      <c r="Z333" s="1670"/>
      <c r="AA333" s="1670"/>
      <c r="AB333" s="1670"/>
      <c r="AC333" s="1670"/>
      <c r="AD333" s="1670"/>
      <c r="AE333" s="1670"/>
      <c r="AF333" s="1670"/>
      <c r="AG333" s="1670"/>
      <c r="AH333" s="1670"/>
      <c r="AI333" s="1670"/>
      <c r="AJ333" s="1670"/>
      <c r="AK333" s="528"/>
      <c r="AL333" s="528"/>
      <c r="AM333" s="528"/>
      <c r="AN333" s="522"/>
    </row>
    <row r="334" spans="1:44" s="475" customFormat="1" ht="12.75" customHeight="1">
      <c r="A334" s="528"/>
      <c r="B334" s="536"/>
      <c r="C334" s="1670"/>
      <c r="D334" s="1670"/>
      <c r="E334" s="1670"/>
      <c r="F334" s="1670"/>
      <c r="G334" s="1670"/>
      <c r="H334" s="1670"/>
      <c r="I334" s="1670"/>
      <c r="J334" s="1670"/>
      <c r="K334" s="1670"/>
      <c r="L334" s="1670"/>
      <c r="M334" s="1670"/>
      <c r="N334" s="1670"/>
      <c r="O334" s="1670"/>
      <c r="P334" s="1670"/>
      <c r="Q334" s="1670"/>
      <c r="R334" s="1670"/>
      <c r="S334" s="1670"/>
      <c r="T334" s="1670"/>
      <c r="U334" s="1670"/>
      <c r="V334" s="1670"/>
      <c r="W334" s="1670"/>
      <c r="X334" s="1670"/>
      <c r="Y334" s="1670"/>
      <c r="Z334" s="1670"/>
      <c r="AA334" s="1670"/>
      <c r="AB334" s="1670"/>
      <c r="AC334" s="1670"/>
      <c r="AD334" s="1670"/>
      <c r="AE334" s="1670"/>
      <c r="AF334" s="1670"/>
      <c r="AG334" s="1670"/>
      <c r="AH334" s="1670"/>
      <c r="AI334" s="1670"/>
      <c r="AJ334" s="1670"/>
      <c r="AK334" s="528"/>
      <c r="AL334" s="528"/>
      <c r="AM334" s="528"/>
      <c r="AN334" s="522"/>
      <c r="AQ334" s="495"/>
    </row>
    <row r="335" spans="1:44" s="475" customFormat="1" ht="12.75" customHeight="1">
      <c r="A335" s="528"/>
      <c r="B335" s="536"/>
      <c r="C335" s="1670"/>
      <c r="D335" s="1670"/>
      <c r="E335" s="1670"/>
      <c r="F335" s="1670"/>
      <c r="G335" s="1670"/>
      <c r="H335" s="1670"/>
      <c r="I335" s="1670"/>
      <c r="J335" s="1670"/>
      <c r="K335" s="1670"/>
      <c r="L335" s="1670"/>
      <c r="M335" s="1670"/>
      <c r="N335" s="1670"/>
      <c r="O335" s="1670"/>
      <c r="P335" s="1670"/>
      <c r="Q335" s="1670"/>
      <c r="R335" s="1670"/>
      <c r="S335" s="1670"/>
      <c r="T335" s="1670"/>
      <c r="U335" s="1670"/>
      <c r="V335" s="1670"/>
      <c r="W335" s="1670"/>
      <c r="X335" s="1670"/>
      <c r="Y335" s="1670"/>
      <c r="Z335" s="1670"/>
      <c r="AA335" s="1670"/>
      <c r="AB335" s="1670"/>
      <c r="AC335" s="1670"/>
      <c r="AD335" s="1670"/>
      <c r="AE335" s="1670"/>
      <c r="AF335" s="1670"/>
      <c r="AG335" s="1670"/>
      <c r="AH335" s="1670"/>
      <c r="AI335" s="1670"/>
      <c r="AJ335" s="1670"/>
      <c r="AK335" s="528"/>
      <c r="AL335" s="528"/>
      <c r="AM335" s="528"/>
      <c r="AN335" s="522"/>
      <c r="AQ335" s="495"/>
    </row>
    <row r="336" spans="1:44" s="475" customFormat="1" ht="12.6" customHeight="1">
      <c r="A336" s="528"/>
      <c r="B336" s="536"/>
      <c r="C336" s="1670"/>
      <c r="D336" s="1670"/>
      <c r="E336" s="1670"/>
      <c r="F336" s="1670"/>
      <c r="G336" s="1670"/>
      <c r="H336" s="1670"/>
      <c r="I336" s="1670"/>
      <c r="J336" s="1670"/>
      <c r="K336" s="1670"/>
      <c r="L336" s="1670"/>
      <c r="M336" s="1670"/>
      <c r="N336" s="1670"/>
      <c r="O336" s="1670"/>
      <c r="P336" s="1670"/>
      <c r="Q336" s="1670"/>
      <c r="R336" s="1670"/>
      <c r="S336" s="1670"/>
      <c r="T336" s="1670"/>
      <c r="U336" s="1670"/>
      <c r="V336" s="1670"/>
      <c r="W336" s="1670"/>
      <c r="X336" s="1670"/>
      <c r="Y336" s="1670"/>
      <c r="Z336" s="1670"/>
      <c r="AA336" s="1670"/>
      <c r="AB336" s="1670"/>
      <c r="AC336" s="1670"/>
      <c r="AD336" s="1670"/>
      <c r="AE336" s="1670"/>
      <c r="AF336" s="1670"/>
      <c r="AG336" s="1670"/>
      <c r="AH336" s="1670"/>
      <c r="AI336" s="1670"/>
      <c r="AJ336" s="1670"/>
      <c r="AK336" s="528"/>
      <c r="AL336" s="528"/>
      <c r="AM336" s="528"/>
      <c r="AN336" s="522"/>
      <c r="AQ336" s="495"/>
      <c r="AR336" s="495"/>
    </row>
    <row r="337" spans="1:46" s="475" customFormat="1" ht="45.75" customHeight="1">
      <c r="A337" s="528"/>
      <c r="B337" s="536"/>
      <c r="C337" s="1670" t="s">
        <v>2140</v>
      </c>
      <c r="D337" s="1670"/>
      <c r="E337" s="1670"/>
      <c r="F337" s="1670"/>
      <c r="G337" s="1670"/>
      <c r="H337" s="1670"/>
      <c r="I337" s="1670"/>
      <c r="J337" s="1670"/>
      <c r="K337" s="1670"/>
      <c r="L337" s="1670"/>
      <c r="M337" s="1670"/>
      <c r="N337" s="1670"/>
      <c r="O337" s="1670"/>
      <c r="P337" s="1670"/>
      <c r="Q337" s="1670"/>
      <c r="R337" s="1670"/>
      <c r="S337" s="1670"/>
      <c r="T337" s="1670"/>
      <c r="U337" s="1670"/>
      <c r="V337" s="1670"/>
      <c r="W337" s="1670"/>
      <c r="X337" s="1670"/>
      <c r="Y337" s="1670"/>
      <c r="Z337" s="1670"/>
      <c r="AA337" s="1670"/>
      <c r="AB337" s="1670"/>
      <c r="AC337" s="1670"/>
      <c r="AD337" s="1670"/>
      <c r="AE337" s="1670"/>
      <c r="AF337" s="1670"/>
      <c r="AG337" s="1670"/>
      <c r="AH337" s="1670"/>
      <c r="AI337" s="1670"/>
      <c r="AJ337" s="1670"/>
      <c r="AK337" s="528"/>
      <c r="AL337" s="528"/>
      <c r="AM337" s="528"/>
      <c r="AN337" s="522"/>
      <c r="AQ337" s="495"/>
      <c r="AR337" s="495"/>
    </row>
    <row r="338" spans="1:46" s="475" customFormat="1" ht="12.6" customHeight="1">
      <c r="A338" s="528"/>
      <c r="B338" s="536"/>
      <c r="C338" s="618"/>
      <c r="D338" s="618"/>
      <c r="E338" s="618"/>
      <c r="F338" s="618"/>
      <c r="G338" s="618"/>
      <c r="H338" s="618"/>
      <c r="I338" s="618"/>
      <c r="J338" s="618"/>
      <c r="K338" s="618"/>
      <c r="L338" s="618"/>
      <c r="M338" s="618"/>
      <c r="N338" s="618"/>
      <c r="O338" s="618"/>
      <c r="P338" s="618"/>
      <c r="Q338" s="618"/>
      <c r="R338" s="618"/>
      <c r="S338" s="618"/>
      <c r="T338" s="618"/>
      <c r="U338" s="618"/>
      <c r="V338" s="618"/>
      <c r="W338" s="618"/>
      <c r="X338" s="618"/>
      <c r="Y338" s="618"/>
      <c r="Z338" s="618"/>
      <c r="AA338" s="618"/>
      <c r="AB338" s="618"/>
      <c r="AC338" s="618"/>
      <c r="AD338" s="618"/>
      <c r="AE338" s="618"/>
      <c r="AF338" s="618"/>
      <c r="AG338" s="618"/>
      <c r="AH338" s="618"/>
      <c r="AI338" s="618"/>
      <c r="AJ338" s="618"/>
      <c r="AK338" s="528"/>
      <c r="AL338" s="528"/>
      <c r="AM338" s="528"/>
      <c r="AN338" s="522"/>
      <c r="AQ338" s="495"/>
      <c r="AR338" s="495"/>
    </row>
    <row r="339" spans="1:46" s="475" customFormat="1" ht="12.75" customHeight="1">
      <c r="A339" s="528"/>
      <c r="B339" s="536"/>
      <c r="C339" s="1670" t="s">
        <v>2141</v>
      </c>
      <c r="D339" s="1670"/>
      <c r="E339" s="1670"/>
      <c r="F339" s="1670"/>
      <c r="G339" s="1670"/>
      <c r="H339" s="1670"/>
      <c r="I339" s="1670"/>
      <c r="J339" s="1670"/>
      <c r="K339" s="1670"/>
      <c r="L339" s="1670"/>
      <c r="M339" s="1670"/>
      <c r="N339" s="1670"/>
      <c r="O339" s="1670"/>
      <c r="P339" s="1670"/>
      <c r="Q339" s="1670"/>
      <c r="R339" s="1670"/>
      <c r="S339" s="1670"/>
      <c r="T339" s="1670"/>
      <c r="U339" s="1670"/>
      <c r="V339" s="1670"/>
      <c r="W339" s="1670"/>
      <c r="X339" s="1670"/>
      <c r="Y339" s="1670"/>
      <c r="Z339" s="1670"/>
      <c r="AA339" s="1670"/>
      <c r="AB339" s="1670"/>
      <c r="AC339" s="1670"/>
      <c r="AD339" s="1670"/>
      <c r="AE339" s="1670"/>
      <c r="AF339" s="1670"/>
      <c r="AG339" s="1670"/>
      <c r="AH339" s="1670"/>
      <c r="AI339" s="1670"/>
      <c r="AJ339" s="1670"/>
      <c r="AK339" s="528"/>
      <c r="AL339" s="528"/>
      <c r="AM339" s="528"/>
      <c r="AN339" s="522"/>
      <c r="AQ339" s="495"/>
      <c r="AR339" s="495"/>
    </row>
    <row r="340" spans="1:46" s="475" customFormat="1" ht="30" customHeight="1">
      <c r="A340" s="528"/>
      <c r="B340" s="536"/>
      <c r="C340" s="1670"/>
      <c r="D340" s="1670"/>
      <c r="E340" s="1670"/>
      <c r="F340" s="1670"/>
      <c r="G340" s="1670"/>
      <c r="H340" s="1670"/>
      <c r="I340" s="1670"/>
      <c r="J340" s="1670"/>
      <c r="K340" s="1670"/>
      <c r="L340" s="1670"/>
      <c r="M340" s="1670"/>
      <c r="N340" s="1670"/>
      <c r="O340" s="1670"/>
      <c r="P340" s="1670"/>
      <c r="Q340" s="1670"/>
      <c r="R340" s="1670"/>
      <c r="S340" s="1670"/>
      <c r="T340" s="1670"/>
      <c r="U340" s="1670"/>
      <c r="V340" s="1670"/>
      <c r="W340" s="1670"/>
      <c r="X340" s="1670"/>
      <c r="Y340" s="1670"/>
      <c r="Z340" s="1670"/>
      <c r="AA340" s="1670"/>
      <c r="AB340" s="1670"/>
      <c r="AC340" s="1670"/>
      <c r="AD340" s="1670"/>
      <c r="AE340" s="1670"/>
      <c r="AF340" s="1670"/>
      <c r="AG340" s="1670"/>
      <c r="AH340" s="1670"/>
      <c r="AI340" s="1670"/>
      <c r="AJ340" s="1670"/>
      <c r="AK340" s="528"/>
      <c r="AL340" s="528"/>
      <c r="AM340" s="528"/>
      <c r="AN340" s="522"/>
      <c r="AR340" s="495"/>
    </row>
    <row r="341" spans="1:46" s="475" customFormat="1" ht="12.75" customHeight="1">
      <c r="A341" s="528"/>
      <c r="B341" s="536"/>
      <c r="C341" s="1670"/>
      <c r="D341" s="1670"/>
      <c r="E341" s="1670"/>
      <c r="F341" s="1670"/>
      <c r="G341" s="1670"/>
      <c r="H341" s="1670"/>
      <c r="I341" s="1670"/>
      <c r="J341" s="1670"/>
      <c r="K341" s="1670"/>
      <c r="L341" s="1670"/>
      <c r="M341" s="1670"/>
      <c r="N341" s="1670"/>
      <c r="O341" s="1670"/>
      <c r="P341" s="1670"/>
      <c r="Q341" s="1670"/>
      <c r="R341" s="1670"/>
      <c r="S341" s="1670"/>
      <c r="T341" s="1670"/>
      <c r="U341" s="1670"/>
      <c r="V341" s="1670"/>
      <c r="W341" s="1670"/>
      <c r="X341" s="1670"/>
      <c r="Y341" s="1670"/>
      <c r="Z341" s="1670"/>
      <c r="AA341" s="1670"/>
      <c r="AB341" s="1670"/>
      <c r="AC341" s="1670"/>
      <c r="AD341" s="1670"/>
      <c r="AE341" s="1670"/>
      <c r="AF341" s="1670"/>
      <c r="AG341" s="1670"/>
      <c r="AH341" s="1670"/>
      <c r="AI341" s="1670"/>
      <c r="AJ341" s="1670"/>
      <c r="AK341" s="528"/>
      <c r="AL341" s="528"/>
      <c r="AM341" s="528"/>
      <c r="AN341" s="522"/>
      <c r="AR341" s="495"/>
    </row>
    <row r="342" spans="1:46" s="475" customFormat="1" ht="12.75" customHeight="1">
      <c r="A342" s="528"/>
      <c r="B342" s="536"/>
      <c r="C342" s="1670" t="s">
        <v>2142</v>
      </c>
      <c r="D342" s="1670"/>
      <c r="E342" s="1670"/>
      <c r="F342" s="1670"/>
      <c r="G342" s="1670"/>
      <c r="H342" s="1670"/>
      <c r="I342" s="1670"/>
      <c r="J342" s="1670"/>
      <c r="K342" s="1670"/>
      <c r="L342" s="1670"/>
      <c r="M342" s="1670"/>
      <c r="N342" s="1670"/>
      <c r="O342" s="1670"/>
      <c r="P342" s="1670"/>
      <c r="Q342" s="1670"/>
      <c r="R342" s="1670"/>
      <c r="S342" s="1670"/>
      <c r="T342" s="1670"/>
      <c r="U342" s="1670"/>
      <c r="V342" s="1670"/>
      <c r="W342" s="1670"/>
      <c r="X342" s="1670"/>
      <c r="Y342" s="1670"/>
      <c r="Z342" s="1670"/>
      <c r="AA342" s="1670"/>
      <c r="AB342" s="1670"/>
      <c r="AC342" s="1670"/>
      <c r="AD342" s="1670"/>
      <c r="AE342" s="1670"/>
      <c r="AF342" s="1670"/>
      <c r="AG342" s="1670"/>
      <c r="AH342" s="1670"/>
      <c r="AI342" s="1670"/>
      <c r="AJ342" s="1670"/>
      <c r="AK342" s="528"/>
      <c r="AL342" s="528"/>
      <c r="AM342" s="528"/>
      <c r="AN342" s="522"/>
      <c r="AQ342" s="495"/>
      <c r="AR342" s="495"/>
    </row>
    <row r="343" spans="1:46" s="475" customFormat="1" ht="12.75" customHeight="1">
      <c r="A343" s="528"/>
      <c r="B343" s="536"/>
      <c r="C343" s="1670"/>
      <c r="D343" s="1670"/>
      <c r="E343" s="1670"/>
      <c r="F343" s="1670"/>
      <c r="G343" s="1670"/>
      <c r="H343" s="1670"/>
      <c r="I343" s="1670"/>
      <c r="J343" s="1670"/>
      <c r="K343" s="1670"/>
      <c r="L343" s="1670"/>
      <c r="M343" s="1670"/>
      <c r="N343" s="1670"/>
      <c r="O343" s="1670"/>
      <c r="P343" s="1670"/>
      <c r="Q343" s="1670"/>
      <c r="R343" s="1670"/>
      <c r="S343" s="1670"/>
      <c r="T343" s="1670"/>
      <c r="U343" s="1670"/>
      <c r="V343" s="1670"/>
      <c r="W343" s="1670"/>
      <c r="X343" s="1670"/>
      <c r="Y343" s="1670"/>
      <c r="Z343" s="1670"/>
      <c r="AA343" s="1670"/>
      <c r="AB343" s="1670"/>
      <c r="AC343" s="1670"/>
      <c r="AD343" s="1670"/>
      <c r="AE343" s="1670"/>
      <c r="AF343" s="1670"/>
      <c r="AG343" s="1670"/>
      <c r="AH343" s="1670"/>
      <c r="AI343" s="1670"/>
      <c r="AJ343" s="1670"/>
      <c r="AK343" s="528"/>
      <c r="AL343" s="528"/>
      <c r="AM343" s="528"/>
      <c r="AN343" s="522"/>
      <c r="AQ343" s="495"/>
      <c r="AR343" s="495"/>
    </row>
    <row r="344" spans="1:46" s="475" customFormat="1" ht="13.35" customHeight="1">
      <c r="A344" s="528"/>
      <c r="B344" s="536"/>
      <c r="C344" s="1670"/>
      <c r="D344" s="1670"/>
      <c r="E344" s="1670"/>
      <c r="F344" s="1670"/>
      <c r="G344" s="1670"/>
      <c r="H344" s="1670"/>
      <c r="I344" s="1670"/>
      <c r="J344" s="1670"/>
      <c r="K344" s="1670"/>
      <c r="L344" s="1670"/>
      <c r="M344" s="1670"/>
      <c r="N344" s="1670"/>
      <c r="O344" s="1670"/>
      <c r="P344" s="1670"/>
      <c r="Q344" s="1670"/>
      <c r="R344" s="1670"/>
      <c r="S344" s="1670"/>
      <c r="T344" s="1670"/>
      <c r="U344" s="1670"/>
      <c r="V344" s="1670"/>
      <c r="W344" s="1670"/>
      <c r="X344" s="1670"/>
      <c r="Y344" s="1670"/>
      <c r="Z344" s="1670"/>
      <c r="AA344" s="1670"/>
      <c r="AB344" s="1670"/>
      <c r="AC344" s="1670"/>
      <c r="AD344" s="1670"/>
      <c r="AE344" s="1670"/>
      <c r="AF344" s="1670"/>
      <c r="AG344" s="1670"/>
      <c r="AH344" s="1670"/>
      <c r="AI344" s="1670"/>
      <c r="AJ344" s="1670"/>
      <c r="AK344" s="528"/>
      <c r="AL344" s="528"/>
      <c r="AM344" s="528"/>
      <c r="AN344" s="522"/>
      <c r="AQ344" s="495"/>
      <c r="AR344" s="495"/>
    </row>
    <row r="345" spans="1:46" s="475" customFormat="1" ht="12.75" customHeight="1">
      <c r="A345" s="528"/>
      <c r="B345" s="536"/>
      <c r="C345" s="1670"/>
      <c r="D345" s="1670"/>
      <c r="E345" s="1670"/>
      <c r="F345" s="1670"/>
      <c r="G345" s="1670"/>
      <c r="H345" s="1670"/>
      <c r="I345" s="1670"/>
      <c r="J345" s="1670"/>
      <c r="K345" s="1670"/>
      <c r="L345" s="1670"/>
      <c r="M345" s="1670"/>
      <c r="N345" s="1670"/>
      <c r="O345" s="1670"/>
      <c r="P345" s="1670"/>
      <c r="Q345" s="1670"/>
      <c r="R345" s="1670"/>
      <c r="S345" s="1670"/>
      <c r="T345" s="1670"/>
      <c r="U345" s="1670"/>
      <c r="V345" s="1670"/>
      <c r="W345" s="1670"/>
      <c r="X345" s="1670"/>
      <c r="Y345" s="1670"/>
      <c r="Z345" s="1670"/>
      <c r="AA345" s="1670"/>
      <c r="AB345" s="1670"/>
      <c r="AC345" s="1670"/>
      <c r="AD345" s="1670"/>
      <c r="AE345" s="1670"/>
      <c r="AF345" s="1670"/>
      <c r="AG345" s="1670"/>
      <c r="AH345" s="1670"/>
      <c r="AI345" s="1670"/>
      <c r="AJ345" s="1670"/>
      <c r="AK345" s="528"/>
      <c r="AL345" s="528"/>
      <c r="AM345" s="528"/>
      <c r="AN345" s="522"/>
      <c r="AO345" s="619"/>
      <c r="AP345" s="619"/>
      <c r="AQ345" s="495"/>
    </row>
    <row r="346" spans="1:46" s="475" customFormat="1" ht="12" customHeight="1">
      <c r="A346" s="528"/>
      <c r="B346" s="536"/>
      <c r="C346" s="1670"/>
      <c r="D346" s="1670"/>
      <c r="E346" s="1670"/>
      <c r="F346" s="1670"/>
      <c r="G346" s="1670"/>
      <c r="H346" s="1670"/>
      <c r="I346" s="1670"/>
      <c r="J346" s="1670"/>
      <c r="K346" s="1670"/>
      <c r="L346" s="1670"/>
      <c r="M346" s="1670"/>
      <c r="N346" s="1670"/>
      <c r="O346" s="1670"/>
      <c r="P346" s="1670"/>
      <c r="Q346" s="1670"/>
      <c r="R346" s="1670"/>
      <c r="S346" s="1670"/>
      <c r="T346" s="1670"/>
      <c r="U346" s="1670"/>
      <c r="V346" s="1670"/>
      <c r="W346" s="1670"/>
      <c r="X346" s="1670"/>
      <c r="Y346" s="1670"/>
      <c r="Z346" s="1670"/>
      <c r="AA346" s="1670"/>
      <c r="AB346" s="1670"/>
      <c r="AC346" s="1670"/>
      <c r="AD346" s="1670"/>
      <c r="AE346" s="1670"/>
      <c r="AF346" s="1670"/>
      <c r="AG346" s="1670"/>
      <c r="AH346" s="1670"/>
      <c r="AI346" s="1670"/>
      <c r="AJ346" s="1670"/>
      <c r="AK346" s="528"/>
      <c r="AL346" s="528"/>
      <c r="AM346" s="528"/>
      <c r="AN346" s="522"/>
      <c r="AO346" s="620" t="s">
        <v>17</v>
      </c>
      <c r="AP346" s="621">
        <f>IF(C370="Yes",5,0)</f>
        <v>0</v>
      </c>
      <c r="AS346" s="464" t="s">
        <v>2143</v>
      </c>
    </row>
    <row r="347" spans="1:46" s="475" customFormat="1" ht="12.75" customHeight="1">
      <c r="A347" s="528"/>
      <c r="B347" s="536"/>
      <c r="C347" s="1670"/>
      <c r="D347" s="1670"/>
      <c r="E347" s="1670"/>
      <c r="F347" s="1670"/>
      <c r="G347" s="1670"/>
      <c r="H347" s="1670"/>
      <c r="I347" s="1670"/>
      <c r="J347" s="1670"/>
      <c r="K347" s="1670"/>
      <c r="L347" s="1670"/>
      <c r="M347" s="1670"/>
      <c r="N347" s="1670"/>
      <c r="O347" s="1670"/>
      <c r="P347" s="1670"/>
      <c r="Q347" s="1670"/>
      <c r="R347" s="1670"/>
      <c r="S347" s="1670"/>
      <c r="T347" s="1670"/>
      <c r="U347" s="1670"/>
      <c r="V347" s="1670"/>
      <c r="W347" s="1670"/>
      <c r="X347" s="1670"/>
      <c r="Y347" s="1670"/>
      <c r="Z347" s="1670"/>
      <c r="AA347" s="1670"/>
      <c r="AB347" s="1670"/>
      <c r="AC347" s="1670"/>
      <c r="AD347" s="1670"/>
      <c r="AE347" s="1670"/>
      <c r="AF347" s="1670"/>
      <c r="AG347" s="1670"/>
      <c r="AH347" s="1670"/>
      <c r="AI347" s="1670"/>
      <c r="AJ347" s="1670"/>
      <c r="AK347" s="528"/>
      <c r="AL347" s="528"/>
      <c r="AM347" s="528"/>
      <c r="AN347" s="522"/>
      <c r="AO347" s="620" t="s">
        <v>30</v>
      </c>
      <c r="AP347" s="621">
        <f>IF(C378="Yes",5,0)</f>
        <v>0</v>
      </c>
      <c r="AS347" s="1635">
        <f>IF(Application!D211="Non-Targeted",(SUM(AQ355+AQ364)),AS351)</f>
        <v>10</v>
      </c>
      <c r="AT347" s="1635"/>
    </row>
    <row r="348" spans="1:46" s="475" customFormat="1" ht="12.75" customHeight="1">
      <c r="A348" s="528"/>
      <c r="B348" s="536"/>
      <c r="C348" s="1670"/>
      <c r="D348" s="1670"/>
      <c r="E348" s="1670"/>
      <c r="F348" s="1670"/>
      <c r="G348" s="1670"/>
      <c r="H348" s="1670"/>
      <c r="I348" s="1670"/>
      <c r="J348" s="1670"/>
      <c r="K348" s="1670"/>
      <c r="L348" s="1670"/>
      <c r="M348" s="1670"/>
      <c r="N348" s="1670"/>
      <c r="O348" s="1670"/>
      <c r="P348" s="1670"/>
      <c r="Q348" s="1670"/>
      <c r="R348" s="1670"/>
      <c r="S348" s="1670"/>
      <c r="T348" s="1670"/>
      <c r="U348" s="1670"/>
      <c r="V348" s="1670"/>
      <c r="W348" s="1670"/>
      <c r="X348" s="1670"/>
      <c r="Y348" s="1670"/>
      <c r="Z348" s="1670"/>
      <c r="AA348" s="1670"/>
      <c r="AB348" s="1670"/>
      <c r="AC348" s="1670"/>
      <c r="AD348" s="1670"/>
      <c r="AE348" s="1670"/>
      <c r="AF348" s="1670"/>
      <c r="AG348" s="1670"/>
      <c r="AH348" s="1670"/>
      <c r="AI348" s="1670"/>
      <c r="AJ348" s="1670"/>
      <c r="AK348" s="528"/>
      <c r="AL348" s="528"/>
      <c r="AM348" s="528"/>
      <c r="AN348" s="522"/>
      <c r="AO348" s="620" t="s">
        <v>38</v>
      </c>
      <c r="AP348" s="621">
        <f>IF(C386="Yes",7,0)</f>
        <v>0</v>
      </c>
      <c r="AS348" s="464" t="s">
        <v>2144</v>
      </c>
    </row>
    <row r="349" spans="1:46" s="475" customFormat="1" ht="12.75" customHeight="1">
      <c r="A349" s="528"/>
      <c r="B349" s="536"/>
      <c r="C349" s="1670"/>
      <c r="D349" s="1670"/>
      <c r="E349" s="1670"/>
      <c r="F349" s="1670"/>
      <c r="G349" s="1670"/>
      <c r="H349" s="1670"/>
      <c r="I349" s="1670"/>
      <c r="J349" s="1670"/>
      <c r="K349" s="1670"/>
      <c r="L349" s="1670"/>
      <c r="M349" s="1670"/>
      <c r="N349" s="1670"/>
      <c r="O349" s="1670"/>
      <c r="P349" s="1670"/>
      <c r="Q349" s="1670"/>
      <c r="R349" s="1670"/>
      <c r="S349" s="1670"/>
      <c r="T349" s="1670"/>
      <c r="U349" s="1670"/>
      <c r="V349" s="1670"/>
      <c r="W349" s="1670"/>
      <c r="X349" s="1670"/>
      <c r="Y349" s="1670"/>
      <c r="Z349" s="1670"/>
      <c r="AA349" s="1670"/>
      <c r="AB349" s="1670"/>
      <c r="AC349" s="1670"/>
      <c r="AD349" s="1670"/>
      <c r="AE349" s="1670"/>
      <c r="AF349" s="1670"/>
      <c r="AG349" s="1670"/>
      <c r="AH349" s="1670"/>
      <c r="AI349" s="1670"/>
      <c r="AJ349" s="1670"/>
      <c r="AK349" s="528"/>
      <c r="AL349" s="528"/>
      <c r="AM349" s="528"/>
      <c r="AN349" s="522"/>
      <c r="AO349" s="522"/>
      <c r="AP349" s="621">
        <f>IF(C388="Yes",5,0)</f>
        <v>5</v>
      </c>
      <c r="AS349" s="1635">
        <f>IF(AND(AQ355&gt;0,AQ364&gt;0),(AQ355+AQ364)/2,0)</f>
        <v>0</v>
      </c>
      <c r="AT349" s="1635"/>
    </row>
    <row r="350" spans="1:46" s="475" customFormat="1" ht="12.75" customHeight="1">
      <c r="A350" s="528"/>
      <c r="B350" s="536"/>
      <c r="C350" s="1670"/>
      <c r="D350" s="1670"/>
      <c r="E350" s="1670"/>
      <c r="F350" s="1670"/>
      <c r="G350" s="1670"/>
      <c r="H350" s="1670"/>
      <c r="I350" s="1670"/>
      <c r="J350" s="1670"/>
      <c r="K350" s="1670"/>
      <c r="L350" s="1670"/>
      <c r="M350" s="1670"/>
      <c r="N350" s="1670"/>
      <c r="O350" s="1670"/>
      <c r="P350" s="1670"/>
      <c r="Q350" s="1670"/>
      <c r="R350" s="1670"/>
      <c r="S350" s="1670"/>
      <c r="T350" s="1670"/>
      <c r="U350" s="1670"/>
      <c r="V350" s="1670"/>
      <c r="W350" s="1670"/>
      <c r="X350" s="1670"/>
      <c r="Y350" s="1670"/>
      <c r="Z350" s="1670"/>
      <c r="AA350" s="1670"/>
      <c r="AB350" s="1670"/>
      <c r="AC350" s="1670"/>
      <c r="AD350" s="1670"/>
      <c r="AE350" s="1670"/>
      <c r="AF350" s="1670"/>
      <c r="AG350" s="1670"/>
      <c r="AH350" s="1670"/>
      <c r="AI350" s="1670"/>
      <c r="AJ350" s="1670"/>
      <c r="AK350" s="528"/>
      <c r="AL350" s="528"/>
      <c r="AM350" s="528"/>
      <c r="AN350" s="522"/>
      <c r="AO350" s="620" t="s">
        <v>81</v>
      </c>
      <c r="AP350" s="621">
        <f>IF(C396="Yes",5,0)</f>
        <v>0</v>
      </c>
      <c r="AS350" s="464" t="s">
        <v>2145</v>
      </c>
    </row>
    <row r="351" spans="1:46" s="475" customFormat="1" ht="12.75" customHeight="1">
      <c r="A351" s="528"/>
      <c r="B351" s="536"/>
      <c r="C351" s="1764" t="s">
        <v>2146</v>
      </c>
      <c r="D351" s="1764"/>
      <c r="E351" s="1764"/>
      <c r="F351" s="1764"/>
      <c r="G351" s="1764"/>
      <c r="H351" s="1764"/>
      <c r="I351" s="1764"/>
      <c r="J351" s="1764"/>
      <c r="K351" s="1764"/>
      <c r="L351" s="1764"/>
      <c r="M351" s="1764"/>
      <c r="N351" s="1764"/>
      <c r="O351" s="1764"/>
      <c r="P351" s="1764"/>
      <c r="Q351" s="1764"/>
      <c r="R351" s="1764"/>
      <c r="S351" s="1764"/>
      <c r="T351" s="1764"/>
      <c r="U351" s="1764"/>
      <c r="V351" s="1764"/>
      <c r="W351" s="1764"/>
      <c r="X351" s="1764"/>
      <c r="Y351" s="1764"/>
      <c r="Z351" s="1764"/>
      <c r="AA351" s="1764"/>
      <c r="AB351" s="1764"/>
      <c r="AC351" s="1764"/>
      <c r="AD351" s="1764"/>
      <c r="AE351" s="1764"/>
      <c r="AF351" s="1764"/>
      <c r="AG351" s="1764"/>
      <c r="AH351" s="1764"/>
      <c r="AI351" s="1764"/>
      <c r="AJ351" s="1764"/>
      <c r="AK351" s="528"/>
      <c r="AL351" s="528"/>
      <c r="AM351" s="528"/>
      <c r="AN351" s="522"/>
      <c r="AO351" s="522"/>
      <c r="AP351" s="621">
        <f>IF(C398="Yes",3,0)</f>
        <v>0</v>
      </c>
      <c r="AS351" s="1635">
        <f>IF(AQ355=0,AQ364,AQ355)</f>
        <v>10</v>
      </c>
      <c r="AT351" s="1635"/>
    </row>
    <row r="352" spans="1:46" s="475" customFormat="1" ht="12.75" customHeight="1">
      <c r="A352" s="528"/>
      <c r="B352" s="536"/>
      <c r="C352" s="1764"/>
      <c r="D352" s="1764"/>
      <c r="E352" s="1764"/>
      <c r="F352" s="1764"/>
      <c r="G352" s="1764"/>
      <c r="H352" s="1764"/>
      <c r="I352" s="1764"/>
      <c r="J352" s="1764"/>
      <c r="K352" s="1764"/>
      <c r="L352" s="1764"/>
      <c r="M352" s="1764"/>
      <c r="N352" s="1764"/>
      <c r="O352" s="1764"/>
      <c r="P352" s="1764"/>
      <c r="Q352" s="1764"/>
      <c r="R352" s="1764"/>
      <c r="S352" s="1764"/>
      <c r="T352" s="1764"/>
      <c r="U352" s="1764"/>
      <c r="V352" s="1764"/>
      <c r="W352" s="1764"/>
      <c r="X352" s="1764"/>
      <c r="Y352" s="1764"/>
      <c r="Z352" s="1764"/>
      <c r="AA352" s="1764"/>
      <c r="AB352" s="1764"/>
      <c r="AC352" s="1764"/>
      <c r="AD352" s="1764"/>
      <c r="AE352" s="1764"/>
      <c r="AF352" s="1764"/>
      <c r="AG352" s="1764"/>
      <c r="AH352" s="1764"/>
      <c r="AI352" s="1764"/>
      <c r="AJ352" s="1764"/>
      <c r="AK352" s="528"/>
      <c r="AL352" s="528"/>
      <c r="AM352" s="528"/>
      <c r="AN352" s="522"/>
      <c r="AO352" s="620" t="s">
        <v>85</v>
      </c>
      <c r="AP352" s="621">
        <f>IF(C401="Yes",5,0)</f>
        <v>0</v>
      </c>
    </row>
    <row r="353" spans="1:81" s="475" customFormat="1" ht="12.75" customHeight="1">
      <c r="A353" s="528"/>
      <c r="B353" s="536"/>
      <c r="C353" s="1764"/>
      <c r="D353" s="1764"/>
      <c r="E353" s="1764"/>
      <c r="F353" s="1764"/>
      <c r="G353" s="1764"/>
      <c r="H353" s="1764"/>
      <c r="I353" s="1764"/>
      <c r="J353" s="1764"/>
      <c r="K353" s="1764"/>
      <c r="L353" s="1764"/>
      <c r="M353" s="1764"/>
      <c r="N353" s="1764"/>
      <c r="O353" s="1764"/>
      <c r="P353" s="1764"/>
      <c r="Q353" s="1764"/>
      <c r="R353" s="1764"/>
      <c r="S353" s="1764"/>
      <c r="T353" s="1764"/>
      <c r="U353" s="1764"/>
      <c r="V353" s="1764"/>
      <c r="W353" s="1764"/>
      <c r="X353" s="1764"/>
      <c r="Y353" s="1764"/>
      <c r="Z353" s="1764"/>
      <c r="AA353" s="1764"/>
      <c r="AB353" s="1764"/>
      <c r="AC353" s="1764"/>
      <c r="AD353" s="1764"/>
      <c r="AE353" s="1764"/>
      <c r="AF353" s="1764"/>
      <c r="AG353" s="1764"/>
      <c r="AH353" s="1764"/>
      <c r="AI353" s="1764"/>
      <c r="AJ353" s="1764"/>
      <c r="AK353" s="528"/>
      <c r="AL353" s="528"/>
      <c r="AM353" s="528"/>
      <c r="AN353" s="522"/>
      <c r="AO353" s="620" t="s">
        <v>1467</v>
      </c>
      <c r="AP353" s="621">
        <f>IF(C410="Yes",5,0)</f>
        <v>5</v>
      </c>
    </row>
    <row r="354" spans="1:81" s="475" customFormat="1" ht="12" customHeight="1">
      <c r="A354" s="528"/>
      <c r="B354" s="536"/>
      <c r="C354" s="1764"/>
      <c r="D354" s="1764"/>
      <c r="E354" s="1764"/>
      <c r="F354" s="1764"/>
      <c r="G354" s="1764"/>
      <c r="H354" s="1764"/>
      <c r="I354" s="1764"/>
      <c r="J354" s="1764"/>
      <c r="K354" s="1764"/>
      <c r="L354" s="1764"/>
      <c r="M354" s="1764"/>
      <c r="N354" s="1764"/>
      <c r="O354" s="1764"/>
      <c r="P354" s="1764"/>
      <c r="Q354" s="1764"/>
      <c r="R354" s="1764"/>
      <c r="S354" s="1764"/>
      <c r="T354" s="1764"/>
      <c r="U354" s="1764"/>
      <c r="V354" s="1764"/>
      <c r="W354" s="1764"/>
      <c r="X354" s="1764"/>
      <c r="Y354" s="1764"/>
      <c r="Z354" s="1764"/>
      <c r="AA354" s="1764"/>
      <c r="AB354" s="1764"/>
      <c r="AC354" s="1764"/>
      <c r="AD354" s="1764"/>
      <c r="AE354" s="1764"/>
      <c r="AF354" s="1764"/>
      <c r="AG354" s="1764"/>
      <c r="AH354" s="1764"/>
      <c r="AI354" s="1764"/>
      <c r="AJ354" s="1764"/>
      <c r="AK354" s="528"/>
      <c r="AL354" s="528"/>
      <c r="AM354" s="528"/>
      <c r="AN354" s="522"/>
      <c r="AO354" s="622"/>
      <c r="AP354" s="623">
        <f>IF(C412="Yes",3,0)</f>
        <v>0</v>
      </c>
    </row>
    <row r="355" spans="1:81" s="475" customFormat="1" ht="12.6" customHeight="1">
      <c r="A355" s="528"/>
      <c r="B355" s="536"/>
      <c r="C355" s="1764"/>
      <c r="D355" s="1764"/>
      <c r="E355" s="1764"/>
      <c r="F355" s="1764"/>
      <c r="G355" s="1764"/>
      <c r="H355" s="1764"/>
      <c r="I355" s="1764"/>
      <c r="J355" s="1764"/>
      <c r="K355" s="1764"/>
      <c r="L355" s="1764"/>
      <c r="M355" s="1764"/>
      <c r="N355" s="1764"/>
      <c r="O355" s="1764"/>
      <c r="P355" s="1764"/>
      <c r="Q355" s="1764"/>
      <c r="R355" s="1764"/>
      <c r="S355" s="1764"/>
      <c r="T355" s="1764"/>
      <c r="U355" s="1764"/>
      <c r="V355" s="1764"/>
      <c r="W355" s="1764"/>
      <c r="X355" s="1764"/>
      <c r="Y355" s="1764"/>
      <c r="Z355" s="1764"/>
      <c r="AA355" s="1764"/>
      <c r="AB355" s="1764"/>
      <c r="AC355" s="1764"/>
      <c r="AD355" s="1764"/>
      <c r="AE355" s="1764"/>
      <c r="AF355" s="1764"/>
      <c r="AG355" s="1764"/>
      <c r="AH355" s="1764"/>
      <c r="AI355" s="1764"/>
      <c r="AJ355" s="1764"/>
      <c r="AK355" s="528"/>
      <c r="AL355" s="528"/>
      <c r="AM355" s="528"/>
      <c r="AN355" s="522"/>
      <c r="AO355" s="624" t="s">
        <v>2147</v>
      </c>
      <c r="AP355" s="625">
        <f>SUM(AP346:AP354)</f>
        <v>10</v>
      </c>
      <c r="AQ355" s="1673">
        <f>IF(AP355&gt;0,AP355,0)</f>
        <v>10</v>
      </c>
      <c r="AR355" s="1673"/>
    </row>
    <row r="356" spans="1:81" s="475" customFormat="1" ht="12.75" customHeight="1">
      <c r="A356" s="528"/>
      <c r="B356" s="536"/>
      <c r="C356" s="1764"/>
      <c r="D356" s="1764"/>
      <c r="E356" s="1764"/>
      <c r="F356" s="1764"/>
      <c r="G356" s="1764"/>
      <c r="H356" s="1764"/>
      <c r="I356" s="1764"/>
      <c r="J356" s="1764"/>
      <c r="K356" s="1764"/>
      <c r="L356" s="1764"/>
      <c r="M356" s="1764"/>
      <c r="N356" s="1764"/>
      <c r="O356" s="1764"/>
      <c r="P356" s="1764"/>
      <c r="Q356" s="1764"/>
      <c r="R356" s="1764"/>
      <c r="S356" s="1764"/>
      <c r="T356" s="1764"/>
      <c r="U356" s="1764"/>
      <c r="V356" s="1764"/>
      <c r="W356" s="1764"/>
      <c r="X356" s="1764"/>
      <c r="Y356" s="1764"/>
      <c r="Z356" s="1764"/>
      <c r="AA356" s="1764"/>
      <c r="AB356" s="1764"/>
      <c r="AC356" s="1764"/>
      <c r="AD356" s="1764"/>
      <c r="AE356" s="1764"/>
      <c r="AF356" s="1764"/>
      <c r="AG356" s="1764"/>
      <c r="AH356" s="1764"/>
      <c r="AI356" s="1764"/>
      <c r="AJ356" s="1764"/>
      <c r="AK356" s="528"/>
      <c r="AL356" s="528"/>
      <c r="AM356" s="528"/>
      <c r="AN356" s="522"/>
      <c r="AP356" s="495"/>
    </row>
    <row r="357" spans="1:81" s="475" customFormat="1" ht="12.75" customHeight="1">
      <c r="A357" s="528"/>
      <c r="B357" s="536"/>
      <c r="C357" s="617"/>
      <c r="D357" s="617"/>
      <c r="E357" s="617"/>
      <c r="F357" s="617"/>
      <c r="G357" s="617"/>
      <c r="H357" s="617"/>
      <c r="I357" s="617"/>
      <c r="J357" s="617"/>
      <c r="K357" s="617"/>
      <c r="L357" s="617"/>
      <c r="M357" s="617"/>
      <c r="N357" s="617"/>
      <c r="O357" s="617"/>
      <c r="P357" s="617"/>
      <c r="Q357" s="617"/>
      <c r="R357" s="617"/>
      <c r="S357" s="617"/>
      <c r="T357" s="617"/>
      <c r="U357" s="617"/>
      <c r="V357" s="617"/>
      <c r="W357" s="617"/>
      <c r="X357" s="617"/>
      <c r="Y357" s="617"/>
      <c r="Z357" s="617"/>
      <c r="AA357" s="617"/>
      <c r="AB357" s="617"/>
      <c r="AC357" s="617"/>
      <c r="AD357" s="617"/>
      <c r="AE357" s="617"/>
      <c r="AF357" s="617"/>
      <c r="AG357" s="617"/>
      <c r="AH357" s="617"/>
      <c r="AI357" s="617"/>
      <c r="AJ357" s="617"/>
      <c r="AK357" s="528"/>
      <c r="AL357" s="528"/>
      <c r="AM357" s="528"/>
      <c r="AN357" s="522"/>
      <c r="AO357" s="620" t="s">
        <v>1469</v>
      </c>
      <c r="AP357" s="621">
        <f>IF(C419="Yes",5,0)</f>
        <v>0</v>
      </c>
    </row>
    <row r="358" spans="1:81" s="475" customFormat="1" ht="12.75" customHeight="1">
      <c r="A358" s="528"/>
      <c r="B358" s="536"/>
      <c r="C358" s="1670" t="s">
        <v>2148</v>
      </c>
      <c r="D358" s="1670"/>
      <c r="E358" s="1670"/>
      <c r="F358" s="1670"/>
      <c r="G358" s="1670"/>
      <c r="H358" s="1670"/>
      <c r="I358" s="1670"/>
      <c r="J358" s="1670"/>
      <c r="K358" s="1670"/>
      <c r="L358" s="1670"/>
      <c r="M358" s="1670"/>
      <c r="N358" s="1670"/>
      <c r="O358" s="1670"/>
      <c r="P358" s="1670"/>
      <c r="Q358" s="1670"/>
      <c r="R358" s="1670"/>
      <c r="S358" s="1670"/>
      <c r="T358" s="1670"/>
      <c r="U358" s="1670"/>
      <c r="V358" s="1670"/>
      <c r="W358" s="1670"/>
      <c r="X358" s="1670"/>
      <c r="Y358" s="1670"/>
      <c r="Z358" s="1670"/>
      <c r="AA358" s="1670"/>
      <c r="AB358" s="1670"/>
      <c r="AC358" s="1670"/>
      <c r="AD358" s="1670"/>
      <c r="AE358" s="1670"/>
      <c r="AF358" s="1670"/>
      <c r="AG358" s="1670"/>
      <c r="AH358" s="1670"/>
      <c r="AI358" s="1670"/>
      <c r="AJ358" s="1670"/>
      <c r="AK358" s="528"/>
      <c r="AL358" s="528"/>
      <c r="AM358" s="528"/>
      <c r="AN358" s="522"/>
      <c r="AO358" s="620" t="s">
        <v>1471</v>
      </c>
      <c r="AP358" s="621">
        <f>IF(C431="Yes",5,0)</f>
        <v>0</v>
      </c>
    </row>
    <row r="359" spans="1:81" s="475" customFormat="1" ht="12.75" customHeight="1">
      <c r="A359" s="528"/>
      <c r="B359" s="536"/>
      <c r="C359" s="1670"/>
      <c r="D359" s="1670"/>
      <c r="E359" s="1670"/>
      <c r="F359" s="1670"/>
      <c r="G359" s="1670"/>
      <c r="H359" s="1670"/>
      <c r="I359" s="1670"/>
      <c r="J359" s="1670"/>
      <c r="K359" s="1670"/>
      <c r="L359" s="1670"/>
      <c r="M359" s="1670"/>
      <c r="N359" s="1670"/>
      <c r="O359" s="1670"/>
      <c r="P359" s="1670"/>
      <c r="Q359" s="1670"/>
      <c r="R359" s="1670"/>
      <c r="S359" s="1670"/>
      <c r="T359" s="1670"/>
      <c r="U359" s="1670"/>
      <c r="V359" s="1670"/>
      <c r="W359" s="1670"/>
      <c r="X359" s="1670"/>
      <c r="Y359" s="1670"/>
      <c r="Z359" s="1670"/>
      <c r="AA359" s="1670"/>
      <c r="AB359" s="1670"/>
      <c r="AC359" s="1670"/>
      <c r="AD359" s="1670"/>
      <c r="AE359" s="1670"/>
      <c r="AF359" s="1670"/>
      <c r="AG359" s="1670"/>
      <c r="AH359" s="1670"/>
      <c r="AI359" s="1670"/>
      <c r="AJ359" s="1670"/>
      <c r="AK359" s="528"/>
      <c r="AL359" s="528"/>
      <c r="AM359" s="528"/>
      <c r="AN359" s="522"/>
      <c r="AO359" s="620" t="s">
        <v>1473</v>
      </c>
      <c r="AP359" s="621">
        <f>IF(C438="Yes",5,0)</f>
        <v>0</v>
      </c>
    </row>
    <row r="360" spans="1:81" s="475" customFormat="1" ht="68.25" customHeight="1">
      <c r="A360" s="528"/>
      <c r="B360" s="536"/>
      <c r="C360" s="1670"/>
      <c r="D360" s="1670"/>
      <c r="E360" s="1670"/>
      <c r="F360" s="1670"/>
      <c r="G360" s="1670"/>
      <c r="H360" s="1670"/>
      <c r="I360" s="1670"/>
      <c r="J360" s="1670"/>
      <c r="K360" s="1670"/>
      <c r="L360" s="1670"/>
      <c r="M360" s="1670"/>
      <c r="N360" s="1670"/>
      <c r="O360" s="1670"/>
      <c r="P360" s="1670"/>
      <c r="Q360" s="1670"/>
      <c r="R360" s="1670"/>
      <c r="S360" s="1670"/>
      <c r="T360" s="1670"/>
      <c r="U360" s="1670"/>
      <c r="V360" s="1670"/>
      <c r="W360" s="1670"/>
      <c r="X360" s="1670"/>
      <c r="Y360" s="1670"/>
      <c r="Z360" s="1670"/>
      <c r="AA360" s="1670"/>
      <c r="AB360" s="1670"/>
      <c r="AC360" s="1670"/>
      <c r="AD360" s="1670"/>
      <c r="AE360" s="1670"/>
      <c r="AF360" s="1670"/>
      <c r="AG360" s="1670"/>
      <c r="AH360" s="1670"/>
      <c r="AI360" s="1670"/>
      <c r="AJ360" s="1670"/>
      <c r="AK360" s="528"/>
      <c r="AL360" s="528"/>
      <c r="AM360" s="528"/>
      <c r="AN360" s="522"/>
      <c r="AO360" s="620" t="s">
        <v>1474</v>
      </c>
      <c r="AP360" s="626">
        <f>IF(C442="Yes",5,0)</f>
        <v>0</v>
      </c>
    </row>
    <row r="361" spans="1:81" s="475" customFormat="1" ht="12.6" customHeight="1">
      <c r="A361" s="528"/>
      <c r="B361" s="536"/>
      <c r="C361" s="475" t="s">
        <v>2149</v>
      </c>
      <c r="AF361" s="528"/>
      <c r="AG361" s="528"/>
      <c r="AH361" s="528"/>
      <c r="AI361" s="528"/>
      <c r="AJ361" s="528"/>
      <c r="AK361" s="528"/>
      <c r="AL361" s="528"/>
      <c r="AM361" s="528"/>
      <c r="AN361" s="522"/>
      <c r="AO361" s="620" t="s">
        <v>1475</v>
      </c>
      <c r="AP361" s="621">
        <f>IF(C446="Yes",5,0)</f>
        <v>0</v>
      </c>
    </row>
    <row r="362" spans="1:81" s="475" customFormat="1" ht="12.75" customHeight="1">
      <c r="A362" s="528"/>
      <c r="B362" s="536"/>
      <c r="C362" s="627" t="s">
        <v>2150</v>
      </c>
      <c r="D362" s="628"/>
      <c r="E362" s="628"/>
      <c r="F362" s="628"/>
      <c r="G362" s="628"/>
      <c r="H362" s="628"/>
      <c r="I362" s="628"/>
      <c r="J362" s="628"/>
      <c r="K362" s="628"/>
      <c r="L362" s="628"/>
      <c r="M362" s="592"/>
      <c r="N362" s="592"/>
      <c r="O362" s="629"/>
      <c r="P362" s="628"/>
      <c r="Q362" s="628"/>
      <c r="R362" s="592"/>
      <c r="S362" s="592"/>
      <c r="T362" s="628"/>
      <c r="U362" s="1671">
        <f>Application!CS660-U363</f>
        <v>94</v>
      </c>
      <c r="V362" s="1671"/>
      <c r="W362" s="1671"/>
      <c r="X362" s="628"/>
      <c r="Y362" s="628"/>
      <c r="Z362" s="628"/>
      <c r="AA362" s="630"/>
      <c r="AB362" s="631"/>
      <c r="AC362" s="631"/>
      <c r="AD362" s="631"/>
      <c r="AE362" s="528"/>
      <c r="AF362" s="528"/>
      <c r="AG362" s="528"/>
      <c r="AH362" s="528"/>
      <c r="AI362" s="528"/>
      <c r="AJ362" s="528"/>
      <c r="AK362" s="528"/>
      <c r="AL362" s="528"/>
      <c r="AM362" s="528"/>
      <c r="AN362" s="522"/>
      <c r="AO362" s="620" t="s">
        <v>1476</v>
      </c>
      <c r="AP362" s="621">
        <f>IF(C455="Yes",5,0)</f>
        <v>0</v>
      </c>
    </row>
    <row r="363" spans="1:81" s="475" customFormat="1" ht="12.75" customHeight="1">
      <c r="A363" s="528"/>
      <c r="B363" s="536"/>
      <c r="C363" s="632" t="s">
        <v>2151</v>
      </c>
      <c r="D363" s="619"/>
      <c r="E363" s="619"/>
      <c r="F363" s="619"/>
      <c r="G363" s="619"/>
      <c r="H363" s="619"/>
      <c r="I363" s="619"/>
      <c r="J363" s="619"/>
      <c r="K363" s="619"/>
      <c r="L363" s="619"/>
      <c r="M363" s="619"/>
      <c r="N363" s="619"/>
      <c r="O363" s="619"/>
      <c r="P363" s="619"/>
      <c r="Q363" s="619"/>
      <c r="R363" s="619"/>
      <c r="S363" s="619"/>
      <c r="T363" s="619"/>
      <c r="U363" s="1672">
        <f>IF(Application!D211="SRO",Application!CS634,Application!AG756)</f>
        <v>0</v>
      </c>
      <c r="V363" s="1672"/>
      <c r="W363" s="1672"/>
      <c r="X363" s="619"/>
      <c r="Y363" s="619"/>
      <c r="Z363" s="619"/>
      <c r="AA363" s="633"/>
      <c r="AC363" s="634"/>
      <c r="AD363" s="634"/>
      <c r="AE363" s="528"/>
      <c r="AF363" s="528"/>
      <c r="AG363" s="528"/>
      <c r="AH363" s="528"/>
      <c r="AI363" s="528"/>
      <c r="AJ363" s="528"/>
      <c r="AK363" s="528"/>
      <c r="AL363" s="528"/>
      <c r="AM363" s="528"/>
      <c r="AN363" s="522"/>
      <c r="AO363" s="622"/>
      <c r="AP363" s="623"/>
    </row>
    <row r="364" spans="1:81" s="475" customFormat="1" ht="12.75" customHeight="1">
      <c r="A364" s="528"/>
      <c r="B364" s="536"/>
      <c r="C364" s="521"/>
      <c r="U364" s="712"/>
      <c r="V364" s="712"/>
      <c r="W364" s="712"/>
      <c r="AC364" s="634"/>
      <c r="AD364" s="634"/>
      <c r="AE364" s="528"/>
      <c r="AF364" s="528"/>
      <c r="AG364" s="528"/>
      <c r="AH364" s="528"/>
      <c r="AI364" s="528"/>
      <c r="AJ364" s="528"/>
      <c r="AK364" s="528"/>
      <c r="AL364" s="528"/>
      <c r="AM364" s="528"/>
      <c r="AN364" s="522"/>
      <c r="AO364" s="635" t="s">
        <v>2147</v>
      </c>
      <c r="AP364" s="636">
        <f>SUM(AP357:AP362)</f>
        <v>0</v>
      </c>
      <c r="AQ364" s="1673">
        <f>IF(AP364&gt;0,AP364,0)</f>
        <v>0</v>
      </c>
      <c r="AR364" s="1673"/>
    </row>
    <row r="365" spans="1:81" s="475" customFormat="1" ht="12.75" customHeight="1">
      <c r="A365" s="528"/>
      <c r="B365" s="14"/>
      <c r="C365" s="637" t="s">
        <v>2152</v>
      </c>
      <c r="D365" s="528"/>
      <c r="E365" s="528"/>
      <c r="F365" s="528"/>
      <c r="G365" s="528"/>
      <c r="H365" s="528"/>
      <c r="I365" s="528"/>
      <c r="J365" s="528"/>
      <c r="K365" s="528"/>
      <c r="L365" s="528"/>
      <c r="M365" s="528"/>
      <c r="N365" s="528"/>
      <c r="O365" s="528"/>
      <c r="P365" s="528"/>
      <c r="Q365" s="528"/>
      <c r="R365" s="528"/>
      <c r="S365" s="528"/>
      <c r="T365" s="528"/>
      <c r="U365" s="528"/>
      <c r="V365" s="528"/>
      <c r="W365" s="528"/>
      <c r="X365" s="528"/>
      <c r="Y365" s="528"/>
      <c r="Z365" s="528"/>
      <c r="AA365" s="528"/>
      <c r="AB365" s="528"/>
      <c r="AC365" s="528"/>
      <c r="AD365" s="528"/>
      <c r="AE365" s="528"/>
      <c r="AF365" s="528"/>
      <c r="AG365" s="528"/>
      <c r="AH365" s="528"/>
      <c r="AI365" s="528"/>
      <c r="AJ365" s="528"/>
      <c r="AK365" s="528"/>
      <c r="AL365" s="528"/>
      <c r="AM365" s="528"/>
      <c r="AN365" s="522"/>
      <c r="BS365" s="26"/>
      <c r="BT365" s="26"/>
      <c r="BU365" s="14"/>
      <c r="BV365" s="14"/>
      <c r="BW365" s="14"/>
    </row>
    <row r="366" spans="1:81" s="475" customFormat="1" ht="12.75" customHeight="1">
      <c r="A366" s="461"/>
      <c r="B366" s="14"/>
      <c r="C366" s="638"/>
      <c r="D366" s="639"/>
      <c r="E366" s="640" t="s">
        <v>1972</v>
      </c>
      <c r="F366" s="1664" t="s">
        <v>2153</v>
      </c>
      <c r="G366" s="1664"/>
      <c r="H366" s="1664"/>
      <c r="I366" s="1664"/>
      <c r="J366" s="1664"/>
      <c r="K366" s="1664"/>
      <c r="L366" s="1664"/>
      <c r="M366" s="1664"/>
      <c r="N366" s="1664"/>
      <c r="O366" s="1664"/>
      <c r="P366" s="1664"/>
      <c r="Q366" s="1664"/>
      <c r="R366" s="1664"/>
      <c r="S366" s="1664"/>
      <c r="T366" s="1664"/>
      <c r="U366" s="1664"/>
      <c r="V366" s="1664"/>
      <c r="W366" s="1664"/>
      <c r="X366" s="1664"/>
      <c r="Y366" s="1664"/>
      <c r="Z366" s="1664"/>
      <c r="AA366" s="1664"/>
      <c r="AB366" s="1664"/>
      <c r="AC366" s="1664"/>
      <c r="AD366" s="1664"/>
      <c r="AE366" s="1664"/>
      <c r="AF366" s="1664"/>
      <c r="AG366" s="641"/>
      <c r="AH366" s="641"/>
      <c r="AI366" s="641"/>
      <c r="AJ366" s="641"/>
      <c r="AK366" s="641"/>
      <c r="AL366" s="642"/>
      <c r="AM366" s="495"/>
      <c r="AN366" s="522"/>
      <c r="AP366" s="495"/>
      <c r="BS366" s="26"/>
      <c r="BT366" s="26"/>
      <c r="BU366" s="14"/>
      <c r="BV366" s="14"/>
      <c r="BW366" s="14"/>
      <c r="BX366" s="14"/>
      <c r="BY366" s="14"/>
      <c r="BZ366" s="14"/>
      <c r="CA366" s="14"/>
      <c r="CB366" s="14"/>
      <c r="CC366" s="14"/>
    </row>
    <row r="367" spans="1:81" s="475" customFormat="1" ht="12.75" customHeight="1">
      <c r="A367" s="461"/>
      <c r="B367" s="14"/>
      <c r="C367" s="643"/>
      <c r="D367" s="461"/>
      <c r="E367" s="644"/>
      <c r="F367" s="1665"/>
      <c r="G367" s="1665"/>
      <c r="H367" s="1665"/>
      <c r="I367" s="1665"/>
      <c r="J367" s="1665"/>
      <c r="K367" s="1665"/>
      <c r="L367" s="1665"/>
      <c r="M367" s="1665"/>
      <c r="N367" s="1665"/>
      <c r="O367" s="1665"/>
      <c r="P367" s="1665"/>
      <c r="Q367" s="1665"/>
      <c r="R367" s="1665"/>
      <c r="S367" s="1665"/>
      <c r="T367" s="1665"/>
      <c r="U367" s="1665"/>
      <c r="V367" s="1665"/>
      <c r="W367" s="1665"/>
      <c r="X367" s="1665"/>
      <c r="Y367" s="1665"/>
      <c r="Z367" s="1665"/>
      <c r="AA367" s="1665"/>
      <c r="AB367" s="1665"/>
      <c r="AC367" s="1665"/>
      <c r="AD367" s="1665"/>
      <c r="AE367" s="1665"/>
      <c r="AF367" s="1665"/>
      <c r="AG367" s="464"/>
      <c r="AH367" s="464"/>
      <c r="AI367" s="464"/>
      <c r="AJ367" s="464"/>
      <c r="AK367" s="464"/>
      <c r="AL367" s="645"/>
      <c r="AM367" s="495"/>
      <c r="AN367" s="522"/>
      <c r="AP367" s="495"/>
      <c r="BS367" s="26"/>
      <c r="BT367" s="26"/>
      <c r="BU367" s="14"/>
      <c r="BV367" s="14"/>
      <c r="BW367" s="14"/>
      <c r="BX367" s="14"/>
      <c r="BY367" s="14"/>
      <c r="BZ367" s="14"/>
      <c r="CA367" s="14"/>
      <c r="CB367" s="14"/>
      <c r="CC367" s="14"/>
    </row>
    <row r="368" spans="1:81" s="475" customFormat="1" ht="12.75" customHeight="1">
      <c r="A368" s="461"/>
      <c r="B368" s="14"/>
      <c r="C368" s="643"/>
      <c r="D368" s="461"/>
      <c r="E368" s="644"/>
      <c r="F368" s="1665"/>
      <c r="G368" s="1665"/>
      <c r="H368" s="1665"/>
      <c r="I368" s="1665"/>
      <c r="J368" s="1665"/>
      <c r="K368" s="1665"/>
      <c r="L368" s="1665"/>
      <c r="M368" s="1665"/>
      <c r="N368" s="1665"/>
      <c r="O368" s="1665"/>
      <c r="P368" s="1665"/>
      <c r="Q368" s="1665"/>
      <c r="R368" s="1665"/>
      <c r="S368" s="1665"/>
      <c r="T368" s="1665"/>
      <c r="U368" s="1665"/>
      <c r="V368" s="1665"/>
      <c r="W368" s="1665"/>
      <c r="X368" s="1665"/>
      <c r="Y368" s="1665"/>
      <c r="Z368" s="1665"/>
      <c r="AA368" s="1665"/>
      <c r="AB368" s="1665"/>
      <c r="AC368" s="1665"/>
      <c r="AD368" s="1665"/>
      <c r="AE368" s="1665"/>
      <c r="AF368" s="1665"/>
      <c r="AG368" s="464"/>
      <c r="AH368" s="464"/>
      <c r="AI368" s="464"/>
      <c r="AJ368" s="464"/>
      <c r="AK368" s="464"/>
      <c r="AL368" s="645"/>
      <c r="AM368" s="495"/>
      <c r="AN368" s="522"/>
      <c r="BS368" s="26"/>
      <c r="BT368" s="26"/>
      <c r="BU368" s="14"/>
      <c r="BV368" s="14"/>
      <c r="BW368" s="14"/>
      <c r="BX368" s="14"/>
      <c r="BY368" s="14"/>
      <c r="BZ368" s="14"/>
      <c r="CA368" s="14"/>
      <c r="CB368" s="14"/>
      <c r="CC368" s="14"/>
    </row>
    <row r="369" spans="1:81" s="475" customFormat="1" ht="12.75" customHeight="1">
      <c r="A369" s="461"/>
      <c r="B369" s="14"/>
      <c r="C369" s="643"/>
      <c r="D369" s="461"/>
      <c r="E369" s="644"/>
      <c r="F369" s="1665"/>
      <c r="G369" s="1665"/>
      <c r="H369" s="1665"/>
      <c r="I369" s="1665"/>
      <c r="J369" s="1665"/>
      <c r="K369" s="1665"/>
      <c r="L369" s="1665"/>
      <c r="M369" s="1665"/>
      <c r="N369" s="1665"/>
      <c r="O369" s="1665"/>
      <c r="P369" s="1665"/>
      <c r="Q369" s="1665"/>
      <c r="R369" s="1665"/>
      <c r="S369" s="1665"/>
      <c r="T369" s="1665"/>
      <c r="U369" s="1665"/>
      <c r="V369" s="1665"/>
      <c r="W369" s="1665"/>
      <c r="X369" s="1665"/>
      <c r="Y369" s="1665"/>
      <c r="Z369" s="1665"/>
      <c r="AA369" s="1665"/>
      <c r="AB369" s="1665"/>
      <c r="AC369" s="1665"/>
      <c r="AD369" s="1665"/>
      <c r="AE369" s="1665"/>
      <c r="AF369" s="1665"/>
      <c r="AG369" s="464"/>
      <c r="AH369" s="464"/>
      <c r="AI369" s="464"/>
      <c r="AJ369" s="464"/>
      <c r="AK369" s="464"/>
      <c r="AL369" s="645"/>
      <c r="AM369" s="495"/>
      <c r="AN369" s="522"/>
      <c r="BS369" s="26"/>
      <c r="BT369" s="26"/>
      <c r="BU369" s="14"/>
      <c r="BV369" s="14"/>
      <c r="BW369" s="14"/>
      <c r="BX369" s="14"/>
      <c r="BY369" s="14"/>
      <c r="BZ369" s="14"/>
      <c r="CA369" s="14"/>
      <c r="CB369" s="14"/>
      <c r="CC369" s="14"/>
    </row>
    <row r="370" spans="1:81" s="475" customFormat="1" ht="12.75" customHeight="1">
      <c r="A370" s="461"/>
      <c r="B370" s="14"/>
      <c r="C370" s="1674" t="s">
        <v>299</v>
      </c>
      <c r="D370" s="1675"/>
      <c r="E370" s="644"/>
      <c r="F370" s="646" t="s">
        <v>2154</v>
      </c>
      <c r="G370" s="528"/>
      <c r="H370" s="528"/>
      <c r="I370" s="528"/>
      <c r="J370" s="528"/>
      <c r="K370" s="528"/>
      <c r="L370" s="528"/>
      <c r="M370" s="528"/>
      <c r="N370" s="528"/>
      <c r="O370" s="528"/>
      <c r="P370" s="528"/>
      <c r="Q370" s="528"/>
      <c r="R370" s="528"/>
      <c r="S370" s="528"/>
      <c r="T370" s="528"/>
      <c r="U370" s="528"/>
      <c r="V370" s="528"/>
      <c r="W370" s="528"/>
      <c r="X370" s="528"/>
      <c r="Y370" s="528"/>
      <c r="Z370" s="528"/>
      <c r="AA370" s="528"/>
      <c r="AB370" s="528"/>
      <c r="AC370" s="528"/>
      <c r="AD370" s="528"/>
      <c r="AF370" s="1663" t="s">
        <v>2155</v>
      </c>
      <c r="AG370" s="1663"/>
      <c r="AH370" s="1663"/>
      <c r="AI370" s="1663"/>
      <c r="AJ370" s="1663"/>
      <c r="AK370" s="1663"/>
      <c r="AL370" s="1676"/>
      <c r="AM370" s="647"/>
      <c r="BS370" s="26"/>
      <c r="BT370" s="26"/>
      <c r="BU370" s="14"/>
      <c r="BV370" s="14"/>
      <c r="BW370" s="14"/>
      <c r="BX370" s="14"/>
      <c r="BY370" s="14"/>
      <c r="BZ370" s="14"/>
      <c r="CA370" s="14"/>
      <c r="CB370" s="14"/>
      <c r="CC370" s="14"/>
    </row>
    <row r="371" spans="1:81" s="475" customFormat="1" ht="12.75" customHeight="1">
      <c r="A371" s="461"/>
      <c r="B371" s="14"/>
      <c r="C371" s="681"/>
      <c r="D371" s="648"/>
      <c r="E371" s="649"/>
      <c r="F371" s="650"/>
      <c r="G371" s="651"/>
      <c r="H371" s="651"/>
      <c r="I371" s="651"/>
      <c r="J371" s="651"/>
      <c r="K371" s="651"/>
      <c r="L371" s="651"/>
      <c r="M371" s="651"/>
      <c r="N371" s="651"/>
      <c r="O371" s="651"/>
      <c r="P371" s="651"/>
      <c r="Q371" s="651"/>
      <c r="R371" s="651"/>
      <c r="S371" s="651"/>
      <c r="T371" s="651"/>
      <c r="U371" s="651"/>
      <c r="V371" s="651"/>
      <c r="W371" s="651"/>
      <c r="X371" s="651"/>
      <c r="Y371" s="651"/>
      <c r="Z371" s="651"/>
      <c r="AA371" s="651"/>
      <c r="AB371" s="651"/>
      <c r="AC371" s="651"/>
      <c r="AD371" s="651"/>
      <c r="AE371" s="652"/>
      <c r="AF371" s="652"/>
      <c r="AG371" s="652"/>
      <c r="AH371" s="652"/>
      <c r="AI371" s="652"/>
      <c r="AJ371" s="652"/>
      <c r="AK371" s="652"/>
      <c r="AL371" s="682"/>
      <c r="AM371" s="654"/>
      <c r="AN371" s="522"/>
      <c r="CC371" s="14"/>
    </row>
    <row r="372" spans="1:81" s="475" customFormat="1" ht="12.75" customHeight="1">
      <c r="A372" s="461"/>
      <c r="B372" s="14"/>
      <c r="C372" s="655"/>
      <c r="D372" s="655"/>
      <c r="E372" s="644"/>
      <c r="F372" s="601"/>
      <c r="G372" s="601"/>
      <c r="H372" s="601"/>
      <c r="I372" s="601"/>
      <c r="J372" s="601"/>
      <c r="K372" s="601"/>
      <c r="L372" s="601"/>
      <c r="M372" s="601"/>
      <c r="N372" s="601"/>
      <c r="O372" s="601"/>
      <c r="P372" s="601"/>
      <c r="Q372" s="601"/>
      <c r="R372" s="601"/>
      <c r="S372" s="601"/>
      <c r="T372" s="601"/>
      <c r="U372" s="601"/>
      <c r="V372" s="601"/>
      <c r="W372" s="601"/>
      <c r="X372" s="601"/>
      <c r="Y372" s="601"/>
      <c r="Z372" s="601"/>
      <c r="AA372" s="601"/>
      <c r="AB372" s="601"/>
      <c r="AC372" s="601"/>
      <c r="AD372" s="601"/>
      <c r="AE372" s="516"/>
      <c r="AF372" s="516"/>
      <c r="AG372" s="516"/>
      <c r="AH372" s="516"/>
      <c r="AI372" s="516"/>
      <c r="AJ372" s="516"/>
      <c r="AK372" s="516"/>
      <c r="AL372" s="516"/>
      <c r="AM372" s="495"/>
      <c r="AN372" s="522"/>
      <c r="BS372" s="26"/>
      <c r="BT372" s="26"/>
      <c r="BU372" s="14"/>
      <c r="BV372" s="14"/>
      <c r="BW372" s="14"/>
      <c r="BX372" s="14"/>
      <c r="BY372" s="14"/>
      <c r="BZ372" s="14"/>
      <c r="CA372" s="14"/>
      <c r="CB372" s="14"/>
      <c r="CC372" s="14"/>
    </row>
    <row r="373" spans="1:81" s="475" customFormat="1" ht="12.75" customHeight="1">
      <c r="A373" s="461"/>
      <c r="B373" s="14"/>
      <c r="C373" s="638"/>
      <c r="D373" s="639"/>
      <c r="E373" s="640" t="s">
        <v>1975</v>
      </c>
      <c r="F373" s="1664" t="s">
        <v>2156</v>
      </c>
      <c r="G373" s="1664"/>
      <c r="H373" s="1664"/>
      <c r="I373" s="1664"/>
      <c r="J373" s="1664"/>
      <c r="K373" s="1664"/>
      <c r="L373" s="1664"/>
      <c r="M373" s="1664"/>
      <c r="N373" s="1664"/>
      <c r="O373" s="1664"/>
      <c r="P373" s="1664"/>
      <c r="Q373" s="1664"/>
      <c r="R373" s="1664"/>
      <c r="S373" s="1664"/>
      <c r="T373" s="1664"/>
      <c r="U373" s="1664"/>
      <c r="V373" s="1664"/>
      <c r="W373" s="1664"/>
      <c r="X373" s="1664"/>
      <c r="Y373" s="1664"/>
      <c r="Z373" s="1664"/>
      <c r="AA373" s="1664"/>
      <c r="AB373" s="1664"/>
      <c r="AC373" s="1664"/>
      <c r="AD373" s="1664"/>
      <c r="AE373" s="1664"/>
      <c r="AF373" s="1664"/>
      <c r="AG373" s="641"/>
      <c r="AH373" s="641"/>
      <c r="AI373" s="641"/>
      <c r="AJ373" s="641"/>
      <c r="AK373" s="641"/>
      <c r="AL373" s="642"/>
      <c r="AM373" s="495"/>
      <c r="AN373" s="522"/>
      <c r="BS373" s="26"/>
      <c r="BT373" s="26"/>
      <c r="BU373" s="14"/>
      <c r="BV373" s="14"/>
      <c r="BW373" s="14"/>
      <c r="BX373" s="14"/>
      <c r="BY373" s="14"/>
      <c r="BZ373" s="14"/>
      <c r="CA373" s="14"/>
      <c r="CB373" s="14"/>
      <c r="CC373" s="14"/>
    </row>
    <row r="374" spans="1:81" s="475" customFormat="1" ht="12.75" customHeight="1">
      <c r="A374" s="461"/>
      <c r="B374" s="14"/>
      <c r="C374" s="656"/>
      <c r="D374" s="14"/>
      <c r="E374" s="616"/>
      <c r="F374" s="1665"/>
      <c r="G374" s="1665"/>
      <c r="H374" s="1665"/>
      <c r="I374" s="1665"/>
      <c r="J374" s="1665"/>
      <c r="K374" s="1665"/>
      <c r="L374" s="1665"/>
      <c r="M374" s="1665"/>
      <c r="N374" s="1665"/>
      <c r="O374" s="1665"/>
      <c r="P374" s="1665"/>
      <c r="Q374" s="1665"/>
      <c r="R374" s="1665"/>
      <c r="S374" s="1665"/>
      <c r="T374" s="1665"/>
      <c r="U374" s="1665"/>
      <c r="V374" s="1665"/>
      <c r="W374" s="1665"/>
      <c r="X374" s="1665"/>
      <c r="Y374" s="1665"/>
      <c r="Z374" s="1665"/>
      <c r="AA374" s="1665"/>
      <c r="AB374" s="1665"/>
      <c r="AC374" s="1665"/>
      <c r="AD374" s="1665"/>
      <c r="AE374" s="1665"/>
      <c r="AF374" s="1665"/>
      <c r="AG374" s="464"/>
      <c r="AH374" s="464"/>
      <c r="AI374" s="464"/>
      <c r="AJ374" s="464"/>
      <c r="AK374" s="464"/>
      <c r="AL374" s="645"/>
      <c r="AM374" s="495"/>
      <c r="AN374" s="522"/>
      <c r="BS374" s="26"/>
      <c r="BT374" s="26"/>
      <c r="BU374" s="14"/>
      <c r="BV374" s="14"/>
      <c r="BW374" s="14"/>
      <c r="BX374" s="14"/>
      <c r="BY374" s="14"/>
      <c r="BZ374" s="14"/>
      <c r="CA374" s="14"/>
      <c r="CB374" s="14"/>
      <c r="CC374" s="14"/>
    </row>
    <row r="375" spans="1:81" s="475" customFormat="1" ht="12.75" customHeight="1">
      <c r="A375" s="461"/>
      <c r="B375" s="14"/>
      <c r="C375" s="656"/>
      <c r="D375" s="14"/>
      <c r="E375" s="616"/>
      <c r="F375" s="1665"/>
      <c r="G375" s="1665"/>
      <c r="H375" s="1665"/>
      <c r="I375" s="1665"/>
      <c r="J375" s="1665"/>
      <c r="K375" s="1665"/>
      <c r="L375" s="1665"/>
      <c r="M375" s="1665"/>
      <c r="N375" s="1665"/>
      <c r="O375" s="1665"/>
      <c r="P375" s="1665"/>
      <c r="Q375" s="1665"/>
      <c r="R375" s="1665"/>
      <c r="S375" s="1665"/>
      <c r="T375" s="1665"/>
      <c r="U375" s="1665"/>
      <c r="V375" s="1665"/>
      <c r="W375" s="1665"/>
      <c r="X375" s="1665"/>
      <c r="Y375" s="1665"/>
      <c r="Z375" s="1665"/>
      <c r="AA375" s="1665"/>
      <c r="AB375" s="1665"/>
      <c r="AC375" s="1665"/>
      <c r="AD375" s="1665"/>
      <c r="AE375" s="1665"/>
      <c r="AF375" s="1665"/>
      <c r="AG375" s="464"/>
      <c r="AH375" s="464"/>
      <c r="AI375" s="464"/>
      <c r="AJ375" s="464"/>
      <c r="AK375" s="464"/>
      <c r="AL375" s="645"/>
      <c r="AM375" s="495"/>
      <c r="AN375" s="522"/>
      <c r="BS375" s="26"/>
      <c r="BT375" s="26"/>
      <c r="BU375" s="14"/>
      <c r="BV375" s="14"/>
      <c r="BW375" s="14"/>
      <c r="BX375" s="14"/>
      <c r="BY375" s="14"/>
      <c r="BZ375" s="14"/>
      <c r="CA375" s="14"/>
      <c r="CB375" s="14"/>
      <c r="CC375" s="14"/>
    </row>
    <row r="376" spans="1:81" s="475" customFormat="1" ht="12.75" customHeight="1">
      <c r="A376" s="461"/>
      <c r="B376" s="14"/>
      <c r="C376" s="656"/>
      <c r="D376" s="14"/>
      <c r="E376" s="616"/>
      <c r="F376" s="1665"/>
      <c r="G376" s="1665"/>
      <c r="H376" s="1665"/>
      <c r="I376" s="1665"/>
      <c r="J376" s="1665"/>
      <c r="K376" s="1665"/>
      <c r="L376" s="1665"/>
      <c r="M376" s="1665"/>
      <c r="N376" s="1665"/>
      <c r="O376" s="1665"/>
      <c r="P376" s="1665"/>
      <c r="Q376" s="1665"/>
      <c r="R376" s="1665"/>
      <c r="S376" s="1665"/>
      <c r="T376" s="1665"/>
      <c r="U376" s="1665"/>
      <c r="V376" s="1665"/>
      <c r="W376" s="1665"/>
      <c r="X376" s="1665"/>
      <c r="Y376" s="1665"/>
      <c r="Z376" s="1665"/>
      <c r="AA376" s="1665"/>
      <c r="AB376" s="1665"/>
      <c r="AC376" s="1665"/>
      <c r="AD376" s="1665"/>
      <c r="AE376" s="1665"/>
      <c r="AF376" s="1665"/>
      <c r="AG376" s="464"/>
      <c r="AH376" s="464"/>
      <c r="AI376" s="464"/>
      <c r="AJ376" s="464"/>
      <c r="AK376" s="464"/>
      <c r="AL376" s="645"/>
      <c r="AM376" s="495"/>
      <c r="AN376" s="522"/>
      <c r="BS376" s="26"/>
      <c r="BT376" s="26"/>
      <c r="BU376" s="14"/>
      <c r="BV376" s="14"/>
      <c r="BW376" s="14"/>
      <c r="BX376" s="14"/>
      <c r="BY376" s="14"/>
      <c r="BZ376" s="14"/>
      <c r="CA376" s="14"/>
      <c r="CB376" s="14"/>
      <c r="CC376" s="14"/>
    </row>
    <row r="377" spans="1:81" s="475" customFormat="1" ht="12.75" customHeight="1">
      <c r="A377" s="461"/>
      <c r="B377" s="14"/>
      <c r="C377" s="656"/>
      <c r="D377" s="14"/>
      <c r="E377" s="616"/>
      <c r="F377" s="1665"/>
      <c r="G377" s="1665"/>
      <c r="H377" s="1665"/>
      <c r="I377" s="1665"/>
      <c r="J377" s="1665"/>
      <c r="K377" s="1665"/>
      <c r="L377" s="1665"/>
      <c r="M377" s="1665"/>
      <c r="N377" s="1665"/>
      <c r="O377" s="1665"/>
      <c r="P377" s="1665"/>
      <c r="Q377" s="1665"/>
      <c r="R377" s="1665"/>
      <c r="S377" s="1665"/>
      <c r="T377" s="1665"/>
      <c r="U377" s="1665"/>
      <c r="V377" s="1665"/>
      <c r="W377" s="1665"/>
      <c r="X377" s="1665"/>
      <c r="Y377" s="1665"/>
      <c r="Z377" s="1665"/>
      <c r="AA377" s="1665"/>
      <c r="AB377" s="1665"/>
      <c r="AC377" s="1665"/>
      <c r="AD377" s="1665"/>
      <c r="AE377" s="1665"/>
      <c r="AF377" s="1665"/>
      <c r="AL377" s="657"/>
      <c r="AN377" s="522"/>
      <c r="BS377" s="26"/>
      <c r="BT377" s="26"/>
      <c r="BU377" s="14"/>
      <c r="BV377" s="14"/>
      <c r="BW377" s="14"/>
      <c r="BX377" s="14"/>
      <c r="BY377" s="14"/>
      <c r="BZ377" s="14"/>
      <c r="CA377" s="14"/>
      <c r="CB377" s="14"/>
      <c r="CC377" s="14"/>
    </row>
    <row r="378" spans="1:81" s="475" customFormat="1" ht="12.75" customHeight="1">
      <c r="A378" s="461"/>
      <c r="B378" s="14"/>
      <c r="C378" s="1674" t="s">
        <v>299</v>
      </c>
      <c r="D378" s="1675"/>
      <c r="E378" s="616"/>
      <c r="F378" s="646" t="s">
        <v>2157</v>
      </c>
      <c r="G378" s="528"/>
      <c r="H378" s="528"/>
      <c r="I378" s="528"/>
      <c r="J378" s="528"/>
      <c r="K378" s="528"/>
      <c r="L378" s="528"/>
      <c r="M378" s="528"/>
      <c r="N378" s="528"/>
      <c r="O378" s="528"/>
      <c r="P378" s="528"/>
      <c r="Q378" s="528"/>
      <c r="R378" s="528"/>
      <c r="S378" s="528"/>
      <c r="T378" s="528"/>
      <c r="U378" s="528"/>
      <c r="V378" s="528"/>
      <c r="W378" s="528"/>
      <c r="X378" s="528"/>
      <c r="Y378" s="528"/>
      <c r="Z378" s="528"/>
      <c r="AA378" s="528"/>
      <c r="AB378" s="528"/>
      <c r="AC378" s="528"/>
      <c r="AD378" s="528"/>
      <c r="AF378" s="1663" t="s">
        <v>2155</v>
      </c>
      <c r="AG378" s="1663"/>
      <c r="AH378" s="1663"/>
      <c r="AI378" s="1663"/>
      <c r="AJ378" s="1663"/>
      <c r="AK378" s="1663"/>
      <c r="AL378" s="1676"/>
      <c r="AM378" s="654"/>
      <c r="AN378" s="522"/>
      <c r="BS378" s="26"/>
      <c r="BT378" s="26"/>
      <c r="BU378" s="14"/>
      <c r="BV378" s="14"/>
      <c r="BW378" s="14"/>
      <c r="BX378" s="14"/>
      <c r="BY378" s="14"/>
      <c r="BZ378" s="14"/>
      <c r="CA378" s="14"/>
      <c r="CB378" s="14"/>
      <c r="CC378" s="14"/>
    </row>
    <row r="379" spans="1:81" s="475" customFormat="1" ht="12.75" customHeight="1">
      <c r="A379" s="461"/>
      <c r="B379" s="14"/>
      <c r="C379" s="665"/>
      <c r="D379" s="658"/>
      <c r="E379" s="659"/>
      <c r="F379" s="660"/>
      <c r="G379" s="661"/>
      <c r="H379" s="661"/>
      <c r="I379" s="661"/>
      <c r="J379" s="661"/>
      <c r="K379" s="661"/>
      <c r="L379" s="661"/>
      <c r="M379" s="661"/>
      <c r="N379" s="661"/>
      <c r="O379" s="661"/>
      <c r="P379" s="661"/>
      <c r="Q379" s="661"/>
      <c r="R379" s="661"/>
      <c r="S379" s="661"/>
      <c r="T379" s="661"/>
      <c r="U379" s="661"/>
      <c r="V379" s="661"/>
      <c r="W379" s="661"/>
      <c r="X379" s="661"/>
      <c r="Y379" s="661"/>
      <c r="Z379" s="661"/>
      <c r="AA379" s="661"/>
      <c r="AB379" s="661"/>
      <c r="AC379" s="661"/>
      <c r="AD379" s="661"/>
      <c r="AE379" s="662"/>
      <c r="AF379" s="508"/>
      <c r="AG379" s="662"/>
      <c r="AH379" s="652"/>
      <c r="AI379" s="652"/>
      <c r="AJ379" s="652"/>
      <c r="AK379" s="652"/>
      <c r="AL379" s="667"/>
      <c r="AM379" s="654"/>
      <c r="AN379" s="522"/>
      <c r="BS379" s="26"/>
      <c r="BT379" s="26"/>
      <c r="BU379" s="14"/>
      <c r="BV379" s="14"/>
      <c r="BW379" s="14"/>
      <c r="BX379" s="14"/>
      <c r="BY379" s="14"/>
      <c r="BZ379" s="14"/>
      <c r="CA379" s="14"/>
      <c r="CB379" s="14"/>
      <c r="CC379" s="14"/>
    </row>
    <row r="380" spans="1:81" s="475" customFormat="1" ht="12.75" customHeight="1">
      <c r="A380" s="461"/>
      <c r="B380" s="14"/>
      <c r="C380" s="14"/>
      <c r="D380" s="14"/>
      <c r="E380" s="616"/>
      <c r="F380" s="601"/>
      <c r="G380" s="601"/>
      <c r="H380" s="601"/>
      <c r="I380" s="601"/>
      <c r="J380" s="601"/>
      <c r="K380" s="601"/>
      <c r="L380" s="601"/>
      <c r="M380" s="601"/>
      <c r="N380" s="601"/>
      <c r="O380" s="601"/>
      <c r="P380" s="601"/>
      <c r="Q380" s="601"/>
      <c r="R380" s="601"/>
      <c r="S380" s="601"/>
      <c r="T380" s="601"/>
      <c r="U380" s="601"/>
      <c r="V380" s="601"/>
      <c r="W380" s="601"/>
      <c r="X380" s="601"/>
      <c r="Y380" s="601"/>
      <c r="Z380" s="601"/>
      <c r="AA380" s="601"/>
      <c r="AB380" s="601"/>
      <c r="AC380" s="601"/>
      <c r="AD380" s="601"/>
      <c r="AE380" s="461"/>
      <c r="AF380" s="464"/>
      <c r="AG380" s="461"/>
      <c r="AM380" s="495"/>
      <c r="AN380" s="522"/>
      <c r="BS380" s="26"/>
      <c r="BT380" s="26"/>
      <c r="BU380" s="14"/>
      <c r="BV380" s="14"/>
      <c r="BW380" s="14"/>
      <c r="BX380" s="14"/>
      <c r="BY380" s="14"/>
      <c r="BZ380" s="14"/>
      <c r="CA380" s="14"/>
      <c r="CB380" s="14"/>
      <c r="CC380" s="14"/>
    </row>
    <row r="381" spans="1:81" s="475" customFormat="1" ht="12.75" customHeight="1">
      <c r="A381" s="461"/>
      <c r="B381" s="14"/>
      <c r="C381" s="638"/>
      <c r="D381" s="639"/>
      <c r="E381" s="640" t="s">
        <v>1981</v>
      </c>
      <c r="F381" s="1664" t="s">
        <v>2158</v>
      </c>
      <c r="G381" s="1664"/>
      <c r="H381" s="1664"/>
      <c r="I381" s="1664"/>
      <c r="J381" s="1664"/>
      <c r="K381" s="1664"/>
      <c r="L381" s="1664"/>
      <c r="M381" s="1664"/>
      <c r="N381" s="1664"/>
      <c r="O381" s="1664"/>
      <c r="P381" s="1664"/>
      <c r="Q381" s="1664"/>
      <c r="R381" s="1664"/>
      <c r="S381" s="1664"/>
      <c r="T381" s="1664"/>
      <c r="U381" s="1664"/>
      <c r="V381" s="1664"/>
      <c r="W381" s="1664"/>
      <c r="X381" s="1664"/>
      <c r="Y381" s="1664"/>
      <c r="Z381" s="1664"/>
      <c r="AA381" s="1664"/>
      <c r="AB381" s="1664"/>
      <c r="AC381" s="1664"/>
      <c r="AD381" s="1664"/>
      <c r="AE381" s="1664"/>
      <c r="AF381" s="1664"/>
      <c r="AG381" s="641"/>
      <c r="AH381" s="641"/>
      <c r="AI381" s="641"/>
      <c r="AJ381" s="641"/>
      <c r="AK381" s="641"/>
      <c r="AL381" s="642"/>
      <c r="AM381" s="495"/>
      <c r="AN381" s="522"/>
      <c r="BS381" s="495"/>
      <c r="BT381" s="495"/>
      <c r="BU381" s="495"/>
      <c r="BV381" s="495"/>
      <c r="BW381" s="495"/>
      <c r="BX381" s="495"/>
      <c r="BY381" s="495"/>
      <c r="BZ381" s="495"/>
      <c r="CA381" s="495"/>
      <c r="CB381" s="495"/>
      <c r="CC381" s="495"/>
    </row>
    <row r="382" spans="1:81" s="475" customFormat="1" ht="12.75" customHeight="1">
      <c r="A382" s="461"/>
      <c r="B382" s="14"/>
      <c r="C382" s="656"/>
      <c r="D382" s="14"/>
      <c r="E382" s="616"/>
      <c r="F382" s="1665"/>
      <c r="G382" s="1665"/>
      <c r="H382" s="1665"/>
      <c r="I382" s="1665"/>
      <c r="J382" s="1665"/>
      <c r="K382" s="1665"/>
      <c r="L382" s="1665"/>
      <c r="M382" s="1665"/>
      <c r="N382" s="1665"/>
      <c r="O382" s="1665"/>
      <c r="P382" s="1665"/>
      <c r="Q382" s="1665"/>
      <c r="R382" s="1665"/>
      <c r="S382" s="1665"/>
      <c r="T382" s="1665"/>
      <c r="U382" s="1665"/>
      <c r="V382" s="1665"/>
      <c r="W382" s="1665"/>
      <c r="X382" s="1665"/>
      <c r="Y382" s="1665"/>
      <c r="Z382" s="1665"/>
      <c r="AA382" s="1665"/>
      <c r="AB382" s="1665"/>
      <c r="AC382" s="1665"/>
      <c r="AD382" s="1665"/>
      <c r="AE382" s="1665"/>
      <c r="AF382" s="1665"/>
      <c r="AG382" s="464"/>
      <c r="AH382" s="464"/>
      <c r="AI382" s="464"/>
      <c r="AJ382" s="464"/>
      <c r="AK382" s="464"/>
      <c r="AL382" s="645"/>
      <c r="AM382" s="495"/>
      <c r="AN382" s="522"/>
      <c r="BS382" s="495"/>
      <c r="BT382" s="495"/>
      <c r="BU382" s="495"/>
      <c r="BV382" s="495"/>
      <c r="BW382" s="495"/>
      <c r="BX382" s="495"/>
      <c r="BY382" s="495"/>
      <c r="BZ382" s="495"/>
      <c r="CA382" s="495"/>
      <c r="CB382" s="495"/>
      <c r="CC382" s="495"/>
    </row>
    <row r="383" spans="1:81" s="475" customFormat="1" ht="12.75" customHeight="1">
      <c r="A383" s="461"/>
      <c r="B383" s="14"/>
      <c r="C383" s="656"/>
      <c r="D383" s="14"/>
      <c r="E383" s="616"/>
      <c r="F383" s="1665"/>
      <c r="G383" s="1665"/>
      <c r="H383" s="1665"/>
      <c r="I383" s="1665"/>
      <c r="J383" s="1665"/>
      <c r="K383" s="1665"/>
      <c r="L383" s="1665"/>
      <c r="M383" s="1665"/>
      <c r="N383" s="1665"/>
      <c r="O383" s="1665"/>
      <c r="P383" s="1665"/>
      <c r="Q383" s="1665"/>
      <c r="R383" s="1665"/>
      <c r="S383" s="1665"/>
      <c r="T383" s="1665"/>
      <c r="U383" s="1665"/>
      <c r="V383" s="1665"/>
      <c r="W383" s="1665"/>
      <c r="X383" s="1665"/>
      <c r="Y383" s="1665"/>
      <c r="Z383" s="1665"/>
      <c r="AA383" s="1665"/>
      <c r="AB383" s="1665"/>
      <c r="AC383" s="1665"/>
      <c r="AD383" s="1665"/>
      <c r="AE383" s="1665"/>
      <c r="AF383" s="1665"/>
      <c r="AG383" s="464"/>
      <c r="AH383" s="464"/>
      <c r="AI383" s="464"/>
      <c r="AJ383" s="464"/>
      <c r="AK383" s="464"/>
      <c r="AL383" s="645"/>
      <c r="AM383" s="495"/>
      <c r="AN383" s="522"/>
      <c r="BS383" s="495"/>
      <c r="BT383" s="495"/>
      <c r="BU383" s="495"/>
      <c r="BV383" s="495"/>
      <c r="BW383" s="495"/>
      <c r="BX383" s="495"/>
      <c r="BY383" s="495"/>
      <c r="BZ383" s="495"/>
      <c r="CA383" s="495"/>
      <c r="CB383" s="495"/>
      <c r="CC383" s="495"/>
    </row>
    <row r="384" spans="1:81" s="475" customFormat="1" ht="12.75" customHeight="1">
      <c r="A384" s="461"/>
      <c r="B384" s="14"/>
      <c r="C384" s="656"/>
      <c r="D384" s="14"/>
      <c r="E384" s="616"/>
      <c r="F384" s="1665"/>
      <c r="G384" s="1665"/>
      <c r="H384" s="1665"/>
      <c r="I384" s="1665"/>
      <c r="J384" s="1665"/>
      <c r="K384" s="1665"/>
      <c r="L384" s="1665"/>
      <c r="M384" s="1665"/>
      <c r="N384" s="1665"/>
      <c r="O384" s="1665"/>
      <c r="P384" s="1665"/>
      <c r="Q384" s="1665"/>
      <c r="R384" s="1665"/>
      <c r="S384" s="1665"/>
      <c r="T384" s="1665"/>
      <c r="U384" s="1665"/>
      <c r="V384" s="1665"/>
      <c r="W384" s="1665"/>
      <c r="X384" s="1665"/>
      <c r="Y384" s="1665"/>
      <c r="Z384" s="1665"/>
      <c r="AA384" s="1665"/>
      <c r="AB384" s="1665"/>
      <c r="AC384" s="1665"/>
      <c r="AD384" s="1665"/>
      <c r="AE384" s="1665"/>
      <c r="AF384" s="1665"/>
      <c r="AG384" s="464"/>
      <c r="AH384" s="464"/>
      <c r="AI384" s="464"/>
      <c r="AJ384" s="464"/>
      <c r="AK384" s="464"/>
      <c r="AL384" s="645"/>
      <c r="AM384" s="495"/>
      <c r="AN384" s="522"/>
      <c r="BS384" s="495"/>
      <c r="BT384" s="495"/>
      <c r="BU384" s="495"/>
      <c r="BV384" s="495"/>
      <c r="BW384" s="495"/>
      <c r="BX384" s="495"/>
      <c r="BY384" s="495"/>
      <c r="BZ384" s="495"/>
      <c r="CA384" s="495"/>
      <c r="CB384" s="495"/>
      <c r="CC384" s="495"/>
    </row>
    <row r="385" spans="1:81" s="475" customFormat="1" ht="12.75" customHeight="1">
      <c r="A385" s="461"/>
      <c r="B385" s="14"/>
      <c r="C385" s="656"/>
      <c r="D385" s="14"/>
      <c r="E385" s="616"/>
      <c r="F385" s="1665"/>
      <c r="G385" s="1665"/>
      <c r="H385" s="1665"/>
      <c r="I385" s="1665"/>
      <c r="J385" s="1665"/>
      <c r="K385" s="1665"/>
      <c r="L385" s="1665"/>
      <c r="M385" s="1665"/>
      <c r="N385" s="1665"/>
      <c r="O385" s="1665"/>
      <c r="P385" s="1665"/>
      <c r="Q385" s="1665"/>
      <c r="R385" s="1665"/>
      <c r="S385" s="1665"/>
      <c r="T385" s="1665"/>
      <c r="U385" s="1665"/>
      <c r="V385" s="1665"/>
      <c r="W385" s="1665"/>
      <c r="X385" s="1665"/>
      <c r="Y385" s="1665"/>
      <c r="Z385" s="1665"/>
      <c r="AA385" s="1665"/>
      <c r="AB385" s="1665"/>
      <c r="AC385" s="1665"/>
      <c r="AD385" s="1665"/>
      <c r="AE385" s="1665"/>
      <c r="AF385" s="1665"/>
      <c r="AG385" s="464"/>
      <c r="AH385" s="464"/>
      <c r="AI385" s="464"/>
      <c r="AJ385" s="464"/>
      <c r="AK385" s="464"/>
      <c r="AL385" s="645"/>
      <c r="AM385" s="495"/>
      <c r="AN385" s="522"/>
      <c r="BS385" s="495"/>
      <c r="BT385" s="495"/>
      <c r="BU385" s="495"/>
      <c r="BV385" s="495"/>
      <c r="BW385" s="495"/>
      <c r="BX385" s="495"/>
      <c r="BY385" s="495"/>
      <c r="BZ385" s="495"/>
      <c r="CA385" s="495"/>
      <c r="CB385" s="495"/>
      <c r="CC385" s="495"/>
    </row>
    <row r="386" spans="1:81" s="475" customFormat="1" ht="12.75" customHeight="1">
      <c r="A386" s="461"/>
      <c r="B386" s="14"/>
      <c r="C386" s="1674" t="s">
        <v>299</v>
      </c>
      <c r="D386" s="1675"/>
      <c r="E386" s="616"/>
      <c r="F386" s="646" t="s">
        <v>2159</v>
      </c>
      <c r="G386" s="528"/>
      <c r="H386" s="528"/>
      <c r="I386" s="528"/>
      <c r="J386" s="528"/>
      <c r="K386" s="528"/>
      <c r="L386" s="528"/>
      <c r="M386" s="528"/>
      <c r="N386" s="528"/>
      <c r="O386" s="528"/>
      <c r="P386" s="528"/>
      <c r="Q386" s="528"/>
      <c r="R386" s="528"/>
      <c r="S386" s="528"/>
      <c r="T386" s="528"/>
      <c r="U386" s="528"/>
      <c r="V386" s="528"/>
      <c r="W386" s="528"/>
      <c r="X386" s="528"/>
      <c r="Y386" s="528"/>
      <c r="Z386" s="528"/>
      <c r="AA386" s="528"/>
      <c r="AB386" s="528"/>
      <c r="AC386" s="528"/>
      <c r="AD386" s="528"/>
      <c r="AF386" s="1663" t="s">
        <v>2160</v>
      </c>
      <c r="AG386" s="1663"/>
      <c r="AH386" s="1663"/>
      <c r="AI386" s="1663"/>
      <c r="AJ386" s="1663"/>
      <c r="AK386" s="1663"/>
      <c r="AL386" s="1676"/>
      <c r="AM386" s="647"/>
      <c r="BS386" s="495"/>
      <c r="BT386" s="495"/>
      <c r="BU386" s="495"/>
      <c r="BV386" s="495"/>
      <c r="BW386" s="495"/>
      <c r="BX386" s="495"/>
      <c r="BY386" s="495"/>
      <c r="BZ386" s="495"/>
      <c r="CA386" s="495"/>
      <c r="CB386" s="495"/>
      <c r="CC386" s="495"/>
    </row>
    <row r="387" spans="1:81" s="475" customFormat="1" ht="12.75" customHeight="1">
      <c r="A387" s="461"/>
      <c r="B387" s="14"/>
      <c r="C387" s="656"/>
      <c r="D387" s="14"/>
      <c r="E387" s="616"/>
      <c r="F387" s="498"/>
      <c r="G387" s="498"/>
      <c r="H387" s="498"/>
      <c r="I387" s="498"/>
      <c r="J387" s="498"/>
      <c r="K387" s="498"/>
      <c r="L387" s="498"/>
      <c r="M387" s="498"/>
      <c r="N387" s="498"/>
      <c r="O387" s="498"/>
      <c r="P387" s="498"/>
      <c r="Q387" s="498"/>
      <c r="R387" s="498"/>
      <c r="S387" s="498"/>
      <c r="T387" s="498"/>
      <c r="U387" s="498"/>
      <c r="V387" s="498"/>
      <c r="W387" s="498"/>
      <c r="X387" s="498"/>
      <c r="Y387" s="498"/>
      <c r="Z387" s="498"/>
      <c r="AA387" s="498"/>
      <c r="AB387" s="498"/>
      <c r="AC387" s="498"/>
      <c r="AD387" s="498"/>
      <c r="AL387" s="657"/>
      <c r="AM387" s="495"/>
      <c r="AN387" s="522"/>
      <c r="BS387" s="495"/>
      <c r="BT387" s="495"/>
      <c r="BU387" s="495"/>
      <c r="BV387" s="495"/>
      <c r="BW387" s="495"/>
      <c r="BX387" s="495"/>
      <c r="BY387" s="495"/>
      <c r="BZ387" s="495"/>
      <c r="CA387" s="495"/>
      <c r="CB387" s="495"/>
      <c r="CC387" s="495"/>
    </row>
    <row r="388" spans="1:81" s="475" customFormat="1" ht="12.75" customHeight="1">
      <c r="A388" s="461"/>
      <c r="B388" s="14"/>
      <c r="C388" s="1674" t="s">
        <v>837</v>
      </c>
      <c r="D388" s="1675"/>
      <c r="E388" s="616"/>
      <c r="F388" s="663" t="s">
        <v>2161</v>
      </c>
      <c r="G388" s="498"/>
      <c r="H388" s="498"/>
      <c r="I388" s="498"/>
      <c r="J388" s="498"/>
      <c r="K388" s="498"/>
      <c r="L388" s="498"/>
      <c r="M388" s="498"/>
      <c r="N388" s="498"/>
      <c r="O388" s="498"/>
      <c r="P388" s="498"/>
      <c r="Q388" s="498"/>
      <c r="R388" s="498"/>
      <c r="S388" s="498"/>
      <c r="T388" s="498"/>
      <c r="U388" s="498"/>
      <c r="V388" s="498"/>
      <c r="W388" s="498"/>
      <c r="X388" s="498"/>
      <c r="Y388" s="498"/>
      <c r="Z388" s="498"/>
      <c r="AA388" s="498"/>
      <c r="AB388" s="498"/>
      <c r="AC388" s="498"/>
      <c r="AD388" s="498"/>
      <c r="AF388" s="1663" t="s">
        <v>2155</v>
      </c>
      <c r="AG388" s="1663"/>
      <c r="AH388" s="1663"/>
      <c r="AI388" s="1663"/>
      <c r="AJ388" s="1663"/>
      <c r="AK388" s="1663"/>
      <c r="AL388" s="1676"/>
      <c r="AM388" s="495"/>
      <c r="AN388" s="522"/>
      <c r="BS388" s="495"/>
      <c r="BT388" s="495"/>
      <c r="BU388" s="495"/>
    </row>
    <row r="389" spans="1:81" s="475" customFormat="1" ht="12.75" customHeight="1">
      <c r="A389" s="461"/>
      <c r="B389" s="14"/>
      <c r="C389" s="664"/>
      <c r="E389" s="616"/>
      <c r="G389" s="498"/>
      <c r="H389" s="498"/>
      <c r="I389" s="498"/>
      <c r="J389" s="498"/>
      <c r="K389" s="498"/>
      <c r="L389" s="498"/>
      <c r="M389" s="498"/>
      <c r="N389" s="498"/>
      <c r="O389" s="498"/>
      <c r="P389" s="498"/>
      <c r="Q389" s="498"/>
      <c r="R389" s="498"/>
      <c r="S389" s="498"/>
      <c r="T389" s="498"/>
      <c r="U389" s="498"/>
      <c r="V389" s="498"/>
      <c r="W389" s="498"/>
      <c r="X389" s="498"/>
      <c r="Y389" s="498"/>
      <c r="Z389" s="498"/>
      <c r="AA389" s="498"/>
      <c r="AB389" s="498"/>
      <c r="AC389" s="498"/>
      <c r="AD389" s="498"/>
      <c r="AL389" s="657"/>
      <c r="AM389" s="495"/>
      <c r="AN389" s="522"/>
      <c r="BS389" s="495"/>
      <c r="BT389" s="495"/>
      <c r="BU389" s="495"/>
    </row>
    <row r="390" spans="1:81" s="475" customFormat="1" ht="12.75" customHeight="1">
      <c r="A390" s="461"/>
      <c r="B390" s="14"/>
      <c r="C390" s="665"/>
      <c r="D390" s="658"/>
      <c r="E390" s="659"/>
      <c r="F390" s="666" t="s">
        <v>2162</v>
      </c>
      <c r="G390" s="660"/>
      <c r="H390" s="660"/>
      <c r="I390" s="660"/>
      <c r="J390" s="660"/>
      <c r="K390" s="660"/>
      <c r="L390" s="660"/>
      <c r="M390" s="660"/>
      <c r="N390" s="660"/>
      <c r="O390" s="660"/>
      <c r="P390" s="660"/>
      <c r="Q390" s="660"/>
      <c r="R390" s="660"/>
      <c r="S390" s="660"/>
      <c r="T390" s="660"/>
      <c r="U390" s="660"/>
      <c r="V390" s="660"/>
      <c r="W390" s="660"/>
      <c r="X390" s="660"/>
      <c r="Y390" s="660"/>
      <c r="Z390" s="660"/>
      <c r="AA390" s="660"/>
      <c r="AB390" s="660"/>
      <c r="AC390" s="660"/>
      <c r="AD390" s="660"/>
      <c r="AE390" s="662"/>
      <c r="AF390" s="508"/>
      <c r="AG390" s="662"/>
      <c r="AH390" s="652"/>
      <c r="AI390" s="652"/>
      <c r="AJ390" s="652"/>
      <c r="AK390" s="652"/>
      <c r="AL390" s="667"/>
      <c r="AM390" s="495"/>
      <c r="AN390" s="522"/>
      <c r="BS390" s="495"/>
      <c r="BT390" s="495"/>
      <c r="BU390" s="495"/>
    </row>
    <row r="391" spans="1:81" s="475" customFormat="1" ht="12.75" customHeight="1">
      <c r="A391" s="461"/>
      <c r="B391" s="14"/>
      <c r="C391" s="14"/>
      <c r="D391" s="14"/>
      <c r="E391" s="616"/>
      <c r="F391" s="601"/>
      <c r="G391" s="601"/>
      <c r="H391" s="601"/>
      <c r="I391" s="601"/>
      <c r="J391" s="601"/>
      <c r="K391" s="601"/>
      <c r="L391" s="601"/>
      <c r="M391" s="601"/>
      <c r="N391" s="601"/>
      <c r="O391" s="601"/>
      <c r="P391" s="601"/>
      <c r="Q391" s="601"/>
      <c r="R391" s="601"/>
      <c r="S391" s="601"/>
      <c r="T391" s="601"/>
      <c r="U391" s="601"/>
      <c r="V391" s="601"/>
      <c r="W391" s="601"/>
      <c r="X391" s="601"/>
      <c r="Y391" s="601"/>
      <c r="Z391" s="601"/>
      <c r="AA391" s="601"/>
      <c r="AB391" s="601"/>
      <c r="AC391" s="601"/>
      <c r="AD391" s="601"/>
      <c r="AE391" s="461"/>
      <c r="AF391" s="464"/>
      <c r="AG391" s="461"/>
      <c r="AM391" s="495"/>
      <c r="AN391" s="522"/>
      <c r="BS391" s="495"/>
      <c r="BT391" s="495"/>
      <c r="BU391" s="495"/>
    </row>
    <row r="392" spans="1:81" s="475" customFormat="1" ht="12.75" customHeight="1">
      <c r="A392" s="461"/>
      <c r="B392" s="14"/>
      <c r="C392" s="638"/>
      <c r="D392" s="639"/>
      <c r="E392" s="640" t="s">
        <v>2163</v>
      </c>
      <c r="F392" s="1664" t="s">
        <v>2164</v>
      </c>
      <c r="G392" s="1664"/>
      <c r="H392" s="1664"/>
      <c r="I392" s="1664"/>
      <c r="J392" s="1664"/>
      <c r="K392" s="1664"/>
      <c r="L392" s="1664"/>
      <c r="M392" s="1664"/>
      <c r="N392" s="1664"/>
      <c r="O392" s="1664"/>
      <c r="P392" s="1664"/>
      <c r="Q392" s="1664"/>
      <c r="R392" s="1664"/>
      <c r="S392" s="1664"/>
      <c r="T392" s="1664"/>
      <c r="U392" s="1664"/>
      <c r="V392" s="1664"/>
      <c r="W392" s="1664"/>
      <c r="X392" s="1664"/>
      <c r="Y392" s="1664"/>
      <c r="Z392" s="1664"/>
      <c r="AA392" s="1664"/>
      <c r="AB392" s="1664"/>
      <c r="AC392" s="1664"/>
      <c r="AD392" s="1664"/>
      <c r="AE392" s="1664"/>
      <c r="AF392" s="1664"/>
      <c r="AG392" s="641"/>
      <c r="AH392" s="641"/>
      <c r="AI392" s="641"/>
      <c r="AJ392" s="641"/>
      <c r="AK392" s="641"/>
      <c r="AL392" s="642"/>
      <c r="AM392" s="495"/>
      <c r="AN392" s="522"/>
      <c r="BS392" s="495"/>
      <c r="BT392" s="495"/>
      <c r="BU392" s="495"/>
      <c r="BV392" s="495"/>
      <c r="BW392" s="495"/>
      <c r="BX392" s="495"/>
      <c r="BY392" s="495"/>
      <c r="BZ392" s="495"/>
      <c r="CA392" s="495"/>
      <c r="CB392" s="495"/>
      <c r="CC392" s="495"/>
    </row>
    <row r="393" spans="1:81" s="475" customFormat="1" ht="12.75" customHeight="1">
      <c r="A393" s="461"/>
      <c r="B393" s="14"/>
      <c r="C393" s="656"/>
      <c r="D393" s="14"/>
      <c r="E393" s="616"/>
      <c r="F393" s="1665"/>
      <c r="G393" s="1665"/>
      <c r="H393" s="1665"/>
      <c r="I393" s="1665"/>
      <c r="J393" s="1665"/>
      <c r="K393" s="1665"/>
      <c r="L393" s="1665"/>
      <c r="M393" s="1665"/>
      <c r="N393" s="1665"/>
      <c r="O393" s="1665"/>
      <c r="P393" s="1665"/>
      <c r="Q393" s="1665"/>
      <c r="R393" s="1665"/>
      <c r="S393" s="1665"/>
      <c r="T393" s="1665"/>
      <c r="U393" s="1665"/>
      <c r="V393" s="1665"/>
      <c r="W393" s="1665"/>
      <c r="X393" s="1665"/>
      <c r="Y393" s="1665"/>
      <c r="Z393" s="1665"/>
      <c r="AA393" s="1665"/>
      <c r="AB393" s="1665"/>
      <c r="AC393" s="1665"/>
      <c r="AD393" s="1665"/>
      <c r="AE393" s="1665"/>
      <c r="AF393" s="1665"/>
      <c r="AG393" s="464"/>
      <c r="AH393" s="464"/>
      <c r="AI393" s="464"/>
      <c r="AJ393" s="464"/>
      <c r="AK393" s="464"/>
      <c r="AL393" s="645"/>
      <c r="AM393" s="495"/>
      <c r="AN393" s="522"/>
      <c r="BS393" s="495"/>
      <c r="BT393" s="495"/>
      <c r="BU393" s="495"/>
      <c r="BV393" s="495"/>
      <c r="BW393" s="495"/>
      <c r="BX393" s="495"/>
      <c r="BY393" s="495"/>
      <c r="BZ393" s="495"/>
      <c r="CA393" s="495"/>
      <c r="CB393" s="495"/>
      <c r="CC393" s="495"/>
    </row>
    <row r="394" spans="1:81">
      <c r="A394" s="461"/>
      <c r="C394" s="656"/>
      <c r="E394" s="616"/>
      <c r="F394" s="1665"/>
      <c r="G394" s="1665"/>
      <c r="H394" s="1665"/>
      <c r="I394" s="1665"/>
      <c r="J394" s="1665"/>
      <c r="K394" s="1665"/>
      <c r="L394" s="1665"/>
      <c r="M394" s="1665"/>
      <c r="N394" s="1665"/>
      <c r="O394" s="1665"/>
      <c r="P394" s="1665"/>
      <c r="Q394" s="1665"/>
      <c r="R394" s="1665"/>
      <c r="S394" s="1665"/>
      <c r="T394" s="1665"/>
      <c r="U394" s="1665"/>
      <c r="V394" s="1665"/>
      <c r="W394" s="1665"/>
      <c r="X394" s="1665"/>
      <c r="Y394" s="1665"/>
      <c r="Z394" s="1665"/>
      <c r="AA394" s="1665"/>
      <c r="AB394" s="1665"/>
      <c r="AC394" s="1665"/>
      <c r="AD394" s="1665"/>
      <c r="AE394" s="1665"/>
      <c r="AF394" s="1665"/>
      <c r="AG394" s="464"/>
      <c r="AH394" s="464"/>
      <c r="AI394" s="464"/>
      <c r="AJ394" s="464"/>
      <c r="AK394" s="464"/>
      <c r="AL394" s="645"/>
      <c r="AM394" s="495"/>
      <c r="BS394" s="495"/>
      <c r="BT394" s="495"/>
      <c r="BU394" s="495"/>
      <c r="BV394" s="495"/>
      <c r="BW394" s="495"/>
      <c r="BX394" s="495"/>
      <c r="BY394" s="495"/>
      <c r="BZ394" s="495"/>
      <c r="CA394" s="495"/>
      <c r="CB394" s="495"/>
      <c r="CC394" s="495"/>
    </row>
    <row r="395" spans="1:81" s="475" customFormat="1" ht="12.75" customHeight="1">
      <c r="A395" s="461"/>
      <c r="B395" s="14"/>
      <c r="C395" s="656"/>
      <c r="D395" s="14"/>
      <c r="E395" s="616"/>
      <c r="F395" s="1665"/>
      <c r="G395" s="1665"/>
      <c r="H395" s="1665"/>
      <c r="I395" s="1665"/>
      <c r="J395" s="1665"/>
      <c r="K395" s="1665"/>
      <c r="L395" s="1665"/>
      <c r="M395" s="1665"/>
      <c r="N395" s="1665"/>
      <c r="O395" s="1665"/>
      <c r="P395" s="1665"/>
      <c r="Q395" s="1665"/>
      <c r="R395" s="1665"/>
      <c r="S395" s="1665"/>
      <c r="T395" s="1665"/>
      <c r="U395" s="1665"/>
      <c r="V395" s="1665"/>
      <c r="W395" s="1665"/>
      <c r="X395" s="1665"/>
      <c r="Y395" s="1665"/>
      <c r="Z395" s="1665"/>
      <c r="AA395" s="1665"/>
      <c r="AB395" s="1665"/>
      <c r="AC395" s="1665"/>
      <c r="AD395" s="1665"/>
      <c r="AE395" s="1665"/>
      <c r="AF395" s="1665"/>
      <c r="AG395" s="464"/>
      <c r="AH395" s="464"/>
      <c r="AI395" s="464"/>
      <c r="AJ395" s="464"/>
      <c r="AK395" s="464"/>
      <c r="AL395" s="645"/>
      <c r="AM395" s="495"/>
      <c r="AN395" s="522"/>
      <c r="BS395" s="495"/>
      <c r="BT395" s="495"/>
      <c r="BY395" s="495"/>
      <c r="BZ395" s="495"/>
      <c r="CA395" s="495"/>
      <c r="CB395" s="495"/>
      <c r="CC395" s="495"/>
    </row>
    <row r="396" spans="1:81" s="475" customFormat="1" ht="12.75" customHeight="1">
      <c r="A396" s="461"/>
      <c r="B396" s="14"/>
      <c r="C396" s="1674" t="s">
        <v>299</v>
      </c>
      <c r="D396" s="1675"/>
      <c r="E396" s="616"/>
      <c r="F396" s="646" t="s">
        <v>2165</v>
      </c>
      <c r="G396" s="528"/>
      <c r="H396" s="528"/>
      <c r="I396" s="528"/>
      <c r="J396" s="528"/>
      <c r="K396" s="528"/>
      <c r="L396" s="528"/>
      <c r="M396" s="528"/>
      <c r="N396" s="528"/>
      <c r="O396" s="528"/>
      <c r="P396" s="528"/>
      <c r="Q396" s="528"/>
      <c r="R396" s="528"/>
      <c r="S396" s="528"/>
      <c r="T396" s="528"/>
      <c r="U396" s="528"/>
      <c r="V396" s="528"/>
      <c r="W396" s="528"/>
      <c r="X396" s="528"/>
      <c r="Y396" s="528"/>
      <c r="Z396" s="528"/>
      <c r="AA396" s="528"/>
      <c r="AB396" s="528"/>
      <c r="AC396" s="528"/>
      <c r="AD396" s="528"/>
      <c r="AF396" s="1663" t="s">
        <v>2155</v>
      </c>
      <c r="AG396" s="1663"/>
      <c r="AH396" s="1663"/>
      <c r="AI396" s="1663"/>
      <c r="AJ396" s="1663"/>
      <c r="AK396" s="1663"/>
      <c r="AL396" s="1676"/>
      <c r="AM396" s="495"/>
      <c r="AN396" s="522"/>
      <c r="BS396" s="495"/>
      <c r="BT396" s="495"/>
      <c r="BY396" s="495"/>
      <c r="BZ396" s="495"/>
      <c r="CA396" s="495"/>
      <c r="CB396" s="495"/>
      <c r="CC396" s="495"/>
    </row>
    <row r="397" spans="1:81" s="475" customFormat="1" ht="12.75" customHeight="1">
      <c r="A397" s="461"/>
      <c r="B397" s="14"/>
      <c r="C397" s="656"/>
      <c r="D397" s="14"/>
      <c r="E397" s="616"/>
      <c r="G397" s="528"/>
      <c r="H397" s="528"/>
      <c r="I397" s="528"/>
      <c r="J397" s="528"/>
      <c r="K397" s="528"/>
      <c r="L397" s="528"/>
      <c r="M397" s="528"/>
      <c r="N397" s="528"/>
      <c r="O397" s="528"/>
      <c r="P397" s="528"/>
      <c r="Q397" s="528"/>
      <c r="R397" s="528"/>
      <c r="S397" s="528"/>
      <c r="T397" s="528"/>
      <c r="U397" s="528"/>
      <c r="V397" s="528"/>
      <c r="W397" s="528"/>
      <c r="X397" s="528"/>
      <c r="Y397" s="528"/>
      <c r="Z397" s="528"/>
      <c r="AA397" s="528"/>
      <c r="AB397" s="528"/>
      <c r="AC397" s="528"/>
      <c r="AD397" s="528"/>
      <c r="AL397" s="657"/>
      <c r="AM397" s="495"/>
      <c r="AN397" s="522"/>
      <c r="BS397" s="495"/>
      <c r="BT397" s="495"/>
      <c r="BY397" s="495"/>
      <c r="BZ397" s="495"/>
      <c r="CA397" s="495"/>
      <c r="CB397" s="495"/>
      <c r="CC397" s="495"/>
    </row>
    <row r="398" spans="1:81" s="475" customFormat="1" ht="12.75" customHeight="1">
      <c r="A398" s="461"/>
      <c r="B398" s="14"/>
      <c r="C398" s="1674" t="s">
        <v>299</v>
      </c>
      <c r="D398" s="1675"/>
      <c r="E398" s="644"/>
      <c r="F398" s="646" t="s">
        <v>2166</v>
      </c>
      <c r="G398" s="528"/>
      <c r="H398" s="528"/>
      <c r="I398" s="528"/>
      <c r="J398" s="528"/>
      <c r="K398" s="528"/>
      <c r="L398" s="528"/>
      <c r="M398" s="528"/>
      <c r="N398" s="528"/>
      <c r="O398" s="528"/>
      <c r="P398" s="528"/>
      <c r="Q398" s="528"/>
      <c r="R398" s="528"/>
      <c r="S398" s="528"/>
      <c r="T398" s="528"/>
      <c r="U398" s="528"/>
      <c r="V398" s="528"/>
      <c r="W398" s="528"/>
      <c r="X398" s="528"/>
      <c r="Y398" s="528"/>
      <c r="Z398" s="528"/>
      <c r="AA398" s="528"/>
      <c r="AB398" s="528"/>
      <c r="AC398" s="528"/>
      <c r="AD398" s="528"/>
      <c r="AF398" s="1663" t="s">
        <v>2167</v>
      </c>
      <c r="AG398" s="1663"/>
      <c r="AH398" s="1663"/>
      <c r="AI398" s="1663"/>
      <c r="AJ398" s="1663"/>
      <c r="AK398" s="1663"/>
      <c r="AL398" s="1676"/>
      <c r="AM398" s="495"/>
      <c r="AN398" s="522"/>
      <c r="BS398" s="495"/>
      <c r="BT398" s="495"/>
      <c r="BY398" s="495"/>
      <c r="BZ398" s="495"/>
      <c r="CA398" s="495"/>
      <c r="CB398" s="495"/>
      <c r="CC398" s="495"/>
    </row>
    <row r="399" spans="1:81" s="475" customFormat="1" ht="12.75" customHeight="1">
      <c r="A399" s="461"/>
      <c r="B399" s="14"/>
      <c r="C399" s="668"/>
      <c r="D399" s="652"/>
      <c r="E399" s="649"/>
      <c r="F399" s="652"/>
      <c r="G399" s="651"/>
      <c r="H399" s="651"/>
      <c r="I399" s="651"/>
      <c r="J399" s="651"/>
      <c r="K399" s="651"/>
      <c r="L399" s="651"/>
      <c r="M399" s="651"/>
      <c r="N399" s="651"/>
      <c r="O399" s="651"/>
      <c r="P399" s="651"/>
      <c r="Q399" s="651"/>
      <c r="R399" s="651"/>
      <c r="S399" s="651"/>
      <c r="T399" s="651"/>
      <c r="U399" s="651"/>
      <c r="V399" s="651"/>
      <c r="W399" s="651"/>
      <c r="X399" s="651"/>
      <c r="Y399" s="651"/>
      <c r="Z399" s="651"/>
      <c r="AA399" s="651"/>
      <c r="AB399" s="651"/>
      <c r="AC399" s="651"/>
      <c r="AD399" s="651"/>
      <c r="AE399" s="652"/>
      <c r="AF399" s="652"/>
      <c r="AG399" s="652"/>
      <c r="AH399" s="652"/>
      <c r="AI399" s="652"/>
      <c r="AJ399" s="652"/>
      <c r="AK399" s="652"/>
      <c r="AL399" s="667"/>
      <c r="AM399" s="495"/>
      <c r="AN399" s="522"/>
      <c r="BS399" s="495"/>
      <c r="BT399" s="495"/>
      <c r="BY399" s="495"/>
      <c r="BZ399" s="495"/>
      <c r="CA399" s="495"/>
      <c r="CB399" s="495"/>
      <c r="CC399" s="495"/>
    </row>
    <row r="400" spans="1:81" s="475" customFormat="1" ht="12.75" customHeight="1">
      <c r="A400" s="461"/>
      <c r="B400" s="14"/>
      <c r="C400" s="14"/>
      <c r="D400" s="14"/>
      <c r="E400" s="616"/>
      <c r="G400" s="528"/>
      <c r="H400" s="528"/>
      <c r="I400" s="528"/>
      <c r="J400" s="528"/>
      <c r="K400" s="528"/>
      <c r="L400" s="528"/>
      <c r="M400" s="528"/>
      <c r="N400" s="528"/>
      <c r="O400" s="528"/>
      <c r="P400" s="528"/>
      <c r="Q400" s="528"/>
      <c r="R400" s="528"/>
      <c r="S400" s="528"/>
      <c r="T400" s="528"/>
      <c r="U400" s="528"/>
      <c r="V400" s="528"/>
      <c r="W400" s="528"/>
      <c r="X400" s="528"/>
      <c r="Y400" s="528"/>
      <c r="Z400" s="528"/>
      <c r="AA400" s="528"/>
      <c r="AB400" s="528"/>
      <c r="AC400" s="528"/>
      <c r="AD400" s="528"/>
      <c r="AE400" s="461"/>
      <c r="AF400" s="464"/>
      <c r="AG400" s="461"/>
      <c r="AM400" s="495"/>
      <c r="AN400" s="522"/>
      <c r="BS400" s="495"/>
      <c r="BT400" s="495"/>
      <c r="BY400" s="495"/>
      <c r="BZ400" s="495"/>
      <c r="CA400" s="495"/>
      <c r="CB400" s="495"/>
      <c r="CC400" s="495"/>
    </row>
    <row r="401" spans="1:81" s="475" customFormat="1" ht="12.75" customHeight="1">
      <c r="A401" s="461"/>
      <c r="B401" s="14"/>
      <c r="C401" s="1674" t="s">
        <v>299</v>
      </c>
      <c r="D401" s="1675"/>
      <c r="E401" s="640" t="s">
        <v>2168</v>
      </c>
      <c r="F401" s="1664" t="s">
        <v>2169</v>
      </c>
      <c r="G401" s="1664"/>
      <c r="H401" s="1664"/>
      <c r="I401" s="1664"/>
      <c r="J401" s="1664"/>
      <c r="K401" s="1664"/>
      <c r="L401" s="1664"/>
      <c r="M401" s="1664"/>
      <c r="N401" s="1664"/>
      <c r="O401" s="1664"/>
      <c r="P401" s="1664"/>
      <c r="Q401" s="1664"/>
      <c r="R401" s="1664"/>
      <c r="S401" s="1664"/>
      <c r="T401" s="1664"/>
      <c r="U401" s="1664"/>
      <c r="V401" s="1664"/>
      <c r="W401" s="1664"/>
      <c r="X401" s="1664"/>
      <c r="Y401" s="1664"/>
      <c r="Z401" s="1664"/>
      <c r="AA401" s="1664"/>
      <c r="AB401" s="1664"/>
      <c r="AC401" s="1664"/>
      <c r="AD401" s="1664"/>
      <c r="AE401" s="1664"/>
      <c r="AF401" s="641"/>
      <c r="AG401" s="669"/>
      <c r="AH401" s="639"/>
      <c r="AI401" s="639"/>
      <c r="AJ401" s="639"/>
      <c r="AK401" s="639"/>
      <c r="AL401" s="670"/>
      <c r="AM401" s="495"/>
      <c r="AN401" s="522"/>
      <c r="BS401" s="495"/>
      <c r="BT401" s="495"/>
      <c r="BY401" s="495"/>
      <c r="BZ401" s="495"/>
      <c r="CA401" s="495"/>
      <c r="CB401" s="495"/>
      <c r="CC401" s="495"/>
    </row>
    <row r="402" spans="1:81" s="475" customFormat="1" ht="12.75" customHeight="1">
      <c r="A402" s="461"/>
      <c r="B402" s="14"/>
      <c r="C402" s="664"/>
      <c r="F402" s="1665"/>
      <c r="G402" s="1665"/>
      <c r="H402" s="1665"/>
      <c r="I402" s="1665"/>
      <c r="J402" s="1665"/>
      <c r="K402" s="1665"/>
      <c r="L402" s="1665"/>
      <c r="M402" s="1665"/>
      <c r="N402" s="1665"/>
      <c r="O402" s="1665"/>
      <c r="P402" s="1665"/>
      <c r="Q402" s="1665"/>
      <c r="R402" s="1665"/>
      <c r="S402" s="1665"/>
      <c r="T402" s="1665"/>
      <c r="U402" s="1665"/>
      <c r="V402" s="1665"/>
      <c r="W402" s="1665"/>
      <c r="X402" s="1665"/>
      <c r="Y402" s="1665"/>
      <c r="Z402" s="1665"/>
      <c r="AA402" s="1665"/>
      <c r="AB402" s="1665"/>
      <c r="AC402" s="1665"/>
      <c r="AD402" s="1665"/>
      <c r="AE402" s="1665"/>
      <c r="AF402" s="1733" t="s">
        <v>2155</v>
      </c>
      <c r="AG402" s="1733"/>
      <c r="AH402" s="1733"/>
      <c r="AI402" s="1733"/>
      <c r="AJ402" s="1733"/>
      <c r="AK402" s="1733"/>
      <c r="AL402" s="1763"/>
      <c r="AM402" s="495"/>
      <c r="AN402" s="522"/>
      <c r="BS402" s="495"/>
      <c r="BT402" s="495"/>
      <c r="BY402" s="495"/>
      <c r="BZ402" s="495"/>
      <c r="CA402" s="495"/>
      <c r="CB402" s="495"/>
      <c r="CC402" s="495"/>
    </row>
    <row r="403" spans="1:81" s="475" customFormat="1" ht="12.75" customHeight="1">
      <c r="A403" s="461"/>
      <c r="B403" s="14"/>
      <c r="C403" s="656"/>
      <c r="D403" s="14"/>
      <c r="E403" s="616"/>
      <c r="F403" s="1665"/>
      <c r="G403" s="1665"/>
      <c r="H403" s="1665"/>
      <c r="I403" s="1665"/>
      <c r="J403" s="1665"/>
      <c r="K403" s="1665"/>
      <c r="L403" s="1665"/>
      <c r="M403" s="1665"/>
      <c r="N403" s="1665"/>
      <c r="O403" s="1665"/>
      <c r="P403" s="1665"/>
      <c r="Q403" s="1665"/>
      <c r="R403" s="1665"/>
      <c r="S403" s="1665"/>
      <c r="T403" s="1665"/>
      <c r="U403" s="1665"/>
      <c r="V403" s="1665"/>
      <c r="W403" s="1665"/>
      <c r="X403" s="1665"/>
      <c r="Y403" s="1665"/>
      <c r="Z403" s="1665"/>
      <c r="AA403" s="1665"/>
      <c r="AB403" s="1665"/>
      <c r="AC403" s="1665"/>
      <c r="AD403" s="1665"/>
      <c r="AE403" s="1665"/>
      <c r="AL403" s="657"/>
      <c r="AM403" s="495"/>
      <c r="AN403" s="522"/>
      <c r="BS403" s="495"/>
      <c r="BT403" s="495"/>
      <c r="BU403" s="495"/>
      <c r="BV403" s="495"/>
      <c r="BW403" s="495"/>
      <c r="BX403" s="495"/>
      <c r="BY403" s="495"/>
      <c r="BZ403" s="495"/>
      <c r="CA403" s="495"/>
      <c r="CB403" s="495"/>
      <c r="CC403" s="495"/>
    </row>
    <row r="404" spans="1:81" s="475" customFormat="1" ht="12.75" customHeight="1">
      <c r="A404" s="461"/>
      <c r="B404" s="14"/>
      <c r="C404" s="665"/>
      <c r="D404" s="658"/>
      <c r="E404" s="659"/>
      <c r="F404" s="1747"/>
      <c r="G404" s="1747"/>
      <c r="H404" s="1747"/>
      <c r="I404" s="1747"/>
      <c r="J404" s="1747"/>
      <c r="K404" s="1747"/>
      <c r="L404" s="1747"/>
      <c r="M404" s="1747"/>
      <c r="N404" s="1747"/>
      <c r="O404" s="1747"/>
      <c r="P404" s="1747"/>
      <c r="Q404" s="1747"/>
      <c r="R404" s="1747"/>
      <c r="S404" s="1747"/>
      <c r="T404" s="1747"/>
      <c r="U404" s="1747"/>
      <c r="V404" s="1747"/>
      <c r="W404" s="1747"/>
      <c r="X404" s="1747"/>
      <c r="Y404" s="1747"/>
      <c r="Z404" s="1747"/>
      <c r="AA404" s="1747"/>
      <c r="AB404" s="1747"/>
      <c r="AC404" s="1747"/>
      <c r="AD404" s="1747"/>
      <c r="AE404" s="1747"/>
      <c r="AF404" s="508"/>
      <c r="AG404" s="662"/>
      <c r="AH404" s="652"/>
      <c r="AI404" s="652"/>
      <c r="AJ404" s="652"/>
      <c r="AK404" s="652"/>
      <c r="AL404" s="667"/>
      <c r="AM404" s="495"/>
      <c r="AN404" s="522"/>
    </row>
    <row r="405" spans="1:81">
      <c r="A405" s="461"/>
      <c r="E405" s="616"/>
      <c r="F405" s="528"/>
      <c r="G405" s="528"/>
      <c r="H405" s="528"/>
      <c r="I405" s="528"/>
      <c r="J405" s="528"/>
      <c r="K405" s="528"/>
      <c r="L405" s="528"/>
      <c r="M405" s="528"/>
      <c r="N405" s="528"/>
      <c r="O405" s="528"/>
      <c r="P405" s="528"/>
      <c r="Q405" s="528"/>
      <c r="R405" s="528"/>
      <c r="S405" s="528"/>
      <c r="T405" s="528"/>
      <c r="U405" s="528"/>
      <c r="V405" s="528"/>
      <c r="W405" s="528"/>
      <c r="X405" s="528"/>
      <c r="Y405" s="528"/>
      <c r="Z405" s="528"/>
      <c r="AA405" s="528"/>
      <c r="AB405" s="528"/>
      <c r="AC405" s="528"/>
      <c r="AD405" s="528"/>
      <c r="AE405" s="461"/>
      <c r="AF405" s="464"/>
      <c r="AG405" s="461"/>
      <c r="AH405" s="475"/>
      <c r="AI405" s="475"/>
      <c r="AJ405" s="475"/>
      <c r="AK405" s="475"/>
      <c r="AL405" s="475"/>
      <c r="AM405" s="495"/>
    </row>
    <row r="406" spans="1:81" ht="12.75" customHeight="1">
      <c r="A406" s="461"/>
      <c r="C406" s="671"/>
      <c r="D406" s="672"/>
      <c r="E406" s="640" t="s">
        <v>2170</v>
      </c>
      <c r="F406" s="1664" t="s">
        <v>2171</v>
      </c>
      <c r="G406" s="1664"/>
      <c r="H406" s="1664"/>
      <c r="I406" s="1664"/>
      <c r="J406" s="1664"/>
      <c r="K406" s="1664"/>
      <c r="L406" s="1664"/>
      <c r="M406" s="1664"/>
      <c r="N406" s="1664"/>
      <c r="O406" s="1664"/>
      <c r="P406" s="1664"/>
      <c r="Q406" s="1664"/>
      <c r="R406" s="1664"/>
      <c r="S406" s="1664"/>
      <c r="T406" s="1664"/>
      <c r="U406" s="1664"/>
      <c r="V406" s="1664"/>
      <c r="W406" s="1664"/>
      <c r="X406" s="1664"/>
      <c r="Y406" s="1664"/>
      <c r="Z406" s="1664"/>
      <c r="AA406" s="1664"/>
      <c r="AB406" s="1664"/>
      <c r="AC406" s="1664"/>
      <c r="AD406" s="1664"/>
      <c r="AE406" s="1664"/>
      <c r="AF406" s="672"/>
      <c r="AG406" s="672"/>
      <c r="AH406" s="672"/>
      <c r="AI406" s="672"/>
      <c r="AJ406" s="672"/>
      <c r="AK406" s="672"/>
      <c r="AL406" s="673"/>
      <c r="AM406" s="495"/>
    </row>
    <row r="407" spans="1:81">
      <c r="A407" s="461"/>
      <c r="C407" s="656"/>
      <c r="E407" s="616"/>
      <c r="F407" s="1665"/>
      <c r="G407" s="1665"/>
      <c r="H407" s="1665"/>
      <c r="I407" s="1665"/>
      <c r="J407" s="1665"/>
      <c r="K407" s="1665"/>
      <c r="L407" s="1665"/>
      <c r="M407" s="1665"/>
      <c r="N407" s="1665"/>
      <c r="O407" s="1665"/>
      <c r="P407" s="1665"/>
      <c r="Q407" s="1665"/>
      <c r="R407" s="1665"/>
      <c r="S407" s="1665"/>
      <c r="T407" s="1665"/>
      <c r="U407" s="1665"/>
      <c r="V407" s="1665"/>
      <c r="W407" s="1665"/>
      <c r="X407" s="1665"/>
      <c r="Y407" s="1665"/>
      <c r="Z407" s="1665"/>
      <c r="AA407" s="1665"/>
      <c r="AB407" s="1665"/>
      <c r="AC407" s="1665"/>
      <c r="AD407" s="1665"/>
      <c r="AE407" s="1665"/>
      <c r="AF407" s="464"/>
      <c r="AG407" s="461"/>
      <c r="AH407" s="475"/>
      <c r="AI407" s="475"/>
      <c r="AJ407" s="475"/>
      <c r="AK407" s="475"/>
      <c r="AL407" s="657"/>
      <c r="AM407" s="495"/>
    </row>
    <row r="408" spans="1:81" s="475" customFormat="1" ht="12.75" customHeight="1">
      <c r="A408" s="461"/>
      <c r="B408" s="14"/>
      <c r="C408" s="656"/>
      <c r="D408" s="14"/>
      <c r="E408" s="616"/>
      <c r="F408" s="1665"/>
      <c r="G408" s="1665"/>
      <c r="H408" s="1665"/>
      <c r="I408" s="1665"/>
      <c r="J408" s="1665"/>
      <c r="K408" s="1665"/>
      <c r="L408" s="1665"/>
      <c r="M408" s="1665"/>
      <c r="N408" s="1665"/>
      <c r="O408" s="1665"/>
      <c r="P408" s="1665"/>
      <c r="Q408" s="1665"/>
      <c r="R408" s="1665"/>
      <c r="S408" s="1665"/>
      <c r="T408" s="1665"/>
      <c r="U408" s="1665"/>
      <c r="V408" s="1665"/>
      <c r="W408" s="1665"/>
      <c r="X408" s="1665"/>
      <c r="Y408" s="1665"/>
      <c r="Z408" s="1665"/>
      <c r="AA408" s="1665"/>
      <c r="AB408" s="1665"/>
      <c r="AC408" s="1665"/>
      <c r="AD408" s="1665"/>
      <c r="AE408" s="1665"/>
      <c r="AL408" s="657"/>
      <c r="AM408" s="495"/>
      <c r="AN408" s="522"/>
    </row>
    <row r="409" spans="1:81" s="475" customFormat="1" ht="12.75" customHeight="1">
      <c r="A409" s="461"/>
      <c r="B409" s="14"/>
      <c r="C409" s="664"/>
      <c r="F409" s="1665"/>
      <c r="G409" s="1665"/>
      <c r="H409" s="1665"/>
      <c r="I409" s="1665"/>
      <c r="J409" s="1665"/>
      <c r="K409" s="1665"/>
      <c r="L409" s="1665"/>
      <c r="M409" s="1665"/>
      <c r="N409" s="1665"/>
      <c r="O409" s="1665"/>
      <c r="P409" s="1665"/>
      <c r="Q409" s="1665"/>
      <c r="R409" s="1665"/>
      <c r="S409" s="1665"/>
      <c r="T409" s="1665"/>
      <c r="U409" s="1665"/>
      <c r="V409" s="1665"/>
      <c r="W409" s="1665"/>
      <c r="X409" s="1665"/>
      <c r="Y409" s="1665"/>
      <c r="Z409" s="1665"/>
      <c r="AA409" s="1665"/>
      <c r="AB409" s="1665"/>
      <c r="AC409" s="1665"/>
      <c r="AD409" s="1665"/>
      <c r="AE409" s="1665"/>
      <c r="AL409" s="657"/>
      <c r="AM409" s="495"/>
      <c r="AN409" s="522"/>
    </row>
    <row r="410" spans="1:81" s="475" customFormat="1" ht="12.75" customHeight="1">
      <c r="A410" s="461"/>
      <c r="B410" s="14"/>
      <c r="C410" s="1674" t="s">
        <v>837</v>
      </c>
      <c r="D410" s="1675"/>
      <c r="E410" s="616"/>
      <c r="F410" s="646" t="s">
        <v>2172</v>
      </c>
      <c r="G410" s="528"/>
      <c r="H410" s="528"/>
      <c r="I410" s="528"/>
      <c r="J410" s="528"/>
      <c r="K410" s="528"/>
      <c r="L410" s="528"/>
      <c r="M410" s="528"/>
      <c r="N410" s="528"/>
      <c r="O410" s="528"/>
      <c r="P410" s="528"/>
      <c r="Q410" s="528"/>
      <c r="R410" s="528"/>
      <c r="S410" s="528"/>
      <c r="T410" s="528"/>
      <c r="U410" s="528"/>
      <c r="V410" s="528"/>
      <c r="W410" s="528"/>
      <c r="X410" s="528"/>
      <c r="Y410" s="528"/>
      <c r="Z410" s="528"/>
      <c r="AA410" s="528"/>
      <c r="AB410" s="528"/>
      <c r="AC410" s="528"/>
      <c r="AD410" s="528"/>
      <c r="AF410" s="1733" t="s">
        <v>2155</v>
      </c>
      <c r="AG410" s="1733"/>
      <c r="AH410" s="1733"/>
      <c r="AI410" s="1733"/>
      <c r="AJ410" s="1733"/>
      <c r="AK410" s="1733"/>
      <c r="AL410" s="1763"/>
      <c r="AM410" s="495"/>
      <c r="AN410" s="522"/>
    </row>
    <row r="411" spans="1:81" s="475" customFormat="1" ht="12.75" customHeight="1">
      <c r="A411" s="461"/>
      <c r="B411" s="14"/>
      <c r="C411" s="664"/>
      <c r="AL411" s="657"/>
      <c r="AM411" s="495"/>
      <c r="AN411" s="522"/>
    </row>
    <row r="412" spans="1:81" s="475" customFormat="1" ht="12.75" customHeight="1">
      <c r="A412" s="461"/>
      <c r="B412" s="14"/>
      <c r="C412" s="1674" t="s">
        <v>299</v>
      </c>
      <c r="D412" s="1675"/>
      <c r="E412" s="644"/>
      <c r="F412" s="646" t="s">
        <v>2173</v>
      </c>
      <c r="G412" s="528"/>
      <c r="H412" s="528"/>
      <c r="I412" s="528"/>
      <c r="J412" s="528"/>
      <c r="K412" s="528"/>
      <c r="L412" s="528"/>
      <c r="M412" s="528"/>
      <c r="N412" s="528"/>
      <c r="O412" s="528"/>
      <c r="P412" s="528"/>
      <c r="Q412" s="528"/>
      <c r="R412" s="528"/>
      <c r="S412" s="528"/>
      <c r="T412" s="528"/>
      <c r="U412" s="528"/>
      <c r="V412" s="528"/>
      <c r="W412" s="528"/>
      <c r="X412" s="528"/>
      <c r="Y412" s="528"/>
      <c r="Z412" s="528"/>
      <c r="AA412" s="528"/>
      <c r="AB412" s="528"/>
      <c r="AC412" s="528"/>
      <c r="AD412" s="528"/>
      <c r="AF412" s="1733" t="s">
        <v>2167</v>
      </c>
      <c r="AG412" s="1733"/>
      <c r="AH412" s="1733"/>
      <c r="AI412" s="1733"/>
      <c r="AJ412" s="1733"/>
      <c r="AK412" s="1733"/>
      <c r="AL412" s="1763"/>
      <c r="AM412" s="495"/>
      <c r="AN412" s="522"/>
      <c r="AO412" s="521"/>
      <c r="AP412" s="521"/>
      <c r="BC412" s="14"/>
    </row>
    <row r="413" spans="1:81" s="475" customFormat="1" ht="12.75" customHeight="1">
      <c r="A413" s="461"/>
      <c r="B413" s="14"/>
      <c r="C413" s="658"/>
      <c r="D413" s="658"/>
      <c r="E413" s="659"/>
      <c r="F413" s="650"/>
      <c r="G413" s="651"/>
      <c r="H413" s="651"/>
      <c r="I413" s="651"/>
      <c r="J413" s="651"/>
      <c r="K413" s="651"/>
      <c r="L413" s="651"/>
      <c r="M413" s="651"/>
      <c r="N413" s="651"/>
      <c r="O413" s="651"/>
      <c r="P413" s="651"/>
      <c r="Q413" s="651"/>
      <c r="R413" s="651"/>
      <c r="S413" s="651"/>
      <c r="T413" s="651"/>
      <c r="U413" s="651"/>
      <c r="V413" s="651"/>
      <c r="W413" s="651"/>
      <c r="X413" s="651"/>
      <c r="Y413" s="651"/>
      <c r="Z413" s="651"/>
      <c r="AA413" s="651"/>
      <c r="AB413" s="651"/>
      <c r="AC413" s="651"/>
      <c r="AD413" s="651"/>
      <c r="AE413" s="662"/>
      <c r="AF413" s="508"/>
      <c r="AG413" s="662"/>
      <c r="AH413" s="652"/>
      <c r="AI413" s="652"/>
      <c r="AJ413" s="652"/>
      <c r="AK413" s="652"/>
      <c r="AL413" s="667"/>
      <c r="AM413" s="495"/>
      <c r="AN413" s="522"/>
    </row>
    <row r="414" spans="1:81" s="475" customFormat="1" ht="12.75" customHeight="1">
      <c r="A414" s="461"/>
      <c r="B414" s="14"/>
      <c r="C414" s="14"/>
      <c r="D414" s="14"/>
      <c r="E414" s="616"/>
      <c r="F414" s="646"/>
      <c r="G414" s="528"/>
      <c r="H414" s="528"/>
      <c r="I414" s="528"/>
      <c r="J414" s="528"/>
      <c r="K414" s="528"/>
      <c r="L414" s="528"/>
      <c r="M414" s="528"/>
      <c r="N414" s="528"/>
      <c r="O414" s="528"/>
      <c r="P414" s="528"/>
      <c r="Q414" s="528"/>
      <c r="R414" s="528"/>
      <c r="S414" s="528"/>
      <c r="T414" s="528"/>
      <c r="U414" s="528"/>
      <c r="V414" s="528"/>
      <c r="W414" s="528"/>
      <c r="X414" s="528"/>
      <c r="Y414" s="528"/>
      <c r="Z414" s="528"/>
      <c r="AA414" s="528"/>
      <c r="AB414" s="528"/>
      <c r="AC414" s="528"/>
      <c r="AD414" s="528"/>
      <c r="AE414" s="461"/>
      <c r="AF414" s="464"/>
      <c r="AG414" s="461"/>
      <c r="AM414" s="495"/>
      <c r="AN414" s="522"/>
    </row>
    <row r="415" spans="1:81" s="475" customFormat="1" ht="12.75" customHeight="1">
      <c r="A415" s="461"/>
      <c r="B415" s="14"/>
      <c r="C415" s="637" t="s">
        <v>2174</v>
      </c>
      <c r="D415" s="14"/>
      <c r="E415" s="616"/>
      <c r="F415" s="528"/>
      <c r="G415" s="528"/>
      <c r="H415" s="528"/>
      <c r="I415" s="528"/>
      <c r="J415" s="528"/>
      <c r="K415" s="528"/>
      <c r="L415" s="528"/>
      <c r="M415" s="528"/>
      <c r="N415" s="528"/>
      <c r="O415" s="528"/>
      <c r="P415" s="528"/>
      <c r="Q415" s="528"/>
      <c r="R415" s="528"/>
      <c r="S415" s="528"/>
      <c r="T415" s="528"/>
      <c r="U415" s="528"/>
      <c r="V415" s="528"/>
      <c r="W415" s="528"/>
      <c r="X415" s="528"/>
      <c r="Y415" s="528"/>
      <c r="Z415" s="528"/>
      <c r="AA415" s="528"/>
      <c r="AB415" s="528"/>
      <c r="AC415" s="528"/>
      <c r="AD415" s="528"/>
      <c r="AE415" s="461"/>
      <c r="AF415" s="464"/>
      <c r="AG415" s="461"/>
      <c r="AM415" s="495"/>
      <c r="AN415" s="522"/>
    </row>
    <row r="416" spans="1:81" s="475" customFormat="1" ht="12.75" customHeight="1">
      <c r="A416" s="461"/>
      <c r="B416" s="14"/>
      <c r="C416" s="638"/>
      <c r="D416" s="639"/>
      <c r="E416" s="640" t="s">
        <v>2175</v>
      </c>
      <c r="F416" s="1664" t="s">
        <v>2176</v>
      </c>
      <c r="G416" s="1664"/>
      <c r="H416" s="1664"/>
      <c r="I416" s="1664"/>
      <c r="J416" s="1664"/>
      <c r="K416" s="1664"/>
      <c r="L416" s="1664"/>
      <c r="M416" s="1664"/>
      <c r="N416" s="1664"/>
      <c r="O416" s="1664"/>
      <c r="P416" s="1664"/>
      <c r="Q416" s="1664"/>
      <c r="R416" s="1664"/>
      <c r="S416" s="1664"/>
      <c r="T416" s="1664"/>
      <c r="U416" s="1664"/>
      <c r="V416" s="1664"/>
      <c r="W416" s="1664"/>
      <c r="X416" s="1664"/>
      <c r="Y416" s="1664"/>
      <c r="Z416" s="1664"/>
      <c r="AA416" s="1664"/>
      <c r="AB416" s="1664"/>
      <c r="AC416" s="1664"/>
      <c r="AD416" s="1664"/>
      <c r="AE416" s="1664"/>
      <c r="AF416" s="639"/>
      <c r="AG416" s="639"/>
      <c r="AH416" s="639"/>
      <c r="AI416" s="639"/>
      <c r="AJ416" s="639"/>
      <c r="AK416" s="639"/>
      <c r="AL416" s="670"/>
      <c r="AM416" s="495"/>
      <c r="AN416" s="522"/>
    </row>
    <row r="417" spans="1:60" s="475" customFormat="1" ht="12.75" customHeight="1">
      <c r="A417" s="461"/>
      <c r="B417" s="14"/>
      <c r="C417" s="656"/>
      <c r="D417" s="14"/>
      <c r="E417" s="616"/>
      <c r="F417" s="1665"/>
      <c r="G417" s="1665"/>
      <c r="H417" s="1665"/>
      <c r="I417" s="1665"/>
      <c r="J417" s="1665"/>
      <c r="K417" s="1665"/>
      <c r="L417" s="1665"/>
      <c r="M417" s="1665"/>
      <c r="N417" s="1665"/>
      <c r="O417" s="1665"/>
      <c r="P417" s="1665"/>
      <c r="Q417" s="1665"/>
      <c r="R417" s="1665"/>
      <c r="S417" s="1665"/>
      <c r="T417" s="1665"/>
      <c r="U417" s="1665"/>
      <c r="V417" s="1665"/>
      <c r="W417" s="1665"/>
      <c r="X417" s="1665"/>
      <c r="Y417" s="1665"/>
      <c r="Z417" s="1665"/>
      <c r="AA417" s="1665"/>
      <c r="AB417" s="1665"/>
      <c r="AC417" s="1665"/>
      <c r="AD417" s="1665"/>
      <c r="AE417" s="1665"/>
      <c r="AF417" s="464"/>
      <c r="AG417" s="461"/>
      <c r="AL417" s="657"/>
      <c r="AM417" s="495"/>
      <c r="AN417" s="522"/>
    </row>
    <row r="418" spans="1:60" s="475" customFormat="1" ht="12.6" customHeight="1">
      <c r="A418" s="461"/>
      <c r="B418" s="14"/>
      <c r="C418" s="656"/>
      <c r="D418" s="14"/>
      <c r="E418" s="616"/>
      <c r="F418" s="1665"/>
      <c r="G418" s="1665"/>
      <c r="H418" s="1665"/>
      <c r="I418" s="1665"/>
      <c r="J418" s="1665"/>
      <c r="K418" s="1665"/>
      <c r="L418" s="1665"/>
      <c r="M418" s="1665"/>
      <c r="N418" s="1665"/>
      <c r="O418" s="1665"/>
      <c r="P418" s="1665"/>
      <c r="Q418" s="1665"/>
      <c r="R418" s="1665"/>
      <c r="S418" s="1665"/>
      <c r="T418" s="1665"/>
      <c r="U418" s="1665"/>
      <c r="V418" s="1665"/>
      <c r="W418" s="1665"/>
      <c r="X418" s="1665"/>
      <c r="Y418" s="1665"/>
      <c r="Z418" s="1665"/>
      <c r="AA418" s="1665"/>
      <c r="AB418" s="1665"/>
      <c r="AC418" s="1665"/>
      <c r="AD418" s="1665"/>
      <c r="AE418" s="1665"/>
      <c r="AL418" s="657"/>
      <c r="AM418" s="495"/>
      <c r="AN418" s="522"/>
    </row>
    <row r="419" spans="1:60" s="475" customFormat="1" ht="12.75" customHeight="1">
      <c r="A419" s="461"/>
      <c r="B419" s="14"/>
      <c r="C419" s="1674" t="s">
        <v>299</v>
      </c>
      <c r="D419" s="1675"/>
      <c r="E419" s="616"/>
      <c r="F419" s="646" t="s">
        <v>2177</v>
      </c>
      <c r="G419" s="674"/>
      <c r="H419" s="674"/>
      <c r="I419" s="674"/>
      <c r="J419" s="674"/>
      <c r="K419" s="674"/>
      <c r="L419" s="674"/>
      <c r="M419" s="674"/>
      <c r="N419" s="674"/>
      <c r="O419" s="674"/>
      <c r="P419" s="674"/>
      <c r="Q419" s="674"/>
      <c r="R419" s="674"/>
      <c r="S419" s="674"/>
      <c r="T419" s="674"/>
      <c r="U419" s="674"/>
      <c r="V419" s="674"/>
      <c r="W419" s="674"/>
      <c r="X419" s="674"/>
      <c r="Y419" s="674"/>
      <c r="Z419" s="674"/>
      <c r="AA419" s="674"/>
      <c r="AB419" s="674"/>
      <c r="AC419" s="674"/>
      <c r="AD419" s="674"/>
      <c r="AF419" s="1733" t="s">
        <v>2155</v>
      </c>
      <c r="AG419" s="1733"/>
      <c r="AH419" s="1733"/>
      <c r="AI419" s="1733"/>
      <c r="AJ419" s="1733"/>
      <c r="AK419" s="1733"/>
      <c r="AL419" s="1763"/>
      <c r="AM419" s="495"/>
      <c r="AN419" s="522"/>
    </row>
    <row r="420" spans="1:60" s="475" customFormat="1" ht="12.75" customHeight="1">
      <c r="A420" s="461"/>
      <c r="B420" s="14"/>
      <c r="C420" s="668"/>
      <c r="D420" s="652"/>
      <c r="E420" s="649"/>
      <c r="F420" s="666"/>
      <c r="G420" s="651"/>
      <c r="H420" s="651"/>
      <c r="I420" s="651"/>
      <c r="J420" s="651"/>
      <c r="K420" s="651"/>
      <c r="L420" s="651"/>
      <c r="M420" s="651"/>
      <c r="N420" s="651"/>
      <c r="O420" s="651"/>
      <c r="P420" s="651"/>
      <c r="Q420" s="651"/>
      <c r="R420" s="651"/>
      <c r="S420" s="651"/>
      <c r="T420" s="651"/>
      <c r="U420" s="651"/>
      <c r="V420" s="651"/>
      <c r="W420" s="651"/>
      <c r="X420" s="651"/>
      <c r="Y420" s="651"/>
      <c r="Z420" s="651"/>
      <c r="AA420" s="651"/>
      <c r="AB420" s="651"/>
      <c r="AC420" s="651"/>
      <c r="AD420" s="651"/>
      <c r="AE420" s="652"/>
      <c r="AF420" s="652"/>
      <c r="AG420" s="652"/>
      <c r="AH420" s="652"/>
      <c r="AI420" s="652"/>
      <c r="AJ420" s="652"/>
      <c r="AK420" s="652"/>
      <c r="AL420" s="667"/>
      <c r="AM420" s="495"/>
      <c r="AN420" s="522"/>
    </row>
    <row r="421" spans="1:60" s="475" customFormat="1" ht="12.75" customHeight="1">
      <c r="A421" s="461"/>
      <c r="B421" s="14"/>
      <c r="C421" s="655"/>
      <c r="D421" s="655"/>
      <c r="E421" s="644"/>
      <c r="F421" s="646"/>
      <c r="G421" s="528"/>
      <c r="H421" s="528"/>
      <c r="I421" s="528"/>
      <c r="J421" s="528"/>
      <c r="K421" s="528"/>
      <c r="L421" s="528"/>
      <c r="M421" s="528"/>
      <c r="N421" s="528"/>
      <c r="O421" s="528"/>
      <c r="P421" s="528"/>
      <c r="Q421" s="528"/>
      <c r="R421" s="528"/>
      <c r="S421" s="528"/>
      <c r="T421" s="528"/>
      <c r="U421" s="528"/>
      <c r="V421" s="528"/>
      <c r="W421" s="528"/>
      <c r="X421" s="528"/>
      <c r="Y421" s="528"/>
      <c r="Z421" s="528"/>
      <c r="AA421" s="528"/>
      <c r="AB421" s="528"/>
      <c r="AC421" s="528"/>
      <c r="AD421" s="528"/>
      <c r="AE421" s="461"/>
      <c r="AM421" s="495"/>
      <c r="AN421" s="522"/>
    </row>
    <row r="422" spans="1:60" ht="13.35" customHeight="1">
      <c r="A422" s="461"/>
      <c r="C422" s="671"/>
      <c r="D422" s="672"/>
      <c r="E422" s="640" t="s">
        <v>2178</v>
      </c>
      <c r="F422" s="1664" t="s">
        <v>2179</v>
      </c>
      <c r="G422" s="1664"/>
      <c r="H422" s="1664"/>
      <c r="I422" s="1664"/>
      <c r="J422" s="1664"/>
      <c r="K422" s="1664"/>
      <c r="L422" s="1664"/>
      <c r="M422" s="1664"/>
      <c r="N422" s="1664"/>
      <c r="O422" s="1664"/>
      <c r="P422" s="1664"/>
      <c r="Q422" s="1664"/>
      <c r="R422" s="1664"/>
      <c r="S422" s="1664"/>
      <c r="T422" s="1664"/>
      <c r="U422" s="1664"/>
      <c r="V422" s="1664"/>
      <c r="W422" s="1664"/>
      <c r="X422" s="1664"/>
      <c r="Y422" s="1664"/>
      <c r="Z422" s="1664"/>
      <c r="AA422" s="1664"/>
      <c r="AB422" s="1664"/>
      <c r="AC422" s="1664"/>
      <c r="AD422" s="1664"/>
      <c r="AE422" s="1664"/>
      <c r="AF422" s="672"/>
      <c r="AG422" s="672"/>
      <c r="AH422" s="672"/>
      <c r="AI422" s="672"/>
      <c r="AJ422" s="672"/>
      <c r="AK422" s="672"/>
      <c r="AL422" s="673"/>
      <c r="AM422" s="495"/>
      <c r="AO422" s="475"/>
      <c r="AP422" s="475"/>
      <c r="BD422" s="14"/>
      <c r="BE422" s="14"/>
      <c r="BF422" s="14"/>
      <c r="BG422" s="14"/>
      <c r="BH422" s="14"/>
    </row>
    <row r="423" spans="1:60">
      <c r="A423" s="461"/>
      <c r="C423" s="656"/>
      <c r="E423" s="616"/>
      <c r="F423" s="1665"/>
      <c r="G423" s="1665"/>
      <c r="H423" s="1665"/>
      <c r="I423" s="1665"/>
      <c r="J423" s="1665"/>
      <c r="K423" s="1665"/>
      <c r="L423" s="1665"/>
      <c r="M423" s="1665"/>
      <c r="N423" s="1665"/>
      <c r="O423" s="1665"/>
      <c r="P423" s="1665"/>
      <c r="Q423" s="1665"/>
      <c r="R423" s="1665"/>
      <c r="S423" s="1665"/>
      <c r="T423" s="1665"/>
      <c r="U423" s="1665"/>
      <c r="V423" s="1665"/>
      <c r="W423" s="1665"/>
      <c r="X423" s="1665"/>
      <c r="Y423" s="1665"/>
      <c r="Z423" s="1665"/>
      <c r="AA423" s="1665"/>
      <c r="AB423" s="1665"/>
      <c r="AC423" s="1665"/>
      <c r="AD423" s="1665"/>
      <c r="AE423" s="1665"/>
      <c r="AF423" s="519"/>
      <c r="AG423" s="519"/>
      <c r="AH423" s="519"/>
      <c r="AI423" s="519"/>
      <c r="AJ423" s="519"/>
      <c r="AK423" s="519"/>
      <c r="AL423" s="675"/>
      <c r="AM423" s="495"/>
      <c r="AO423" s="475"/>
      <c r="AP423" s="475"/>
    </row>
    <row r="424" spans="1:60" s="475" customFormat="1" ht="12.75" customHeight="1">
      <c r="A424" s="461"/>
      <c r="B424" s="14"/>
      <c r="C424" s="656"/>
      <c r="D424" s="14"/>
      <c r="E424" s="616"/>
      <c r="F424" s="1665"/>
      <c r="G424" s="1665"/>
      <c r="H424" s="1665"/>
      <c r="I424" s="1665"/>
      <c r="J424" s="1665"/>
      <c r="K424" s="1665"/>
      <c r="L424" s="1665"/>
      <c r="M424" s="1665"/>
      <c r="N424" s="1665"/>
      <c r="O424" s="1665"/>
      <c r="P424" s="1665"/>
      <c r="Q424" s="1665"/>
      <c r="R424" s="1665"/>
      <c r="S424" s="1665"/>
      <c r="T424" s="1665"/>
      <c r="U424" s="1665"/>
      <c r="V424" s="1665"/>
      <c r="W424" s="1665"/>
      <c r="X424" s="1665"/>
      <c r="Y424" s="1665"/>
      <c r="Z424" s="1665"/>
      <c r="AA424" s="1665"/>
      <c r="AB424" s="1665"/>
      <c r="AC424" s="1665"/>
      <c r="AD424" s="1665"/>
      <c r="AE424" s="1665"/>
      <c r="AF424" s="519"/>
      <c r="AG424" s="519"/>
      <c r="AH424" s="519"/>
      <c r="AI424" s="519"/>
      <c r="AJ424" s="519"/>
      <c r="AK424" s="519"/>
      <c r="AL424" s="675"/>
      <c r="AM424" s="495"/>
      <c r="AN424" s="522"/>
    </row>
    <row r="425" spans="1:60" s="475" customFormat="1" ht="12.75" customHeight="1">
      <c r="A425" s="461"/>
      <c r="B425" s="14"/>
      <c r="C425" s="676"/>
      <c r="D425" s="655"/>
      <c r="E425" s="644"/>
      <c r="F425" s="1665"/>
      <c r="G425" s="1665"/>
      <c r="H425" s="1665"/>
      <c r="I425" s="1665"/>
      <c r="J425" s="1665"/>
      <c r="K425" s="1665"/>
      <c r="L425" s="1665"/>
      <c r="M425" s="1665"/>
      <c r="N425" s="1665"/>
      <c r="O425" s="1665"/>
      <c r="P425" s="1665"/>
      <c r="Q425" s="1665"/>
      <c r="R425" s="1665"/>
      <c r="S425" s="1665"/>
      <c r="T425" s="1665"/>
      <c r="U425" s="1665"/>
      <c r="V425" s="1665"/>
      <c r="W425" s="1665"/>
      <c r="X425" s="1665"/>
      <c r="Y425" s="1665"/>
      <c r="Z425" s="1665"/>
      <c r="AA425" s="1665"/>
      <c r="AB425" s="1665"/>
      <c r="AC425" s="1665"/>
      <c r="AD425" s="1665"/>
      <c r="AE425" s="1665"/>
      <c r="AF425" s="519"/>
      <c r="AG425" s="519"/>
      <c r="AH425" s="519"/>
      <c r="AI425" s="519"/>
      <c r="AJ425" s="519"/>
      <c r="AK425" s="519"/>
      <c r="AL425" s="675"/>
      <c r="AM425" s="495"/>
      <c r="AN425" s="522"/>
      <c r="AO425" s="26"/>
      <c r="AP425" s="14"/>
    </row>
    <row r="426" spans="1:60" s="475" customFormat="1" ht="12.75" customHeight="1">
      <c r="A426" s="461"/>
      <c r="B426" s="14"/>
      <c r="C426" s="676"/>
      <c r="D426" s="655"/>
      <c r="E426" s="644"/>
      <c r="F426" s="1665"/>
      <c r="G426" s="1665"/>
      <c r="H426" s="1665"/>
      <c r="I426" s="1665"/>
      <c r="J426" s="1665"/>
      <c r="K426" s="1665"/>
      <c r="L426" s="1665"/>
      <c r="M426" s="1665"/>
      <c r="N426" s="1665"/>
      <c r="O426" s="1665"/>
      <c r="P426" s="1665"/>
      <c r="Q426" s="1665"/>
      <c r="R426" s="1665"/>
      <c r="S426" s="1665"/>
      <c r="T426" s="1665"/>
      <c r="U426" s="1665"/>
      <c r="V426" s="1665"/>
      <c r="W426" s="1665"/>
      <c r="X426" s="1665"/>
      <c r="Y426" s="1665"/>
      <c r="Z426" s="1665"/>
      <c r="AA426" s="1665"/>
      <c r="AB426" s="1665"/>
      <c r="AC426" s="1665"/>
      <c r="AD426" s="1665"/>
      <c r="AE426" s="1665"/>
      <c r="AF426" s="519"/>
      <c r="AG426" s="519"/>
      <c r="AH426" s="519"/>
      <c r="AI426" s="519"/>
      <c r="AJ426" s="519"/>
      <c r="AK426" s="519"/>
      <c r="AL426" s="675"/>
      <c r="AM426" s="495"/>
      <c r="AN426" s="522"/>
    </row>
    <row r="427" spans="1:60" s="475" customFormat="1" ht="12.75" customHeight="1">
      <c r="A427" s="461"/>
      <c r="B427" s="14"/>
      <c r="C427" s="676"/>
      <c r="D427" s="655"/>
      <c r="E427" s="644"/>
      <c r="F427" s="1665"/>
      <c r="G427" s="1665"/>
      <c r="H427" s="1665"/>
      <c r="I427" s="1665"/>
      <c r="J427" s="1665"/>
      <c r="K427" s="1665"/>
      <c r="L427" s="1665"/>
      <c r="M427" s="1665"/>
      <c r="N427" s="1665"/>
      <c r="O427" s="1665"/>
      <c r="P427" s="1665"/>
      <c r="Q427" s="1665"/>
      <c r="R427" s="1665"/>
      <c r="S427" s="1665"/>
      <c r="T427" s="1665"/>
      <c r="U427" s="1665"/>
      <c r="V427" s="1665"/>
      <c r="W427" s="1665"/>
      <c r="X427" s="1665"/>
      <c r="Y427" s="1665"/>
      <c r="Z427" s="1665"/>
      <c r="AA427" s="1665"/>
      <c r="AB427" s="1665"/>
      <c r="AC427" s="1665"/>
      <c r="AD427" s="1665"/>
      <c r="AE427" s="1665"/>
      <c r="AF427" s="519"/>
      <c r="AG427" s="519"/>
      <c r="AH427" s="519"/>
      <c r="AI427" s="519"/>
      <c r="AJ427" s="519"/>
      <c r="AK427" s="519"/>
      <c r="AL427" s="675"/>
      <c r="AM427" s="495"/>
      <c r="AN427" s="522"/>
    </row>
    <row r="428" spans="1:60" s="475" customFormat="1" ht="12.75" customHeight="1">
      <c r="A428" s="461"/>
      <c r="B428" s="14"/>
      <c r="C428" s="676"/>
      <c r="D428" s="655"/>
      <c r="E428" s="644"/>
      <c r="F428" s="1665"/>
      <c r="G428" s="1665"/>
      <c r="H428" s="1665"/>
      <c r="I428" s="1665"/>
      <c r="J428" s="1665"/>
      <c r="K428" s="1665"/>
      <c r="L428" s="1665"/>
      <c r="M428" s="1665"/>
      <c r="N428" s="1665"/>
      <c r="O428" s="1665"/>
      <c r="P428" s="1665"/>
      <c r="Q428" s="1665"/>
      <c r="R428" s="1665"/>
      <c r="S428" s="1665"/>
      <c r="T428" s="1665"/>
      <c r="U428" s="1665"/>
      <c r="V428" s="1665"/>
      <c r="W428" s="1665"/>
      <c r="X428" s="1665"/>
      <c r="Y428" s="1665"/>
      <c r="Z428" s="1665"/>
      <c r="AA428" s="1665"/>
      <c r="AB428" s="1665"/>
      <c r="AC428" s="1665"/>
      <c r="AD428" s="1665"/>
      <c r="AE428" s="1665"/>
      <c r="AF428" s="519"/>
      <c r="AG428" s="519"/>
      <c r="AH428" s="519"/>
      <c r="AI428" s="519"/>
      <c r="AJ428" s="519"/>
      <c r="AK428" s="519"/>
      <c r="AL428" s="675"/>
      <c r="AM428" s="495"/>
      <c r="AN428" s="522"/>
    </row>
    <row r="429" spans="1:60" s="475" customFormat="1" ht="12.75" customHeight="1">
      <c r="A429" s="461"/>
      <c r="B429" s="14"/>
      <c r="C429" s="676"/>
      <c r="D429" s="655"/>
      <c r="E429" s="644"/>
      <c r="F429" s="1665"/>
      <c r="G429" s="1665"/>
      <c r="H429" s="1665"/>
      <c r="I429" s="1665"/>
      <c r="J429" s="1665"/>
      <c r="K429" s="1665"/>
      <c r="L429" s="1665"/>
      <c r="M429" s="1665"/>
      <c r="N429" s="1665"/>
      <c r="O429" s="1665"/>
      <c r="P429" s="1665"/>
      <c r="Q429" s="1665"/>
      <c r="R429" s="1665"/>
      <c r="S429" s="1665"/>
      <c r="T429" s="1665"/>
      <c r="U429" s="1665"/>
      <c r="V429" s="1665"/>
      <c r="W429" s="1665"/>
      <c r="X429" s="1665"/>
      <c r="Y429" s="1665"/>
      <c r="Z429" s="1665"/>
      <c r="AA429" s="1665"/>
      <c r="AB429" s="1665"/>
      <c r="AC429" s="1665"/>
      <c r="AD429" s="1665"/>
      <c r="AE429" s="1665"/>
      <c r="AF429" s="519"/>
      <c r="AG429" s="519"/>
      <c r="AH429" s="519"/>
      <c r="AI429" s="519"/>
      <c r="AJ429" s="519"/>
      <c r="AK429" s="519"/>
      <c r="AL429" s="675"/>
      <c r="AM429" s="495"/>
      <c r="AN429" s="522"/>
    </row>
    <row r="430" spans="1:60" s="475" customFormat="1" ht="17.25" customHeight="1">
      <c r="A430" s="461"/>
      <c r="B430" s="14"/>
      <c r="C430" s="676"/>
      <c r="D430" s="655"/>
      <c r="E430" s="644"/>
      <c r="F430" s="1665"/>
      <c r="G430" s="1665"/>
      <c r="H430" s="1665"/>
      <c r="I430" s="1665"/>
      <c r="J430" s="1665"/>
      <c r="K430" s="1665"/>
      <c r="L430" s="1665"/>
      <c r="M430" s="1665"/>
      <c r="N430" s="1665"/>
      <c r="O430" s="1665"/>
      <c r="P430" s="1665"/>
      <c r="Q430" s="1665"/>
      <c r="R430" s="1665"/>
      <c r="S430" s="1665"/>
      <c r="T430" s="1665"/>
      <c r="U430" s="1665"/>
      <c r="V430" s="1665"/>
      <c r="W430" s="1665"/>
      <c r="X430" s="1665"/>
      <c r="Y430" s="1665"/>
      <c r="Z430" s="1665"/>
      <c r="AA430" s="1665"/>
      <c r="AB430" s="1665"/>
      <c r="AC430" s="1665"/>
      <c r="AD430" s="1665"/>
      <c r="AE430" s="1665"/>
      <c r="AL430" s="657"/>
      <c r="AM430" s="495"/>
      <c r="AN430" s="522"/>
    </row>
    <row r="431" spans="1:60" s="475" customFormat="1" ht="12.75" customHeight="1">
      <c r="A431" s="461"/>
      <c r="B431" s="14"/>
      <c r="C431" s="1674" t="s">
        <v>299</v>
      </c>
      <c r="D431" s="1675"/>
      <c r="E431" s="644"/>
      <c r="F431" s="521" t="s">
        <v>2180</v>
      </c>
      <c r="G431" s="601"/>
      <c r="H431" s="601"/>
      <c r="I431" s="601"/>
      <c r="J431" s="601"/>
      <c r="K431" s="601"/>
      <c r="L431" s="601"/>
      <c r="M431" s="601"/>
      <c r="N431" s="601"/>
      <c r="O431" s="601"/>
      <c r="P431" s="601"/>
      <c r="Q431" s="601"/>
      <c r="R431" s="601"/>
      <c r="S431" s="601"/>
      <c r="T431" s="601"/>
      <c r="U431" s="601"/>
      <c r="V431" s="601"/>
      <c r="W431" s="601"/>
      <c r="X431" s="601"/>
      <c r="Y431" s="601"/>
      <c r="Z431" s="601"/>
      <c r="AA431" s="601"/>
      <c r="AB431" s="601"/>
      <c r="AC431" s="601"/>
      <c r="AD431" s="601"/>
      <c r="AF431" s="1733" t="s">
        <v>2155</v>
      </c>
      <c r="AG431" s="1733"/>
      <c r="AH431" s="1733"/>
      <c r="AI431" s="1733"/>
      <c r="AJ431" s="1733"/>
      <c r="AK431" s="1733"/>
      <c r="AL431" s="1763"/>
      <c r="AM431" s="495"/>
      <c r="AN431" s="522"/>
    </row>
    <row r="432" spans="1:60" s="475" customFormat="1" ht="12.75" customHeight="1">
      <c r="A432" s="461"/>
      <c r="B432" s="14"/>
      <c r="C432" s="668"/>
      <c r="D432" s="652"/>
      <c r="E432" s="649"/>
      <c r="F432" s="666"/>
      <c r="G432" s="651"/>
      <c r="H432" s="651"/>
      <c r="I432" s="651"/>
      <c r="J432" s="651"/>
      <c r="K432" s="651"/>
      <c r="L432" s="651"/>
      <c r="M432" s="651"/>
      <c r="N432" s="651"/>
      <c r="O432" s="651"/>
      <c r="P432" s="651"/>
      <c r="Q432" s="651"/>
      <c r="R432" s="651"/>
      <c r="S432" s="651"/>
      <c r="T432" s="651"/>
      <c r="U432" s="651"/>
      <c r="V432" s="651"/>
      <c r="W432" s="651"/>
      <c r="X432" s="651"/>
      <c r="Y432" s="651"/>
      <c r="Z432" s="651"/>
      <c r="AA432" s="651"/>
      <c r="AB432" s="651"/>
      <c r="AC432" s="651"/>
      <c r="AD432" s="651"/>
      <c r="AE432" s="652"/>
      <c r="AF432" s="652"/>
      <c r="AG432" s="652"/>
      <c r="AH432" s="652"/>
      <c r="AI432" s="652"/>
      <c r="AJ432" s="652"/>
      <c r="AK432" s="652"/>
      <c r="AL432" s="667"/>
      <c r="AM432" s="495"/>
      <c r="AN432" s="522"/>
    </row>
    <row r="433" spans="1:40" s="475" customFormat="1" ht="12.75" customHeight="1">
      <c r="A433" s="461"/>
      <c r="B433" s="14"/>
      <c r="C433" s="655"/>
      <c r="D433" s="655"/>
      <c r="E433" s="644"/>
      <c r="F433" s="646"/>
      <c r="G433" s="528"/>
      <c r="H433" s="528"/>
      <c r="I433" s="528"/>
      <c r="J433" s="528"/>
      <c r="K433" s="528"/>
      <c r="L433" s="528"/>
      <c r="M433" s="528"/>
      <c r="N433" s="528"/>
      <c r="O433" s="528"/>
      <c r="P433" s="528"/>
      <c r="Q433" s="528"/>
      <c r="R433" s="528"/>
      <c r="S433" s="528"/>
      <c r="T433" s="528"/>
      <c r="U433" s="528"/>
      <c r="V433" s="528"/>
      <c r="W433" s="528"/>
      <c r="X433" s="528"/>
      <c r="Y433" s="528"/>
      <c r="Z433" s="528"/>
      <c r="AA433" s="528"/>
      <c r="AB433" s="528"/>
      <c r="AC433" s="528"/>
      <c r="AD433" s="528"/>
      <c r="AE433" s="516"/>
      <c r="AF433" s="516"/>
      <c r="AG433" s="516"/>
      <c r="AH433" s="516"/>
      <c r="AI433" s="516"/>
      <c r="AJ433" s="516"/>
      <c r="AK433" s="516"/>
      <c r="AL433" s="516"/>
      <c r="AM433" s="495"/>
      <c r="AN433" s="522"/>
    </row>
    <row r="434" spans="1:40" s="475" customFormat="1" ht="12.75" customHeight="1">
      <c r="A434" s="461"/>
      <c r="B434" s="14"/>
      <c r="C434" s="638"/>
      <c r="D434" s="639"/>
      <c r="E434" s="640" t="s">
        <v>2181</v>
      </c>
      <c r="F434" s="1664" t="s">
        <v>2182</v>
      </c>
      <c r="G434" s="1664"/>
      <c r="H434" s="1664"/>
      <c r="I434" s="1664"/>
      <c r="J434" s="1664"/>
      <c r="K434" s="1664"/>
      <c r="L434" s="1664"/>
      <c r="M434" s="1664"/>
      <c r="N434" s="1664"/>
      <c r="O434" s="1664"/>
      <c r="P434" s="1664"/>
      <c r="Q434" s="1664"/>
      <c r="R434" s="1664"/>
      <c r="S434" s="1664"/>
      <c r="T434" s="1664"/>
      <c r="U434" s="1664"/>
      <c r="V434" s="1664"/>
      <c r="W434" s="1664"/>
      <c r="X434" s="1664"/>
      <c r="Y434" s="1664"/>
      <c r="Z434" s="1664"/>
      <c r="AA434" s="1664"/>
      <c r="AB434" s="1664"/>
      <c r="AC434" s="1664"/>
      <c r="AD434" s="1664"/>
      <c r="AE434" s="1664"/>
      <c r="AF434" s="639"/>
      <c r="AG434" s="639"/>
      <c r="AH434" s="639"/>
      <c r="AI434" s="639"/>
      <c r="AJ434" s="639"/>
      <c r="AK434" s="639"/>
      <c r="AL434" s="670"/>
      <c r="AM434" s="495"/>
      <c r="AN434" s="522"/>
    </row>
    <row r="435" spans="1:40" s="475" customFormat="1" ht="12.75" customHeight="1">
      <c r="A435" s="461"/>
      <c r="B435" s="14"/>
      <c r="C435" s="676"/>
      <c r="D435" s="655"/>
      <c r="E435" s="644"/>
      <c r="F435" s="1665"/>
      <c r="G435" s="1665"/>
      <c r="H435" s="1665"/>
      <c r="I435" s="1665"/>
      <c r="J435" s="1665"/>
      <c r="K435" s="1665"/>
      <c r="L435" s="1665"/>
      <c r="M435" s="1665"/>
      <c r="N435" s="1665"/>
      <c r="O435" s="1665"/>
      <c r="P435" s="1665"/>
      <c r="Q435" s="1665"/>
      <c r="R435" s="1665"/>
      <c r="S435" s="1665"/>
      <c r="T435" s="1665"/>
      <c r="U435" s="1665"/>
      <c r="V435" s="1665"/>
      <c r="W435" s="1665"/>
      <c r="X435" s="1665"/>
      <c r="Y435" s="1665"/>
      <c r="Z435" s="1665"/>
      <c r="AA435" s="1665"/>
      <c r="AB435" s="1665"/>
      <c r="AC435" s="1665"/>
      <c r="AD435" s="1665"/>
      <c r="AE435" s="1665"/>
      <c r="AF435" s="516"/>
      <c r="AG435" s="516"/>
      <c r="AH435" s="516"/>
      <c r="AI435" s="516"/>
      <c r="AJ435" s="516"/>
      <c r="AK435" s="516"/>
      <c r="AL435" s="645"/>
      <c r="AM435" s="495"/>
      <c r="AN435" s="522"/>
    </row>
    <row r="436" spans="1:40" s="475" customFormat="1" ht="12.75" customHeight="1">
      <c r="A436" s="461"/>
      <c r="B436" s="14"/>
      <c r="C436" s="676"/>
      <c r="D436" s="655"/>
      <c r="E436" s="644"/>
      <c r="F436" s="1665"/>
      <c r="G436" s="1665"/>
      <c r="H436" s="1665"/>
      <c r="I436" s="1665"/>
      <c r="J436" s="1665"/>
      <c r="K436" s="1665"/>
      <c r="L436" s="1665"/>
      <c r="M436" s="1665"/>
      <c r="N436" s="1665"/>
      <c r="O436" s="1665"/>
      <c r="P436" s="1665"/>
      <c r="Q436" s="1665"/>
      <c r="R436" s="1665"/>
      <c r="S436" s="1665"/>
      <c r="T436" s="1665"/>
      <c r="U436" s="1665"/>
      <c r="V436" s="1665"/>
      <c r="W436" s="1665"/>
      <c r="X436" s="1665"/>
      <c r="Y436" s="1665"/>
      <c r="Z436" s="1665"/>
      <c r="AA436" s="1665"/>
      <c r="AB436" s="1665"/>
      <c r="AC436" s="1665"/>
      <c r="AD436" s="1665"/>
      <c r="AE436" s="1665"/>
      <c r="AF436" s="516"/>
      <c r="AG436" s="516"/>
      <c r="AH436" s="516"/>
      <c r="AI436" s="516"/>
      <c r="AJ436" s="516"/>
      <c r="AK436" s="516"/>
      <c r="AL436" s="645"/>
      <c r="AM436" s="495"/>
      <c r="AN436" s="522"/>
    </row>
    <row r="437" spans="1:40" s="475" customFormat="1" ht="12.75" customHeight="1">
      <c r="A437" s="461"/>
      <c r="B437" s="14"/>
      <c r="C437" s="676"/>
      <c r="D437" s="655"/>
      <c r="E437" s="644"/>
      <c r="F437" s="1665"/>
      <c r="G437" s="1665"/>
      <c r="H437" s="1665"/>
      <c r="I437" s="1665"/>
      <c r="J437" s="1665"/>
      <c r="K437" s="1665"/>
      <c r="L437" s="1665"/>
      <c r="M437" s="1665"/>
      <c r="N437" s="1665"/>
      <c r="O437" s="1665"/>
      <c r="P437" s="1665"/>
      <c r="Q437" s="1665"/>
      <c r="R437" s="1665"/>
      <c r="S437" s="1665"/>
      <c r="T437" s="1665"/>
      <c r="U437" s="1665"/>
      <c r="V437" s="1665"/>
      <c r="W437" s="1665"/>
      <c r="X437" s="1665"/>
      <c r="Y437" s="1665"/>
      <c r="Z437" s="1665"/>
      <c r="AA437" s="1665"/>
      <c r="AB437" s="1665"/>
      <c r="AC437" s="1665"/>
      <c r="AD437" s="1665"/>
      <c r="AE437" s="1665"/>
      <c r="AL437" s="657"/>
      <c r="AM437" s="495"/>
      <c r="AN437" s="522"/>
    </row>
    <row r="438" spans="1:40" s="475" customFormat="1" ht="12.75" customHeight="1">
      <c r="A438" s="461"/>
      <c r="B438" s="14"/>
      <c r="C438" s="1674" t="s">
        <v>299</v>
      </c>
      <c r="D438" s="1675"/>
      <c r="E438" s="644"/>
      <c r="F438" s="646" t="s">
        <v>2183</v>
      </c>
      <c r="G438" s="528"/>
      <c r="H438" s="528"/>
      <c r="I438" s="528"/>
      <c r="J438" s="528"/>
      <c r="K438" s="528"/>
      <c r="L438" s="528"/>
      <c r="M438" s="528"/>
      <c r="N438" s="528"/>
      <c r="O438" s="528"/>
      <c r="P438" s="528"/>
      <c r="Q438" s="528"/>
      <c r="R438" s="528"/>
      <c r="S438" s="528"/>
      <c r="T438" s="528"/>
      <c r="U438" s="528"/>
      <c r="V438" s="528"/>
      <c r="W438" s="528"/>
      <c r="X438" s="528"/>
      <c r="Y438" s="528"/>
      <c r="Z438" s="528"/>
      <c r="AA438" s="528"/>
      <c r="AB438" s="528"/>
      <c r="AC438" s="528"/>
      <c r="AD438" s="528"/>
      <c r="AF438" s="1733" t="s">
        <v>2155</v>
      </c>
      <c r="AG438" s="1733"/>
      <c r="AH438" s="1733"/>
      <c r="AI438" s="1733"/>
      <c r="AJ438" s="1733"/>
      <c r="AK438" s="1733"/>
      <c r="AL438" s="1763"/>
      <c r="AM438" s="495"/>
      <c r="AN438" s="678"/>
    </row>
    <row r="439" spans="1:40" s="475" customFormat="1" ht="12.75" customHeight="1">
      <c r="A439" s="461"/>
      <c r="B439" s="14"/>
      <c r="C439" s="676"/>
      <c r="D439" s="655"/>
      <c r="E439" s="644"/>
      <c r="F439" s="646"/>
      <c r="G439" s="528"/>
      <c r="H439" s="528"/>
      <c r="I439" s="528"/>
      <c r="J439" s="528"/>
      <c r="K439" s="528"/>
      <c r="L439" s="528"/>
      <c r="M439" s="528"/>
      <c r="N439" s="528"/>
      <c r="O439" s="528"/>
      <c r="P439" s="528"/>
      <c r="Q439" s="528"/>
      <c r="R439" s="528"/>
      <c r="S439" s="528"/>
      <c r="T439" s="528"/>
      <c r="U439" s="528"/>
      <c r="V439" s="528"/>
      <c r="W439" s="528"/>
      <c r="X439" s="528"/>
      <c r="Y439" s="528"/>
      <c r="Z439" s="528"/>
      <c r="AA439" s="528"/>
      <c r="AB439" s="528"/>
      <c r="AC439" s="528"/>
      <c r="AD439" s="528"/>
      <c r="AE439" s="516"/>
      <c r="AL439" s="657"/>
      <c r="AM439" s="495"/>
      <c r="AN439" s="678"/>
    </row>
    <row r="440" spans="1:40" s="475" customFormat="1" ht="12.75" customHeight="1">
      <c r="A440" s="461"/>
      <c r="B440" s="14"/>
      <c r="C440" s="665"/>
      <c r="D440" s="658"/>
      <c r="E440" s="659"/>
      <c r="F440" s="652" t="s">
        <v>2162</v>
      </c>
      <c r="G440" s="660"/>
      <c r="H440" s="660"/>
      <c r="I440" s="660"/>
      <c r="J440" s="660"/>
      <c r="K440" s="660"/>
      <c r="L440" s="660"/>
      <c r="M440" s="660"/>
      <c r="N440" s="660"/>
      <c r="O440" s="660"/>
      <c r="P440" s="660"/>
      <c r="Q440" s="660"/>
      <c r="R440" s="660"/>
      <c r="S440" s="660"/>
      <c r="T440" s="660"/>
      <c r="U440" s="660"/>
      <c r="V440" s="660"/>
      <c r="W440" s="660"/>
      <c r="X440" s="660"/>
      <c r="Y440" s="660"/>
      <c r="Z440" s="660"/>
      <c r="AA440" s="660"/>
      <c r="AB440" s="660"/>
      <c r="AC440" s="660"/>
      <c r="AD440" s="660"/>
      <c r="AE440" s="662"/>
      <c r="AF440" s="508"/>
      <c r="AG440" s="662"/>
      <c r="AH440" s="652"/>
      <c r="AI440" s="652"/>
      <c r="AJ440" s="652"/>
      <c r="AK440" s="652"/>
      <c r="AL440" s="667"/>
      <c r="AM440" s="495"/>
      <c r="AN440" s="678"/>
    </row>
    <row r="441" spans="1:40" s="475" customFormat="1" ht="12.75" customHeight="1">
      <c r="A441" s="461"/>
      <c r="B441" s="14"/>
      <c r="C441" s="655"/>
      <c r="D441" s="655"/>
      <c r="E441" s="644"/>
      <c r="F441" s="646"/>
      <c r="G441" s="528"/>
      <c r="H441" s="528"/>
      <c r="I441" s="528"/>
      <c r="J441" s="528"/>
      <c r="K441" s="528"/>
      <c r="L441" s="528"/>
      <c r="M441" s="528"/>
      <c r="N441" s="528"/>
      <c r="O441" s="528"/>
      <c r="P441" s="528"/>
      <c r="Q441" s="528"/>
      <c r="R441" s="528"/>
      <c r="S441" s="528"/>
      <c r="T441" s="528"/>
      <c r="U441" s="528"/>
      <c r="V441" s="528"/>
      <c r="W441" s="528"/>
      <c r="X441" s="528"/>
      <c r="Y441" s="528"/>
      <c r="Z441" s="528"/>
      <c r="AA441" s="528"/>
      <c r="AB441" s="528"/>
      <c r="AC441" s="528"/>
      <c r="AD441" s="528"/>
      <c r="AE441" s="516"/>
      <c r="AM441" s="495"/>
      <c r="AN441" s="678"/>
    </row>
    <row r="442" spans="1:40" s="475" customFormat="1" ht="12.75" customHeight="1">
      <c r="A442" s="461"/>
      <c r="B442" s="14"/>
      <c r="C442" s="1792" t="s">
        <v>299</v>
      </c>
      <c r="D442" s="1793"/>
      <c r="E442" s="640" t="s">
        <v>2184</v>
      </c>
      <c r="F442" s="1664" t="s">
        <v>2185</v>
      </c>
      <c r="G442" s="1664"/>
      <c r="H442" s="1664"/>
      <c r="I442" s="1664"/>
      <c r="J442" s="1664"/>
      <c r="K442" s="1664"/>
      <c r="L442" s="1664"/>
      <c r="M442" s="1664"/>
      <c r="N442" s="1664"/>
      <c r="O442" s="1664"/>
      <c r="P442" s="1664"/>
      <c r="Q442" s="1664"/>
      <c r="R442" s="1664"/>
      <c r="S442" s="1664"/>
      <c r="T442" s="1664"/>
      <c r="U442" s="1664"/>
      <c r="V442" s="1664"/>
      <c r="W442" s="1664"/>
      <c r="X442" s="1664"/>
      <c r="Y442" s="1664"/>
      <c r="Z442" s="1664"/>
      <c r="AA442" s="1664"/>
      <c r="AB442" s="1664"/>
      <c r="AC442" s="1664"/>
      <c r="AD442" s="1664"/>
      <c r="AE442" s="1664"/>
      <c r="AF442" s="1759" t="s">
        <v>2155</v>
      </c>
      <c r="AG442" s="1759"/>
      <c r="AH442" s="1759"/>
      <c r="AI442" s="1759"/>
      <c r="AJ442" s="1759"/>
      <c r="AK442" s="1759"/>
      <c r="AL442" s="1760"/>
      <c r="AM442" s="495"/>
      <c r="AN442" s="678"/>
    </row>
    <row r="443" spans="1:40" s="475" customFormat="1" ht="12.75" customHeight="1">
      <c r="A443" s="461"/>
      <c r="B443" s="14"/>
      <c r="C443" s="676"/>
      <c r="D443" s="655"/>
      <c r="E443" s="644"/>
      <c r="F443" s="1665"/>
      <c r="G443" s="1665"/>
      <c r="H443" s="1665"/>
      <c r="I443" s="1665"/>
      <c r="J443" s="1665"/>
      <c r="K443" s="1665"/>
      <c r="L443" s="1665"/>
      <c r="M443" s="1665"/>
      <c r="N443" s="1665"/>
      <c r="O443" s="1665"/>
      <c r="P443" s="1665"/>
      <c r="Q443" s="1665"/>
      <c r="R443" s="1665"/>
      <c r="S443" s="1665"/>
      <c r="T443" s="1665"/>
      <c r="U443" s="1665"/>
      <c r="V443" s="1665"/>
      <c r="W443" s="1665"/>
      <c r="X443" s="1665"/>
      <c r="Y443" s="1665"/>
      <c r="Z443" s="1665"/>
      <c r="AA443" s="1665"/>
      <c r="AB443" s="1665"/>
      <c r="AC443" s="1665"/>
      <c r="AD443" s="1665"/>
      <c r="AE443" s="1665"/>
      <c r="AF443" s="516"/>
      <c r="AG443" s="516"/>
      <c r="AH443" s="516"/>
      <c r="AI443" s="516"/>
      <c r="AJ443" s="516"/>
      <c r="AK443" s="516"/>
      <c r="AL443" s="645"/>
      <c r="AM443" s="495"/>
      <c r="AN443" s="679"/>
    </row>
    <row r="444" spans="1:40" s="475" customFormat="1" ht="17.850000000000001" customHeight="1">
      <c r="A444" s="461"/>
      <c r="B444" s="14"/>
      <c r="C444" s="681"/>
      <c r="D444" s="648"/>
      <c r="E444" s="649"/>
      <c r="F444" s="1747"/>
      <c r="G444" s="1747"/>
      <c r="H444" s="1747"/>
      <c r="I444" s="1747"/>
      <c r="J444" s="1747"/>
      <c r="K444" s="1747"/>
      <c r="L444" s="1747"/>
      <c r="M444" s="1747"/>
      <c r="N444" s="1747"/>
      <c r="O444" s="1747"/>
      <c r="P444" s="1747"/>
      <c r="Q444" s="1747"/>
      <c r="R444" s="1747"/>
      <c r="S444" s="1747"/>
      <c r="T444" s="1747"/>
      <c r="U444" s="1747"/>
      <c r="V444" s="1747"/>
      <c r="W444" s="1747"/>
      <c r="X444" s="1747"/>
      <c r="Y444" s="1747"/>
      <c r="Z444" s="1747"/>
      <c r="AA444" s="1747"/>
      <c r="AB444" s="1747"/>
      <c r="AC444" s="1747"/>
      <c r="AD444" s="1747"/>
      <c r="AE444" s="1747"/>
      <c r="AF444" s="653"/>
      <c r="AG444" s="653"/>
      <c r="AH444" s="653"/>
      <c r="AI444" s="653"/>
      <c r="AJ444" s="653"/>
      <c r="AK444" s="653"/>
      <c r="AL444" s="682"/>
      <c r="AM444" s="495"/>
      <c r="AN444" s="460"/>
    </row>
    <row r="445" spans="1:40" s="475" customFormat="1" ht="12.75" customHeight="1">
      <c r="A445" s="461"/>
      <c r="B445" s="14"/>
      <c r="C445" s="655"/>
      <c r="D445" s="655"/>
      <c r="E445" s="644"/>
      <c r="F445" s="646"/>
      <c r="G445" s="528"/>
      <c r="H445" s="528"/>
      <c r="I445" s="528"/>
      <c r="J445" s="528"/>
      <c r="K445" s="528"/>
      <c r="L445" s="528"/>
      <c r="M445" s="528"/>
      <c r="N445" s="528"/>
      <c r="O445" s="528"/>
      <c r="P445" s="528"/>
      <c r="Q445" s="528"/>
      <c r="R445" s="528"/>
      <c r="S445" s="528"/>
      <c r="T445" s="528"/>
      <c r="U445" s="528"/>
      <c r="V445" s="528"/>
      <c r="W445" s="528"/>
      <c r="X445" s="528"/>
      <c r="Y445" s="528"/>
      <c r="Z445" s="528"/>
      <c r="AA445" s="528"/>
      <c r="AB445" s="528"/>
      <c r="AC445" s="528"/>
      <c r="AD445" s="528"/>
      <c r="AE445" s="516"/>
      <c r="AM445" s="495"/>
      <c r="AN445" s="460"/>
    </row>
    <row r="446" spans="1:40" s="475" customFormat="1" ht="12.75" customHeight="1">
      <c r="A446" s="461"/>
      <c r="B446" s="14"/>
      <c r="C446" s="1674" t="s">
        <v>299</v>
      </c>
      <c r="D446" s="1675"/>
      <c r="E446" s="640" t="s">
        <v>2186</v>
      </c>
      <c r="F446" s="1664" t="s">
        <v>2187</v>
      </c>
      <c r="G446" s="1664"/>
      <c r="H446" s="1664"/>
      <c r="I446" s="1664"/>
      <c r="J446" s="1664"/>
      <c r="K446" s="1664"/>
      <c r="L446" s="1664"/>
      <c r="M446" s="1664"/>
      <c r="N446" s="1664"/>
      <c r="O446" s="1664"/>
      <c r="P446" s="1664"/>
      <c r="Q446" s="1664"/>
      <c r="R446" s="1664"/>
      <c r="S446" s="1664"/>
      <c r="T446" s="1664"/>
      <c r="U446" s="1664"/>
      <c r="V446" s="1664"/>
      <c r="W446" s="1664"/>
      <c r="X446" s="1664"/>
      <c r="Y446" s="1664"/>
      <c r="Z446" s="1664"/>
      <c r="AA446" s="1664"/>
      <c r="AB446" s="1664"/>
      <c r="AC446" s="1664"/>
      <c r="AD446" s="1664"/>
      <c r="AE446" s="1664"/>
      <c r="AF446" s="1759" t="s">
        <v>2155</v>
      </c>
      <c r="AG446" s="1759"/>
      <c r="AH446" s="1759"/>
      <c r="AI446" s="1759"/>
      <c r="AJ446" s="1759"/>
      <c r="AK446" s="1759"/>
      <c r="AL446" s="1760"/>
      <c r="AM446" s="495"/>
      <c r="AN446" s="460"/>
    </row>
    <row r="447" spans="1:40" s="475" customFormat="1" ht="12.75" customHeight="1">
      <c r="A447" s="461"/>
      <c r="B447" s="14"/>
      <c r="C447" s="656"/>
      <c r="D447" s="14"/>
      <c r="E447" s="616"/>
      <c r="F447" s="1665"/>
      <c r="G447" s="1665"/>
      <c r="H447" s="1665"/>
      <c r="I447" s="1665"/>
      <c r="J447" s="1665"/>
      <c r="K447" s="1665"/>
      <c r="L447" s="1665"/>
      <c r="M447" s="1665"/>
      <c r="N447" s="1665"/>
      <c r="O447" s="1665"/>
      <c r="P447" s="1665"/>
      <c r="Q447" s="1665"/>
      <c r="R447" s="1665"/>
      <c r="S447" s="1665"/>
      <c r="T447" s="1665"/>
      <c r="U447" s="1665"/>
      <c r="V447" s="1665"/>
      <c r="W447" s="1665"/>
      <c r="X447" s="1665"/>
      <c r="Y447" s="1665"/>
      <c r="Z447" s="1665"/>
      <c r="AA447" s="1665"/>
      <c r="AB447" s="1665"/>
      <c r="AC447" s="1665"/>
      <c r="AD447" s="1665"/>
      <c r="AE447" s="1665"/>
      <c r="AF447" s="464"/>
      <c r="AG447" s="461"/>
      <c r="AL447" s="657"/>
      <c r="AM447" s="495"/>
      <c r="AN447" s="460"/>
    </row>
    <row r="448" spans="1:40" s="475" customFormat="1" ht="12.75" customHeight="1">
      <c r="A448" s="461"/>
      <c r="B448" s="14"/>
      <c r="C448" s="656"/>
      <c r="D448" s="14"/>
      <c r="E448" s="616"/>
      <c r="F448" s="1665"/>
      <c r="G448" s="1665"/>
      <c r="H448" s="1665"/>
      <c r="I448" s="1665"/>
      <c r="J448" s="1665"/>
      <c r="K448" s="1665"/>
      <c r="L448" s="1665"/>
      <c r="M448" s="1665"/>
      <c r="N448" s="1665"/>
      <c r="O448" s="1665"/>
      <c r="P448" s="1665"/>
      <c r="Q448" s="1665"/>
      <c r="R448" s="1665"/>
      <c r="S448" s="1665"/>
      <c r="T448" s="1665"/>
      <c r="U448" s="1665"/>
      <c r="V448" s="1665"/>
      <c r="W448" s="1665"/>
      <c r="X448" s="1665"/>
      <c r="Y448" s="1665"/>
      <c r="Z448" s="1665"/>
      <c r="AA448" s="1665"/>
      <c r="AB448" s="1665"/>
      <c r="AC448" s="1665"/>
      <c r="AD448" s="1665"/>
      <c r="AE448" s="1665"/>
      <c r="AF448" s="464"/>
      <c r="AG448" s="461"/>
      <c r="AL448" s="657"/>
      <c r="AM448" s="495"/>
      <c r="AN448" s="460"/>
    </row>
    <row r="449" spans="1:48" s="475" customFormat="1" ht="12.75" customHeight="1">
      <c r="A449" s="461"/>
      <c r="B449" s="14"/>
      <c r="C449" s="681"/>
      <c r="D449" s="648"/>
      <c r="E449" s="649"/>
      <c r="F449" s="1747"/>
      <c r="G449" s="1747"/>
      <c r="H449" s="1747"/>
      <c r="I449" s="1747"/>
      <c r="J449" s="1747"/>
      <c r="K449" s="1747"/>
      <c r="L449" s="1747"/>
      <c r="M449" s="1747"/>
      <c r="N449" s="1747"/>
      <c r="O449" s="1747"/>
      <c r="P449" s="1747"/>
      <c r="Q449" s="1747"/>
      <c r="R449" s="1747"/>
      <c r="S449" s="1747"/>
      <c r="T449" s="1747"/>
      <c r="U449" s="1747"/>
      <c r="V449" s="1747"/>
      <c r="W449" s="1747"/>
      <c r="X449" s="1747"/>
      <c r="Y449" s="1747"/>
      <c r="Z449" s="1747"/>
      <c r="AA449" s="1747"/>
      <c r="AB449" s="1747"/>
      <c r="AC449" s="1747"/>
      <c r="AD449" s="1747"/>
      <c r="AE449" s="1747"/>
      <c r="AF449" s="653"/>
      <c r="AG449" s="653"/>
      <c r="AH449" s="653"/>
      <c r="AI449" s="653"/>
      <c r="AJ449" s="653"/>
      <c r="AK449" s="653"/>
      <c r="AL449" s="682"/>
      <c r="AM449" s="495"/>
      <c r="AN449" s="522"/>
    </row>
    <row r="450" spans="1:48" s="475" customFormat="1" ht="12.75" customHeight="1">
      <c r="A450" s="461"/>
      <c r="B450" s="14"/>
      <c r="G450" s="528"/>
      <c r="H450" s="528"/>
      <c r="I450" s="528"/>
      <c r="J450" s="528"/>
      <c r="K450" s="528"/>
      <c r="L450" s="528"/>
      <c r="M450" s="528"/>
      <c r="N450" s="528"/>
      <c r="O450" s="528"/>
      <c r="P450" s="528"/>
      <c r="Q450" s="528"/>
      <c r="R450" s="528"/>
      <c r="S450" s="528"/>
      <c r="T450" s="528"/>
      <c r="U450" s="528"/>
      <c r="V450" s="528"/>
      <c r="W450" s="528"/>
      <c r="X450" s="528"/>
      <c r="Y450" s="528"/>
      <c r="Z450" s="528"/>
      <c r="AA450" s="528"/>
      <c r="AB450" s="528"/>
      <c r="AC450" s="528"/>
      <c r="AD450" s="528"/>
      <c r="AM450" s="495"/>
      <c r="AN450" s="522"/>
    </row>
    <row r="451" spans="1:48" s="475" customFormat="1" ht="12.75" customHeight="1">
      <c r="A451" s="461"/>
      <c r="B451" s="14"/>
      <c r="C451" s="638"/>
      <c r="D451" s="639"/>
      <c r="E451" s="640" t="s">
        <v>2188</v>
      </c>
      <c r="F451" s="1664" t="s">
        <v>2189</v>
      </c>
      <c r="G451" s="1664"/>
      <c r="H451" s="1664"/>
      <c r="I451" s="1664"/>
      <c r="J451" s="1664"/>
      <c r="K451" s="1664"/>
      <c r="L451" s="1664"/>
      <c r="M451" s="1664"/>
      <c r="N451" s="1664"/>
      <c r="O451" s="1664"/>
      <c r="P451" s="1664"/>
      <c r="Q451" s="1664"/>
      <c r="R451" s="1664"/>
      <c r="S451" s="1664"/>
      <c r="T451" s="1664"/>
      <c r="U451" s="1664"/>
      <c r="V451" s="1664"/>
      <c r="W451" s="1664"/>
      <c r="X451" s="1664"/>
      <c r="Y451" s="1664"/>
      <c r="Z451" s="1664"/>
      <c r="AA451" s="1664"/>
      <c r="AB451" s="1664"/>
      <c r="AC451" s="1664"/>
      <c r="AD451" s="1664"/>
      <c r="AE451" s="1664"/>
      <c r="AF451" s="1664"/>
      <c r="AG451" s="669"/>
      <c r="AH451" s="639"/>
      <c r="AI451" s="639"/>
      <c r="AJ451" s="639"/>
      <c r="AK451" s="639"/>
      <c r="AL451" s="670"/>
      <c r="AM451" s="495"/>
      <c r="AN451" s="522"/>
    </row>
    <row r="452" spans="1:48" s="475" customFormat="1" ht="12.75" customHeight="1">
      <c r="A452" s="461"/>
      <c r="B452" s="14"/>
      <c r="C452" s="656"/>
      <c r="D452" s="14"/>
      <c r="E452" s="616"/>
      <c r="F452" s="1665"/>
      <c r="G452" s="1665"/>
      <c r="H452" s="1665"/>
      <c r="I452" s="1665"/>
      <c r="J452" s="1665"/>
      <c r="K452" s="1665"/>
      <c r="L452" s="1665"/>
      <c r="M452" s="1665"/>
      <c r="N452" s="1665"/>
      <c r="O452" s="1665"/>
      <c r="P452" s="1665"/>
      <c r="Q452" s="1665"/>
      <c r="R452" s="1665"/>
      <c r="S452" s="1665"/>
      <c r="T452" s="1665"/>
      <c r="U452" s="1665"/>
      <c r="V452" s="1665"/>
      <c r="W452" s="1665"/>
      <c r="X452" s="1665"/>
      <c r="Y452" s="1665"/>
      <c r="Z452" s="1665"/>
      <c r="AA452" s="1665"/>
      <c r="AB452" s="1665"/>
      <c r="AC452" s="1665"/>
      <c r="AD452" s="1665"/>
      <c r="AE452" s="1665"/>
      <c r="AF452" s="1665"/>
      <c r="AL452" s="657"/>
      <c r="AM452" s="495"/>
      <c r="AN452" s="522"/>
    </row>
    <row r="453" spans="1:48" s="475" customFormat="1" ht="12.75" customHeight="1">
      <c r="A453" s="461"/>
      <c r="B453" s="14"/>
      <c r="C453" s="664"/>
      <c r="F453" s="1665"/>
      <c r="G453" s="1665"/>
      <c r="H453" s="1665"/>
      <c r="I453" s="1665"/>
      <c r="J453" s="1665"/>
      <c r="K453" s="1665"/>
      <c r="L453" s="1665"/>
      <c r="M453" s="1665"/>
      <c r="N453" s="1665"/>
      <c r="O453" s="1665"/>
      <c r="P453" s="1665"/>
      <c r="Q453" s="1665"/>
      <c r="R453" s="1665"/>
      <c r="S453" s="1665"/>
      <c r="T453" s="1665"/>
      <c r="U453" s="1665"/>
      <c r="V453" s="1665"/>
      <c r="W453" s="1665"/>
      <c r="X453" s="1665"/>
      <c r="Y453" s="1665"/>
      <c r="Z453" s="1665"/>
      <c r="AA453" s="1665"/>
      <c r="AB453" s="1665"/>
      <c r="AC453" s="1665"/>
      <c r="AD453" s="1665"/>
      <c r="AE453" s="1665"/>
      <c r="AF453" s="1665"/>
      <c r="AL453" s="657"/>
      <c r="AM453" s="495"/>
      <c r="AN453" s="522"/>
    </row>
    <row r="454" spans="1:48" s="475" customFormat="1" ht="12.75" customHeight="1">
      <c r="A454" s="461"/>
      <c r="B454" s="14"/>
      <c r="C454" s="664"/>
      <c r="F454" s="1665"/>
      <c r="G454" s="1665"/>
      <c r="H454" s="1665"/>
      <c r="I454" s="1665"/>
      <c r="J454" s="1665"/>
      <c r="K454" s="1665"/>
      <c r="L454" s="1665"/>
      <c r="M454" s="1665"/>
      <c r="N454" s="1665"/>
      <c r="O454" s="1665"/>
      <c r="P454" s="1665"/>
      <c r="Q454" s="1665"/>
      <c r="R454" s="1665"/>
      <c r="S454" s="1665"/>
      <c r="T454" s="1665"/>
      <c r="U454" s="1665"/>
      <c r="V454" s="1665"/>
      <c r="W454" s="1665"/>
      <c r="X454" s="1665"/>
      <c r="Y454" s="1665"/>
      <c r="Z454" s="1665"/>
      <c r="AA454" s="1665"/>
      <c r="AB454" s="1665"/>
      <c r="AC454" s="1665"/>
      <c r="AD454" s="1665"/>
      <c r="AE454" s="1665"/>
      <c r="AF454" s="1665"/>
      <c r="AL454" s="657"/>
      <c r="AM454" s="495"/>
      <c r="AN454" s="522"/>
    </row>
    <row r="455" spans="1:48" s="475" customFormat="1" ht="12.75" customHeight="1">
      <c r="A455" s="461"/>
      <c r="B455" s="14"/>
      <c r="C455" s="1674" t="s">
        <v>299</v>
      </c>
      <c r="D455" s="1675"/>
      <c r="E455" s="644"/>
      <c r="F455" s="646" t="s">
        <v>2172</v>
      </c>
      <c r="G455" s="528"/>
      <c r="H455" s="528"/>
      <c r="I455" s="528"/>
      <c r="J455" s="528"/>
      <c r="K455" s="528"/>
      <c r="L455" s="528"/>
      <c r="M455" s="528"/>
      <c r="N455" s="528"/>
      <c r="O455" s="528"/>
      <c r="P455" s="528"/>
      <c r="Q455" s="528"/>
      <c r="R455" s="528"/>
      <c r="S455" s="528"/>
      <c r="T455" s="528"/>
      <c r="U455" s="528"/>
      <c r="V455" s="528"/>
      <c r="W455" s="528"/>
      <c r="X455" s="528"/>
      <c r="Y455" s="528"/>
      <c r="Z455" s="528"/>
      <c r="AA455" s="528"/>
      <c r="AB455" s="528"/>
      <c r="AC455" s="528"/>
      <c r="AD455" s="528"/>
      <c r="AF455" s="1663" t="s">
        <v>2155</v>
      </c>
      <c r="AG455" s="1663"/>
      <c r="AH455" s="1663"/>
      <c r="AI455" s="1663"/>
      <c r="AJ455" s="1663"/>
      <c r="AK455" s="1663"/>
      <c r="AL455" s="1676"/>
      <c r="AM455" s="495"/>
      <c r="AN455" s="522"/>
    </row>
    <row r="456" spans="1:48" s="475" customFormat="1" ht="12.75" customHeight="1">
      <c r="A456" s="461"/>
      <c r="B456" s="14"/>
      <c r="C456" s="665"/>
      <c r="D456" s="658"/>
      <c r="E456" s="659"/>
      <c r="F456" s="652"/>
      <c r="G456" s="652"/>
      <c r="H456" s="652"/>
      <c r="I456" s="652"/>
      <c r="J456" s="652"/>
      <c r="K456" s="652"/>
      <c r="L456" s="652"/>
      <c r="M456" s="652"/>
      <c r="N456" s="652"/>
      <c r="O456" s="652"/>
      <c r="P456" s="652"/>
      <c r="Q456" s="652"/>
      <c r="R456" s="652"/>
      <c r="S456" s="652"/>
      <c r="T456" s="652"/>
      <c r="U456" s="652"/>
      <c r="V456" s="652"/>
      <c r="W456" s="652"/>
      <c r="X456" s="652"/>
      <c r="Y456" s="652"/>
      <c r="Z456" s="652"/>
      <c r="AA456" s="652"/>
      <c r="AB456" s="652"/>
      <c r="AC456" s="652"/>
      <c r="AD456" s="652"/>
      <c r="AE456" s="652"/>
      <c r="AF456" s="652"/>
      <c r="AG456" s="652"/>
      <c r="AH456" s="652"/>
      <c r="AI456" s="652"/>
      <c r="AJ456" s="652"/>
      <c r="AK456" s="652"/>
      <c r="AL456" s="667"/>
      <c r="AN456" s="522"/>
    </row>
    <row r="457" spans="1:48" s="475" customFormat="1" ht="12.75" customHeight="1">
      <c r="A457" s="461"/>
      <c r="B457" s="14"/>
      <c r="C457" s="934"/>
      <c r="D457" s="495"/>
      <c r="F457" s="646"/>
      <c r="G457" s="528"/>
      <c r="H457" s="528"/>
      <c r="I457" s="528"/>
      <c r="J457" s="528"/>
      <c r="K457" s="528"/>
      <c r="L457" s="528"/>
      <c r="M457" s="528"/>
      <c r="N457" s="528"/>
      <c r="O457" s="528"/>
      <c r="P457" s="528"/>
      <c r="Q457" s="528"/>
      <c r="R457" s="528"/>
      <c r="S457" s="528"/>
      <c r="T457" s="528"/>
      <c r="U457" s="528"/>
      <c r="V457" s="528"/>
      <c r="W457" s="528"/>
      <c r="X457" s="528"/>
      <c r="Y457" s="528"/>
      <c r="Z457" s="528"/>
      <c r="AA457" s="528"/>
      <c r="AB457" s="528"/>
      <c r="AC457" s="528"/>
      <c r="AD457" s="528"/>
      <c r="AF457" s="538"/>
      <c r="AG457" s="538"/>
      <c r="AH457" s="538"/>
      <c r="AI457" s="538"/>
      <c r="AJ457" s="538"/>
      <c r="AK457" s="538"/>
      <c r="AL457" s="538"/>
      <c r="AN457" s="522"/>
    </row>
    <row r="458" spans="1:48" s="475" customFormat="1" ht="12.75" customHeight="1">
      <c r="A458" s="525"/>
      <c r="B458" s="782" t="s">
        <v>2190</v>
      </c>
      <c r="D458" s="602"/>
      <c r="E458" s="526"/>
      <c r="F458" s="526"/>
      <c r="G458" s="526"/>
      <c r="H458" s="526"/>
      <c r="I458" s="526"/>
      <c r="J458" s="526"/>
      <c r="K458" s="526"/>
      <c r="L458" s="526"/>
      <c r="M458" s="526"/>
      <c r="N458" s="526"/>
      <c r="O458" s="526"/>
      <c r="P458" s="526"/>
      <c r="Q458" s="526"/>
      <c r="R458" s="526"/>
      <c r="S458" s="526"/>
      <c r="T458" s="526"/>
      <c r="U458" s="526"/>
      <c r="V458" s="526"/>
      <c r="W458" s="526"/>
      <c r="X458" s="526"/>
      <c r="Y458" s="526"/>
      <c r="Z458" s="526"/>
      <c r="AA458" s="526"/>
      <c r="AB458" s="526"/>
      <c r="AC458" s="526"/>
      <c r="AD458" s="526"/>
      <c r="AE458" s="489"/>
      <c r="AF458" s="489"/>
      <c r="AG458" s="489"/>
      <c r="AH458" s="489"/>
      <c r="AI458" s="490"/>
      <c r="AJ458" s="490" t="s">
        <v>2191</v>
      </c>
      <c r="AK458" s="1660">
        <f>IF(Application!D214="N/A",AS347,AS349)</f>
        <v>10</v>
      </c>
      <c r="AL458" s="1661"/>
      <c r="AM458" s="1662"/>
      <c r="AN458" s="522"/>
    </row>
    <row r="459" spans="1:48" s="475" customFormat="1" ht="12.75" customHeight="1" thickBot="1">
      <c r="A459" s="684"/>
      <c r="B459" s="684"/>
      <c r="C459" s="684"/>
      <c r="D459" s="684"/>
      <c r="E459" s="684"/>
      <c r="F459" s="684"/>
      <c r="G459" s="684"/>
      <c r="H459" s="684"/>
      <c r="I459" s="684"/>
      <c r="J459" s="684"/>
      <c r="K459" s="684"/>
      <c r="L459" s="684"/>
      <c r="M459" s="684"/>
      <c r="N459" s="684"/>
      <c r="O459" s="684"/>
      <c r="P459" s="684"/>
      <c r="Q459" s="684"/>
      <c r="R459" s="684"/>
      <c r="S459" s="684"/>
      <c r="T459" s="684"/>
      <c r="U459" s="684"/>
      <c r="V459" s="684"/>
      <c r="W459" s="684"/>
      <c r="X459" s="684"/>
      <c r="Y459" s="684"/>
      <c r="Z459" s="684"/>
      <c r="AA459" s="684"/>
      <c r="AB459" s="684"/>
      <c r="AC459" s="684"/>
      <c r="AD459" s="684"/>
      <c r="AE459" s="684"/>
      <c r="AF459" s="684"/>
      <c r="AG459" s="684"/>
      <c r="AH459" s="684"/>
      <c r="AI459" s="684"/>
      <c r="AJ459" s="684"/>
      <c r="AK459" s="684"/>
      <c r="AL459" s="684"/>
      <c r="AM459" s="685"/>
      <c r="AN459" s="522"/>
    </row>
    <row r="460" spans="1:48" s="475" customFormat="1" ht="12.75" hidden="1" customHeight="1" thickTop="1">
      <c r="A460" s="64"/>
      <c r="B460" s="496"/>
      <c r="C460" s="497"/>
      <c r="D460" s="497"/>
      <c r="E460" s="497"/>
      <c r="F460" s="497"/>
      <c r="G460" s="497"/>
      <c r="H460" s="497"/>
      <c r="I460" s="498"/>
      <c r="J460" s="498"/>
      <c r="K460" s="498"/>
      <c r="L460" s="498"/>
      <c r="M460" s="498"/>
      <c r="N460" s="498"/>
      <c r="O460" s="498"/>
      <c r="P460" s="498"/>
      <c r="Q460" s="498"/>
      <c r="R460" s="495"/>
      <c r="S460" s="464"/>
      <c r="T460" s="464"/>
      <c r="U460" s="464"/>
      <c r="V460" s="464"/>
      <c r="W460" s="464"/>
      <c r="X460" s="464"/>
      <c r="Y460" s="464"/>
      <c r="Z460" s="464"/>
      <c r="AA460" s="464"/>
      <c r="AB460" s="464"/>
      <c r="AC460" s="464"/>
      <c r="AD460" s="464"/>
      <c r="AE460" s="464"/>
      <c r="AF460" s="495"/>
      <c r="AG460" s="464"/>
      <c r="AH460" s="464"/>
      <c r="AI460" s="464"/>
      <c r="AJ460" s="464"/>
      <c r="AM460" s="14"/>
      <c r="AN460" s="522"/>
      <c r="AO460" s="475" t="s">
        <v>299</v>
      </c>
      <c r="AP460" s="475">
        <v>0</v>
      </c>
      <c r="AT460" s="475" t="s">
        <v>299</v>
      </c>
      <c r="AU460" s="475">
        <v>0</v>
      </c>
      <c r="AV460" s="677"/>
    </row>
    <row r="461" spans="1:48" s="475" customFormat="1" ht="12.75" hidden="1" customHeight="1">
      <c r="A461" s="464" t="s">
        <v>2192</v>
      </c>
      <c r="C461" s="464"/>
      <c r="E461" s="521"/>
      <c r="AE461" s="1663" t="s">
        <v>2193</v>
      </c>
      <c r="AF461" s="1663"/>
      <c r="AG461" s="1663"/>
      <c r="AH461" s="1663"/>
      <c r="AI461" s="1663"/>
      <c r="AJ461" s="1663"/>
      <c r="AK461" s="1663"/>
      <c r="AL461" s="516"/>
      <c r="AN461" s="522"/>
      <c r="AO461" s="475" t="s">
        <v>2194</v>
      </c>
      <c r="AP461" s="475">
        <v>5</v>
      </c>
      <c r="AT461" s="475" t="s">
        <v>2194</v>
      </c>
      <c r="AU461" s="475">
        <v>5</v>
      </c>
      <c r="AV461" s="677"/>
    </row>
    <row r="462" spans="1:48" s="475" customFormat="1" ht="12.75" hidden="1" customHeight="1">
      <c r="A462" s="464"/>
      <c r="B462" s="461" t="s">
        <v>2195</v>
      </c>
      <c r="C462" s="464"/>
      <c r="E462" s="521"/>
      <c r="AE462" s="516"/>
      <c r="AF462" s="516"/>
      <c r="AG462" s="516"/>
      <c r="AH462" s="516"/>
      <c r="AI462" s="516"/>
      <c r="AJ462" s="516"/>
      <c r="AK462" s="516"/>
      <c r="AL462" s="516"/>
      <c r="AN462" s="522"/>
      <c r="AO462" s="475" t="s">
        <v>2196</v>
      </c>
      <c r="AP462" s="475">
        <v>5</v>
      </c>
      <c r="AT462" s="475" t="s">
        <v>2197</v>
      </c>
      <c r="AU462" s="475">
        <v>5</v>
      </c>
      <c r="AV462" s="677"/>
    </row>
    <row r="463" spans="1:48" s="475" customFormat="1" ht="12.75" hidden="1" customHeight="1">
      <c r="A463" s="464"/>
      <c r="B463" s="464" t="s">
        <v>2198</v>
      </c>
      <c r="C463" s="464"/>
      <c r="E463" s="521"/>
      <c r="AE463" s="516"/>
      <c r="AF463" s="516"/>
      <c r="AG463" s="516"/>
      <c r="AH463" s="516"/>
      <c r="AI463" s="516"/>
      <c r="AJ463" s="516"/>
      <c r="AK463" s="516"/>
      <c r="AL463" s="516"/>
      <c r="AN463" s="522"/>
      <c r="AO463" s="475" t="s">
        <v>2199</v>
      </c>
      <c r="AP463" s="475">
        <v>5</v>
      </c>
      <c r="AQ463" s="464"/>
      <c r="AR463" s="464"/>
      <c r="AS463" s="680"/>
      <c r="AT463" s="475" t="s">
        <v>2199</v>
      </c>
      <c r="AU463" s="475">
        <v>5</v>
      </c>
      <c r="AV463" s="461"/>
    </row>
    <row r="464" spans="1:48" s="475" customFormat="1" ht="12.75" hidden="1" customHeight="1">
      <c r="A464" s="464"/>
      <c r="B464" s="464" t="s">
        <v>2200</v>
      </c>
      <c r="C464" s="464"/>
      <c r="E464" s="521"/>
      <c r="AE464" s="516"/>
      <c r="AF464" s="516"/>
      <c r="AG464" s="516"/>
      <c r="AH464" s="516"/>
      <c r="AI464" s="516"/>
      <c r="AJ464" s="516"/>
      <c r="AK464" s="516"/>
      <c r="AL464" s="516"/>
      <c r="AN464" s="522"/>
      <c r="AO464" s="475" t="s">
        <v>2201</v>
      </c>
      <c r="AP464" s="475">
        <v>5</v>
      </c>
      <c r="AQ464" s="464"/>
      <c r="AR464" s="464"/>
      <c r="AT464" s="475" t="s">
        <v>2201</v>
      </c>
      <c r="AU464" s="475">
        <v>5</v>
      </c>
    </row>
    <row r="465" spans="1:59" s="475" customFormat="1" ht="12.75" hidden="1" customHeight="1">
      <c r="A465" s="464"/>
      <c r="C465" s="464"/>
      <c r="E465" s="521"/>
      <c r="AE465" s="516"/>
      <c r="AF465" s="516"/>
      <c r="AG465" s="516"/>
      <c r="AH465" s="516"/>
      <c r="AI465" s="516"/>
      <c r="AJ465" s="516"/>
      <c r="AK465" s="516"/>
      <c r="AL465" s="516"/>
      <c r="AN465" s="522"/>
      <c r="AO465" s="475" t="s">
        <v>2202</v>
      </c>
      <c r="AP465" s="475">
        <v>5</v>
      </c>
      <c r="AQ465" s="464"/>
      <c r="AR465" s="464"/>
      <c r="AT465" s="475" t="s">
        <v>2202</v>
      </c>
      <c r="AU465" s="475">
        <v>5</v>
      </c>
    </row>
    <row r="466" spans="1:59" s="475" customFormat="1" ht="12.75" hidden="1" customHeight="1">
      <c r="A466" s="464"/>
      <c r="C466" s="637" t="s">
        <v>2203</v>
      </c>
      <c r="D466" s="495"/>
      <c r="AE466" s="516"/>
      <c r="AF466" s="516"/>
      <c r="AG466" s="521"/>
      <c r="AH466" s="521"/>
      <c r="AI466" s="521"/>
      <c r="AJ466" s="521"/>
      <c r="AK466" s="521"/>
      <c r="AL466" s="521"/>
      <c r="AN466" s="522"/>
      <c r="AO466" s="475" t="s">
        <v>2204</v>
      </c>
      <c r="AP466" s="475">
        <v>5</v>
      </c>
      <c r="AT466" s="475" t="s">
        <v>2204</v>
      </c>
      <c r="AU466" s="475">
        <v>5</v>
      </c>
    </row>
    <row r="467" spans="1:59" s="475" customFormat="1" ht="12.75" hidden="1" customHeight="1">
      <c r="A467" s="464"/>
      <c r="C467" s="1740" t="s">
        <v>299</v>
      </c>
      <c r="D467" s="1741"/>
      <c r="E467" s="686" t="s">
        <v>50</v>
      </c>
      <c r="F467" s="1761" t="s">
        <v>2205</v>
      </c>
      <c r="G467" s="1761"/>
      <c r="H467" s="1761"/>
      <c r="I467" s="1761"/>
      <c r="J467" s="1761"/>
      <c r="K467" s="1761"/>
      <c r="L467" s="1761"/>
      <c r="M467" s="1761"/>
      <c r="N467" s="1761"/>
      <c r="O467" s="1761"/>
      <c r="P467" s="1761"/>
      <c r="Q467" s="1761"/>
      <c r="R467" s="1761"/>
      <c r="S467" s="1761"/>
      <c r="T467" s="1761"/>
      <c r="U467" s="1761"/>
      <c r="V467" s="1761"/>
      <c r="W467" s="1761"/>
      <c r="X467" s="1761"/>
      <c r="Y467" s="1761"/>
      <c r="Z467" s="1761"/>
      <c r="AA467" s="1761"/>
      <c r="AB467" s="1761"/>
      <c r="AC467" s="1761"/>
      <c r="AD467" s="1761"/>
      <c r="AE467" s="1761"/>
      <c r="AF467" s="639"/>
      <c r="AG467" s="639"/>
      <c r="AH467" s="639"/>
      <c r="AI467" s="639"/>
      <c r="AJ467" s="639"/>
      <c r="AK467" s="670"/>
      <c r="AN467" s="522"/>
      <c r="AO467" s="475" t="s">
        <v>2206</v>
      </c>
      <c r="AP467" s="475">
        <v>5</v>
      </c>
      <c r="AS467" s="683"/>
      <c r="AT467" s="475" t="s">
        <v>2207</v>
      </c>
      <c r="AU467" s="475">
        <v>5</v>
      </c>
    </row>
    <row r="468" spans="1:59" s="475" customFormat="1" ht="12.75" hidden="1" customHeight="1">
      <c r="C468" s="687"/>
      <c r="E468" s="688"/>
      <c r="F468" s="1762"/>
      <c r="G468" s="1762"/>
      <c r="H468" s="1762"/>
      <c r="I468" s="1762"/>
      <c r="J468" s="1762"/>
      <c r="K468" s="1762"/>
      <c r="L468" s="1762"/>
      <c r="M468" s="1762"/>
      <c r="N468" s="1762"/>
      <c r="O468" s="1762"/>
      <c r="P468" s="1762"/>
      <c r="Q468" s="1762"/>
      <c r="R468" s="1762"/>
      <c r="S468" s="1762"/>
      <c r="T468" s="1762"/>
      <c r="U468" s="1762"/>
      <c r="V468" s="1762"/>
      <c r="W468" s="1762"/>
      <c r="X468" s="1762"/>
      <c r="Y468" s="1762"/>
      <c r="Z468" s="1762"/>
      <c r="AA468" s="1762"/>
      <c r="AB468" s="1762"/>
      <c r="AC468" s="1762"/>
      <c r="AD468" s="1762"/>
      <c r="AE468" s="1762"/>
      <c r="AG468" s="476"/>
      <c r="AH468" s="476"/>
      <c r="AI468" s="476"/>
      <c r="AJ468" s="476"/>
      <c r="AK468" s="657"/>
      <c r="AN468" s="522"/>
      <c r="AO468" s="475" t="s">
        <v>2208</v>
      </c>
      <c r="AP468" s="475">
        <v>1</v>
      </c>
      <c r="AT468" s="475" t="s">
        <v>2208</v>
      </c>
      <c r="AU468" s="475">
        <v>1</v>
      </c>
    </row>
    <row r="469" spans="1:59" s="475" customFormat="1" ht="12.75" hidden="1" customHeight="1">
      <c r="C469" s="689"/>
      <c r="D469" s="652"/>
      <c r="E469" s="690"/>
      <c r="F469" s="1756" t="s">
        <v>299</v>
      </c>
      <c r="G469" s="1756"/>
      <c r="H469" s="1756"/>
      <c r="I469" s="1756"/>
      <c r="J469" s="1756"/>
      <c r="K469" s="1756"/>
      <c r="L469" s="1756"/>
      <c r="M469" s="1756"/>
      <c r="N469" s="1756"/>
      <c r="O469" s="1756"/>
      <c r="P469" s="1756"/>
      <c r="Q469" s="1756"/>
      <c r="R469" s="1756"/>
      <c r="S469" s="1756"/>
      <c r="T469" s="1756"/>
      <c r="U469" s="1756"/>
      <c r="V469" s="1756"/>
      <c r="W469" s="1756"/>
      <c r="X469" s="1756"/>
      <c r="Y469" s="1756"/>
      <c r="Z469" s="1756"/>
      <c r="AA469" s="691"/>
      <c r="AB469" s="583"/>
      <c r="AC469" s="583"/>
      <c r="AD469" s="652"/>
      <c r="AE469" s="652"/>
      <c r="AF469" s="652"/>
      <c r="AG469" s="692">
        <f>IF($C$467="Yes",(VLOOKUP($F$469,$AT$460:$AU$468,2,FALSE)),0)</f>
        <v>0</v>
      </c>
      <c r="AH469" s="693" t="s">
        <v>1990</v>
      </c>
      <c r="AI469" s="692"/>
      <c r="AJ469" s="692"/>
      <c r="AK469" s="667"/>
      <c r="AN469" s="522"/>
      <c r="AS469" s="680"/>
      <c r="AX469" s="680"/>
      <c r="BB469" s="680" t="s">
        <v>2209</v>
      </c>
      <c r="BF469" s="680" t="s">
        <v>2210</v>
      </c>
    </row>
    <row r="470" spans="1:59" s="475" customFormat="1" ht="12.75" hidden="1" customHeight="1">
      <c r="C470" s="476"/>
      <c r="E470" s="688"/>
      <c r="F470" s="518"/>
      <c r="G470" s="518"/>
      <c r="H470" s="518"/>
      <c r="I470" s="518"/>
      <c r="J470" s="518"/>
      <c r="K470" s="518"/>
      <c r="L470" s="518"/>
      <c r="M470" s="518"/>
      <c r="N470" s="518"/>
      <c r="O470" s="518"/>
      <c r="P470" s="518"/>
      <c r="Q470" s="518"/>
      <c r="R470" s="518"/>
      <c r="S470" s="518"/>
      <c r="T470" s="518"/>
      <c r="U470" s="518"/>
      <c r="V470" s="518"/>
      <c r="W470" s="518"/>
      <c r="X470" s="518"/>
      <c r="Y470" s="518"/>
      <c r="Z470" s="518"/>
      <c r="AA470" s="495"/>
      <c r="AB470" s="476"/>
      <c r="AC470" s="476"/>
      <c r="AG470" s="476"/>
      <c r="AH470" s="476"/>
      <c r="AI470" s="476"/>
      <c r="AJ470" s="476"/>
      <c r="AN470" s="522"/>
      <c r="AO470" s="475" t="s">
        <v>299</v>
      </c>
      <c r="AP470" s="562">
        <v>0</v>
      </c>
      <c r="AT470" s="475" t="s">
        <v>299</v>
      </c>
      <c r="AU470" s="562">
        <v>0</v>
      </c>
      <c r="AW470" s="475" t="s">
        <v>299</v>
      </c>
      <c r="AX470" s="562">
        <v>0</v>
      </c>
      <c r="AY470" s="518"/>
      <c r="BB470" s="475" t="s">
        <v>299</v>
      </c>
      <c r="BC470" s="518">
        <v>0</v>
      </c>
      <c r="BF470" s="475" t="s">
        <v>299</v>
      </c>
      <c r="BG470" s="518">
        <v>0</v>
      </c>
    </row>
    <row r="471" spans="1:59" s="475" customFormat="1" ht="12.75" hidden="1" customHeight="1">
      <c r="C471" s="1757" t="s">
        <v>837</v>
      </c>
      <c r="D471" s="1758"/>
      <c r="E471" s="686" t="s">
        <v>52</v>
      </c>
      <c r="F471" s="694" t="s">
        <v>2211</v>
      </c>
      <c r="G471" s="574"/>
      <c r="H471" s="574"/>
      <c r="I471" s="574"/>
      <c r="J471" s="574"/>
      <c r="K471" s="574"/>
      <c r="L471" s="574"/>
      <c r="M471" s="574"/>
      <c r="N471" s="574"/>
      <c r="O471" s="574"/>
      <c r="P471" s="574"/>
      <c r="Q471" s="574"/>
      <c r="R471" s="574"/>
      <c r="S471" s="574"/>
      <c r="T471" s="574"/>
      <c r="U471" s="574"/>
      <c r="V471" s="574"/>
      <c r="W471" s="574"/>
      <c r="X471" s="574"/>
      <c r="Y471" s="574"/>
      <c r="Z471" s="574"/>
      <c r="AA471" s="574"/>
      <c r="AB471" s="574"/>
      <c r="AC471" s="574"/>
      <c r="AD471" s="639"/>
      <c r="AE471" s="639"/>
      <c r="AF471" s="639"/>
      <c r="AG471" s="574"/>
      <c r="AH471" s="574"/>
      <c r="AI471" s="574"/>
      <c r="AJ471" s="574"/>
      <c r="AK471" s="670"/>
      <c r="AN471" s="522"/>
      <c r="AO471" s="683">
        <v>0.15</v>
      </c>
      <c r="AP471" s="562">
        <v>3</v>
      </c>
      <c r="AT471" s="683">
        <v>7.0000000000000007E-2</v>
      </c>
      <c r="AU471" s="562">
        <v>3</v>
      </c>
      <c r="AW471" s="475" t="s">
        <v>2212</v>
      </c>
      <c r="AX471" s="562">
        <v>3</v>
      </c>
      <c r="AY471" s="518"/>
      <c r="BB471" s="683">
        <v>0.4</v>
      </c>
      <c r="BC471" s="518">
        <v>3</v>
      </c>
      <c r="BF471" s="683">
        <v>0.4</v>
      </c>
      <c r="BG471" s="518">
        <v>4</v>
      </c>
    </row>
    <row r="472" spans="1:59" s="475" customFormat="1" ht="12.75" hidden="1" customHeight="1">
      <c r="C472" s="695" t="s">
        <v>2213</v>
      </c>
      <c r="F472" s="696" t="s">
        <v>2214</v>
      </c>
      <c r="G472" s="476"/>
      <c r="H472" s="476"/>
      <c r="I472" s="476"/>
      <c r="J472" s="476"/>
      <c r="K472" s="476"/>
      <c r="L472" s="476"/>
      <c r="M472" s="476"/>
      <c r="N472" s="476"/>
      <c r="O472" s="476"/>
      <c r="P472" s="476"/>
      <c r="Q472" s="476"/>
      <c r="R472" s="476"/>
      <c r="S472" s="476"/>
      <c r="T472" s="476"/>
      <c r="U472" s="476"/>
      <c r="V472" s="476"/>
      <c r="W472" s="476"/>
      <c r="X472" s="476"/>
      <c r="Y472" s="476"/>
      <c r="Z472" s="476"/>
      <c r="AA472" s="476"/>
      <c r="AB472" s="476"/>
      <c r="AC472" s="516"/>
      <c r="AG472" s="538"/>
      <c r="AH472" s="538"/>
      <c r="AI472" s="538"/>
      <c r="AJ472" s="538"/>
      <c r="AK472" s="657"/>
      <c r="AN472" s="522"/>
      <c r="AO472" s="683">
        <v>0.2</v>
      </c>
      <c r="AP472" s="562">
        <v>5</v>
      </c>
      <c r="AT472" s="683">
        <v>0.12</v>
      </c>
      <c r="AU472" s="562">
        <v>5</v>
      </c>
      <c r="AW472" s="475" t="s">
        <v>2215</v>
      </c>
      <c r="AX472" s="562">
        <v>5</v>
      </c>
      <c r="AY472" s="518"/>
      <c r="BB472" s="683">
        <v>0.6</v>
      </c>
      <c r="BC472" s="518">
        <v>4</v>
      </c>
      <c r="BF472" s="683">
        <v>0.6</v>
      </c>
      <c r="BG472" s="518">
        <v>5</v>
      </c>
    </row>
    <row r="473" spans="1:59" s="475" customFormat="1" ht="12.75" hidden="1" customHeight="1">
      <c r="C473" s="676"/>
      <c r="D473" s="655"/>
      <c r="E473" s="697"/>
      <c r="F473" s="696" t="s">
        <v>2216</v>
      </c>
      <c r="G473" s="696"/>
      <c r="H473" s="696"/>
      <c r="I473" s="696"/>
      <c r="J473" s="696"/>
      <c r="K473" s="696"/>
      <c r="L473" s="696"/>
      <c r="M473" s="696"/>
      <c r="N473" s="696"/>
      <c r="O473" s="696"/>
      <c r="P473" s="696"/>
      <c r="Q473" s="696"/>
      <c r="R473" s="696"/>
      <c r="S473" s="696"/>
      <c r="T473" s="696"/>
      <c r="U473" s="696"/>
      <c r="V473" s="696"/>
      <c r="W473" s="696"/>
      <c r="X473" s="696"/>
      <c r="Y473" s="696"/>
      <c r="Z473" s="696"/>
      <c r="AA473" s="696"/>
      <c r="AB473" s="696"/>
      <c r="AC473" s="698"/>
      <c r="AD473" s="534"/>
      <c r="AE473" s="534"/>
      <c r="AF473" s="534"/>
      <c r="AG473" s="699"/>
      <c r="AH473" s="538"/>
      <c r="AI473" s="538"/>
      <c r="AJ473" s="538"/>
      <c r="AK473" s="657"/>
      <c r="AN473" s="603"/>
      <c r="AO473" s="683"/>
      <c r="AP473" s="518"/>
      <c r="AT473" s="683"/>
      <c r="AU473" s="518"/>
      <c r="AX473" s="683"/>
      <c r="AY473" s="518"/>
      <c r="BB473" s="683">
        <v>0.8</v>
      </c>
      <c r="BC473" s="518">
        <v>5</v>
      </c>
      <c r="BF473" s="683"/>
      <c r="BG473" s="518"/>
    </row>
    <row r="474" spans="1:59" s="521" customFormat="1" ht="12.75" hidden="1" customHeight="1">
      <c r="A474" s="562"/>
      <c r="B474" s="475"/>
      <c r="C474" s="687"/>
      <c r="D474" s="475"/>
      <c r="E474" s="688"/>
      <c r="F474" s="700" t="s">
        <v>2217</v>
      </c>
      <c r="G474" s="475"/>
      <c r="H474" s="475"/>
      <c r="I474" s="696"/>
      <c r="J474" s="696"/>
      <c r="K474" s="696"/>
      <c r="L474" s="696"/>
      <c r="M474" s="696"/>
      <c r="N474" s="696"/>
      <c r="O474" s="696"/>
      <c r="P474" s="696"/>
      <c r="Q474" s="696"/>
      <c r="R474" s="696"/>
      <c r="S474" s="696"/>
      <c r="T474" s="696"/>
      <c r="U474" s="696"/>
      <c r="V474" s="1669" t="s">
        <v>299</v>
      </c>
      <c r="W474" s="1669"/>
      <c r="X474" s="1669"/>
      <c r="Y474" s="696"/>
      <c r="Z474" s="696"/>
      <c r="AA474" s="696"/>
      <c r="AB474" s="696"/>
      <c r="AC474" s="696"/>
      <c r="AD474" s="534"/>
      <c r="AE474" s="534"/>
      <c r="AF474" s="534"/>
      <c r="AG474" s="538">
        <f>IF(AND($C$471="Yes",$V$476="N/A",$V$481="N/A",$V$485="N/A",$V$487="N/A"),(VLOOKUP(V474,$AW$470:$AX$472,2,FALSE)),0)</f>
        <v>0</v>
      </c>
      <c r="AH474" s="565" t="s">
        <v>1990</v>
      </c>
      <c r="AI474" s="476"/>
      <c r="AJ474" s="476"/>
      <c r="AK474" s="657"/>
      <c r="AL474" s="475"/>
      <c r="AM474" s="475"/>
      <c r="AN474" s="522"/>
      <c r="AT474" s="475" t="s">
        <v>299</v>
      </c>
      <c r="AU474" s="562">
        <v>0</v>
      </c>
      <c r="AV474" s="475"/>
      <c r="AW474" s="475"/>
      <c r="AX474" s="475"/>
      <c r="AY474" s="475"/>
      <c r="AZ474" s="475"/>
      <c r="BA474" s="475"/>
      <c r="BB474" s="683"/>
      <c r="BC474" s="518"/>
      <c r="BD474" s="475"/>
      <c r="BE474" s="475"/>
      <c r="BF474" s="475"/>
      <c r="BG474" s="475"/>
    </row>
    <row r="475" spans="1:59" s="521" customFormat="1" ht="12.75" hidden="1" customHeight="1">
      <c r="A475" s="562"/>
      <c r="B475" s="475"/>
      <c r="C475" s="687"/>
      <c r="D475" s="475"/>
      <c r="E475" s="688"/>
      <c r="F475" s="700"/>
      <c r="G475" s="475"/>
      <c r="H475" s="475"/>
      <c r="I475" s="696"/>
      <c r="J475" s="696"/>
      <c r="K475" s="696"/>
      <c r="L475" s="696"/>
      <c r="M475" s="696"/>
      <c r="N475" s="696"/>
      <c r="O475" s="696"/>
      <c r="P475" s="696"/>
      <c r="Q475" s="696"/>
      <c r="R475" s="696"/>
      <c r="S475" s="696"/>
      <c r="T475" s="696"/>
      <c r="U475" s="696"/>
      <c r="V475" s="696"/>
      <c r="W475" s="696"/>
      <c r="X475" s="696"/>
      <c r="Y475" s="696"/>
      <c r="Z475" s="696"/>
      <c r="AA475" s="696"/>
      <c r="AB475" s="696"/>
      <c r="AC475" s="696"/>
      <c r="AD475" s="534"/>
      <c r="AE475" s="534"/>
      <c r="AF475" s="534"/>
      <c r="AG475" s="538"/>
      <c r="AH475" s="565"/>
      <c r="AI475" s="476"/>
      <c r="AJ475" s="476"/>
      <c r="AK475" s="657"/>
      <c r="AL475" s="475"/>
      <c r="AM475" s="475"/>
      <c r="AN475" s="522"/>
      <c r="AT475" s="683">
        <v>0.09</v>
      </c>
      <c r="AU475" s="562">
        <v>3</v>
      </c>
      <c r="AV475" s="475"/>
      <c r="AW475" s="475"/>
      <c r="AX475" s="680"/>
      <c r="AY475" s="475"/>
      <c r="AZ475" s="475"/>
      <c r="BA475" s="475"/>
      <c r="BB475" s="475"/>
      <c r="BC475" s="475"/>
      <c r="BD475" s="475"/>
      <c r="BE475" s="475"/>
      <c r="BF475" s="475"/>
      <c r="BG475" s="475"/>
    </row>
    <row r="476" spans="1:59" s="521" customFormat="1" ht="12.75" hidden="1" customHeight="1">
      <c r="A476" s="562"/>
      <c r="B476" s="475"/>
      <c r="C476" s="687"/>
      <c r="D476" s="475"/>
      <c r="E476" s="688"/>
      <c r="F476" s="700" t="s">
        <v>2218</v>
      </c>
      <c r="G476" s="475"/>
      <c r="H476" s="475"/>
      <c r="I476" s="696"/>
      <c r="J476" s="696"/>
      <c r="K476" s="696"/>
      <c r="L476" s="696"/>
      <c r="M476" s="696"/>
      <c r="N476" s="696"/>
      <c r="O476" s="696"/>
      <c r="P476" s="696"/>
      <c r="Q476" s="696"/>
      <c r="R476" s="696"/>
      <c r="S476" s="696"/>
      <c r="T476" s="696"/>
      <c r="U476" s="696"/>
      <c r="V476" s="1669" t="s">
        <v>299</v>
      </c>
      <c r="W476" s="1669"/>
      <c r="X476" s="1669"/>
      <c r="Y476" s="696"/>
      <c r="Z476" s="696"/>
      <c r="AA476" s="696"/>
      <c r="AB476" s="696"/>
      <c r="AC476" s="696"/>
      <c r="AD476" s="534"/>
      <c r="AE476" s="534"/>
      <c r="AF476" s="534"/>
      <c r="AG476" s="538">
        <f>IF(AND($C$471="Yes",$V$474="N/A", $V$481="N/A",$V$485="N/A",$V$487="N/A"),(VLOOKUP(V476,$AT$470:$AU$472,2,FALSE)),0)</f>
        <v>0</v>
      </c>
      <c r="AH476" s="565" t="s">
        <v>1990</v>
      </c>
      <c r="AI476" s="476"/>
      <c r="AJ476" s="476"/>
      <c r="AK476" s="657"/>
      <c r="AL476" s="475"/>
      <c r="AM476" s="475"/>
      <c r="AN476" s="522"/>
      <c r="AT476" s="683">
        <v>0.15</v>
      </c>
      <c r="AU476" s="562">
        <v>5</v>
      </c>
      <c r="AV476" s="475"/>
      <c r="AW476" s="475"/>
      <c r="AX476" s="475"/>
      <c r="AY476" s="475"/>
      <c r="AZ476" s="475"/>
      <c r="BA476" s="475"/>
      <c r="BB476" s="475"/>
      <c r="BC476" s="475"/>
      <c r="BD476" s="475"/>
      <c r="BE476" s="475"/>
      <c r="BF476" s="475"/>
      <c r="BG476" s="475"/>
    </row>
    <row r="477" spans="1:59" s="475" customFormat="1" ht="12.75" hidden="1" customHeight="1">
      <c r="C477" s="687"/>
      <c r="E477" s="688"/>
      <c r="F477" s="521"/>
      <c r="G477" s="701"/>
      <c r="H477" s="701"/>
      <c r="I477" s="701"/>
      <c r="J477" s="701"/>
      <c r="K477" s="701"/>
      <c r="L477" s="701"/>
      <c r="M477" s="701"/>
      <c r="N477" s="701"/>
      <c r="O477" s="701"/>
      <c r="P477" s="701"/>
      <c r="Q477" s="476"/>
      <c r="R477" s="476"/>
      <c r="S477" s="476"/>
      <c r="T477" s="476"/>
      <c r="U477" s="476"/>
      <c r="V477" s="476"/>
      <c r="W477" s="476"/>
      <c r="X477" s="476"/>
      <c r="Y477" s="476"/>
      <c r="Z477" s="476"/>
      <c r="AA477" s="476"/>
      <c r="AB477" s="476"/>
      <c r="AC477" s="476"/>
      <c r="AG477" s="521"/>
      <c r="AH477" s="521"/>
      <c r="AI477" s="521"/>
      <c r="AJ477" s="521"/>
      <c r="AK477" s="657"/>
      <c r="AN477" s="522"/>
      <c r="AO477" s="475" t="s">
        <v>299</v>
      </c>
      <c r="AP477" s="475">
        <v>0</v>
      </c>
    </row>
    <row r="478" spans="1:59" s="475" customFormat="1" ht="12.75" hidden="1" customHeight="1">
      <c r="C478" s="687"/>
      <c r="E478" s="688"/>
      <c r="F478" s="701" t="s">
        <v>2219</v>
      </c>
      <c r="I478" s="688"/>
      <c r="J478" s="688"/>
      <c r="K478" s="688"/>
      <c r="L478" s="688"/>
      <c r="M478" s="688"/>
      <c r="N478" s="688"/>
      <c r="O478" s="688"/>
      <c r="P478" s="688"/>
      <c r="Q478" s="476"/>
      <c r="R478" s="476"/>
      <c r="S478" s="476"/>
      <c r="T478" s="476"/>
      <c r="U478" s="476"/>
      <c r="V478" s="476"/>
      <c r="W478" s="476"/>
      <c r="X478" s="476"/>
      <c r="Y478" s="476"/>
      <c r="Z478" s="476"/>
      <c r="AA478" s="476"/>
      <c r="AB478" s="476"/>
      <c r="AC478" s="476"/>
      <c r="AJ478" s="476"/>
      <c r="AK478" s="657"/>
      <c r="AN478" s="522"/>
      <c r="AO478" s="475" t="s">
        <v>2220</v>
      </c>
      <c r="AP478" s="562">
        <v>2</v>
      </c>
    </row>
    <row r="479" spans="1:59" s="475" customFormat="1" ht="12.75" hidden="1" customHeight="1">
      <c r="C479" s="687"/>
      <c r="F479" s="534" t="s">
        <v>2221</v>
      </c>
      <c r="M479" s="688"/>
      <c r="N479" s="688"/>
      <c r="O479" s="688"/>
      <c r="P479" s="688"/>
      <c r="Q479" s="476"/>
      <c r="R479" s="476"/>
      <c r="S479" s="476"/>
      <c r="T479" s="476"/>
      <c r="U479" s="476"/>
      <c r="V479" s="476"/>
      <c r="W479" s="476"/>
      <c r="X479" s="476"/>
      <c r="Y479" s="476"/>
      <c r="Z479" s="476"/>
      <c r="AA479" s="476"/>
      <c r="AB479" s="476"/>
      <c r="AC479" s="476"/>
      <c r="AG479" s="538"/>
      <c r="AH479" s="565"/>
      <c r="AI479" s="476"/>
      <c r="AJ479" s="476"/>
      <c r="AK479" s="657"/>
      <c r="AN479" s="522"/>
      <c r="AO479" s="475" t="s">
        <v>2222</v>
      </c>
      <c r="AP479" s="475">
        <v>2</v>
      </c>
    </row>
    <row r="480" spans="1:59" s="521" customFormat="1" ht="12.75" hidden="1" customHeight="1">
      <c r="A480" s="475"/>
      <c r="B480" s="475"/>
      <c r="C480" s="664"/>
      <c r="D480" s="495"/>
      <c r="E480" s="495"/>
      <c r="F480" s="534" t="s">
        <v>2223</v>
      </c>
      <c r="G480" s="475"/>
      <c r="H480" s="475"/>
      <c r="I480" s="475"/>
      <c r="J480" s="475"/>
      <c r="K480" s="475"/>
      <c r="L480" s="475"/>
      <c r="M480" s="688"/>
      <c r="N480" s="688"/>
      <c r="O480" s="688"/>
      <c r="P480" s="688"/>
      <c r="Q480" s="476"/>
      <c r="R480" s="476"/>
      <c r="S480" s="476"/>
      <c r="T480" s="476"/>
      <c r="U480" s="476"/>
      <c r="V480" s="476"/>
      <c r="W480" s="476"/>
      <c r="X480" s="476"/>
      <c r="Y480" s="476"/>
      <c r="Z480" s="476"/>
      <c r="AA480" s="476"/>
      <c r="AB480" s="476"/>
      <c r="AC480" s="476"/>
      <c r="AD480" s="475"/>
      <c r="AE480" s="475"/>
      <c r="AF480" s="475"/>
      <c r="AG480" s="538"/>
      <c r="AH480" s="565"/>
      <c r="AI480" s="476"/>
      <c r="AJ480" s="476"/>
      <c r="AK480" s="657"/>
      <c r="AL480" s="475"/>
      <c r="AM480" s="475"/>
      <c r="AN480" s="603"/>
      <c r="AO480" s="475" t="s">
        <v>2224</v>
      </c>
      <c r="AP480" s="475">
        <v>2</v>
      </c>
    </row>
    <row r="481" spans="1:81" s="475" customFormat="1" ht="12.75" hidden="1" customHeight="1">
      <c r="C481" s="702"/>
      <c r="F481" s="700" t="s">
        <v>2225</v>
      </c>
      <c r="M481" s="688"/>
      <c r="N481" s="688"/>
      <c r="O481" s="688"/>
      <c r="P481" s="688"/>
      <c r="Q481" s="476"/>
      <c r="R481" s="476"/>
      <c r="S481" s="476"/>
      <c r="T481" s="476"/>
      <c r="U481" s="476"/>
      <c r="V481" s="1669" t="s">
        <v>299</v>
      </c>
      <c r="W481" s="1669"/>
      <c r="X481" s="1669"/>
      <c r="Y481" s="476"/>
      <c r="Z481" s="476"/>
      <c r="AA481" s="476"/>
      <c r="AB481" s="476"/>
      <c r="AC481" s="476"/>
      <c r="AG481" s="538">
        <f>IF(AND($C$471="Yes",$V$474="N/A",$V$476="N/A", $V$485="N/A",$V$487="N/A"),(VLOOKUP($V$481,$AT$474:$AU$476,2,FALSE)),0)</f>
        <v>0</v>
      </c>
      <c r="AH481" s="565" t="s">
        <v>1990</v>
      </c>
      <c r="AI481" s="476"/>
      <c r="AJ481" s="476"/>
      <c r="AK481" s="657"/>
      <c r="AN481" s="460"/>
    </row>
    <row r="482" spans="1:81" s="475" customFormat="1" ht="12.75" hidden="1" customHeight="1">
      <c r="C482" s="687"/>
      <c r="M482" s="688"/>
      <c r="N482" s="688"/>
      <c r="O482" s="688"/>
      <c r="P482" s="688"/>
      <c r="Q482" s="476"/>
      <c r="R482" s="476"/>
      <c r="S482" s="476"/>
      <c r="T482" s="476"/>
      <c r="U482" s="476"/>
      <c r="V482" s="476"/>
      <c r="W482" s="476"/>
      <c r="X482" s="476"/>
      <c r="Y482" s="476"/>
      <c r="Z482" s="476"/>
      <c r="AA482" s="476"/>
      <c r="AB482" s="476"/>
      <c r="AC482" s="476"/>
      <c r="AJ482" s="476"/>
      <c r="AK482" s="657"/>
      <c r="AN482" s="703"/>
    </row>
    <row r="483" spans="1:81" s="521" customFormat="1" ht="12.75" hidden="1" customHeight="1">
      <c r="A483" s="475"/>
      <c r="B483" s="475"/>
      <c r="C483" s="704" t="s">
        <v>2226</v>
      </c>
      <c r="D483" s="639"/>
      <c r="E483" s="639"/>
      <c r="F483" s="705" t="s">
        <v>2227</v>
      </c>
      <c r="G483" s="639"/>
      <c r="H483" s="639"/>
      <c r="I483" s="639"/>
      <c r="J483" s="639"/>
      <c r="K483" s="639"/>
      <c r="L483" s="639"/>
      <c r="M483" s="639"/>
      <c r="N483" s="639"/>
      <c r="O483" s="639"/>
      <c r="P483" s="639"/>
      <c r="Q483" s="639"/>
      <c r="R483" s="639"/>
      <c r="S483" s="639"/>
      <c r="T483" s="639"/>
      <c r="U483" s="639"/>
      <c r="V483" s="639"/>
      <c r="W483" s="639"/>
      <c r="X483" s="639"/>
      <c r="Y483" s="639"/>
      <c r="Z483" s="639"/>
      <c r="AA483" s="639"/>
      <c r="AB483" s="639"/>
      <c r="AC483" s="639"/>
      <c r="AD483" s="639"/>
      <c r="AE483" s="639"/>
      <c r="AF483" s="639"/>
      <c r="AG483" s="639"/>
      <c r="AH483" s="639"/>
      <c r="AI483" s="639"/>
      <c r="AJ483" s="639"/>
      <c r="AK483" s="670"/>
      <c r="AL483" s="475"/>
      <c r="AM483" s="475"/>
      <c r="AN483" s="517"/>
      <c r="AO483" s="475" t="s">
        <v>299</v>
      </c>
      <c r="AP483" s="475">
        <v>0</v>
      </c>
      <c r="AQ483" s="464"/>
    </row>
    <row r="484" spans="1:81" s="521" customFormat="1" ht="12.75" hidden="1" customHeight="1">
      <c r="A484" s="475"/>
      <c r="B484" s="475"/>
      <c r="C484" s="706"/>
      <c r="D484" s="1743"/>
      <c r="E484" s="1743"/>
      <c r="F484" s="696" t="s">
        <v>2228</v>
      </c>
      <c r="I484" s="475"/>
      <c r="J484" s="475"/>
      <c r="K484" s="475"/>
      <c r="L484" s="475"/>
      <c r="M484" s="475"/>
      <c r="N484" s="475"/>
      <c r="O484" s="475"/>
      <c r="P484" s="475"/>
      <c r="Q484" s="475"/>
      <c r="R484" s="475"/>
      <c r="S484" s="475"/>
      <c r="T484" s="475"/>
      <c r="U484" s="475"/>
      <c r="Y484" s="475"/>
      <c r="Z484" s="475"/>
      <c r="AA484" s="475"/>
      <c r="AB484" s="475"/>
      <c r="AC484" s="475"/>
      <c r="AD484" s="475"/>
      <c r="AE484" s="475"/>
      <c r="AF484" s="475"/>
      <c r="AK484" s="657"/>
      <c r="AL484" s="475"/>
      <c r="AM484" s="475"/>
      <c r="AN484" s="517"/>
      <c r="AO484" s="475" t="s">
        <v>2229</v>
      </c>
      <c r="AP484" s="562">
        <v>5</v>
      </c>
      <c r="AQ484" s="464"/>
    </row>
    <row r="485" spans="1:81" s="495" customFormat="1" ht="12.75" hidden="1" customHeight="1">
      <c r="A485" s="604"/>
      <c r="B485" s="475"/>
      <c r="C485" s="687"/>
      <c r="D485" s="475"/>
      <c r="E485" s="475"/>
      <c r="F485" s="707" t="s">
        <v>2217</v>
      </c>
      <c r="G485" s="475"/>
      <c r="H485" s="475"/>
      <c r="I485" s="475"/>
      <c r="J485" s="475"/>
      <c r="K485" s="475"/>
      <c r="L485" s="475"/>
      <c r="M485" s="475"/>
      <c r="N485" s="475"/>
      <c r="O485" s="475"/>
      <c r="P485" s="475"/>
      <c r="Q485" s="475"/>
      <c r="R485" s="475"/>
      <c r="S485" s="475"/>
      <c r="T485" s="475"/>
      <c r="U485" s="475"/>
      <c r="V485" s="1669" t="s">
        <v>299</v>
      </c>
      <c r="W485" s="1669"/>
      <c r="X485" s="1669"/>
      <c r="Y485" s="475"/>
      <c r="Z485" s="475"/>
      <c r="AA485" s="475"/>
      <c r="AB485" s="475"/>
      <c r="AC485" s="475"/>
      <c r="AD485" s="475"/>
      <c r="AE485" s="475"/>
      <c r="AF485" s="475"/>
      <c r="AG485" s="538">
        <f>IF(AND($C$471="Yes",$V$474="N/A",V476="N/A",$V$481="N/A",$V$487="N/A"),(VLOOKUP($V$485,$BB$470:$BC$473,2,FALSE)),0)</f>
        <v>0</v>
      </c>
      <c r="AH485" s="565" t="s">
        <v>1990</v>
      </c>
      <c r="AI485" s="476"/>
      <c r="AJ485" s="475"/>
      <c r="AK485" s="657"/>
      <c r="AL485" s="475"/>
      <c r="AM485" s="475"/>
      <c r="AN485" s="609"/>
      <c r="AO485" s="475" t="s">
        <v>2230</v>
      </c>
      <c r="AP485" s="475">
        <v>5</v>
      </c>
      <c r="AS485" s="475"/>
      <c r="AT485" s="475"/>
      <c r="AU485" s="475"/>
      <c r="AV485" s="475"/>
      <c r="AW485" s="475"/>
      <c r="AX485" s="475"/>
      <c r="AY485" s="475"/>
      <c r="AZ485" s="475"/>
      <c r="BA485" s="475"/>
      <c r="BB485" s="475"/>
      <c r="BO485" s="475"/>
      <c r="BP485" s="475"/>
      <c r="BQ485" s="475"/>
      <c r="BR485" s="475"/>
      <c r="BS485" s="475"/>
      <c r="BT485" s="475"/>
      <c r="BU485" s="475"/>
      <c r="BV485" s="475"/>
      <c r="BW485" s="475"/>
      <c r="BX485" s="475"/>
      <c r="BY485" s="475"/>
      <c r="BZ485" s="475"/>
      <c r="CA485" s="475"/>
      <c r="CB485" s="475"/>
      <c r="CC485" s="475"/>
    </row>
    <row r="486" spans="1:81" s="495" customFormat="1" ht="12.75" hidden="1" customHeight="1">
      <c r="A486" s="604"/>
      <c r="B486" s="475"/>
      <c r="C486" s="687"/>
      <c r="D486" s="475"/>
      <c r="E486" s="475"/>
      <c r="I486" s="475"/>
      <c r="J486" s="475"/>
      <c r="K486" s="475"/>
      <c r="L486" s="475"/>
      <c r="M486" s="475"/>
      <c r="N486" s="475"/>
      <c r="O486" s="475"/>
      <c r="P486" s="475"/>
      <c r="Q486" s="475"/>
      <c r="R486" s="475"/>
      <c r="S486" s="475"/>
      <c r="T486" s="475"/>
      <c r="U486" s="475"/>
      <c r="V486" s="475"/>
      <c r="W486" s="475"/>
      <c r="X486" s="475"/>
      <c r="Y486" s="475"/>
      <c r="Z486" s="475"/>
      <c r="AA486" s="475"/>
      <c r="AB486" s="475"/>
      <c r="AC486" s="475"/>
      <c r="AD486" s="475"/>
      <c r="AE486" s="475"/>
      <c r="AF486" s="475"/>
      <c r="AK486" s="657"/>
      <c r="AL486" s="475"/>
      <c r="AM486" s="475"/>
      <c r="AN486" s="609"/>
      <c r="AO486" s="475" t="s">
        <v>2231</v>
      </c>
      <c r="AP486" s="475">
        <v>5</v>
      </c>
      <c r="AS486" s="475"/>
      <c r="AT486" s="475"/>
      <c r="AU486" s="475"/>
      <c r="AV486" s="475"/>
      <c r="AW486" s="475"/>
      <c r="AX486" s="475"/>
      <c r="AY486" s="475"/>
      <c r="AZ486" s="475"/>
      <c r="BA486" s="475"/>
      <c r="BB486" s="475"/>
      <c r="BC486" s="475"/>
      <c r="BD486" s="475"/>
      <c r="BE486" s="475"/>
      <c r="BF486" s="475"/>
      <c r="BG486" s="475"/>
      <c r="BH486" s="475"/>
      <c r="BI486" s="475"/>
      <c r="BJ486" s="475"/>
      <c r="BK486" s="475"/>
      <c r="BL486" s="475"/>
      <c r="BM486" s="475"/>
      <c r="BN486" s="475"/>
      <c r="BO486" s="475"/>
      <c r="BP486" s="475"/>
      <c r="BQ486" s="475"/>
      <c r="BR486" s="475"/>
      <c r="BS486" s="475"/>
      <c r="BT486" s="475"/>
      <c r="BU486" s="475"/>
      <c r="BV486" s="475"/>
      <c r="BW486" s="475"/>
      <c r="BX486" s="475"/>
      <c r="BY486" s="475"/>
      <c r="BZ486" s="475"/>
      <c r="CA486" s="475"/>
      <c r="CB486" s="475"/>
      <c r="CC486" s="475"/>
    </row>
    <row r="487" spans="1:81" s="464" customFormat="1" ht="12.75" hidden="1" customHeight="1">
      <c r="A487" s="604"/>
      <c r="B487" s="475"/>
      <c r="C487" s="689"/>
      <c r="D487" s="652"/>
      <c r="E487" s="652"/>
      <c r="F487" s="700" t="s">
        <v>2218</v>
      </c>
      <c r="G487" s="691"/>
      <c r="H487" s="691"/>
      <c r="I487" s="652"/>
      <c r="J487" s="652"/>
      <c r="K487" s="652"/>
      <c r="L487" s="652"/>
      <c r="M487" s="652"/>
      <c r="N487" s="652"/>
      <c r="O487" s="652"/>
      <c r="P487" s="652"/>
      <c r="Q487" s="652"/>
      <c r="R487" s="652"/>
      <c r="S487" s="652"/>
      <c r="T487" s="652"/>
      <c r="U487" s="652"/>
      <c r="V487" s="1669" t="s">
        <v>299</v>
      </c>
      <c r="W487" s="1669"/>
      <c r="X487" s="1669"/>
      <c r="Y487" s="652"/>
      <c r="Z487" s="652"/>
      <c r="AA487" s="652"/>
      <c r="AB487" s="652"/>
      <c r="AC487" s="652"/>
      <c r="AD487" s="652"/>
      <c r="AE487" s="652"/>
      <c r="AF487" s="652"/>
      <c r="AG487" s="708">
        <f>IF(AND($C$471="Yes",$V$474="N/A",$V$476="N/A",$V$481="N/A",$V$485="N/A"),(VLOOKUP($V$487,$BF$470:$BG$472,2,FALSE)),0)</f>
        <v>0</v>
      </c>
      <c r="AH487" s="693" t="s">
        <v>1990</v>
      </c>
      <c r="AI487" s="652"/>
      <c r="AJ487" s="652"/>
      <c r="AK487" s="667"/>
      <c r="AL487" s="475"/>
      <c r="AM487" s="475"/>
      <c r="AN487" s="709"/>
      <c r="AP487" s="521"/>
      <c r="AQ487" s="521"/>
      <c r="AR487" s="521"/>
      <c r="AS487" s="521"/>
      <c r="AT487" s="521"/>
      <c r="AU487" s="521"/>
      <c r="AV487" s="521"/>
      <c r="AW487" s="521"/>
      <c r="AX487" s="521"/>
      <c r="AY487" s="521"/>
      <c r="AZ487" s="521"/>
      <c r="BA487" s="521"/>
      <c r="BB487" s="521"/>
      <c r="BC487" s="521"/>
      <c r="BE487" s="521"/>
      <c r="BF487" s="521"/>
      <c r="BG487" s="521"/>
      <c r="BH487" s="521"/>
      <c r="BI487" s="521"/>
      <c r="BJ487" s="521"/>
      <c r="BK487" s="521"/>
      <c r="BL487" s="521"/>
      <c r="BM487" s="521"/>
      <c r="BN487" s="521"/>
      <c r="BO487" s="521"/>
      <c r="BP487" s="521"/>
      <c r="BQ487" s="521"/>
      <c r="BR487" s="521"/>
    </row>
    <row r="488" spans="1:81" s="464" customFormat="1" ht="12.75" hidden="1" customHeight="1">
      <c r="A488" s="604"/>
      <c r="B488" s="475"/>
      <c r="C488" s="476"/>
      <c r="D488" s="475"/>
      <c r="E488" s="688"/>
      <c r="F488" s="475"/>
      <c r="G488" s="475"/>
      <c r="H488" s="475"/>
      <c r="I488" s="475"/>
      <c r="J488" s="475"/>
      <c r="K488" s="475"/>
      <c r="L488" s="475"/>
      <c r="M488" s="475"/>
      <c r="N488" s="475"/>
      <c r="O488" s="475"/>
      <c r="P488" s="475"/>
      <c r="Q488" s="475"/>
      <c r="R488" s="475"/>
      <c r="S488" s="475"/>
      <c r="T488" s="475"/>
      <c r="U488" s="475"/>
      <c r="V488" s="475"/>
      <c r="W488" s="475"/>
      <c r="X488" s="475"/>
      <c r="Y488" s="475"/>
      <c r="Z488" s="475"/>
      <c r="AA488" s="475"/>
      <c r="AB488" s="475"/>
      <c r="AC488" s="475"/>
      <c r="AD488" s="475"/>
      <c r="AE488" s="475"/>
      <c r="AF488" s="475"/>
      <c r="AG488" s="475"/>
      <c r="AH488" s="475"/>
      <c r="AI488" s="475"/>
      <c r="AJ488" s="475"/>
      <c r="AK488" s="475"/>
      <c r="AL488" s="475"/>
      <c r="AM488" s="475"/>
      <c r="AN488" s="709"/>
      <c r="AO488" s="710"/>
      <c r="AP488" s="475"/>
      <c r="AQ488" s="475"/>
      <c r="AR488" s="475"/>
      <c r="AS488" s="475"/>
      <c r="AT488" s="475"/>
      <c r="AU488" s="711"/>
      <c r="AV488" s="711"/>
      <c r="AW488" s="711"/>
      <c r="AX488" s="711"/>
      <c r="AY488" s="711"/>
      <c r="AZ488" s="711"/>
      <c r="BA488" s="711"/>
      <c r="BB488" s="521"/>
      <c r="BC488" s="521"/>
      <c r="BE488" s="475"/>
      <c r="BF488" s="475"/>
      <c r="BG488" s="475"/>
      <c r="BH488" s="475"/>
      <c r="BI488" s="475"/>
      <c r="BJ488" s="711"/>
      <c r="BK488" s="711"/>
      <c r="BL488" s="711"/>
      <c r="BM488" s="711"/>
      <c r="BN488" s="711"/>
      <c r="BO488" s="711"/>
      <c r="BP488" s="711"/>
      <c r="BQ488" s="521"/>
      <c r="BR488" s="475"/>
    </row>
    <row r="489" spans="1:81" s="464" customFormat="1" ht="12.75" hidden="1" customHeight="1">
      <c r="A489" s="604"/>
      <c r="B489" s="475"/>
      <c r="C489" s="637" t="s">
        <v>2232</v>
      </c>
      <c r="D489" s="475"/>
      <c r="E489" s="688"/>
      <c r="F489" s="476"/>
      <c r="G489" s="476"/>
      <c r="H489" s="476"/>
      <c r="I489" s="476"/>
      <c r="J489" s="476"/>
      <c r="K489" s="476"/>
      <c r="L489" s="476"/>
      <c r="M489" s="476"/>
      <c r="N489" s="476"/>
      <c r="O489" s="476"/>
      <c r="P489" s="476"/>
      <c r="Q489" s="476"/>
      <c r="R489" s="476"/>
      <c r="S489" s="476"/>
      <c r="T489" s="476"/>
      <c r="U489" s="476"/>
      <c r="V489" s="476"/>
      <c r="W489" s="476"/>
      <c r="X489" s="476"/>
      <c r="Y489" s="476"/>
      <c r="Z489" s="476"/>
      <c r="AA489" s="476"/>
      <c r="AB489" s="476"/>
      <c r="AC489" s="476"/>
      <c r="AD489" s="475"/>
      <c r="AE489" s="475"/>
      <c r="AF489" s="475"/>
      <c r="AG489" s="476"/>
      <c r="AH489" s="476"/>
      <c r="AI489" s="476"/>
      <c r="AJ489" s="476"/>
      <c r="AK489" s="475"/>
      <c r="AL489" s="475"/>
      <c r="AM489" s="475"/>
      <c r="AN489" s="709"/>
      <c r="AO489" s="710"/>
      <c r="AP489" s="475"/>
      <c r="AQ489" s="475"/>
      <c r="AR489" s="475"/>
      <c r="AS489" s="475"/>
      <c r="AT489" s="475"/>
      <c r="AU489" s="711"/>
      <c r="AV489" s="711"/>
      <c r="AW489" s="711"/>
      <c r="AX489" s="711"/>
      <c r="AY489" s="711"/>
      <c r="AZ489" s="711"/>
      <c r="BA489" s="711"/>
      <c r="BB489" s="521"/>
      <c r="BC489" s="521"/>
      <c r="BE489" s="475"/>
      <c r="BF489" s="475"/>
      <c r="BG489" s="475"/>
      <c r="BH489" s="475"/>
      <c r="BI489" s="475"/>
      <c r="BJ489" s="711"/>
      <c r="BK489" s="711"/>
      <c r="BL489" s="711"/>
      <c r="BM489" s="711"/>
      <c r="BN489" s="711"/>
      <c r="BO489" s="711"/>
      <c r="BP489" s="711"/>
      <c r="BQ489" s="521"/>
      <c r="BR489" s="475"/>
    </row>
    <row r="490" spans="1:81" s="495" customFormat="1" ht="12.75" hidden="1" customHeight="1">
      <c r="A490" s="604"/>
      <c r="B490" s="475"/>
      <c r="C490" s="1740" t="s">
        <v>299</v>
      </c>
      <c r="D490" s="1741"/>
      <c r="E490" s="686" t="s">
        <v>50</v>
      </c>
      <c r="F490" s="1761" t="s">
        <v>2205</v>
      </c>
      <c r="G490" s="1761"/>
      <c r="H490" s="1761"/>
      <c r="I490" s="1761"/>
      <c r="J490" s="1761"/>
      <c r="K490" s="1761"/>
      <c r="L490" s="1761"/>
      <c r="M490" s="1761"/>
      <c r="N490" s="1761"/>
      <c r="O490" s="1761"/>
      <c r="P490" s="1761"/>
      <c r="Q490" s="1761"/>
      <c r="R490" s="1761"/>
      <c r="S490" s="1761"/>
      <c r="T490" s="1761"/>
      <c r="U490" s="1761"/>
      <c r="V490" s="1761"/>
      <c r="W490" s="1761"/>
      <c r="X490" s="1761"/>
      <c r="Y490" s="1761"/>
      <c r="Z490" s="1761"/>
      <c r="AA490" s="1761"/>
      <c r="AB490" s="1761"/>
      <c r="AC490" s="1761"/>
      <c r="AD490" s="1761"/>
      <c r="AE490" s="1761"/>
      <c r="AF490" s="639"/>
      <c r="AG490" s="641"/>
      <c r="AH490" s="641"/>
      <c r="AI490" s="641"/>
      <c r="AJ490" s="641"/>
      <c r="AK490" s="670"/>
      <c r="AL490" s="475"/>
      <c r="AM490" s="475"/>
      <c r="AN490" s="459"/>
      <c r="AO490" s="26"/>
      <c r="AP490" s="475"/>
      <c r="AQ490" s="475"/>
      <c r="AR490" s="475"/>
      <c r="AS490" s="475"/>
      <c r="AT490" s="475"/>
      <c r="AU490" s="712"/>
      <c r="AV490" s="712"/>
      <c r="AW490" s="712"/>
      <c r="AX490" s="712"/>
      <c r="AY490" s="712"/>
      <c r="AZ490" s="712"/>
      <c r="BA490" s="712"/>
      <c r="BB490" s="475"/>
      <c r="BC490" s="475"/>
      <c r="BD490" s="461"/>
      <c r="BE490" s="475"/>
      <c r="BF490" s="475"/>
      <c r="BG490" s="475"/>
      <c r="BH490" s="475"/>
      <c r="BI490" s="475"/>
      <c r="BJ490" s="712"/>
      <c r="BK490" s="712"/>
      <c r="BL490" s="712"/>
      <c r="BM490" s="712"/>
      <c r="BN490" s="712"/>
      <c r="BO490" s="712"/>
      <c r="BP490" s="712"/>
      <c r="BQ490" s="475"/>
      <c r="BR490" s="475"/>
      <c r="BS490" s="461"/>
      <c r="BT490" s="461"/>
      <c r="BU490" s="461"/>
      <c r="BV490" s="461"/>
      <c r="BW490" s="461"/>
      <c r="BX490" s="461"/>
      <c r="BY490" s="461"/>
      <c r="BZ490" s="461"/>
      <c r="CA490" s="461"/>
      <c r="CB490" s="461"/>
      <c r="CC490" s="461"/>
    </row>
    <row r="491" spans="1:81" s="495" customFormat="1" ht="12.75" hidden="1" customHeight="1">
      <c r="A491" s="604"/>
      <c r="B491" s="475"/>
      <c r="C491" s="687"/>
      <c r="D491" s="475"/>
      <c r="E491" s="688"/>
      <c r="F491" s="1762"/>
      <c r="G491" s="1762"/>
      <c r="H491" s="1762"/>
      <c r="I491" s="1762"/>
      <c r="J491" s="1762"/>
      <c r="K491" s="1762"/>
      <c r="L491" s="1762"/>
      <c r="M491" s="1762"/>
      <c r="N491" s="1762"/>
      <c r="O491" s="1762"/>
      <c r="P491" s="1762"/>
      <c r="Q491" s="1762"/>
      <c r="R491" s="1762"/>
      <c r="S491" s="1762"/>
      <c r="T491" s="1762"/>
      <c r="U491" s="1762"/>
      <c r="V491" s="1762"/>
      <c r="W491" s="1762"/>
      <c r="X491" s="1762"/>
      <c r="Y491" s="1762"/>
      <c r="Z491" s="1762"/>
      <c r="AA491" s="1762"/>
      <c r="AB491" s="1762"/>
      <c r="AC491" s="1762"/>
      <c r="AD491" s="1762"/>
      <c r="AE491" s="1762"/>
      <c r="AF491" s="475"/>
      <c r="AG491" s="476"/>
      <c r="AH491" s="476"/>
      <c r="AI491" s="476"/>
      <c r="AJ491" s="476"/>
      <c r="AK491" s="657"/>
      <c r="AL491" s="475"/>
      <c r="AM491" s="475"/>
      <c r="AN491" s="459"/>
      <c r="AO491" s="26"/>
      <c r="AP491" s="713"/>
      <c r="AQ491" s="713"/>
      <c r="AR491" s="713"/>
      <c r="AS491" s="604"/>
      <c r="AT491" s="475"/>
      <c r="AU491" s="714"/>
      <c r="AV491" s="714"/>
      <c r="AW491" s="714"/>
      <c r="AX491" s="714"/>
      <c r="AY491" s="714"/>
      <c r="AZ491" s="714"/>
      <c r="BA491" s="714"/>
      <c r="BB491" s="14"/>
      <c r="BC491" s="14"/>
      <c r="BD491" s="461"/>
      <c r="BE491" s="713"/>
      <c r="BF491" s="713"/>
      <c r="BG491" s="713"/>
      <c r="BH491" s="604"/>
      <c r="BI491" s="475"/>
      <c r="BJ491" s="715"/>
      <c r="BK491" s="714"/>
      <c r="BL491" s="714"/>
      <c r="BM491" s="714"/>
      <c r="BN491" s="714"/>
      <c r="BO491" s="714"/>
      <c r="BP491" s="714"/>
      <c r="BQ491" s="14"/>
      <c r="BR491" s="475"/>
      <c r="BS491" s="461"/>
      <c r="BT491" s="461"/>
      <c r="BU491" s="461"/>
      <c r="BV491" s="461"/>
      <c r="BW491" s="461"/>
      <c r="BX491" s="461"/>
      <c r="BY491" s="461"/>
      <c r="BZ491" s="461"/>
      <c r="CA491" s="461"/>
      <c r="CB491" s="461"/>
      <c r="CC491" s="461"/>
    </row>
    <row r="492" spans="1:81" s="495" customFormat="1" ht="12.75" hidden="1" customHeight="1">
      <c r="A492" s="604"/>
      <c r="B492" s="475"/>
      <c r="C492" s="689"/>
      <c r="D492" s="652"/>
      <c r="E492" s="690"/>
      <c r="F492" s="1748" t="s">
        <v>299</v>
      </c>
      <c r="G492" s="1748"/>
      <c r="H492" s="1748"/>
      <c r="I492" s="1748"/>
      <c r="J492" s="1748"/>
      <c r="K492" s="1748"/>
      <c r="L492" s="1748"/>
      <c r="M492" s="1748"/>
      <c r="N492" s="1748"/>
      <c r="O492" s="1748"/>
      <c r="P492" s="1748"/>
      <c r="Q492" s="1748"/>
      <c r="R492" s="1748"/>
      <c r="S492" s="1748"/>
      <c r="T492" s="1748"/>
      <c r="U492" s="1748"/>
      <c r="V492" s="1748"/>
      <c r="W492" s="1748"/>
      <c r="X492" s="1748"/>
      <c r="Y492" s="1748"/>
      <c r="Z492" s="1748"/>
      <c r="AA492" s="691"/>
      <c r="AB492" s="583"/>
      <c r="AC492" s="583"/>
      <c r="AD492" s="652"/>
      <c r="AE492" s="652"/>
      <c r="AF492" s="652"/>
      <c r="AG492" s="692">
        <f>IF($C$490="Yes",(VLOOKUP($F$492,$AO$460:$AP$468,2,FALSE)),0)</f>
        <v>0</v>
      </c>
      <c r="AH492" s="693" t="s">
        <v>1990</v>
      </c>
      <c r="AI492" s="692"/>
      <c r="AJ492" s="583"/>
      <c r="AK492" s="667"/>
      <c r="AL492" s="475"/>
      <c r="AM492" s="475"/>
      <c r="AN492" s="459"/>
      <c r="AO492" s="26"/>
      <c r="AP492" s="713"/>
      <c r="AQ492" s="713"/>
      <c r="AR492" s="713"/>
      <c r="AS492" s="604"/>
      <c r="AT492" s="475"/>
      <c r="AU492" s="714"/>
      <c r="AV492" s="714"/>
      <c r="AW492" s="714"/>
      <c r="AX492" s="714"/>
      <c r="AY492" s="714"/>
      <c r="AZ492" s="714"/>
      <c r="BA492" s="714"/>
      <c r="BB492" s="14"/>
      <c r="BC492" s="14"/>
      <c r="BD492" s="461"/>
      <c r="BE492" s="713"/>
      <c r="BF492" s="713"/>
      <c r="BG492" s="713"/>
      <c r="BH492" s="604"/>
      <c r="BI492" s="475"/>
      <c r="BJ492" s="715"/>
      <c r="BK492" s="714"/>
      <c r="BL492" s="714"/>
      <c r="BM492" s="714"/>
      <c r="BN492" s="714"/>
      <c r="BO492" s="714"/>
      <c r="BP492" s="714"/>
      <c r="BQ492" s="14"/>
      <c r="BR492" s="475"/>
      <c r="BS492" s="461"/>
      <c r="BT492" s="461"/>
      <c r="BU492" s="461"/>
      <c r="BV492" s="461"/>
      <c r="BW492" s="461"/>
      <c r="BX492" s="461"/>
      <c r="BY492" s="461"/>
      <c r="BZ492" s="461"/>
      <c r="CA492" s="461"/>
      <c r="CB492" s="461"/>
      <c r="CC492" s="461"/>
    </row>
    <row r="493" spans="1:81" s="495" customFormat="1" ht="12.75" hidden="1" customHeight="1">
      <c r="A493" s="604"/>
      <c r="B493" s="475"/>
      <c r="C493" s="637"/>
      <c r="D493" s="475"/>
      <c r="E493" s="688"/>
      <c r="F493" s="476"/>
      <c r="G493" s="476"/>
      <c r="H493" s="476"/>
      <c r="I493" s="476"/>
      <c r="J493" s="476"/>
      <c r="K493" s="476"/>
      <c r="L493" s="476"/>
      <c r="M493" s="476"/>
      <c r="N493" s="476"/>
      <c r="O493" s="476"/>
      <c r="P493" s="476"/>
      <c r="Q493" s="476"/>
      <c r="R493" s="476"/>
      <c r="S493" s="476"/>
      <c r="T493" s="476"/>
      <c r="U493" s="476"/>
      <c r="V493" s="476"/>
      <c r="W493" s="476"/>
      <c r="X493" s="476"/>
      <c r="Y493" s="476"/>
      <c r="Z493" s="476"/>
      <c r="AA493" s="476"/>
      <c r="AB493" s="476"/>
      <c r="AC493" s="476"/>
      <c r="AD493" s="475"/>
      <c r="AE493" s="475"/>
      <c r="AF493" s="475"/>
      <c r="AG493" s="476"/>
      <c r="AH493" s="476"/>
      <c r="AI493" s="476"/>
      <c r="AJ493" s="476"/>
      <c r="AK493" s="475"/>
      <c r="AL493" s="475"/>
      <c r="AM493" s="475"/>
      <c r="AN493" s="459"/>
      <c r="AO493" s="26"/>
      <c r="AP493" s="713"/>
      <c r="AQ493" s="713"/>
      <c r="AR493" s="713"/>
      <c r="AS493" s="604"/>
      <c r="AT493" s="475"/>
      <c r="AU493" s="714"/>
      <c r="AV493" s="714"/>
      <c r="AW493" s="714"/>
      <c r="AX493" s="714"/>
      <c r="AY493" s="714"/>
      <c r="AZ493" s="714"/>
      <c r="BA493" s="714"/>
      <c r="BB493" s="14"/>
      <c r="BC493" s="14"/>
      <c r="BD493" s="461"/>
      <c r="BE493" s="713"/>
      <c r="BF493" s="713"/>
      <c r="BG493" s="713"/>
      <c r="BH493" s="604"/>
      <c r="BI493" s="475"/>
      <c r="BJ493" s="715"/>
      <c r="BK493" s="714"/>
      <c r="BL493" s="714"/>
      <c r="BM493" s="714"/>
      <c r="BN493" s="714"/>
      <c r="BO493" s="714"/>
      <c r="BP493" s="714"/>
      <c r="BQ493" s="14"/>
      <c r="BR493" s="475"/>
      <c r="BS493" s="461"/>
      <c r="BT493" s="461"/>
      <c r="BU493" s="461"/>
      <c r="BV493" s="461"/>
      <c r="BW493" s="461"/>
      <c r="BX493" s="461"/>
      <c r="BY493" s="461"/>
      <c r="BZ493" s="461"/>
      <c r="CA493" s="461"/>
      <c r="CB493" s="461"/>
      <c r="CC493" s="461"/>
    </row>
    <row r="494" spans="1:81" s="495" customFormat="1" ht="12.75" hidden="1" customHeight="1">
      <c r="A494" s="475"/>
      <c r="B494" s="475"/>
      <c r="C494" s="1740" t="s">
        <v>299</v>
      </c>
      <c r="D494" s="1741"/>
      <c r="E494" s="686" t="s">
        <v>52</v>
      </c>
      <c r="F494" s="1749" t="s">
        <v>2233</v>
      </c>
      <c r="G494" s="1749"/>
      <c r="H494" s="1749"/>
      <c r="I494" s="1749"/>
      <c r="J494" s="1749"/>
      <c r="K494" s="1749"/>
      <c r="L494" s="1749"/>
      <c r="M494" s="1749"/>
      <c r="N494" s="1749"/>
      <c r="O494" s="1749"/>
      <c r="P494" s="1749"/>
      <c r="Q494" s="1749"/>
      <c r="R494" s="1749"/>
      <c r="S494" s="1749"/>
      <c r="T494" s="1749"/>
      <c r="U494" s="1749"/>
      <c r="V494" s="1749"/>
      <c r="W494" s="1749"/>
      <c r="X494" s="1749"/>
      <c r="Y494" s="1749"/>
      <c r="Z494" s="1749"/>
      <c r="AA494" s="1749"/>
      <c r="AB494" s="1749"/>
      <c r="AC494" s="1749"/>
      <c r="AD494" s="1749"/>
      <c r="AE494" s="1749"/>
      <c r="AF494" s="639"/>
      <c r="AG494" s="574"/>
      <c r="AH494" s="574"/>
      <c r="AI494" s="574"/>
      <c r="AJ494" s="574"/>
      <c r="AK494" s="670"/>
      <c r="AL494" s="475"/>
      <c r="AM494" s="475"/>
      <c r="AN494" s="459"/>
      <c r="AO494" s="26"/>
      <c r="AP494" s="713"/>
      <c r="AQ494" s="713"/>
      <c r="AR494" s="713"/>
      <c r="AS494" s="604"/>
      <c r="AT494" s="475"/>
      <c r="AU494" s="714"/>
      <c r="AV494" s="714"/>
      <c r="AW494" s="714"/>
      <c r="AX494" s="714"/>
      <c r="AY494" s="714"/>
      <c r="AZ494" s="714"/>
      <c r="BA494" s="714"/>
      <c r="BB494" s="14"/>
      <c r="BC494" s="14"/>
      <c r="BD494" s="461"/>
      <c r="BE494" s="713"/>
      <c r="BF494" s="713"/>
      <c r="BG494" s="713"/>
      <c r="BH494" s="604"/>
      <c r="BI494" s="475"/>
      <c r="BJ494" s="715"/>
      <c r="BK494" s="714"/>
      <c r="BL494" s="714"/>
      <c r="BM494" s="714"/>
      <c r="BN494" s="714"/>
      <c r="BO494" s="714"/>
      <c r="BP494" s="714"/>
      <c r="BQ494" s="14"/>
      <c r="BR494" s="475"/>
      <c r="BS494" s="461"/>
      <c r="BT494" s="461"/>
      <c r="BU494" s="461"/>
      <c r="BV494" s="461"/>
      <c r="BW494" s="461"/>
      <c r="BX494" s="461"/>
      <c r="BY494" s="461"/>
      <c r="BZ494" s="461"/>
      <c r="CA494" s="461"/>
      <c r="CB494" s="461"/>
      <c r="CC494" s="461"/>
    </row>
    <row r="495" spans="1:81" s="495" customFormat="1" ht="12.75" hidden="1" customHeight="1">
      <c r="A495" s="475"/>
      <c r="B495" s="475"/>
      <c r="C495" s="687"/>
      <c r="D495" s="475"/>
      <c r="E495" s="688"/>
      <c r="F495" s="1750"/>
      <c r="G495" s="1750"/>
      <c r="H495" s="1750"/>
      <c r="I495" s="1750"/>
      <c r="J495" s="1750"/>
      <c r="K495" s="1750"/>
      <c r="L495" s="1750"/>
      <c r="M495" s="1750"/>
      <c r="N495" s="1750"/>
      <c r="O495" s="1750"/>
      <c r="P495" s="1750"/>
      <c r="Q495" s="1750"/>
      <c r="R495" s="1750"/>
      <c r="S495" s="1750"/>
      <c r="T495" s="1750"/>
      <c r="U495" s="1750"/>
      <c r="V495" s="1750"/>
      <c r="W495" s="1750"/>
      <c r="X495" s="1750"/>
      <c r="Y495" s="1750"/>
      <c r="Z495" s="1750"/>
      <c r="AA495" s="1750"/>
      <c r="AB495" s="1750"/>
      <c r="AC495" s="1750"/>
      <c r="AD495" s="1750"/>
      <c r="AE495" s="1750"/>
      <c r="AF495" s="475"/>
      <c r="AG495" s="476"/>
      <c r="AH495" s="476"/>
      <c r="AI495" s="476"/>
      <c r="AJ495" s="476"/>
      <c r="AK495" s="657"/>
      <c r="AL495" s="475"/>
      <c r="AM495" s="475"/>
      <c r="AN495" s="459"/>
      <c r="AO495" s="26"/>
      <c r="AP495" s="713"/>
      <c r="AQ495" s="713"/>
      <c r="AR495" s="713"/>
      <c r="AS495" s="604"/>
      <c r="AT495" s="475"/>
      <c r="AU495" s="714"/>
      <c r="AV495" s="714"/>
      <c r="AW495" s="714"/>
      <c r="AX495" s="714"/>
      <c r="AY495" s="714"/>
      <c r="AZ495" s="714"/>
      <c r="BA495" s="714"/>
      <c r="BB495" s="14"/>
      <c r="BC495" s="14"/>
      <c r="BD495" s="461"/>
      <c r="BE495" s="713"/>
      <c r="BF495" s="713"/>
      <c r="BG495" s="713"/>
      <c r="BH495" s="604"/>
      <c r="BI495" s="475"/>
      <c r="BJ495" s="715"/>
      <c r="BK495" s="714"/>
      <c r="BL495" s="714"/>
      <c r="BM495" s="714"/>
      <c r="BN495" s="714"/>
      <c r="BO495" s="714"/>
      <c r="BP495" s="714"/>
      <c r="BQ495" s="14"/>
      <c r="BR495" s="475"/>
      <c r="BS495" s="461"/>
      <c r="BT495" s="461"/>
      <c r="BU495" s="461"/>
      <c r="BV495" s="461"/>
      <c r="BW495" s="461"/>
      <c r="BX495" s="461"/>
      <c r="BY495" s="461"/>
      <c r="BZ495" s="461"/>
      <c r="CA495" s="461"/>
      <c r="CB495" s="461"/>
      <c r="CC495" s="461"/>
    </row>
    <row r="496" spans="1:81" s="495" customFormat="1" ht="12.75" hidden="1" customHeight="1">
      <c r="A496" s="475"/>
      <c r="B496" s="475"/>
      <c r="C496" s="664"/>
      <c r="D496" s="475"/>
      <c r="E496" s="475"/>
      <c r="F496" s="707" t="s">
        <v>2234</v>
      </c>
      <c r="G496" s="476"/>
      <c r="H496" s="476"/>
      <c r="I496" s="476"/>
      <c r="J496" s="476"/>
      <c r="K496" s="476"/>
      <c r="L496" s="476"/>
      <c r="M496" s="476"/>
      <c r="N496" s="476"/>
      <c r="O496" s="476"/>
      <c r="P496" s="476"/>
      <c r="Q496" s="476"/>
      <c r="R496" s="476"/>
      <c r="S496" s="476"/>
      <c r="T496" s="476"/>
      <c r="U496" s="476"/>
      <c r="V496" s="476"/>
      <c r="W496" s="476"/>
      <c r="X496" s="476"/>
      <c r="Y496" s="476"/>
      <c r="Z496" s="476"/>
      <c r="AA496" s="476"/>
      <c r="AB496" s="476"/>
      <c r="AC496" s="516"/>
      <c r="AD496" s="475"/>
      <c r="AE496" s="475"/>
      <c r="AF496" s="475"/>
      <c r="AG496" s="538"/>
      <c r="AH496" s="538"/>
      <c r="AI496" s="538"/>
      <c r="AJ496" s="538"/>
      <c r="AK496" s="657"/>
      <c r="AL496" s="475"/>
      <c r="AM496" s="475"/>
      <c r="AN496" s="459"/>
      <c r="AO496" s="461"/>
      <c r="AP496" s="713"/>
      <c r="AQ496" s="713"/>
      <c r="AR496" s="713"/>
      <c r="AS496" s="604"/>
      <c r="AT496" s="475"/>
      <c r="AU496" s="714"/>
      <c r="AV496" s="714"/>
      <c r="AW496" s="714"/>
      <c r="AX496" s="714"/>
      <c r="AY496" s="714"/>
      <c r="AZ496" s="714"/>
      <c r="BA496" s="714"/>
      <c r="BB496" s="461"/>
      <c r="BC496" s="461"/>
      <c r="BD496" s="461"/>
      <c r="BE496" s="713"/>
      <c r="BF496" s="713"/>
      <c r="BG496" s="713"/>
      <c r="BH496" s="604"/>
      <c r="BI496" s="475"/>
      <c r="BJ496" s="715"/>
      <c r="BK496" s="714"/>
      <c r="BL496" s="714"/>
      <c r="BM496" s="714"/>
      <c r="BN496" s="714"/>
      <c r="BO496" s="714"/>
      <c r="BP496" s="714"/>
      <c r="BQ496" s="461"/>
      <c r="BR496" s="475"/>
      <c r="BS496" s="461"/>
      <c r="BT496" s="461"/>
      <c r="BU496" s="461"/>
      <c r="BV496" s="461"/>
      <c r="BW496" s="461"/>
      <c r="BX496" s="461"/>
      <c r="BY496" s="461"/>
      <c r="BZ496" s="461"/>
      <c r="CA496" s="461"/>
      <c r="CB496" s="461"/>
      <c r="CC496" s="461"/>
    </row>
    <row r="497" spans="1:81" s="495" customFormat="1" hidden="1">
      <c r="A497" s="475"/>
      <c r="B497" s="475"/>
      <c r="C497" s="689"/>
      <c r="D497" s="652"/>
      <c r="E497" s="690"/>
      <c r="F497" s="1751" t="s">
        <v>299</v>
      </c>
      <c r="G497" s="1751"/>
      <c r="H497" s="1751"/>
      <c r="I497" s="583"/>
      <c r="J497" s="583"/>
      <c r="K497" s="583"/>
      <c r="L497" s="583"/>
      <c r="M497" s="583"/>
      <c r="N497" s="583"/>
      <c r="O497" s="583"/>
      <c r="P497" s="583"/>
      <c r="Q497" s="583"/>
      <c r="R497" s="583"/>
      <c r="S497" s="583"/>
      <c r="T497" s="583"/>
      <c r="U497" s="583"/>
      <c r="V497" s="583"/>
      <c r="W497" s="583"/>
      <c r="X497" s="583"/>
      <c r="Y497" s="583"/>
      <c r="Z497" s="583"/>
      <c r="AA497" s="583"/>
      <c r="AB497" s="583"/>
      <c r="AC497" s="583"/>
      <c r="AD497" s="652"/>
      <c r="AE497" s="652"/>
      <c r="AF497" s="652"/>
      <c r="AG497" s="692">
        <f>IF($C$494="Yes",(VLOOKUP($F$497,$AO$470:$AP$472,2,FALSE)),0)</f>
        <v>0</v>
      </c>
      <c r="AH497" s="693" t="s">
        <v>1990</v>
      </c>
      <c r="AI497" s="583"/>
      <c r="AJ497" s="583"/>
      <c r="AK497" s="667"/>
      <c r="AL497" s="475"/>
      <c r="AM497" s="475"/>
      <c r="AN497" s="459"/>
      <c r="AO497" s="461"/>
      <c r="AP497" s="713"/>
      <c r="AQ497" s="713"/>
      <c r="AR497" s="713"/>
      <c r="AS497" s="712"/>
      <c r="AT497" s="475"/>
      <c r="AU497" s="714"/>
      <c r="AV497" s="714"/>
      <c r="AW497" s="714"/>
      <c r="AX497" s="714"/>
      <c r="AY497" s="714"/>
      <c r="AZ497" s="714"/>
      <c r="BA497" s="714"/>
      <c r="BB497" s="461"/>
      <c r="BC497" s="461"/>
      <c r="BD497" s="461"/>
      <c r="BE497" s="713"/>
      <c r="BF497" s="713"/>
      <c r="BG497" s="713"/>
      <c r="BH497" s="712"/>
      <c r="BI497" s="475"/>
      <c r="BJ497" s="715"/>
      <c r="BK497" s="714"/>
      <c r="BL497" s="714"/>
      <c r="BM497" s="714"/>
      <c r="BN497" s="714"/>
      <c r="BO497" s="714"/>
      <c r="BP497" s="714"/>
      <c r="BQ497" s="461"/>
      <c r="BR497" s="475"/>
      <c r="BS497" s="461"/>
      <c r="BT497" s="461"/>
      <c r="BU497" s="461"/>
      <c r="BV497" s="461"/>
      <c r="BW497" s="461"/>
      <c r="BX497" s="461"/>
      <c r="BY497" s="461"/>
      <c r="BZ497" s="461"/>
      <c r="CA497" s="461"/>
      <c r="CB497" s="461"/>
      <c r="CC497" s="461"/>
    </row>
    <row r="498" spans="1:81" s="495" customFormat="1" hidden="1">
      <c r="A498" s="476"/>
      <c r="B498" s="476"/>
      <c r="C498" s="476"/>
      <c r="D498" s="476"/>
      <c r="E498" s="476"/>
      <c r="F498" s="476"/>
      <c r="G498" s="476"/>
      <c r="H498" s="476"/>
      <c r="I498" s="476"/>
      <c r="J498" s="476"/>
      <c r="K498" s="476"/>
      <c r="L498" s="476"/>
      <c r="M498" s="476"/>
      <c r="N498" s="476"/>
      <c r="O498" s="476"/>
      <c r="P498" s="476"/>
      <c r="Q498" s="476"/>
      <c r="R498" s="476"/>
      <c r="S498" s="476"/>
      <c r="T498" s="476"/>
      <c r="U498" s="476"/>
      <c r="V498" s="476"/>
      <c r="W498" s="476"/>
      <c r="X498" s="476"/>
      <c r="Y498" s="476"/>
      <c r="Z498" s="476"/>
      <c r="AA498" s="476"/>
      <c r="AB498" s="476"/>
      <c r="AC498" s="476"/>
      <c r="AD498" s="476"/>
      <c r="AE498" s="475"/>
      <c r="AF498" s="475"/>
      <c r="AG498" s="538"/>
      <c r="AH498" s="565"/>
      <c r="AI498" s="476"/>
      <c r="AJ498" s="476"/>
      <c r="AK498" s="475"/>
      <c r="AL498" s="475"/>
      <c r="AM498" s="475"/>
      <c r="AN498" s="459"/>
      <c r="AO498" s="461"/>
      <c r="AP498" s="713"/>
      <c r="AQ498" s="713"/>
      <c r="AR498" s="713"/>
      <c r="AS498" s="712"/>
      <c r="AT498" s="475"/>
      <c r="AU498" s="714"/>
      <c r="AV498" s="714"/>
      <c r="AW498" s="714"/>
      <c r="AX498" s="714"/>
      <c r="AY498" s="714"/>
      <c r="AZ498" s="714"/>
      <c r="BA498" s="714"/>
      <c r="BB498" s="461"/>
      <c r="BC498" s="461"/>
      <c r="BD498" s="461"/>
      <c r="BE498" s="713"/>
      <c r="BF498" s="713"/>
      <c r="BG498" s="713"/>
      <c r="BH498" s="712"/>
      <c r="BI498" s="475"/>
      <c r="BJ498" s="715"/>
      <c r="BK498" s="714"/>
      <c r="BL498" s="714"/>
      <c r="BM498" s="714"/>
      <c r="BN498" s="714"/>
      <c r="BO498" s="714"/>
      <c r="BP498" s="714"/>
      <c r="BQ498" s="461"/>
      <c r="BR498" s="475"/>
      <c r="BS498" s="461"/>
      <c r="BT498" s="461"/>
      <c r="BU498" s="461"/>
      <c r="BV498" s="461"/>
      <c r="BW498" s="461"/>
      <c r="BX498" s="461"/>
      <c r="BY498" s="461"/>
      <c r="BZ498" s="461"/>
      <c r="CA498" s="461"/>
      <c r="CB498" s="461"/>
      <c r="CC498" s="461"/>
    </row>
    <row r="499" spans="1:81" s="495" customFormat="1" hidden="1">
      <c r="A499" s="475"/>
      <c r="B499" s="475"/>
      <c r="C499" s="1740" t="s">
        <v>299</v>
      </c>
      <c r="D499" s="1741"/>
      <c r="E499" s="686" t="s">
        <v>2235</v>
      </c>
      <c r="F499" s="705" t="s">
        <v>2236</v>
      </c>
      <c r="G499" s="574"/>
      <c r="H499" s="574"/>
      <c r="I499" s="574"/>
      <c r="J499" s="574"/>
      <c r="K499" s="574"/>
      <c r="L499" s="574"/>
      <c r="M499" s="574"/>
      <c r="N499" s="574"/>
      <c r="O499" s="574"/>
      <c r="P499" s="574"/>
      <c r="Q499" s="574"/>
      <c r="R499" s="574"/>
      <c r="S499" s="574"/>
      <c r="T499" s="574"/>
      <c r="U499" s="574"/>
      <c r="V499" s="574"/>
      <c r="W499" s="574"/>
      <c r="X499" s="574"/>
      <c r="Y499" s="574"/>
      <c r="Z499" s="574"/>
      <c r="AA499" s="574"/>
      <c r="AB499" s="574"/>
      <c r="AC499" s="716"/>
      <c r="AD499" s="639"/>
      <c r="AE499" s="639"/>
      <c r="AF499" s="639"/>
      <c r="AG499" s="717"/>
      <c r="AH499" s="717"/>
      <c r="AI499" s="717"/>
      <c r="AJ499" s="717"/>
      <c r="AK499" s="670"/>
      <c r="AL499" s="475"/>
      <c r="AM499" s="475"/>
      <c r="AN499" s="459"/>
      <c r="AO499" s="461"/>
      <c r="AP499" s="713"/>
      <c r="AQ499" s="713"/>
      <c r="AR499" s="713"/>
      <c r="AS499" s="712"/>
      <c r="AT499" s="475"/>
      <c r="AU499" s="714"/>
      <c r="AV499" s="714"/>
      <c r="AW499" s="714"/>
      <c r="AX499" s="714"/>
      <c r="AY499" s="714"/>
      <c r="AZ499" s="714"/>
      <c r="BA499" s="714"/>
      <c r="BB499" s="461"/>
      <c r="BC499" s="461"/>
      <c r="BD499" s="461"/>
      <c r="BE499" s="713"/>
      <c r="BF499" s="713"/>
      <c r="BG499" s="713"/>
      <c r="BH499" s="712"/>
      <c r="BI499" s="475"/>
      <c r="BJ499" s="715"/>
      <c r="BK499" s="714"/>
      <c r="BL499" s="714"/>
      <c r="BM499" s="714"/>
      <c r="BN499" s="714"/>
      <c r="BO499" s="714"/>
      <c r="BP499" s="714"/>
      <c r="BQ499" s="461"/>
      <c r="BR499" s="475"/>
      <c r="BS499" s="461"/>
      <c r="BT499" s="461"/>
      <c r="BU499" s="461"/>
      <c r="BV499" s="461"/>
      <c r="BW499" s="461"/>
      <c r="BX499" s="461"/>
      <c r="BY499" s="461"/>
      <c r="BZ499" s="461"/>
      <c r="CA499" s="461"/>
      <c r="CB499" s="461"/>
      <c r="CC499" s="461"/>
    </row>
    <row r="500" spans="1:81" s="495" customFormat="1" hidden="1">
      <c r="A500" s="475"/>
      <c r="B500" s="475"/>
      <c r="C500" s="687"/>
      <c r="D500" s="475"/>
      <c r="E500" s="688"/>
      <c r="F500" s="476"/>
      <c r="G500" s="476"/>
      <c r="H500" s="476"/>
      <c r="I500" s="476"/>
      <c r="J500" s="476"/>
      <c r="K500" s="476"/>
      <c r="L500" s="476"/>
      <c r="M500" s="476"/>
      <c r="N500" s="476"/>
      <c r="O500" s="476"/>
      <c r="P500" s="476"/>
      <c r="Q500" s="476"/>
      <c r="R500" s="476"/>
      <c r="S500" s="476"/>
      <c r="T500" s="476"/>
      <c r="U500" s="476"/>
      <c r="V500" s="476"/>
      <c r="W500" s="476"/>
      <c r="X500" s="476"/>
      <c r="Y500" s="476"/>
      <c r="Z500" s="476"/>
      <c r="AA500" s="476"/>
      <c r="AB500" s="476"/>
      <c r="AC500" s="476"/>
      <c r="AD500" s="475"/>
      <c r="AE500" s="475"/>
      <c r="AF500" s="475"/>
      <c r="AG500" s="476"/>
      <c r="AH500" s="476"/>
      <c r="AI500" s="476"/>
      <c r="AJ500" s="476"/>
      <c r="AK500" s="657"/>
      <c r="AL500" s="475"/>
      <c r="AM500" s="475"/>
      <c r="AN500" s="459"/>
      <c r="AO500" s="461"/>
      <c r="AP500" s="713"/>
      <c r="AQ500" s="713"/>
      <c r="AR500" s="713"/>
      <c r="AS500" s="712"/>
      <c r="AT500" s="475"/>
      <c r="AU500" s="714"/>
      <c r="AV500" s="714"/>
      <c r="AW500" s="714"/>
      <c r="AX500" s="714"/>
      <c r="AY500" s="714"/>
      <c r="AZ500" s="714"/>
      <c r="BA500" s="714"/>
      <c r="BB500" s="461"/>
      <c r="BC500" s="461"/>
      <c r="BD500" s="461"/>
      <c r="BE500" s="713"/>
      <c r="BF500" s="713"/>
      <c r="BG500" s="713"/>
      <c r="BH500" s="712"/>
      <c r="BI500" s="475"/>
      <c r="BJ500" s="715"/>
      <c r="BK500" s="714"/>
      <c r="BL500" s="714"/>
      <c r="BM500" s="714"/>
      <c r="BN500" s="714"/>
      <c r="BO500" s="714"/>
      <c r="BP500" s="714"/>
      <c r="BQ500" s="461"/>
      <c r="BR500" s="14"/>
      <c r="BS500" s="461"/>
      <c r="BT500" s="461"/>
      <c r="BU500" s="461"/>
      <c r="BV500" s="461"/>
      <c r="BW500" s="461"/>
      <c r="BX500" s="461"/>
      <c r="BY500" s="461"/>
      <c r="BZ500" s="461"/>
      <c r="CA500" s="461"/>
      <c r="CB500" s="461"/>
      <c r="CC500" s="461"/>
    </row>
    <row r="501" spans="1:81" s="495" customFormat="1" hidden="1">
      <c r="A501" s="475"/>
      <c r="B501" s="475"/>
      <c r="C501" s="1742"/>
      <c r="D501" s="1743"/>
      <c r="E501" s="697"/>
      <c r="F501" s="476" t="s">
        <v>2237</v>
      </c>
      <c r="G501" s="476"/>
      <c r="H501" s="476"/>
      <c r="I501" s="476"/>
      <c r="J501" s="476"/>
      <c r="K501" s="476"/>
      <c r="L501" s="476"/>
      <c r="M501" s="476"/>
      <c r="N501" s="476"/>
      <c r="O501" s="476"/>
      <c r="P501" s="476"/>
      <c r="Q501" s="476"/>
      <c r="R501" s="476"/>
      <c r="S501" s="476"/>
      <c r="T501" s="476"/>
      <c r="U501" s="476"/>
      <c r="V501" s="476"/>
      <c r="W501" s="476"/>
      <c r="X501" s="476"/>
      <c r="Y501" s="476"/>
      <c r="Z501" s="476"/>
      <c r="AA501" s="476"/>
      <c r="AB501" s="476"/>
      <c r="AC501" s="516"/>
      <c r="AD501" s="475"/>
      <c r="AE501" s="475"/>
      <c r="AF501" s="475"/>
      <c r="AG501" s="538">
        <f>IF($C$499="Yes",(VLOOKUP($G$502,$AO$477:$AP$480,2,FALSE)),0)</f>
        <v>0</v>
      </c>
      <c r="AH501" s="565" t="s">
        <v>1990</v>
      </c>
      <c r="AI501" s="476"/>
      <c r="AJ501" s="538"/>
      <c r="AK501" s="657"/>
      <c r="AL501" s="475"/>
      <c r="AM501" s="475"/>
      <c r="AN501" s="459"/>
      <c r="AO501" s="461"/>
      <c r="AP501" s="713"/>
      <c r="AQ501" s="713"/>
      <c r="AR501" s="713"/>
      <c r="AS501" s="712"/>
      <c r="AT501" s="475"/>
      <c r="AU501" s="714"/>
      <c r="AV501" s="714"/>
      <c r="AW501" s="714"/>
      <c r="AX501" s="714"/>
      <c r="AY501" s="714"/>
      <c r="AZ501" s="714"/>
      <c r="BA501" s="714"/>
      <c r="BB501" s="461"/>
      <c r="BC501" s="461"/>
      <c r="BD501" s="461"/>
      <c r="BE501" s="713"/>
      <c r="BF501" s="713"/>
      <c r="BG501" s="713"/>
      <c r="BH501" s="712"/>
      <c r="BI501" s="475"/>
      <c r="BJ501" s="715"/>
      <c r="BK501" s="714"/>
      <c r="BL501" s="714"/>
      <c r="BM501" s="714"/>
      <c r="BN501" s="714"/>
      <c r="BO501" s="714"/>
      <c r="BP501" s="714"/>
      <c r="BQ501" s="461"/>
      <c r="BR501" s="475"/>
      <c r="BS501" s="461"/>
      <c r="BT501" s="461"/>
      <c r="BU501" s="461"/>
      <c r="BV501" s="461"/>
      <c r="BW501" s="461"/>
      <c r="BX501" s="461"/>
      <c r="BY501" s="461"/>
      <c r="BZ501" s="461"/>
      <c r="CA501" s="461"/>
      <c r="CB501" s="461"/>
      <c r="CC501" s="461"/>
    </row>
    <row r="502" spans="1:81" s="495" customFormat="1" hidden="1">
      <c r="A502" s="475"/>
      <c r="B502" s="475"/>
      <c r="C502" s="687"/>
      <c r="D502" s="475"/>
      <c r="E502" s="688"/>
      <c r="F502" s="476"/>
      <c r="G502" s="1744" t="s">
        <v>299</v>
      </c>
      <c r="H502" s="1744"/>
      <c r="I502" s="1744"/>
      <c r="J502" s="1744"/>
      <c r="K502" s="1744"/>
      <c r="L502" s="1744"/>
      <c r="M502" s="1744"/>
      <c r="N502" s="1744"/>
      <c r="O502" s="1744"/>
      <c r="P502" s="1744"/>
      <c r="Q502" s="1744"/>
      <c r="R502" s="1744"/>
      <c r="S502" s="1744"/>
      <c r="T502" s="1744"/>
      <c r="U502" s="1744"/>
      <c r="V502" s="1744"/>
      <c r="W502" s="1744"/>
      <c r="X502" s="1744"/>
      <c r="Y502" s="1744"/>
      <c r="Z502" s="1744"/>
      <c r="AA502" s="1744"/>
      <c r="AB502" s="1744"/>
      <c r="AC502" s="1744"/>
      <c r="AD502" s="1744"/>
      <c r="AE502" s="1744"/>
      <c r="AF502" s="1744"/>
      <c r="AG502" s="475"/>
      <c r="AH502" s="475"/>
      <c r="AI502" s="475"/>
      <c r="AJ502" s="476"/>
      <c r="AK502" s="657"/>
      <c r="AL502" s="475"/>
      <c r="AM502" s="475"/>
      <c r="AN502" s="459"/>
      <c r="AO502" s="461"/>
      <c r="AP502" s="713"/>
      <c r="AQ502" s="713"/>
      <c r="AR502" s="713"/>
      <c r="AS502" s="712"/>
      <c r="AT502" s="475"/>
      <c r="AU502" s="714"/>
      <c r="AV502" s="714"/>
      <c r="AW502" s="714"/>
      <c r="AX502" s="714"/>
      <c r="AY502" s="714"/>
      <c r="AZ502" s="714"/>
      <c r="BA502" s="714"/>
      <c r="BB502" s="461"/>
      <c r="BC502" s="461"/>
      <c r="BD502" s="461"/>
      <c r="BE502" s="713"/>
      <c r="BF502" s="713"/>
      <c r="BG502" s="713"/>
      <c r="BH502" s="712"/>
      <c r="BI502" s="475"/>
      <c r="BJ502" s="715"/>
      <c r="BK502" s="714"/>
      <c r="BL502" s="714"/>
      <c r="BM502" s="714"/>
      <c r="BN502" s="714"/>
      <c r="BO502" s="714"/>
      <c r="BP502" s="714"/>
      <c r="BQ502" s="461"/>
      <c r="BR502" s="475"/>
      <c r="BS502" s="461"/>
      <c r="BT502" s="461"/>
      <c r="BU502" s="461"/>
      <c r="BV502" s="461"/>
      <c r="BW502" s="461"/>
      <c r="BX502" s="461"/>
      <c r="BY502" s="461"/>
      <c r="BZ502" s="461"/>
      <c r="CA502" s="461"/>
      <c r="CB502" s="461"/>
      <c r="CC502" s="461"/>
    </row>
    <row r="503" spans="1:81" s="495" customFormat="1" hidden="1">
      <c r="A503" s="475"/>
      <c r="B503" s="475"/>
      <c r="C503" s="656"/>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475"/>
      <c r="AE503" s="475"/>
      <c r="AF503" s="475"/>
      <c r="AG503" s="14"/>
      <c r="AH503" s="14"/>
      <c r="AI503" s="14"/>
      <c r="AJ503" s="14"/>
      <c r="AK503" s="657"/>
      <c r="AL503" s="475"/>
      <c r="AM503" s="475"/>
      <c r="AN503" s="459"/>
      <c r="AO503" s="461"/>
      <c r="AP503" s="713"/>
      <c r="AQ503" s="713"/>
      <c r="AR503" s="713"/>
      <c r="AS503" s="712"/>
      <c r="AT503" s="475"/>
      <c r="AU503" s="714"/>
      <c r="AV503" s="714"/>
      <c r="AW503" s="714"/>
      <c r="AX503" s="714"/>
      <c r="AY503" s="714"/>
      <c r="AZ503" s="714"/>
      <c r="BA503" s="714"/>
      <c r="BB503" s="461"/>
      <c r="BC503" s="461"/>
      <c r="BD503" s="461"/>
      <c r="BE503" s="713"/>
      <c r="BF503" s="713"/>
      <c r="BG503" s="713"/>
      <c r="BH503" s="712"/>
      <c r="BI503" s="475"/>
      <c r="BJ503" s="715"/>
      <c r="BK503" s="714"/>
      <c r="BL503" s="714"/>
      <c r="BM503" s="714"/>
      <c r="BN503" s="714"/>
      <c r="BO503" s="714"/>
      <c r="BP503" s="714"/>
      <c r="BQ503" s="461"/>
      <c r="BR503" s="475"/>
      <c r="BS503" s="461"/>
      <c r="BT503" s="461"/>
      <c r="BU503" s="461"/>
      <c r="BV503" s="461"/>
      <c r="BW503" s="461"/>
      <c r="BX503" s="461"/>
      <c r="BY503" s="461"/>
      <c r="BZ503" s="461"/>
      <c r="CA503" s="461"/>
      <c r="CB503" s="461"/>
      <c r="CC503" s="461"/>
    </row>
    <row r="504" spans="1:81" s="495" customFormat="1" ht="12.75" hidden="1" customHeight="1">
      <c r="A504" s="14"/>
      <c r="B504" s="475"/>
      <c r="C504" s="1745" t="s">
        <v>299</v>
      </c>
      <c r="D504" s="1746"/>
      <c r="F504" s="476" t="s">
        <v>2238</v>
      </c>
      <c r="G504" s="476"/>
      <c r="H504" s="476"/>
      <c r="I504" s="476"/>
      <c r="J504" s="476"/>
      <c r="K504" s="476"/>
      <c r="L504" s="476"/>
      <c r="M504" s="476"/>
      <c r="N504" s="476"/>
      <c r="O504" s="476"/>
      <c r="P504" s="476"/>
      <c r="Q504" s="476"/>
      <c r="R504" s="476"/>
      <c r="S504" s="476"/>
      <c r="T504" s="476"/>
      <c r="U504" s="476"/>
      <c r="V504" s="476"/>
      <c r="W504" s="476"/>
      <c r="X504" s="476"/>
      <c r="Y504" s="476"/>
      <c r="Z504" s="476"/>
      <c r="AA504" s="476"/>
      <c r="AB504" s="476"/>
      <c r="AC504" s="516"/>
      <c r="AD504" s="475"/>
      <c r="AE504" s="475"/>
      <c r="AF504" s="475"/>
      <c r="AG504" s="538">
        <f>IF(AND($C$504="Yes",$C$499="Yes"),2,0)</f>
        <v>0</v>
      </c>
      <c r="AH504" s="565" t="s">
        <v>1990</v>
      </c>
      <c r="AI504" s="476"/>
      <c r="AJ504" s="519"/>
      <c r="AK504" s="657"/>
      <c r="AL504" s="475"/>
      <c r="AM504" s="475"/>
      <c r="AN504" s="459"/>
      <c r="AO504" s="461"/>
      <c r="AP504" s="713"/>
      <c r="AQ504" s="713"/>
      <c r="AR504" s="713"/>
      <c r="AS504" s="712"/>
      <c r="AT504" s="475"/>
      <c r="AU504" s="714"/>
      <c r="AV504" s="714"/>
      <c r="AW504" s="714"/>
      <c r="AX504" s="714"/>
      <c r="AY504" s="714"/>
      <c r="AZ504" s="714"/>
      <c r="BA504" s="714"/>
      <c r="BB504" s="461"/>
      <c r="BC504" s="461"/>
      <c r="BD504" s="461"/>
      <c r="BE504" s="713"/>
      <c r="BF504" s="713"/>
      <c r="BG504" s="713"/>
      <c r="BH504" s="712"/>
      <c r="BI504" s="475"/>
      <c r="BJ504" s="715"/>
      <c r="BK504" s="714"/>
      <c r="BL504" s="714"/>
      <c r="BM504" s="714"/>
      <c r="BN504" s="714"/>
      <c r="BO504" s="714"/>
      <c r="BP504" s="714"/>
      <c r="BQ504" s="461"/>
      <c r="BR504" s="475"/>
      <c r="BS504" s="461"/>
      <c r="BT504" s="461"/>
      <c r="BU504" s="461"/>
      <c r="BV504" s="461"/>
      <c r="BW504" s="461"/>
      <c r="BX504" s="461"/>
      <c r="BY504" s="461"/>
      <c r="BZ504" s="461"/>
      <c r="CA504" s="461"/>
      <c r="CB504" s="461"/>
      <c r="CC504" s="461"/>
    </row>
    <row r="505" spans="1:81" s="495" customFormat="1" hidden="1">
      <c r="A505" s="14"/>
      <c r="B505" s="475"/>
      <c r="C505" s="706"/>
      <c r="D505" s="655"/>
      <c r="E505" s="655"/>
      <c r="F505" s="476"/>
      <c r="G505" s="476" t="s">
        <v>2239</v>
      </c>
      <c r="H505" s="476"/>
      <c r="I505" s="476"/>
      <c r="J505" s="476"/>
      <c r="K505" s="476"/>
      <c r="L505" s="476"/>
      <c r="M505" s="476"/>
      <c r="N505" s="476"/>
      <c r="O505" s="476"/>
      <c r="P505" s="476"/>
      <c r="Q505" s="476"/>
      <c r="R505" s="476"/>
      <c r="S505" s="476"/>
      <c r="T505" s="476"/>
      <c r="U505" s="476"/>
      <c r="V505" s="476"/>
      <c r="W505" s="476"/>
      <c r="X505" s="476"/>
      <c r="Y505" s="476"/>
      <c r="Z505" s="476"/>
      <c r="AA505" s="476"/>
      <c r="AB505" s="476"/>
      <c r="AC505" s="516"/>
      <c r="AD505" s="475"/>
      <c r="AE505" s="475"/>
      <c r="AF505" s="475"/>
      <c r="AG505" s="519"/>
      <c r="AH505" s="519"/>
      <c r="AI505" s="519"/>
      <c r="AJ505" s="519"/>
      <c r="AK505" s="657"/>
      <c r="AL505" s="475"/>
      <c r="AM505" s="475"/>
      <c r="AN505" s="522"/>
      <c r="AO505" s="461"/>
      <c r="AP505" s="713"/>
      <c r="AQ505" s="713"/>
      <c r="AR505" s="713"/>
      <c r="AS505" s="712"/>
      <c r="AT505" s="475"/>
      <c r="AU505" s="714"/>
      <c r="AV505" s="714"/>
      <c r="AW505" s="714"/>
      <c r="AX505" s="714"/>
      <c r="AY505" s="714"/>
      <c r="AZ505" s="714"/>
      <c r="BA505" s="714"/>
      <c r="BB505" s="461"/>
      <c r="BC505" s="461"/>
      <c r="BD505" s="461"/>
      <c r="BE505" s="713"/>
      <c r="BF505" s="713"/>
      <c r="BG505" s="713"/>
      <c r="BH505" s="712"/>
      <c r="BI505" s="475"/>
      <c r="BJ505" s="715"/>
      <c r="BK505" s="714"/>
      <c r="BL505" s="714"/>
      <c r="BM505" s="714"/>
      <c r="BN505" s="714"/>
      <c r="BO505" s="714"/>
      <c r="BP505" s="714"/>
      <c r="BQ505" s="461"/>
      <c r="BR505" s="475"/>
      <c r="BS505" s="461"/>
      <c r="BT505" s="461"/>
      <c r="BU505" s="461"/>
      <c r="BV505" s="461"/>
      <c r="BW505" s="461"/>
      <c r="BX505" s="461"/>
      <c r="BY505" s="461"/>
      <c r="BZ505" s="461"/>
      <c r="CA505" s="461"/>
      <c r="CB505" s="461"/>
      <c r="CC505" s="461"/>
    </row>
    <row r="506" spans="1:81" s="475" customFormat="1" ht="12.75" hidden="1" customHeight="1">
      <c r="A506" s="14"/>
      <c r="C506" s="706"/>
      <c r="D506" s="655"/>
      <c r="E506" s="655"/>
      <c r="F506" s="476"/>
      <c r="G506" s="476" t="s">
        <v>2240</v>
      </c>
      <c r="H506" s="476"/>
      <c r="I506" s="476"/>
      <c r="J506" s="476"/>
      <c r="K506" s="476"/>
      <c r="L506" s="476"/>
      <c r="M506" s="476"/>
      <c r="N506" s="476"/>
      <c r="O506" s="476"/>
      <c r="P506" s="476"/>
      <c r="Q506" s="476"/>
      <c r="R506" s="476"/>
      <c r="S506" s="476"/>
      <c r="T506" s="476"/>
      <c r="U506" s="476"/>
      <c r="V506" s="476"/>
      <c r="W506" s="476"/>
      <c r="X506" s="476"/>
      <c r="Y506" s="476"/>
      <c r="Z506" s="476"/>
      <c r="AA506" s="476"/>
      <c r="AB506" s="476"/>
      <c r="AC506" s="516"/>
      <c r="AG506" s="519"/>
      <c r="AH506" s="519"/>
      <c r="AI506" s="519"/>
      <c r="AJ506" s="519"/>
      <c r="AK506" s="657"/>
      <c r="AN506" s="460"/>
      <c r="AP506" s="461"/>
      <c r="AQ506" s="461"/>
      <c r="AR506" s="461"/>
    </row>
    <row r="507" spans="1:81" s="475" customFormat="1" ht="12.75" hidden="1" customHeight="1">
      <c r="A507" s="562"/>
      <c r="B507" s="14"/>
      <c r="C507" s="718"/>
      <c r="D507" s="14"/>
      <c r="G507" s="536"/>
      <c r="H507" s="536"/>
      <c r="I507" s="536"/>
      <c r="J507" s="536"/>
      <c r="K507" s="536"/>
      <c r="L507" s="536"/>
      <c r="M507" s="536"/>
      <c r="N507" s="536"/>
      <c r="O507" s="536"/>
      <c r="P507" s="536"/>
      <c r="Q507" s="536"/>
      <c r="R507" s="536"/>
      <c r="S507" s="536"/>
      <c r="T507" s="536"/>
      <c r="U507" s="536"/>
      <c r="V507" s="536"/>
      <c r="W507" s="536"/>
      <c r="X507" s="536"/>
      <c r="Y507" s="536"/>
      <c r="Z507" s="536"/>
      <c r="AA507" s="536"/>
      <c r="AB507" s="536"/>
      <c r="AC507" s="536"/>
      <c r="AD507" s="536"/>
      <c r="AE507" s="536"/>
      <c r="AF507" s="536"/>
      <c r="AG507" s="516"/>
      <c r="AH507" s="516"/>
      <c r="AI507" s="516"/>
      <c r="AJ507" s="516"/>
      <c r="AK507" s="719"/>
      <c r="AL507" s="14"/>
      <c r="AM507" s="14"/>
      <c r="AN507" s="460"/>
      <c r="AO507" s="461"/>
      <c r="AP507" s="461"/>
      <c r="AQ507" s="461"/>
      <c r="AR507" s="461"/>
    </row>
    <row r="508" spans="1:81" s="475" customFormat="1" ht="12.75" hidden="1" customHeight="1">
      <c r="A508" s="562"/>
      <c r="C508" s="1745" t="s">
        <v>299</v>
      </c>
      <c r="D508" s="1746"/>
      <c r="F508" s="720" t="s">
        <v>2241</v>
      </c>
      <c r="G508" s="1665" t="s">
        <v>2242</v>
      </c>
      <c r="H508" s="1665"/>
      <c r="I508" s="1665"/>
      <c r="J508" s="1665"/>
      <c r="K508" s="1665"/>
      <c r="L508" s="1665"/>
      <c r="M508" s="1665"/>
      <c r="N508" s="1665"/>
      <c r="O508" s="1665"/>
      <c r="P508" s="1665"/>
      <c r="Q508" s="1665"/>
      <c r="R508" s="1665"/>
      <c r="S508" s="1665"/>
      <c r="T508" s="1665"/>
      <c r="U508" s="1665"/>
      <c r="V508" s="1665"/>
      <c r="W508" s="1665"/>
      <c r="X508" s="1665"/>
      <c r="Y508" s="1665"/>
      <c r="Z508" s="1665"/>
      <c r="AA508" s="1665"/>
      <c r="AB508" s="1665"/>
      <c r="AC508" s="1665"/>
      <c r="AD508" s="1665"/>
      <c r="AE508" s="1665"/>
      <c r="AF508" s="1665"/>
      <c r="AG508" s="538">
        <f>IF(AND($C$508="Yes",$C$499="Yes"),2,0)</f>
        <v>0</v>
      </c>
      <c r="AH508" s="565" t="s">
        <v>1990</v>
      </c>
      <c r="AI508" s="476"/>
      <c r="AJ508" s="519"/>
      <c r="AK508" s="657"/>
      <c r="AN508" s="460"/>
      <c r="AZ508" s="464"/>
      <c r="BC508" s="468"/>
      <c r="BD508" s="464"/>
      <c r="BE508" s="464"/>
      <c r="BF508" s="464"/>
      <c r="BM508" s="461"/>
      <c r="BN508" s="464"/>
      <c r="BO508" s="461"/>
      <c r="BP508" s="464"/>
      <c r="BQ508" s="464"/>
      <c r="BR508" s="464"/>
      <c r="BS508" s="464"/>
      <c r="BT508" s="464"/>
      <c r="BU508" s="464"/>
      <c r="BV508" s="461"/>
      <c r="BW508" s="461"/>
      <c r="BX508" s="461"/>
      <c r="BY508" s="461"/>
      <c r="BZ508" s="461"/>
      <c r="CA508" s="461"/>
      <c r="CB508" s="461"/>
      <c r="CC508" s="461"/>
    </row>
    <row r="509" spans="1:81" s="475" customFormat="1" ht="12.75" hidden="1" customHeight="1">
      <c r="C509" s="721"/>
      <c r="D509" s="652"/>
      <c r="E509" s="690"/>
      <c r="F509" s="651"/>
      <c r="G509" s="1747"/>
      <c r="H509" s="1747"/>
      <c r="I509" s="1747"/>
      <c r="J509" s="1747"/>
      <c r="K509" s="1747"/>
      <c r="L509" s="1747"/>
      <c r="M509" s="1747"/>
      <c r="N509" s="1747"/>
      <c r="O509" s="1747"/>
      <c r="P509" s="1747"/>
      <c r="Q509" s="1747"/>
      <c r="R509" s="1747"/>
      <c r="S509" s="1747"/>
      <c r="T509" s="1747"/>
      <c r="U509" s="1747"/>
      <c r="V509" s="1747"/>
      <c r="W509" s="1747"/>
      <c r="X509" s="1747"/>
      <c r="Y509" s="1747"/>
      <c r="Z509" s="1747"/>
      <c r="AA509" s="1747"/>
      <c r="AB509" s="1747"/>
      <c r="AC509" s="1747"/>
      <c r="AD509" s="1747"/>
      <c r="AE509" s="1747"/>
      <c r="AF509" s="1747"/>
      <c r="AG509" s="583"/>
      <c r="AH509" s="583"/>
      <c r="AI509" s="583"/>
      <c r="AJ509" s="583"/>
      <c r="AK509" s="667"/>
      <c r="AN509" s="460"/>
      <c r="AZ509" s="464"/>
      <c r="BC509" s="468"/>
      <c r="BD509" s="464"/>
      <c r="BE509" s="464"/>
      <c r="BF509" s="464"/>
      <c r="BM509" s="520"/>
      <c r="BN509" s="520"/>
      <c r="BO509" s="520"/>
      <c r="BP509" s="520"/>
      <c r="BQ509" s="520"/>
      <c r="BR509" s="520"/>
      <c r="BS509" s="520"/>
      <c r="BT509" s="520"/>
      <c r="BU509" s="520"/>
      <c r="BV509" s="520"/>
      <c r="BW509" s="520"/>
      <c r="BX509" s="520"/>
      <c r="BY509" s="520"/>
      <c r="BZ509" s="520"/>
      <c r="CA509" s="520"/>
      <c r="CB509" s="520"/>
      <c r="CC509" s="520"/>
    </row>
    <row r="510" spans="1:81" s="475" customFormat="1" ht="12.75" hidden="1" customHeight="1">
      <c r="C510" s="461"/>
      <c r="E510" s="688"/>
      <c r="F510" s="528"/>
      <c r="G510" s="498"/>
      <c r="H510" s="498"/>
      <c r="I510" s="498"/>
      <c r="J510" s="498"/>
      <c r="K510" s="498"/>
      <c r="L510" s="498"/>
      <c r="M510" s="498"/>
      <c r="N510" s="498"/>
      <c r="O510" s="498"/>
      <c r="P510" s="498"/>
      <c r="Q510" s="498"/>
      <c r="R510" s="498"/>
      <c r="S510" s="498"/>
      <c r="T510" s="498"/>
      <c r="U510" s="498"/>
      <c r="V510" s="498"/>
      <c r="W510" s="498"/>
      <c r="X510" s="498"/>
      <c r="Y510" s="498"/>
      <c r="Z510" s="498"/>
      <c r="AA510" s="498"/>
      <c r="AB510" s="498"/>
      <c r="AC510" s="498"/>
      <c r="AD510" s="498"/>
      <c r="AE510" s="498"/>
      <c r="AF510" s="498"/>
      <c r="AG510" s="476"/>
      <c r="AH510" s="476"/>
      <c r="AI510" s="476"/>
      <c r="AJ510" s="476"/>
      <c r="AN510" s="460"/>
      <c r="AP510" s="464"/>
      <c r="AQ510" s="464"/>
      <c r="AR510" s="464"/>
      <c r="AS510" s="464"/>
      <c r="AT510" s="464"/>
      <c r="AU510" s="464"/>
      <c r="AV510" s="464"/>
      <c r="AW510" s="464"/>
      <c r="AX510" s="464"/>
      <c r="AY510" s="464"/>
      <c r="AZ510" s="464"/>
      <c r="BA510" s="464"/>
      <c r="BB510" s="464"/>
      <c r="BC510" s="464"/>
      <c r="BD510" s="464"/>
      <c r="BE510" s="464"/>
      <c r="BF510" s="464"/>
      <c r="BG510" s="464"/>
      <c r="BH510" s="464"/>
      <c r="BI510" s="468"/>
      <c r="BJ510" s="722"/>
      <c r="BK510" s="722"/>
      <c r="BM510" s="520"/>
      <c r="BN510" s="520"/>
      <c r="BO510" s="520"/>
      <c r="BP510" s="520"/>
      <c r="BQ510" s="520"/>
      <c r="BR510" s="520"/>
      <c r="BS510" s="520"/>
      <c r="BT510" s="520"/>
      <c r="BU510" s="520"/>
      <c r="BV510" s="520"/>
      <c r="BW510" s="520"/>
      <c r="BX510" s="520"/>
      <c r="BY510" s="520"/>
      <c r="BZ510" s="520"/>
      <c r="CA510" s="520"/>
      <c r="CB510" s="520"/>
      <c r="CC510" s="520"/>
    </row>
    <row r="511" spans="1:81" s="475" customFormat="1" ht="12.75" hidden="1" customHeight="1">
      <c r="C511" s="723" t="s">
        <v>2243</v>
      </c>
      <c r="D511" s="639"/>
      <c r="E511" s="724"/>
      <c r="F511" s="725"/>
      <c r="G511" s="726"/>
      <c r="H511" s="726"/>
      <c r="I511" s="726"/>
      <c r="J511" s="726"/>
      <c r="K511" s="726"/>
      <c r="L511" s="726"/>
      <c r="M511" s="726"/>
      <c r="N511" s="726"/>
      <c r="O511" s="726"/>
      <c r="P511" s="726"/>
      <c r="Q511" s="726"/>
      <c r="R511" s="726"/>
      <c r="S511" s="726"/>
      <c r="T511" s="726"/>
      <c r="U511" s="726"/>
      <c r="V511" s="726"/>
      <c r="W511" s="726"/>
      <c r="X511" s="726"/>
      <c r="Y511" s="726"/>
      <c r="Z511" s="726"/>
      <c r="AA511" s="726"/>
      <c r="AB511" s="726"/>
      <c r="AC511" s="726"/>
      <c r="AD511" s="726"/>
      <c r="AE511" s="726"/>
      <c r="AF511" s="726"/>
      <c r="AG511" s="574"/>
      <c r="AH511" s="574"/>
      <c r="AI511" s="574"/>
      <c r="AJ511" s="574"/>
      <c r="AK511" s="670"/>
      <c r="AN511" s="522"/>
      <c r="AP511" s="464"/>
      <c r="AQ511" s="464"/>
      <c r="AR511" s="464"/>
      <c r="AS511" s="464"/>
      <c r="AT511" s="464"/>
      <c r="AU511" s="464"/>
      <c r="AV511" s="464"/>
      <c r="AW511" s="464"/>
      <c r="AX511" s="464"/>
      <c r="AY511" s="464"/>
      <c r="AZ511" s="464"/>
      <c r="BA511" s="464"/>
      <c r="BB511" s="464"/>
      <c r="BC511" s="464"/>
      <c r="BD511" s="464"/>
      <c r="BE511" s="464"/>
      <c r="BF511" s="464"/>
      <c r="BG511" s="464"/>
      <c r="BH511" s="464"/>
      <c r="BI511" s="562"/>
      <c r="BJ511" s="722"/>
      <c r="BK511" s="722"/>
      <c r="BM511" s="520"/>
      <c r="BN511" s="520"/>
      <c r="BO511" s="520"/>
      <c r="BP511" s="520"/>
      <c r="BQ511" s="520"/>
      <c r="BR511" s="520"/>
      <c r="BS511" s="520"/>
      <c r="BT511" s="520"/>
      <c r="BU511" s="520"/>
      <c r="BV511" s="520"/>
      <c r="BW511" s="520"/>
      <c r="BX511" s="520"/>
      <c r="BY511" s="520"/>
      <c r="BZ511" s="520"/>
      <c r="CA511" s="520"/>
      <c r="CB511" s="520"/>
      <c r="CC511" s="520"/>
    </row>
    <row r="512" spans="1:81" s="475" customFormat="1" ht="12.75" hidden="1" customHeight="1">
      <c r="C512" s="1752" t="s">
        <v>299</v>
      </c>
      <c r="D512" s="1753"/>
      <c r="E512" s="727" t="s">
        <v>2244</v>
      </c>
      <c r="F512" s="696" t="s">
        <v>2245</v>
      </c>
      <c r="G512" s="498"/>
      <c r="H512" s="498"/>
      <c r="I512" s="498"/>
      <c r="J512" s="498"/>
      <c r="K512" s="498"/>
      <c r="L512" s="498"/>
      <c r="M512" s="498"/>
      <c r="N512" s="498"/>
      <c r="O512" s="498"/>
      <c r="P512" s="498"/>
      <c r="Q512" s="498"/>
      <c r="R512" s="498"/>
      <c r="S512" s="498"/>
      <c r="T512" s="498"/>
      <c r="U512" s="498"/>
      <c r="V512" s="498"/>
      <c r="W512" s="498"/>
      <c r="X512" s="498"/>
      <c r="Y512" s="498"/>
      <c r="Z512" s="498"/>
      <c r="AA512" s="498"/>
      <c r="AB512" s="498"/>
      <c r="AC512" s="498"/>
      <c r="AD512" s="498"/>
      <c r="AE512" s="498"/>
      <c r="AF512" s="498"/>
      <c r="AG512" s="538">
        <f>IF(C$512="Yes",(VLOOKUP(F$513,$AO$483:$AP$486,2,FALSE)),0)</f>
        <v>0</v>
      </c>
      <c r="AH512" s="565" t="s">
        <v>1990</v>
      </c>
      <c r="AI512" s="476"/>
      <c r="AJ512" s="476"/>
      <c r="AK512" s="657"/>
      <c r="AN512" s="522"/>
      <c r="AP512" s="464"/>
      <c r="AQ512" s="464"/>
      <c r="AR512" s="464"/>
      <c r="AS512" s="464"/>
      <c r="AT512" s="464"/>
      <c r="AU512" s="464"/>
      <c r="AV512" s="464"/>
      <c r="AW512" s="464"/>
      <c r="AX512" s="464"/>
      <c r="AY512" s="464"/>
      <c r="AZ512" s="464"/>
      <c r="BA512" s="464"/>
      <c r="BB512" s="464"/>
      <c r="BC512" s="464"/>
      <c r="BD512" s="464"/>
      <c r="BE512" s="464"/>
      <c r="BF512" s="464"/>
      <c r="BG512" s="464"/>
      <c r="BH512" s="464"/>
      <c r="BI512" s="562"/>
      <c r="BJ512" s="722"/>
      <c r="BK512" s="722"/>
      <c r="BM512" s="461"/>
      <c r="BN512" s="461"/>
      <c r="BO512" s="461"/>
      <c r="BP512" s="461"/>
      <c r="BQ512" s="461"/>
      <c r="BR512" s="461"/>
      <c r="BS512" s="461"/>
      <c r="BT512" s="461"/>
      <c r="BU512" s="461"/>
      <c r="BV512" s="461"/>
      <c r="BW512" s="461"/>
      <c r="BX512" s="461"/>
      <c r="BY512" s="461"/>
      <c r="BZ512" s="461"/>
      <c r="CA512" s="461"/>
      <c r="CB512" s="461"/>
      <c r="CC512" s="461"/>
    </row>
    <row r="513" spans="1:81" s="475" customFormat="1" ht="12.75" hidden="1" customHeight="1">
      <c r="C513" s="643"/>
      <c r="E513" s="688"/>
      <c r="F513" s="1754" t="s">
        <v>299</v>
      </c>
      <c r="G513" s="1754"/>
      <c r="H513" s="1754"/>
      <c r="I513" s="1754"/>
      <c r="J513" s="1754"/>
      <c r="K513" s="1754"/>
      <c r="L513" s="1754"/>
      <c r="M513" s="1754"/>
      <c r="N513" s="1754"/>
      <c r="O513" s="1754"/>
      <c r="P513" s="1754"/>
      <c r="Q513" s="1754"/>
      <c r="R513" s="1754"/>
      <c r="S513" s="1754"/>
      <c r="T513" s="1754"/>
      <c r="U513" s="1754"/>
      <c r="V513" s="1754"/>
      <c r="W513" s="1754"/>
      <c r="X513" s="1754"/>
      <c r="Y513" s="1754"/>
      <c r="Z513" s="1754"/>
      <c r="AA513" s="1754"/>
      <c r="AB513" s="1754"/>
      <c r="AC513" s="1754"/>
      <c r="AD513" s="1754"/>
      <c r="AE513" s="1754"/>
      <c r="AF513" s="1754"/>
      <c r="AG513" s="476"/>
      <c r="AH513" s="476"/>
      <c r="AI513" s="476"/>
      <c r="AJ513" s="476"/>
      <c r="AK513" s="657"/>
      <c r="AN513" s="522"/>
      <c r="BM513" s="461"/>
      <c r="BN513" s="461"/>
      <c r="BO513" s="461"/>
      <c r="BP513" s="461"/>
      <c r="BQ513" s="461"/>
      <c r="BR513" s="461"/>
      <c r="BS513" s="461"/>
      <c r="BT513" s="461"/>
      <c r="BU513" s="461"/>
      <c r="BV513" s="461"/>
      <c r="BW513" s="461"/>
      <c r="BX513" s="461"/>
      <c r="BY513" s="461"/>
      <c r="BZ513" s="461"/>
      <c r="CA513" s="461"/>
      <c r="CB513" s="461"/>
      <c r="CC513" s="461"/>
    </row>
    <row r="514" spans="1:81" s="475" customFormat="1" ht="12.75" hidden="1" customHeight="1">
      <c r="C514" s="721"/>
      <c r="D514" s="652"/>
      <c r="E514" s="690"/>
      <c r="F514" s="1755"/>
      <c r="G514" s="1755"/>
      <c r="H514" s="1755"/>
      <c r="I514" s="1755"/>
      <c r="J514" s="1755"/>
      <c r="K514" s="1755"/>
      <c r="L514" s="1755"/>
      <c r="M514" s="1755"/>
      <c r="N514" s="1755"/>
      <c r="O514" s="1755"/>
      <c r="P514" s="1755"/>
      <c r="Q514" s="1755"/>
      <c r="R514" s="1755"/>
      <c r="S514" s="1755"/>
      <c r="T514" s="1755"/>
      <c r="U514" s="1755"/>
      <c r="V514" s="1755"/>
      <c r="W514" s="1755"/>
      <c r="X514" s="1755"/>
      <c r="Y514" s="1755"/>
      <c r="Z514" s="1755"/>
      <c r="AA514" s="1755"/>
      <c r="AB514" s="1755"/>
      <c r="AC514" s="1755"/>
      <c r="AD514" s="1755"/>
      <c r="AE514" s="1755"/>
      <c r="AF514" s="1755"/>
      <c r="AG514" s="583"/>
      <c r="AH514" s="583"/>
      <c r="AI514" s="583"/>
      <c r="AJ514" s="583"/>
      <c r="AK514" s="667"/>
      <c r="AN514" s="522"/>
      <c r="BM514" s="461"/>
      <c r="BN514" s="461"/>
      <c r="BO514" s="461"/>
      <c r="BP514" s="461"/>
      <c r="BQ514" s="461"/>
      <c r="BR514" s="461"/>
      <c r="BS514" s="461"/>
      <c r="BT514" s="461"/>
      <c r="BU514" s="461"/>
      <c r="BV514" s="461"/>
      <c r="BW514" s="461"/>
      <c r="BX514" s="461"/>
      <c r="BY514" s="461"/>
      <c r="BZ514" s="461"/>
      <c r="CA514" s="461"/>
      <c r="CB514" s="461"/>
      <c r="CC514" s="461"/>
    </row>
    <row r="515" spans="1:81" s="475" customFormat="1" ht="12.75" hidden="1" customHeight="1">
      <c r="A515" s="562"/>
      <c r="C515" s="476"/>
      <c r="E515" s="476"/>
      <c r="F515" s="696"/>
      <c r="G515" s="476"/>
      <c r="H515" s="476"/>
      <c r="I515" s="476"/>
      <c r="J515" s="476"/>
      <c r="K515" s="476"/>
      <c r="L515" s="476"/>
      <c r="M515" s="476"/>
      <c r="N515" s="476"/>
      <c r="O515" s="476"/>
      <c r="P515" s="476"/>
      <c r="Q515" s="476"/>
      <c r="R515" s="476"/>
      <c r="S515" s="476"/>
      <c r="T515" s="476"/>
      <c r="U515" s="476"/>
      <c r="V515" s="476"/>
      <c r="W515" s="476"/>
      <c r="X515" s="476"/>
      <c r="Y515" s="476"/>
      <c r="Z515" s="476"/>
      <c r="AA515" s="476"/>
      <c r="AB515" s="476"/>
      <c r="AC515" s="476"/>
      <c r="AD515" s="541"/>
      <c r="AE515" s="476"/>
      <c r="AF515" s="476"/>
      <c r="AG515" s="476"/>
      <c r="AH515" s="476"/>
      <c r="AN515" s="522"/>
      <c r="BM515" s="461"/>
      <c r="BN515" s="461"/>
      <c r="BO515" s="461"/>
      <c r="BP515" s="461"/>
      <c r="BQ515" s="461"/>
      <c r="BR515" s="461"/>
      <c r="BS515" s="461"/>
      <c r="BT515" s="461"/>
      <c r="BU515" s="461"/>
      <c r="BV515" s="461"/>
      <c r="BW515" s="461"/>
      <c r="BX515" s="461"/>
      <c r="BY515" s="461"/>
      <c r="BZ515" s="461"/>
      <c r="CA515" s="461"/>
      <c r="CB515" s="461"/>
      <c r="CC515" s="461"/>
    </row>
    <row r="516" spans="1:81" s="475" customFormat="1" ht="12.75" hidden="1" customHeight="1">
      <c r="A516" s="562"/>
      <c r="B516" s="475" t="s">
        <v>2246</v>
      </c>
      <c r="C516" s="476"/>
      <c r="E516" s="476"/>
      <c r="F516" s="476"/>
      <c r="G516" s="476"/>
      <c r="H516" s="476"/>
      <c r="I516" s="476"/>
      <c r="J516" s="476"/>
      <c r="K516" s="476"/>
      <c r="L516" s="476"/>
      <c r="M516" s="476"/>
      <c r="N516" s="476"/>
      <c r="O516" s="476"/>
      <c r="P516" s="476"/>
      <c r="Q516" s="476"/>
      <c r="R516" s="476"/>
      <c r="S516" s="476"/>
      <c r="T516" s="476"/>
      <c r="U516" s="476"/>
      <c r="V516" s="476"/>
      <c r="W516" s="476"/>
      <c r="X516" s="476"/>
      <c r="Y516" s="476"/>
      <c r="Z516" s="476"/>
      <c r="AA516" s="476"/>
      <c r="AB516" s="476"/>
      <c r="AC516" s="476"/>
      <c r="AD516" s="541"/>
      <c r="AE516" s="476"/>
      <c r="AF516" s="476"/>
      <c r="AG516" s="476"/>
      <c r="AH516" s="476"/>
      <c r="AN516" s="522"/>
      <c r="AP516" s="711"/>
      <c r="AQ516" s="711"/>
      <c r="AR516" s="711"/>
      <c r="AS516" s="711"/>
      <c r="AT516" s="711"/>
      <c r="AU516" s="711"/>
      <c r="AV516" s="711"/>
      <c r="AW516" s="711"/>
      <c r="AX516" s="711"/>
      <c r="AY516" s="711"/>
      <c r="BM516" s="461"/>
      <c r="BN516" s="461"/>
      <c r="BO516" s="461"/>
      <c r="BP516" s="461"/>
      <c r="BQ516" s="461"/>
      <c r="BR516" s="461"/>
      <c r="BS516" s="461"/>
      <c r="BT516" s="461"/>
      <c r="BU516" s="461"/>
      <c r="BV516" s="461"/>
      <c r="BW516" s="461"/>
      <c r="BX516" s="461"/>
      <c r="BY516" s="461"/>
      <c r="BZ516" s="461"/>
      <c r="CA516" s="461"/>
      <c r="CB516" s="461"/>
      <c r="CC516" s="461"/>
    </row>
    <row r="517" spans="1:81" s="475" customFormat="1" ht="12.75" hidden="1" customHeight="1">
      <c r="A517" s="562"/>
      <c r="B517" s="475" t="s">
        <v>2247</v>
      </c>
      <c r="C517" s="476"/>
      <c r="E517" s="476"/>
      <c r="F517" s="476"/>
      <c r="G517" s="476"/>
      <c r="H517" s="476"/>
      <c r="I517" s="476"/>
      <c r="J517" s="476"/>
      <c r="K517" s="476"/>
      <c r="L517" s="476"/>
      <c r="M517" s="476"/>
      <c r="N517" s="476"/>
      <c r="O517" s="476"/>
      <c r="P517" s="476"/>
      <c r="Q517" s="476"/>
      <c r="R517" s="476"/>
      <c r="S517" s="476"/>
      <c r="T517" s="476"/>
      <c r="U517" s="476"/>
      <c r="V517" s="476"/>
      <c r="W517" s="476"/>
      <c r="X517" s="476"/>
      <c r="Y517" s="476"/>
      <c r="Z517" s="476"/>
      <c r="AA517" s="476"/>
      <c r="AB517" s="476"/>
      <c r="AC517" s="476"/>
      <c r="AD517" s="541"/>
      <c r="AE517" s="476"/>
      <c r="AF517" s="476"/>
      <c r="AG517" s="476"/>
      <c r="AH517" s="476"/>
      <c r="AN517" s="522"/>
      <c r="AP517" s="728"/>
      <c r="AQ517" s="728"/>
      <c r="AR517" s="728"/>
      <c r="AS517" s="728"/>
      <c r="AT517" s="728"/>
      <c r="AU517" s="728"/>
      <c r="AV517" s="728"/>
      <c r="AW517" s="728"/>
      <c r="AX517" s="728"/>
      <c r="AY517" s="728"/>
      <c r="BM517" s="461"/>
      <c r="BN517" s="461"/>
      <c r="BO517" s="461"/>
      <c r="BP517" s="461"/>
      <c r="BQ517" s="461"/>
      <c r="BR517" s="461"/>
      <c r="BS517" s="461"/>
      <c r="BT517" s="461"/>
      <c r="BU517" s="461"/>
      <c r="BV517" s="461"/>
      <c r="BW517" s="461"/>
      <c r="BX517" s="461"/>
      <c r="BY517" s="461"/>
      <c r="BZ517" s="461"/>
      <c r="CA517" s="461"/>
      <c r="CB517" s="461"/>
      <c r="CC517" s="461"/>
    </row>
    <row r="518" spans="1:81" s="475" customFormat="1" ht="12.75" hidden="1" customHeight="1">
      <c r="A518" s="562"/>
      <c r="B518" s="475" t="s">
        <v>2248</v>
      </c>
      <c r="C518" s="476"/>
      <c r="E518" s="476"/>
      <c r="F518" s="476"/>
      <c r="G518" s="476"/>
      <c r="H518" s="476"/>
      <c r="I518" s="476"/>
      <c r="J518" s="476"/>
      <c r="K518" s="476"/>
      <c r="L518" s="476"/>
      <c r="M518" s="476"/>
      <c r="N518" s="476"/>
      <c r="O518" s="476"/>
      <c r="P518" s="476"/>
      <c r="Q518" s="476"/>
      <c r="R518" s="476"/>
      <c r="S518" s="476"/>
      <c r="T518" s="476"/>
      <c r="U518" s="476"/>
      <c r="V518" s="476"/>
      <c r="W518" s="476"/>
      <c r="X518" s="476"/>
      <c r="Y518" s="476"/>
      <c r="Z518" s="476"/>
      <c r="AA518" s="476"/>
      <c r="AB518" s="476"/>
      <c r="AC518" s="476"/>
      <c r="AD518" s="541"/>
      <c r="AE518" s="476"/>
      <c r="AF518" s="476"/>
      <c r="AG518" s="476"/>
      <c r="AH518" s="476"/>
      <c r="AN518" s="522"/>
      <c r="AP518" s="728"/>
      <c r="AQ518" s="728"/>
      <c r="AR518" s="728"/>
      <c r="AS518" s="728"/>
      <c r="AT518" s="728"/>
      <c r="AU518" s="728"/>
      <c r="AV518" s="728"/>
      <c r="AW518" s="728"/>
      <c r="AX518" s="728"/>
      <c r="AY518" s="728"/>
      <c r="BM518" s="461"/>
      <c r="BN518" s="461"/>
      <c r="BO518" s="461"/>
      <c r="BP518" s="461"/>
      <c r="BQ518" s="461"/>
      <c r="BR518" s="461"/>
      <c r="BS518" s="461"/>
      <c r="BT518" s="461"/>
      <c r="BU518" s="461"/>
      <c r="BV518" s="461"/>
      <c r="BW518" s="461"/>
      <c r="BX518" s="461"/>
      <c r="BY518" s="461"/>
      <c r="BZ518" s="461"/>
      <c r="CA518" s="461"/>
      <c r="CB518" s="461"/>
      <c r="CC518" s="461"/>
    </row>
    <row r="519" spans="1:81" s="475" customFormat="1" ht="12.75" hidden="1" customHeight="1">
      <c r="A519" s="562"/>
      <c r="B519" s="475" t="s">
        <v>2249</v>
      </c>
      <c r="C519" s="476"/>
      <c r="E519" s="476"/>
      <c r="F519" s="476"/>
      <c r="G519" s="476"/>
      <c r="H519" s="476"/>
      <c r="I519" s="476"/>
      <c r="J519" s="476"/>
      <c r="K519" s="476"/>
      <c r="L519" s="476"/>
      <c r="M519" s="476"/>
      <c r="N519" s="476"/>
      <c r="O519" s="476"/>
      <c r="P519" s="476"/>
      <c r="Q519" s="476"/>
      <c r="R519" s="476"/>
      <c r="S519" s="476"/>
      <c r="T519" s="476"/>
      <c r="U519" s="476"/>
      <c r="V519" s="476"/>
      <c r="W519" s="476"/>
      <c r="X519" s="476"/>
      <c r="Y519" s="476"/>
      <c r="Z519" s="476"/>
      <c r="AA519" s="476"/>
      <c r="AB519" s="476"/>
      <c r="AC519" s="476"/>
      <c r="AD519" s="541"/>
      <c r="AE519" s="476"/>
      <c r="AF519" s="476"/>
      <c r="AG519" s="476"/>
      <c r="AH519" s="476"/>
      <c r="AN519" s="522"/>
      <c r="AP519" s="728"/>
      <c r="AQ519" s="728"/>
      <c r="AR519" s="728"/>
      <c r="AS519" s="728"/>
      <c r="AT519" s="728"/>
      <c r="AU519" s="728"/>
      <c r="AV519" s="728"/>
      <c r="AW519" s="728"/>
      <c r="AX519" s="728"/>
      <c r="AY519" s="728"/>
      <c r="BM519" s="461"/>
      <c r="BN519" s="461"/>
      <c r="BO519" s="461"/>
      <c r="BP519" s="461"/>
      <c r="BQ519" s="461"/>
      <c r="BR519" s="461"/>
      <c r="BS519" s="461"/>
      <c r="BT519" s="461"/>
      <c r="BU519" s="461"/>
      <c r="BV519" s="461"/>
      <c r="BW519" s="461"/>
      <c r="BX519" s="461"/>
      <c r="BY519" s="461"/>
      <c r="BZ519" s="461"/>
      <c r="CA519" s="461"/>
      <c r="CB519" s="461"/>
      <c r="CC519" s="461"/>
    </row>
    <row r="520" spans="1:81" s="475" customFormat="1" ht="12.75" hidden="1" customHeight="1">
      <c r="A520" s="562"/>
      <c r="B520" s="475" t="s">
        <v>2250</v>
      </c>
      <c r="C520" s="476"/>
      <c r="E520" s="476"/>
      <c r="F520" s="476"/>
      <c r="G520" s="476"/>
      <c r="H520" s="476"/>
      <c r="I520" s="476"/>
      <c r="J520" s="476"/>
      <c r="K520" s="476"/>
      <c r="L520" s="476"/>
      <c r="M520" s="476"/>
      <c r="N520" s="476"/>
      <c r="O520" s="476"/>
      <c r="P520" s="476"/>
      <c r="Q520" s="476"/>
      <c r="R520" s="476"/>
      <c r="S520" s="476"/>
      <c r="T520" s="476"/>
      <c r="U520" s="476"/>
      <c r="V520" s="476"/>
      <c r="W520" s="476"/>
      <c r="X520" s="476"/>
      <c r="Y520" s="476"/>
      <c r="Z520" s="476"/>
      <c r="AA520" s="476"/>
      <c r="AB520" s="476"/>
      <c r="AC520" s="476"/>
      <c r="AD520" s="541"/>
      <c r="AE520" s="476"/>
      <c r="AF520" s="476"/>
      <c r="AG520" s="476"/>
      <c r="AH520" s="476"/>
      <c r="AN520" s="522"/>
      <c r="AP520" s="728"/>
      <c r="AQ520" s="728"/>
      <c r="AR520" s="728"/>
      <c r="AS520" s="728"/>
      <c r="AT520" s="728"/>
      <c r="AU520" s="728"/>
      <c r="AV520" s="728"/>
      <c r="AW520" s="728"/>
      <c r="AX520" s="728"/>
      <c r="AY520" s="728"/>
      <c r="BM520" s="461"/>
      <c r="BN520" s="461"/>
      <c r="BO520" s="461"/>
      <c r="BP520" s="461"/>
      <c r="BQ520" s="461"/>
      <c r="BR520" s="461"/>
      <c r="BS520" s="461"/>
      <c r="BT520" s="461"/>
      <c r="BU520" s="461"/>
      <c r="BV520" s="461"/>
      <c r="BW520" s="461"/>
      <c r="BX520" s="461"/>
      <c r="BY520" s="461"/>
      <c r="BZ520" s="461"/>
      <c r="CA520" s="461"/>
      <c r="CB520" s="461"/>
      <c r="CC520" s="461"/>
    </row>
    <row r="521" spans="1:81" s="475" customFormat="1" ht="12.75" hidden="1" customHeight="1">
      <c r="A521" s="562"/>
      <c r="B521" s="475" t="s">
        <v>2251</v>
      </c>
      <c r="C521" s="476"/>
      <c r="E521" s="476"/>
      <c r="F521" s="476"/>
      <c r="G521" s="476"/>
      <c r="H521" s="476"/>
      <c r="I521" s="476"/>
      <c r="J521" s="476"/>
      <c r="K521" s="476"/>
      <c r="L521" s="476"/>
      <c r="M521" s="476"/>
      <c r="N521" s="476"/>
      <c r="O521" s="476"/>
      <c r="P521" s="476"/>
      <c r="Q521" s="476"/>
      <c r="R521" s="476"/>
      <c r="S521" s="476"/>
      <c r="T521" s="476"/>
      <c r="U521" s="476"/>
      <c r="V521" s="476"/>
      <c r="W521" s="476"/>
      <c r="X521" s="476"/>
      <c r="Y521" s="476"/>
      <c r="Z521" s="476"/>
      <c r="AA521" s="476"/>
      <c r="AB521" s="476"/>
      <c r="AC521" s="476"/>
      <c r="AD521" s="541"/>
      <c r="AE521" s="476"/>
      <c r="AF521" s="476"/>
      <c r="AG521" s="476"/>
      <c r="AH521" s="476"/>
      <c r="AN521" s="522"/>
      <c r="AP521" s="728"/>
      <c r="AQ521" s="728"/>
      <c r="AR521" s="728"/>
      <c r="AS521" s="728"/>
      <c r="AT521" s="728"/>
      <c r="AU521" s="728"/>
      <c r="AV521" s="728"/>
      <c r="AW521" s="728"/>
      <c r="AX521" s="728"/>
      <c r="AY521" s="728"/>
      <c r="BM521" s="461"/>
      <c r="BN521" s="461"/>
      <c r="BO521" s="461"/>
      <c r="BP521" s="461"/>
      <c r="BQ521" s="461"/>
      <c r="BR521" s="461"/>
      <c r="BS521" s="461"/>
      <c r="BT521" s="461"/>
      <c r="BU521" s="461"/>
      <c r="BV521" s="461"/>
      <c r="BW521" s="461"/>
      <c r="BX521" s="461"/>
      <c r="BY521" s="461"/>
      <c r="BZ521" s="461"/>
      <c r="CA521" s="461"/>
      <c r="CB521" s="461"/>
      <c r="CC521" s="461"/>
    </row>
    <row r="522" spans="1:81" s="475" customFormat="1" ht="12.75" hidden="1" customHeight="1">
      <c r="A522" s="562"/>
      <c r="B522" s="475" t="s">
        <v>2252</v>
      </c>
      <c r="C522" s="476"/>
      <c r="E522" s="476"/>
      <c r="F522" s="476"/>
      <c r="G522" s="476"/>
      <c r="H522" s="476"/>
      <c r="I522" s="476"/>
      <c r="J522" s="476"/>
      <c r="K522" s="476"/>
      <c r="L522" s="476"/>
      <c r="M522" s="476"/>
      <c r="N522" s="476"/>
      <c r="O522" s="476"/>
      <c r="P522" s="476"/>
      <c r="Q522" s="476"/>
      <c r="R522" s="476"/>
      <c r="S522" s="476"/>
      <c r="T522" s="476"/>
      <c r="U522" s="476"/>
      <c r="V522" s="476"/>
      <c r="W522" s="476"/>
      <c r="X522" s="476"/>
      <c r="Y522" s="476"/>
      <c r="Z522" s="476"/>
      <c r="AA522" s="476"/>
      <c r="AB522" s="476"/>
      <c r="AC522" s="476"/>
      <c r="AD522" s="541"/>
      <c r="AE522" s="476"/>
      <c r="AF522" s="476"/>
      <c r="AG522" s="476"/>
      <c r="AH522" s="476"/>
      <c r="AN522" s="522"/>
    </row>
    <row r="523" spans="1:81" s="475" customFormat="1" ht="12.75" hidden="1" customHeight="1">
      <c r="A523" s="729"/>
      <c r="C523" s="476"/>
      <c r="E523" s="476"/>
      <c r="F523" s="476"/>
      <c r="G523" s="476"/>
      <c r="H523" s="476"/>
      <c r="I523" s="476"/>
      <c r="J523" s="476"/>
      <c r="K523" s="476"/>
      <c r="L523" s="476"/>
      <c r="M523" s="476"/>
      <c r="N523" s="476"/>
      <c r="O523" s="476"/>
      <c r="P523" s="476"/>
      <c r="Q523" s="476"/>
      <c r="R523" s="476"/>
      <c r="S523" s="476"/>
      <c r="T523" s="476"/>
      <c r="U523" s="476"/>
      <c r="V523" s="476"/>
      <c r="W523" s="476"/>
      <c r="X523" s="476"/>
      <c r="Y523" s="476"/>
      <c r="Z523" s="476"/>
      <c r="AA523" s="476"/>
      <c r="AB523" s="476"/>
      <c r="AC523" s="476"/>
      <c r="AD523" s="541"/>
      <c r="AE523" s="476"/>
      <c r="AF523" s="476"/>
      <c r="AG523" s="476"/>
      <c r="AH523" s="476"/>
      <c r="AN523" s="522"/>
    </row>
    <row r="524" spans="1:81" s="475" customFormat="1" ht="12.75" hidden="1" customHeight="1">
      <c r="A524" s="531"/>
      <c r="B524" s="589"/>
      <c r="C524" s="589"/>
      <c r="D524" s="589"/>
      <c r="E524" s="589"/>
      <c r="F524" s="589"/>
      <c r="G524" s="589"/>
      <c r="H524" s="589"/>
      <c r="I524" s="589"/>
      <c r="J524" s="589"/>
      <c r="K524" s="589"/>
      <c r="L524" s="589"/>
      <c r="M524" s="589"/>
      <c r="N524" s="589"/>
      <c r="O524" s="589"/>
      <c r="P524" s="589"/>
      <c r="Q524" s="589"/>
      <c r="R524" s="589"/>
      <c r="S524" s="589"/>
      <c r="T524" s="589"/>
      <c r="U524" s="589"/>
      <c r="V524" s="589"/>
      <c r="W524" s="589"/>
      <c r="X524" s="589"/>
      <c r="Y524" s="589"/>
      <c r="Z524" s="589"/>
      <c r="AA524" s="589"/>
      <c r="AB524" s="589"/>
      <c r="AC524" s="590"/>
      <c r="AD524" s="589"/>
      <c r="AE524" s="589"/>
      <c r="AF524" s="589"/>
      <c r="AG524" s="589"/>
      <c r="AH524" s="489"/>
      <c r="AI524" s="490"/>
      <c r="AJ524" s="490" t="s">
        <v>2253</v>
      </c>
      <c r="AK524" s="1660">
        <f>SUM(AG468:AG513)</f>
        <v>0</v>
      </c>
      <c r="AL524" s="1661"/>
      <c r="AM524" s="1662"/>
      <c r="AN524" s="522"/>
      <c r="AP524" s="461"/>
      <c r="AQ524" s="461"/>
      <c r="AR524" s="461"/>
      <c r="AS524" s="461"/>
      <c r="AT524" s="461"/>
      <c r="AU524" s="461"/>
      <c r="AV524" s="461"/>
      <c r="AW524" s="461"/>
      <c r="AX524" s="461"/>
      <c r="AY524" s="461"/>
      <c r="AZ524" s="461"/>
    </row>
    <row r="525" spans="1:81" s="475" customFormat="1" ht="12.75" hidden="1" customHeight="1">
      <c r="B525" s="476"/>
      <c r="C525" s="476"/>
      <c r="D525" s="476"/>
      <c r="E525" s="476"/>
      <c r="F525" s="476"/>
      <c r="G525" s="476"/>
      <c r="H525" s="476"/>
      <c r="I525" s="476"/>
      <c r="J525" s="476"/>
      <c r="K525" s="476"/>
      <c r="L525" s="476"/>
      <c r="M525" s="476"/>
      <c r="N525" s="476"/>
      <c r="O525" s="476"/>
      <c r="P525" s="476"/>
      <c r="Q525" s="476"/>
      <c r="R525" s="476"/>
      <c r="S525" s="476"/>
      <c r="T525" s="476"/>
      <c r="U525" s="476"/>
      <c r="V525" s="476"/>
      <c r="W525" s="476"/>
      <c r="X525" s="476"/>
      <c r="Y525" s="476"/>
      <c r="Z525" s="476"/>
      <c r="AA525" s="476"/>
      <c r="AB525" s="476"/>
      <c r="AC525" s="541"/>
      <c r="AD525" s="476"/>
      <c r="AE525" s="476"/>
      <c r="AF525" s="476"/>
      <c r="AG525" s="476"/>
      <c r="AI525" s="468"/>
      <c r="AJ525" s="468"/>
      <c r="AK525" s="520"/>
      <c r="AL525" s="520"/>
      <c r="AM525" s="520"/>
      <c r="AN525" s="522"/>
      <c r="AP525" s="461"/>
      <c r="AQ525" s="461"/>
      <c r="AR525" s="461"/>
      <c r="AS525" s="461"/>
      <c r="AT525" s="461"/>
      <c r="AU525" s="461"/>
      <c r="AV525" s="461"/>
      <c r="AW525" s="461"/>
      <c r="AX525" s="461"/>
      <c r="AY525" s="461"/>
      <c r="AZ525" s="461"/>
    </row>
    <row r="526" spans="1:81" ht="14.1" thickTop="1"/>
    <row r="527" spans="1:81" s="475" customFormat="1" ht="12.75" customHeight="1">
      <c r="A527" s="464" t="s">
        <v>2254</v>
      </c>
      <c r="B527" s="464" t="s">
        <v>2255</v>
      </c>
      <c r="C527" s="476"/>
      <c r="D527" s="476"/>
      <c r="E527" s="476"/>
      <c r="F527" s="476"/>
      <c r="G527" s="476"/>
      <c r="H527" s="476"/>
      <c r="I527" s="476"/>
      <c r="J527" s="476"/>
      <c r="K527" s="476"/>
      <c r="L527" s="476"/>
      <c r="M527" s="476"/>
      <c r="N527" s="476"/>
      <c r="O527" s="476"/>
      <c r="P527" s="476"/>
      <c r="Q527" s="476"/>
      <c r="R527" s="476"/>
      <c r="S527" s="476"/>
      <c r="T527" s="476"/>
      <c r="U527" s="476"/>
      <c r="V527" s="476"/>
      <c r="W527" s="476"/>
      <c r="X527" s="476"/>
      <c r="Y527" s="476"/>
      <c r="Z527" s="476"/>
      <c r="AA527" s="476"/>
      <c r="AB527" s="476"/>
      <c r="AC527" s="541"/>
      <c r="AD527" s="476"/>
      <c r="AE527" s="1666" t="s">
        <v>2256</v>
      </c>
      <c r="AF527" s="1666"/>
      <c r="AG527" s="1666"/>
      <c r="AH527" s="1666"/>
      <c r="AI527" s="1666"/>
      <c r="AJ527" s="1666"/>
      <c r="AK527" s="1666"/>
      <c r="AL527" s="520"/>
      <c r="AM527" s="520"/>
      <c r="AN527" s="522"/>
    </row>
    <row r="528" spans="1:81" s="475" customFormat="1" ht="12.75" customHeight="1">
      <c r="A528" s="464"/>
      <c r="B528" s="464" t="s">
        <v>1986</v>
      </c>
      <c r="C528" s="476"/>
      <c r="D528" s="476"/>
      <c r="E528" s="476"/>
      <c r="F528" s="476"/>
      <c r="G528" s="476"/>
      <c r="H528" s="476"/>
      <c r="I528" s="476"/>
      <c r="J528" s="476"/>
      <c r="K528" s="476"/>
      <c r="L528" s="476"/>
      <c r="M528" s="476"/>
      <c r="N528" s="476"/>
      <c r="O528" s="476"/>
      <c r="P528" s="476"/>
      <c r="Q528" s="476"/>
      <c r="R528" s="476"/>
      <c r="S528" s="476"/>
      <c r="T528" s="476"/>
      <c r="U528" s="476"/>
      <c r="V528" s="476"/>
      <c r="W528" s="476"/>
      <c r="X528" s="476"/>
      <c r="Y528" s="476"/>
      <c r="Z528" s="476"/>
      <c r="AA528" s="476"/>
      <c r="AB528" s="476"/>
      <c r="AC528" s="541"/>
      <c r="AD528" s="476"/>
      <c r="AE528" s="468"/>
      <c r="AF528" s="468"/>
      <c r="AG528" s="468"/>
      <c r="AH528" s="468"/>
      <c r="AI528" s="468"/>
      <c r="AJ528" s="468"/>
      <c r="AK528" s="468"/>
      <c r="AL528" s="520"/>
      <c r="AM528" s="520"/>
      <c r="AN528" s="522"/>
    </row>
    <row r="529" spans="1:49" s="475" customFormat="1" ht="12.75" customHeight="1">
      <c r="A529" s="464"/>
      <c r="B529" s="464"/>
      <c r="C529" s="476"/>
      <c r="D529" s="476"/>
      <c r="E529" s="476"/>
      <c r="F529" s="476"/>
      <c r="G529" s="476"/>
      <c r="H529" s="476"/>
      <c r="I529" s="476"/>
      <c r="J529" s="476"/>
      <c r="K529" s="476"/>
      <c r="L529" s="476"/>
      <c r="M529" s="476"/>
      <c r="N529" s="476"/>
      <c r="O529" s="476"/>
      <c r="P529" s="476"/>
      <c r="Q529" s="476"/>
      <c r="R529" s="476"/>
      <c r="S529" s="476"/>
      <c r="T529" s="476"/>
      <c r="U529" s="476"/>
      <c r="V529" s="476"/>
      <c r="W529" s="476"/>
      <c r="X529" s="476"/>
      <c r="Y529" s="476"/>
      <c r="Z529" s="476"/>
      <c r="AA529" s="476"/>
      <c r="AB529" s="476"/>
      <c r="AC529" s="541"/>
      <c r="AD529" s="476"/>
      <c r="AE529" s="468"/>
      <c r="AF529" s="468"/>
      <c r="AG529" s="468"/>
      <c r="AH529" s="468"/>
      <c r="AI529" s="468"/>
      <c r="AJ529" s="468"/>
      <c r="AK529" s="468"/>
      <c r="AL529" s="520"/>
      <c r="AM529" s="520"/>
      <c r="AN529" s="522"/>
    </row>
    <row r="530" spans="1:49" s="475" customFormat="1" ht="12.75" customHeight="1">
      <c r="A530" s="464"/>
      <c r="B530" s="464"/>
      <c r="C530" s="1675" t="s">
        <v>299</v>
      </c>
      <c r="D530" s="1675"/>
      <c r="E530" s="476"/>
      <c r="F530" s="1734" t="s">
        <v>2257</v>
      </c>
      <c r="G530" s="1735"/>
      <c r="H530" s="1735"/>
      <c r="I530" s="1735"/>
      <c r="J530" s="1735"/>
      <c r="K530" s="1735"/>
      <c r="L530" s="1735"/>
      <c r="M530" s="1735"/>
      <c r="N530" s="1735"/>
      <c r="O530" s="1735"/>
      <c r="P530" s="1735"/>
      <c r="Q530" s="1735"/>
      <c r="R530" s="1735"/>
      <c r="S530" s="1735"/>
      <c r="T530" s="1735"/>
      <c r="U530" s="1735"/>
      <c r="V530" s="1735"/>
      <c r="W530" s="1735"/>
      <c r="X530" s="1735"/>
      <c r="Y530" s="1735"/>
      <c r="Z530" s="1735"/>
      <c r="AA530" s="1735"/>
      <c r="AB530" s="1735"/>
      <c r="AC530" s="1735"/>
      <c r="AD530" s="1735"/>
      <c r="AE530" s="1735"/>
      <c r="AF530" s="1735"/>
      <c r="AG530" s="1735"/>
      <c r="AH530" s="1735"/>
      <c r="AI530" s="1735"/>
      <c r="AJ530" s="1735"/>
      <c r="AK530" s="1735"/>
      <c r="AL530" s="1736"/>
      <c r="AM530" s="520"/>
      <c r="AN530" s="522"/>
    </row>
    <row r="531" spans="1:49" s="475" customFormat="1" ht="12.75" customHeight="1">
      <c r="A531" s="464"/>
      <c r="B531" s="464"/>
      <c r="C531" s="476"/>
      <c r="D531" s="476"/>
      <c r="E531" s="476"/>
      <c r="F531" s="1737"/>
      <c r="G531" s="1738"/>
      <c r="H531" s="1738"/>
      <c r="I531" s="1738"/>
      <c r="J531" s="1738"/>
      <c r="K531" s="1738"/>
      <c r="L531" s="1738"/>
      <c r="M531" s="1738"/>
      <c r="N531" s="1738"/>
      <c r="O531" s="1738"/>
      <c r="P531" s="1738"/>
      <c r="Q531" s="1738"/>
      <c r="R531" s="1738"/>
      <c r="S531" s="1738"/>
      <c r="T531" s="1738"/>
      <c r="U531" s="1738"/>
      <c r="V531" s="1738"/>
      <c r="W531" s="1738"/>
      <c r="X531" s="1738"/>
      <c r="Y531" s="1738"/>
      <c r="Z531" s="1738"/>
      <c r="AA531" s="1738"/>
      <c r="AB531" s="1738"/>
      <c r="AC531" s="1738"/>
      <c r="AD531" s="1738"/>
      <c r="AE531" s="1738"/>
      <c r="AF531" s="1738"/>
      <c r="AG531" s="1738"/>
      <c r="AH531" s="1738"/>
      <c r="AI531" s="1738"/>
      <c r="AJ531" s="1738"/>
      <c r="AK531" s="1738"/>
      <c r="AL531" s="1739"/>
      <c r="AM531" s="520"/>
      <c r="AN531" s="522"/>
    </row>
    <row r="532" spans="1:49" s="475" customFormat="1" ht="12.75" customHeight="1">
      <c r="A532" s="464"/>
      <c r="B532" s="464"/>
      <c r="C532" s="476"/>
      <c r="D532" s="476"/>
      <c r="E532" s="476"/>
      <c r="F532" s="730"/>
      <c r="G532" s="730"/>
      <c r="H532" s="730"/>
      <c r="I532" s="730"/>
      <c r="J532" s="730"/>
      <c r="K532" s="730"/>
      <c r="L532" s="730"/>
      <c r="M532" s="730"/>
      <c r="N532" s="730"/>
      <c r="O532" s="730"/>
      <c r="P532" s="730"/>
      <c r="Q532" s="730"/>
      <c r="R532" s="730"/>
      <c r="S532" s="730"/>
      <c r="T532" s="730"/>
      <c r="U532" s="730"/>
      <c r="V532" s="730"/>
      <c r="W532" s="730"/>
      <c r="X532" s="730"/>
      <c r="Y532" s="730"/>
      <c r="Z532" s="730"/>
      <c r="AA532" s="730"/>
      <c r="AB532" s="730"/>
      <c r="AC532" s="730"/>
      <c r="AD532" s="730"/>
      <c r="AE532" s="730"/>
      <c r="AF532" s="730"/>
      <c r="AG532" s="730"/>
      <c r="AH532" s="730"/>
      <c r="AI532" s="730"/>
      <c r="AJ532" s="730"/>
      <c r="AK532" s="730"/>
      <c r="AL532" s="730"/>
      <c r="AM532" s="520"/>
      <c r="AN532" s="522"/>
    </row>
    <row r="533" spans="1:49" s="475" customFormat="1" ht="12.75" customHeight="1">
      <c r="A533" s="464"/>
      <c r="B533" s="731"/>
      <c r="C533" s="1675" t="s">
        <v>837</v>
      </c>
      <c r="D533" s="1675"/>
      <c r="E533" s="731"/>
      <c r="F533" s="569" t="s">
        <v>2258</v>
      </c>
      <c r="G533" s="732"/>
      <c r="H533" s="733"/>
      <c r="I533" s="733"/>
      <c r="J533" s="733"/>
      <c r="K533" s="733"/>
      <c r="L533" s="733"/>
      <c r="M533" s="733"/>
      <c r="N533" s="733"/>
      <c r="O533" s="733"/>
      <c r="P533" s="733"/>
      <c r="Q533" s="733"/>
      <c r="R533" s="733"/>
      <c r="S533" s="733"/>
      <c r="T533" s="733"/>
      <c r="U533" s="733"/>
      <c r="V533" s="733"/>
      <c r="W533" s="733"/>
      <c r="X533" s="733"/>
      <c r="Y533" s="733"/>
      <c r="Z533" s="733"/>
      <c r="AA533" s="733"/>
      <c r="AB533" s="733"/>
      <c r="AC533" s="733"/>
      <c r="AD533" s="733"/>
      <c r="AE533" s="733"/>
      <c r="AF533" s="733"/>
      <c r="AG533" s="733"/>
      <c r="AH533" s="733"/>
      <c r="AI533" s="733"/>
      <c r="AJ533" s="733"/>
      <c r="AK533" s="734"/>
      <c r="AL533" s="735"/>
      <c r="AM533" s="520"/>
      <c r="AN533" s="522"/>
    </row>
    <row r="534" spans="1:49" s="475" customFormat="1" ht="12.75" customHeight="1">
      <c r="B534" s="731"/>
      <c r="C534" s="731"/>
      <c r="D534" s="731"/>
      <c r="E534" s="731"/>
      <c r="F534" s="1652" t="s">
        <v>2259</v>
      </c>
      <c r="G534" s="1653"/>
      <c r="H534" s="1653"/>
      <c r="I534" s="1653"/>
      <c r="J534" s="1653"/>
      <c r="K534" s="1653"/>
      <c r="L534" s="1653"/>
      <c r="M534" s="1653"/>
      <c r="N534" s="1653"/>
      <c r="O534" s="1653"/>
      <c r="P534" s="1653"/>
      <c r="Q534" s="1653"/>
      <c r="R534" s="1653"/>
      <c r="S534" s="1653"/>
      <c r="T534" s="1653"/>
      <c r="U534" s="1653"/>
      <c r="V534" s="1653"/>
      <c r="W534" s="1653"/>
      <c r="X534" s="1653"/>
      <c r="Y534" s="1653"/>
      <c r="Z534" s="1653"/>
      <c r="AA534" s="1653"/>
      <c r="AB534" s="1653"/>
      <c r="AC534" s="1653"/>
      <c r="AD534" s="1653"/>
      <c r="AE534" s="1653"/>
      <c r="AF534" s="1653"/>
      <c r="AG534" s="1653"/>
      <c r="AH534" s="1653"/>
      <c r="AI534" s="1653"/>
      <c r="AJ534" s="1653"/>
      <c r="AK534" s="1653"/>
      <c r="AL534" s="1654"/>
      <c r="AM534" s="520"/>
      <c r="AN534" s="522"/>
      <c r="AS534" s="794"/>
      <c r="AT534" s="794"/>
      <c r="AU534" s="794"/>
      <c r="AV534" s="794"/>
      <c r="AW534" s="794"/>
    </row>
    <row r="535" spans="1:49" s="475" customFormat="1" ht="12.75" customHeight="1">
      <c r="B535" s="731"/>
      <c r="C535" s="731"/>
      <c r="D535" s="731"/>
      <c r="E535" s="731"/>
      <c r="F535" s="1652"/>
      <c r="G535" s="1653"/>
      <c r="H535" s="1653"/>
      <c r="I535" s="1653"/>
      <c r="J535" s="1653"/>
      <c r="K535" s="1653"/>
      <c r="L535" s="1653"/>
      <c r="M535" s="1653"/>
      <c r="N535" s="1653"/>
      <c r="O535" s="1653"/>
      <c r="P535" s="1653"/>
      <c r="Q535" s="1653"/>
      <c r="R535" s="1653"/>
      <c r="S535" s="1653"/>
      <c r="T535" s="1653"/>
      <c r="U535" s="1653"/>
      <c r="V535" s="1653"/>
      <c r="W535" s="1653"/>
      <c r="X535" s="1653"/>
      <c r="Y535" s="1653"/>
      <c r="Z535" s="1653"/>
      <c r="AA535" s="1653"/>
      <c r="AB535" s="1653"/>
      <c r="AC535" s="1653"/>
      <c r="AD535" s="1653"/>
      <c r="AE535" s="1653"/>
      <c r="AF535" s="1653"/>
      <c r="AG535" s="1653"/>
      <c r="AH535" s="1653"/>
      <c r="AI535" s="1653"/>
      <c r="AJ535" s="1653"/>
      <c r="AK535" s="1653"/>
      <c r="AL535" s="1654"/>
      <c r="AM535" s="520"/>
      <c r="AN535" s="522"/>
    </row>
    <row r="536" spans="1:49" s="475" customFormat="1" ht="12.75" customHeight="1">
      <c r="B536" s="731"/>
      <c r="C536" s="731"/>
      <c r="D536" s="731"/>
      <c r="E536" s="731"/>
      <c r="F536" s="736" t="s">
        <v>2260</v>
      </c>
      <c r="G536" s="541"/>
      <c r="H536" s="541"/>
      <c r="I536" s="541"/>
      <c r="J536" s="541"/>
      <c r="K536" s="541"/>
      <c r="L536" s="541"/>
      <c r="M536" s="541"/>
      <c r="N536" s="541"/>
      <c r="O536" s="541"/>
      <c r="P536" s="541"/>
      <c r="Q536" s="541"/>
      <c r="R536" s="541"/>
      <c r="S536" s="541"/>
      <c r="T536" s="541"/>
      <c r="U536" s="541"/>
      <c r="V536" s="541"/>
      <c r="W536" s="541"/>
      <c r="X536" s="541"/>
      <c r="Y536" s="541"/>
      <c r="Z536" s="541"/>
      <c r="AA536" s="541"/>
      <c r="AB536" s="541"/>
      <c r="AC536" s="541"/>
      <c r="AD536" s="541"/>
      <c r="AE536" s="541"/>
      <c r="AF536" s="541"/>
      <c r="AG536" s="541"/>
      <c r="AH536" s="541"/>
      <c r="AI536" s="541"/>
      <c r="AJ536" s="541"/>
      <c r="AK536" s="541"/>
      <c r="AL536" s="737"/>
      <c r="AM536" s="520"/>
      <c r="AN536" s="522"/>
    </row>
    <row r="537" spans="1:49" s="475" customFormat="1" ht="12.75" customHeight="1">
      <c r="B537" s="731"/>
      <c r="C537" s="731"/>
      <c r="D537" s="731"/>
      <c r="E537" s="731"/>
      <c r="F537" s="1652" t="s">
        <v>2261</v>
      </c>
      <c r="G537" s="1653"/>
      <c r="H537" s="1653"/>
      <c r="I537" s="1653"/>
      <c r="J537" s="1653"/>
      <c r="K537" s="1653"/>
      <c r="L537" s="1653"/>
      <c r="M537" s="1653"/>
      <c r="N537" s="1653"/>
      <c r="O537" s="1653"/>
      <c r="P537" s="1653"/>
      <c r="Q537" s="1653"/>
      <c r="R537" s="1653"/>
      <c r="S537" s="1653"/>
      <c r="T537" s="1653"/>
      <c r="U537" s="1653"/>
      <c r="V537" s="1653"/>
      <c r="W537" s="1653"/>
      <c r="X537" s="1653"/>
      <c r="Y537" s="1653"/>
      <c r="Z537" s="1653"/>
      <c r="AA537" s="1653"/>
      <c r="AB537" s="1653"/>
      <c r="AC537" s="1653"/>
      <c r="AD537" s="1653"/>
      <c r="AE537" s="1653"/>
      <c r="AF537" s="1653"/>
      <c r="AG537" s="1653"/>
      <c r="AH537" s="1653"/>
      <c r="AI537" s="1653"/>
      <c r="AJ537" s="1653"/>
      <c r="AK537" s="1653"/>
      <c r="AL537" s="738"/>
      <c r="AM537" s="520"/>
      <c r="AN537" s="522"/>
    </row>
    <row r="538" spans="1:49" s="475" customFormat="1" ht="12.75" customHeight="1">
      <c r="B538" s="731"/>
      <c r="C538" s="731"/>
      <c r="D538" s="731"/>
      <c r="E538" s="731"/>
      <c r="F538" s="1655"/>
      <c r="G538" s="1656"/>
      <c r="H538" s="1656"/>
      <c r="I538" s="1656"/>
      <c r="J538" s="1656"/>
      <c r="K538" s="1656"/>
      <c r="L538" s="1656"/>
      <c r="M538" s="1656"/>
      <c r="N538" s="1656"/>
      <c r="O538" s="1656"/>
      <c r="P538" s="1656"/>
      <c r="Q538" s="1656"/>
      <c r="R538" s="1656"/>
      <c r="S538" s="1656"/>
      <c r="T538" s="1656"/>
      <c r="U538" s="1656"/>
      <c r="V538" s="1656"/>
      <c r="W538" s="1656"/>
      <c r="X538" s="1656"/>
      <c r="Y538" s="1656"/>
      <c r="Z538" s="1656"/>
      <c r="AA538" s="1656"/>
      <c r="AB538" s="1656"/>
      <c r="AC538" s="1656"/>
      <c r="AD538" s="1656"/>
      <c r="AE538" s="1656"/>
      <c r="AF538" s="1656"/>
      <c r="AG538" s="1656"/>
      <c r="AH538" s="1656"/>
      <c r="AI538" s="1656"/>
      <c r="AJ538" s="1656"/>
      <c r="AK538" s="1656"/>
      <c r="AL538" s="739"/>
      <c r="AM538" s="520"/>
      <c r="AN538" s="522"/>
    </row>
    <row r="539" spans="1:49" s="475" customFormat="1" ht="12.75" customHeight="1">
      <c r="B539" s="731"/>
      <c r="C539" s="731"/>
      <c r="D539" s="731"/>
      <c r="E539" s="731"/>
      <c r="F539" s="567"/>
      <c r="G539" s="567"/>
      <c r="H539" s="567"/>
      <c r="I539" s="567"/>
      <c r="J539" s="567"/>
      <c r="K539" s="567"/>
      <c r="L539" s="567"/>
      <c r="M539" s="567"/>
      <c r="N539" s="567"/>
      <c r="O539" s="567"/>
      <c r="P539" s="567"/>
      <c r="Q539" s="567"/>
      <c r="R539" s="567"/>
      <c r="S539" s="567"/>
      <c r="T539" s="567"/>
      <c r="U539" s="567"/>
      <c r="V539" s="567"/>
      <c r="W539" s="567"/>
      <c r="X539" s="567"/>
      <c r="Y539" s="567"/>
      <c r="Z539" s="567"/>
      <c r="AA539" s="567"/>
      <c r="AB539" s="567"/>
      <c r="AC539" s="567"/>
      <c r="AD539" s="567"/>
      <c r="AE539" s="567"/>
      <c r="AF539" s="567"/>
      <c r="AG539" s="567"/>
      <c r="AH539" s="567"/>
      <c r="AI539" s="567"/>
      <c r="AJ539" s="567"/>
      <c r="AK539" s="567"/>
      <c r="AL539" s="520"/>
      <c r="AM539" s="520"/>
      <c r="AN539" s="522"/>
      <c r="AP539" s="1647">
        <f>Application!AJ991</f>
        <v>24220092</v>
      </c>
      <c r="AQ539" s="1647"/>
      <c r="AR539" s="1647"/>
      <c r="AS539" s="475" t="s">
        <v>2262</v>
      </c>
    </row>
    <row r="540" spans="1:49" s="475" customFormat="1" ht="12.75" customHeight="1">
      <c r="A540" s="424"/>
      <c r="B540" s="374" t="s">
        <v>2263</v>
      </c>
      <c r="C540" s="548"/>
      <c r="D540" s="548"/>
      <c r="E540" s="548"/>
      <c r="F540" s="14"/>
      <c r="G540" s="549"/>
      <c r="H540" s="549"/>
      <c r="I540" s="549"/>
      <c r="J540" s="549"/>
      <c r="K540" s="549"/>
      <c r="L540" s="549"/>
      <c r="M540" s="549"/>
      <c r="N540" s="549"/>
      <c r="O540" s="549"/>
      <c r="P540" s="549"/>
      <c r="Q540" s="549"/>
      <c r="R540" s="14"/>
      <c r="S540" s="14"/>
      <c r="T540" s="14"/>
      <c r="U540" s="14"/>
      <c r="V540" s="14"/>
      <c r="W540" s="14"/>
      <c r="X540" s="549"/>
      <c r="Y540" s="549"/>
      <c r="Z540" s="549"/>
      <c r="AA540" s="547"/>
      <c r="AB540" s="547"/>
      <c r="AC540" s="547"/>
      <c r="AD540" s="547"/>
      <c r="AE540" s="14"/>
      <c r="AF540" s="1657">
        <f>'Sources and Uses Budget'!S107+'Sources and Uses Budget'!T107</f>
        <v>31017307.976178661</v>
      </c>
      <c r="AG540" s="1657"/>
      <c r="AH540" s="1657"/>
      <c r="AI540" s="1657"/>
      <c r="AJ540" s="1657"/>
      <c r="AK540" s="520"/>
      <c r="AL540" s="520"/>
      <c r="AM540" s="520"/>
      <c r="AN540" s="522"/>
    </row>
    <row r="541" spans="1:49" s="475" customFormat="1" ht="12.75" customHeight="1">
      <c r="A541" s="550"/>
      <c r="B541" s="550" t="s">
        <v>2264</v>
      </c>
      <c r="C541" s="549"/>
      <c r="D541" s="549"/>
      <c r="E541" s="551"/>
      <c r="F541" s="551"/>
      <c r="G541" s="551"/>
      <c r="H541" s="551"/>
      <c r="I541" s="551"/>
      <c r="J541" s="551"/>
      <c r="K541" s="551"/>
      <c r="L541" s="549"/>
      <c r="M541" s="551"/>
      <c r="N541" s="551"/>
      <c r="O541" s="551"/>
      <c r="P541" s="551"/>
      <c r="Q541" s="551"/>
      <c r="R541" s="14"/>
      <c r="S541" s="14"/>
      <c r="T541" s="14"/>
      <c r="U541" s="14"/>
      <c r="V541" s="14"/>
      <c r="W541" s="14"/>
      <c r="X541" s="549"/>
      <c r="Y541" s="549"/>
      <c r="Z541" s="549"/>
      <c r="AA541" s="547"/>
      <c r="AB541" s="547"/>
      <c r="AC541" s="547"/>
      <c r="AD541" s="547"/>
      <c r="AE541" s="14"/>
      <c r="AF541" s="1658">
        <f>IFERROR(AP548,0)</f>
        <v>51749601.599999994</v>
      </c>
      <c r="AG541" s="1658"/>
      <c r="AH541" s="1658"/>
      <c r="AI541" s="1658"/>
      <c r="AJ541" s="1658"/>
      <c r="AK541" s="520"/>
      <c r="AL541" s="520"/>
      <c r="AM541" s="520"/>
      <c r="AN541" s="522"/>
      <c r="AP541" s="1647">
        <f>Application!AJ1044</f>
        <v>6055023</v>
      </c>
      <c r="AQ541" s="1647"/>
      <c r="AR541" s="1647"/>
      <c r="AS541" s="475" t="s">
        <v>1777</v>
      </c>
    </row>
    <row r="542" spans="1:49" s="475" customFormat="1" ht="12.75" customHeight="1">
      <c r="A542" s="549"/>
      <c r="B542" s="549" t="s">
        <v>1713</v>
      </c>
      <c r="C542" s="549"/>
      <c r="D542" s="549"/>
      <c r="E542" s="549"/>
      <c r="F542" s="549"/>
      <c r="G542" s="549"/>
      <c r="H542" s="549"/>
      <c r="I542" s="549"/>
      <c r="J542" s="549"/>
      <c r="K542" s="549"/>
      <c r="L542" s="549"/>
      <c r="M542" s="549"/>
      <c r="N542" s="549"/>
      <c r="O542" s="549"/>
      <c r="P542" s="549"/>
      <c r="Q542" s="549"/>
      <c r="R542" s="14"/>
      <c r="S542" s="14"/>
      <c r="T542" s="14"/>
      <c r="U542" s="14"/>
      <c r="V542" s="14"/>
      <c r="W542" s="14"/>
      <c r="X542" s="549"/>
      <c r="Y542" s="549"/>
      <c r="Z542" s="549"/>
      <c r="AA542" s="547"/>
      <c r="AB542" s="547"/>
      <c r="AC542" s="547"/>
      <c r="AD542" s="547"/>
      <c r="AE542" s="14"/>
      <c r="AF542" s="1659">
        <f>IFERROR(ROUNDDOWN(IF(C533="YES",((1-(AF540/AF541))*2),(1-(AF540/AF541))),2),0)</f>
        <v>0.8</v>
      </c>
      <c r="AG542" s="1659"/>
      <c r="AH542" s="1659"/>
      <c r="AI542" s="1659"/>
      <c r="AJ542" s="1659"/>
      <c r="AK542" s="520"/>
      <c r="AL542" s="520"/>
      <c r="AM542" s="520"/>
      <c r="AN542" s="522"/>
      <c r="AP542" s="1648">
        <f>Application!AJ1048</f>
        <v>17438466.239999998</v>
      </c>
      <c r="AQ542" s="1648"/>
      <c r="AR542" s="1648"/>
      <c r="AS542" s="475" t="s">
        <v>1782</v>
      </c>
    </row>
    <row r="543" spans="1:49" s="475" customFormat="1" ht="12.75" customHeight="1">
      <c r="A543" s="549"/>
      <c r="B543" s="549"/>
      <c r="C543" s="549"/>
      <c r="D543" s="549"/>
      <c r="E543" s="549"/>
      <c r="F543" s="549"/>
      <c r="G543" s="549"/>
      <c r="H543" s="549"/>
      <c r="I543" s="549"/>
      <c r="J543" s="549"/>
      <c r="K543" s="549"/>
      <c r="L543" s="549"/>
      <c r="M543" s="549"/>
      <c r="N543" s="549"/>
      <c r="O543" s="549"/>
      <c r="P543" s="549"/>
      <c r="Q543" s="549"/>
      <c r="R543" s="14"/>
      <c r="S543" s="14"/>
      <c r="T543" s="14"/>
      <c r="U543" s="14"/>
      <c r="V543" s="14"/>
      <c r="W543" s="14"/>
      <c r="X543" s="549"/>
      <c r="Y543" s="549"/>
      <c r="Z543" s="549"/>
      <c r="AA543" s="547"/>
      <c r="AB543" s="547"/>
      <c r="AC543" s="547"/>
      <c r="AD543" s="547"/>
      <c r="AE543" s="14"/>
      <c r="AF543" s="740"/>
      <c r="AG543" s="740"/>
      <c r="AH543" s="740"/>
      <c r="AI543" s="740"/>
      <c r="AJ543" s="740"/>
      <c r="AK543" s="520"/>
      <c r="AL543" s="520"/>
      <c r="AM543" s="520"/>
      <c r="AN543" s="522"/>
      <c r="AP543" s="1667">
        <f>IF(((AP541+AP542)/AP539)&gt;0.8,0.8,((AP541+AP542)/AP539))</f>
        <v>0.8</v>
      </c>
      <c r="AQ543" s="1667"/>
      <c r="AR543" s="1667"/>
      <c r="AS543" s="475" t="s">
        <v>2265</v>
      </c>
    </row>
    <row r="544" spans="1:49" s="475" customFormat="1" ht="12.75" customHeight="1">
      <c r="A544" s="549"/>
      <c r="B544" s="1713" t="s">
        <v>2266</v>
      </c>
      <c r="C544" s="1714"/>
      <c r="D544" s="1714"/>
      <c r="E544" s="1714"/>
      <c r="F544" s="1714"/>
      <c r="G544" s="1714"/>
      <c r="H544" s="1714"/>
      <c r="I544" s="1714"/>
      <c r="J544" s="1714"/>
      <c r="K544" s="1714"/>
      <c r="L544" s="1714"/>
      <c r="M544" s="1714"/>
      <c r="N544" s="1714"/>
      <c r="O544" s="1714"/>
      <c r="P544" s="1714"/>
      <c r="Q544" s="1714"/>
      <c r="R544" s="1714"/>
      <c r="S544" s="1714"/>
      <c r="T544" s="1714"/>
      <c r="U544" s="1714"/>
      <c r="V544" s="1714"/>
      <c r="W544" s="1714"/>
      <c r="X544" s="1714"/>
      <c r="Y544" s="1714"/>
      <c r="Z544" s="1714"/>
      <c r="AA544" s="1714"/>
      <c r="AB544" s="1714"/>
      <c r="AC544" s="1714"/>
      <c r="AD544" s="1714"/>
      <c r="AE544" s="1714"/>
      <c r="AF544" s="1714"/>
      <c r="AG544" s="1714"/>
      <c r="AH544" s="1714"/>
      <c r="AI544" s="1714"/>
      <c r="AJ544" s="1715"/>
      <c r="AK544" s="520"/>
      <c r="AL544" s="520"/>
      <c r="AM544" s="520"/>
      <c r="AN544" s="522"/>
    </row>
    <row r="545" spans="1:45" s="475" customFormat="1" ht="12.75" customHeight="1">
      <c r="A545" s="549"/>
      <c r="B545" s="1716"/>
      <c r="C545" s="1717"/>
      <c r="D545" s="1717"/>
      <c r="E545" s="1717"/>
      <c r="F545" s="1717"/>
      <c r="G545" s="1717"/>
      <c r="H545" s="1717"/>
      <c r="I545" s="1717"/>
      <c r="J545" s="1717"/>
      <c r="K545" s="1717"/>
      <c r="L545" s="1717"/>
      <c r="M545" s="1717"/>
      <c r="N545" s="1717"/>
      <c r="O545" s="1717"/>
      <c r="P545" s="1717"/>
      <c r="Q545" s="1717"/>
      <c r="R545" s="1717"/>
      <c r="S545" s="1717"/>
      <c r="T545" s="1717"/>
      <c r="U545" s="1717"/>
      <c r="V545" s="1717"/>
      <c r="W545" s="1717"/>
      <c r="X545" s="1717"/>
      <c r="Y545" s="1717"/>
      <c r="Z545" s="1717"/>
      <c r="AA545" s="1717"/>
      <c r="AB545" s="1717"/>
      <c r="AC545" s="1717"/>
      <c r="AD545" s="1717"/>
      <c r="AE545" s="1717"/>
      <c r="AF545" s="1717"/>
      <c r="AG545" s="1717"/>
      <c r="AH545" s="1717"/>
      <c r="AI545" s="1717"/>
      <c r="AJ545" s="1718"/>
      <c r="AK545" s="520"/>
      <c r="AL545" s="520"/>
      <c r="AM545" s="520"/>
      <c r="AN545" s="522"/>
      <c r="AP545" s="1647">
        <f>AP546-AP541-AP542</f>
        <v>32373527.999999996</v>
      </c>
      <c r="AQ545" s="1668"/>
      <c r="AR545" s="1668"/>
      <c r="AS545" s="475" t="s">
        <v>2267</v>
      </c>
    </row>
    <row r="546" spans="1:45" s="475" customFormat="1" ht="12.75" customHeight="1">
      <c r="A546" s="549"/>
      <c r="B546" s="1719"/>
      <c r="C546" s="1720"/>
      <c r="D546" s="1720"/>
      <c r="E546" s="1720"/>
      <c r="F546" s="1720"/>
      <c r="G546" s="1720"/>
      <c r="H546" s="1720"/>
      <c r="I546" s="1720"/>
      <c r="J546" s="1720"/>
      <c r="K546" s="1720"/>
      <c r="L546" s="1720"/>
      <c r="M546" s="1720"/>
      <c r="N546" s="1720"/>
      <c r="O546" s="1720"/>
      <c r="P546" s="1720"/>
      <c r="Q546" s="1720"/>
      <c r="R546" s="1720"/>
      <c r="S546" s="1720"/>
      <c r="T546" s="1720"/>
      <c r="U546" s="1720"/>
      <c r="V546" s="1720"/>
      <c r="W546" s="1720"/>
      <c r="X546" s="1720"/>
      <c r="Y546" s="1720"/>
      <c r="Z546" s="1720"/>
      <c r="AA546" s="1720"/>
      <c r="AB546" s="1720"/>
      <c r="AC546" s="1720"/>
      <c r="AD546" s="1720"/>
      <c r="AE546" s="1720"/>
      <c r="AF546" s="1720"/>
      <c r="AG546" s="1720"/>
      <c r="AH546" s="1720"/>
      <c r="AI546" s="1720"/>
      <c r="AJ546" s="1721"/>
      <c r="AK546" s="520"/>
      <c r="AL546" s="520"/>
      <c r="AM546" s="520"/>
      <c r="AN546" s="522"/>
      <c r="AP546" s="1647">
        <f>Application!AJ1052</f>
        <v>55867017.239999995</v>
      </c>
      <c r="AQ546" s="1647"/>
      <c r="AR546" s="1647"/>
      <c r="AS546" s="475" t="s">
        <v>2268</v>
      </c>
    </row>
    <row r="547" spans="1:45" s="475" customFormat="1" ht="12.75" customHeight="1">
      <c r="B547" s="476"/>
      <c r="C547" s="476"/>
      <c r="D547" s="476"/>
      <c r="E547" s="476"/>
      <c r="F547" s="476"/>
      <c r="G547" s="476"/>
      <c r="H547" s="476"/>
      <c r="I547" s="476"/>
      <c r="J547" s="476"/>
      <c r="K547" s="476"/>
      <c r="L547" s="476"/>
      <c r="M547" s="476"/>
      <c r="N547" s="476"/>
      <c r="O547" s="476"/>
      <c r="P547" s="476"/>
      <c r="Q547" s="476"/>
      <c r="R547" s="476"/>
      <c r="S547" s="476"/>
      <c r="T547" s="476"/>
      <c r="U547" s="476"/>
      <c r="V547" s="476"/>
      <c r="W547" s="476"/>
      <c r="X547" s="476"/>
      <c r="Y547" s="476"/>
      <c r="Z547" s="476"/>
      <c r="AA547" s="476"/>
      <c r="AB547" s="476"/>
      <c r="AC547" s="541"/>
      <c r="AD547" s="476"/>
      <c r="AI547" s="468"/>
      <c r="AJ547" s="468"/>
      <c r="AK547" s="520"/>
      <c r="AL547" s="520"/>
      <c r="AM547" s="520"/>
      <c r="AN547" s="522"/>
    </row>
    <row r="548" spans="1:45" s="475" customFormat="1" ht="12.75" customHeight="1">
      <c r="A548" s="553"/>
      <c r="B548" s="553"/>
      <c r="C548" s="553"/>
      <c r="D548" s="553"/>
      <c r="E548" s="553"/>
      <c r="F548" s="553"/>
      <c r="G548" s="553"/>
      <c r="H548" s="553"/>
      <c r="I548" s="553"/>
      <c r="J548" s="553"/>
      <c r="K548" s="553"/>
      <c r="L548" s="553"/>
      <c r="M548" s="553"/>
      <c r="N548" s="553"/>
      <c r="O548" s="553"/>
      <c r="P548" s="553"/>
      <c r="Q548" s="553"/>
      <c r="R548" s="553"/>
      <c r="S548" s="553"/>
      <c r="T548" s="553"/>
      <c r="U548" s="553"/>
      <c r="V548" s="553"/>
      <c r="W548" s="553"/>
      <c r="X548" s="553"/>
      <c r="Y548" s="553"/>
      <c r="Z548" s="553"/>
      <c r="AA548" s="553"/>
      <c r="AB548" s="553"/>
      <c r="AC548" s="553"/>
      <c r="AD548" s="553"/>
      <c r="AE548" s="553"/>
      <c r="AF548" s="553"/>
      <c r="AG548" s="553"/>
      <c r="AH548" s="554"/>
      <c r="AI548" s="490"/>
      <c r="AJ548" s="490" t="s">
        <v>2269</v>
      </c>
      <c r="AK548" s="1722">
        <f>IFERROR(IF(AND(C530="N/A",C533="N/A"),0,IF(AF542=0,0,IF((AF542*100)&gt;12,12,(AF542*100)))),0)</f>
        <v>12</v>
      </c>
      <c r="AL548" s="1722"/>
      <c r="AM548" s="1723"/>
      <c r="AN548" s="522"/>
      <c r="AP548" s="1636">
        <f>AP545+(AP539*AP543)</f>
        <v>51749601.599999994</v>
      </c>
      <c r="AQ548" s="1637"/>
      <c r="AR548" s="1638"/>
    </row>
    <row r="549" spans="1:45" s="475" customFormat="1" ht="12.75" customHeight="1" thickBot="1">
      <c r="A549" s="684"/>
      <c r="B549" s="684"/>
      <c r="C549" s="684"/>
      <c r="D549" s="684"/>
      <c r="E549" s="684"/>
      <c r="F549" s="684"/>
      <c r="G549" s="684"/>
      <c r="H549" s="684"/>
      <c r="I549" s="684"/>
      <c r="J549" s="684"/>
      <c r="K549" s="684"/>
      <c r="L549" s="684"/>
      <c r="M549" s="684"/>
      <c r="N549" s="684"/>
      <c r="O549" s="684"/>
      <c r="P549" s="684"/>
      <c r="Q549" s="684"/>
      <c r="R549" s="684"/>
      <c r="S549" s="684"/>
      <c r="T549" s="684"/>
      <c r="U549" s="684"/>
      <c r="V549" s="684"/>
      <c r="W549" s="684"/>
      <c r="X549" s="684"/>
      <c r="Y549" s="684"/>
      <c r="Z549" s="684"/>
      <c r="AA549" s="684"/>
      <c r="AB549" s="684"/>
      <c r="AC549" s="684"/>
      <c r="AD549" s="684"/>
      <c r="AE549" s="684"/>
      <c r="AF549" s="684"/>
      <c r="AG549" s="684"/>
      <c r="AH549" s="684"/>
      <c r="AI549" s="684"/>
      <c r="AJ549" s="684"/>
      <c r="AK549" s="684"/>
      <c r="AL549" s="684"/>
      <c r="AM549" s="685"/>
      <c r="AN549" s="522"/>
    </row>
    <row r="550" spans="1:45" s="475" customFormat="1" ht="12.75" customHeight="1" thickTop="1">
      <c r="A550" s="591"/>
      <c r="B550" s="592"/>
      <c r="C550" s="591"/>
      <c r="D550" s="592"/>
      <c r="E550" s="592"/>
      <c r="F550" s="592"/>
      <c r="G550" s="592"/>
      <c r="H550" s="592"/>
      <c r="I550" s="592"/>
      <c r="J550" s="592"/>
      <c r="K550" s="592"/>
      <c r="L550" s="592"/>
      <c r="M550" s="592"/>
      <c r="N550" s="592"/>
      <c r="O550" s="592"/>
      <c r="P550" s="592"/>
      <c r="Q550" s="592"/>
      <c r="R550" s="592"/>
      <c r="S550" s="592"/>
      <c r="T550" s="592"/>
      <c r="U550" s="592"/>
      <c r="V550" s="592"/>
      <c r="W550" s="592"/>
      <c r="X550" s="592"/>
      <c r="Y550" s="592"/>
      <c r="Z550" s="592"/>
      <c r="AA550" s="592"/>
      <c r="AB550" s="592"/>
      <c r="AC550" s="593"/>
      <c r="AD550" s="593"/>
      <c r="AE550" s="593"/>
      <c r="AF550" s="592"/>
      <c r="AG550" s="592"/>
      <c r="AH550" s="592"/>
      <c r="AI550" s="592"/>
      <c r="AJ550" s="592"/>
      <c r="AK550" s="592"/>
      <c r="AL550" s="592"/>
      <c r="AM550" s="594"/>
      <c r="AN550" s="522"/>
    </row>
    <row r="551" spans="1:45" s="475" customFormat="1" ht="12.75" customHeight="1">
      <c r="A551" s="463" t="s">
        <v>2270</v>
      </c>
      <c r="C551" s="463"/>
      <c r="D551" s="528"/>
      <c r="E551" s="528"/>
      <c r="F551" s="528"/>
      <c r="G551" s="528"/>
      <c r="H551" s="528"/>
      <c r="I551" s="528"/>
      <c r="J551" s="528"/>
      <c r="K551" s="528"/>
      <c r="L551" s="528"/>
      <c r="M551" s="528"/>
      <c r="N551" s="528"/>
      <c r="O551" s="528"/>
      <c r="P551" s="528"/>
      <c r="Q551" s="528"/>
      <c r="R551" s="528"/>
      <c r="S551" s="528"/>
      <c r="T551" s="528"/>
      <c r="U551" s="528"/>
      <c r="V551" s="528"/>
      <c r="W551" s="528"/>
      <c r="X551" s="528"/>
      <c r="Y551" s="528"/>
      <c r="Z551" s="528"/>
      <c r="AA551" s="528"/>
      <c r="AB551" s="528"/>
      <c r="AC551" s="528"/>
      <c r="AD551" s="528"/>
      <c r="AE551" s="1666" t="s">
        <v>1970</v>
      </c>
      <c r="AF551" s="1666"/>
      <c r="AG551" s="1666"/>
      <c r="AH551" s="1666"/>
      <c r="AI551" s="1666"/>
      <c r="AJ551" s="1666"/>
      <c r="AK551" s="1666"/>
      <c r="AL551" s="516"/>
      <c r="AM551" s="528"/>
      <c r="AN551" s="522"/>
    </row>
    <row r="552" spans="1:45" s="475" customFormat="1" ht="12.75" customHeight="1">
      <c r="C552" s="528"/>
      <c r="D552" s="528"/>
      <c r="E552" s="528"/>
      <c r="F552" s="528"/>
      <c r="G552" s="528"/>
      <c r="H552" s="528"/>
      <c r="I552" s="528"/>
      <c r="J552" s="528"/>
      <c r="K552" s="528"/>
      <c r="L552" s="528"/>
      <c r="M552" s="528"/>
      <c r="N552" s="528"/>
      <c r="O552" s="528"/>
      <c r="P552" s="528"/>
      <c r="Q552" s="528"/>
      <c r="R552" s="528"/>
      <c r="S552" s="528"/>
      <c r="T552" s="528"/>
      <c r="U552" s="528"/>
      <c r="V552" s="528"/>
      <c r="W552" s="528"/>
      <c r="X552" s="528"/>
      <c r="Y552" s="528"/>
      <c r="Z552" s="528"/>
      <c r="AA552" s="528"/>
      <c r="AB552" s="528"/>
      <c r="AC552" s="528"/>
      <c r="AD552" s="528"/>
      <c r="AE552" s="528"/>
      <c r="AF552" s="528"/>
      <c r="AG552" s="528"/>
      <c r="AH552" s="528"/>
      <c r="AI552" s="528"/>
      <c r="AJ552" s="528"/>
      <c r="AK552" s="528"/>
      <c r="AL552" s="528"/>
      <c r="AM552" s="528"/>
      <c r="AN552" s="522"/>
    </row>
    <row r="553" spans="1:45" s="475" customFormat="1" ht="12.75" customHeight="1">
      <c r="A553" s="528"/>
      <c r="B553" s="1653" t="s">
        <v>2271</v>
      </c>
      <c r="C553" s="1653"/>
      <c r="D553" s="1653"/>
      <c r="E553" s="1653"/>
      <c r="F553" s="1653"/>
      <c r="G553" s="1653"/>
      <c r="H553" s="1653"/>
      <c r="I553" s="1653"/>
      <c r="J553" s="1653"/>
      <c r="K553" s="1653"/>
      <c r="L553" s="1653"/>
      <c r="M553" s="1653"/>
      <c r="N553" s="1653"/>
      <c r="O553" s="1653"/>
      <c r="P553" s="1653"/>
      <c r="Q553" s="1653"/>
      <c r="R553" s="1653"/>
      <c r="S553" s="1653"/>
      <c r="T553" s="1653"/>
      <c r="U553" s="1653"/>
      <c r="V553" s="1653"/>
      <c r="W553" s="1653"/>
      <c r="X553" s="1653"/>
      <c r="Y553" s="1653"/>
      <c r="Z553" s="1653"/>
      <c r="AA553" s="1653"/>
      <c r="AB553" s="1653"/>
      <c r="AC553" s="1653"/>
      <c r="AD553" s="1653"/>
      <c r="AE553" s="1653"/>
      <c r="AF553" s="1653"/>
      <c r="AG553" s="1653"/>
      <c r="AH553" s="1653"/>
      <c r="AI553" s="1653"/>
      <c r="AJ553" s="1653"/>
      <c r="AK553" s="567"/>
      <c r="AL553" s="498"/>
      <c r="AM553" s="528"/>
      <c r="AN553" s="522"/>
    </row>
    <row r="554" spans="1:45" s="475" customFormat="1" ht="12.75" customHeight="1">
      <c r="A554" s="528"/>
      <c r="B554" s="1653"/>
      <c r="C554" s="1653"/>
      <c r="D554" s="1653"/>
      <c r="E554" s="1653"/>
      <c r="F554" s="1653"/>
      <c r="G554" s="1653"/>
      <c r="H554" s="1653"/>
      <c r="I554" s="1653"/>
      <c r="J554" s="1653"/>
      <c r="K554" s="1653"/>
      <c r="L554" s="1653"/>
      <c r="M554" s="1653"/>
      <c r="N554" s="1653"/>
      <c r="O554" s="1653"/>
      <c r="P554" s="1653"/>
      <c r="Q554" s="1653"/>
      <c r="R554" s="1653"/>
      <c r="S554" s="1653"/>
      <c r="T554" s="1653"/>
      <c r="U554" s="1653"/>
      <c r="V554" s="1653"/>
      <c r="W554" s="1653"/>
      <c r="X554" s="1653"/>
      <c r="Y554" s="1653"/>
      <c r="Z554" s="1653"/>
      <c r="AA554" s="1653"/>
      <c r="AB554" s="1653"/>
      <c r="AC554" s="1653"/>
      <c r="AD554" s="1653"/>
      <c r="AE554" s="1653"/>
      <c r="AF554" s="1653"/>
      <c r="AG554" s="1653"/>
      <c r="AH554" s="1653"/>
      <c r="AI554" s="1653"/>
      <c r="AJ554" s="1653"/>
      <c r="AK554" s="567"/>
      <c r="AL554" s="498"/>
      <c r="AM554" s="528"/>
      <c r="AN554" s="522"/>
    </row>
    <row r="555" spans="1:45" s="475" customFormat="1" ht="12.75" customHeight="1">
      <c r="A555" s="528"/>
      <c r="B555" s="1653"/>
      <c r="C555" s="1653"/>
      <c r="D555" s="1653"/>
      <c r="E555" s="1653"/>
      <c r="F555" s="1653"/>
      <c r="G555" s="1653"/>
      <c r="H555" s="1653"/>
      <c r="I555" s="1653"/>
      <c r="J555" s="1653"/>
      <c r="K555" s="1653"/>
      <c r="L555" s="1653"/>
      <c r="M555" s="1653"/>
      <c r="N555" s="1653"/>
      <c r="O555" s="1653"/>
      <c r="P555" s="1653"/>
      <c r="Q555" s="1653"/>
      <c r="R555" s="1653"/>
      <c r="S555" s="1653"/>
      <c r="T555" s="1653"/>
      <c r="U555" s="1653"/>
      <c r="V555" s="1653"/>
      <c r="W555" s="1653"/>
      <c r="X555" s="1653"/>
      <c r="Y555" s="1653"/>
      <c r="Z555" s="1653"/>
      <c r="AA555" s="1653"/>
      <c r="AB555" s="1653"/>
      <c r="AC555" s="1653"/>
      <c r="AD555" s="1653"/>
      <c r="AE555" s="1653"/>
      <c r="AF555" s="1653"/>
      <c r="AG555" s="1653"/>
      <c r="AH555" s="1653"/>
      <c r="AI555" s="1653"/>
      <c r="AJ555" s="1653"/>
      <c r="AK555" s="567"/>
      <c r="AL555" s="498"/>
      <c r="AM555" s="528"/>
      <c r="AN555" s="522"/>
    </row>
    <row r="556" spans="1:45" s="475" customFormat="1" ht="12.75" customHeight="1">
      <c r="A556" s="528"/>
      <c r="B556" s="1653"/>
      <c r="C556" s="1653"/>
      <c r="D556" s="1653"/>
      <c r="E556" s="1653"/>
      <c r="F556" s="1653"/>
      <c r="G556" s="1653"/>
      <c r="H556" s="1653"/>
      <c r="I556" s="1653"/>
      <c r="J556" s="1653"/>
      <c r="K556" s="1653"/>
      <c r="L556" s="1653"/>
      <c r="M556" s="1653"/>
      <c r="N556" s="1653"/>
      <c r="O556" s="1653"/>
      <c r="P556" s="1653"/>
      <c r="Q556" s="1653"/>
      <c r="R556" s="1653"/>
      <c r="S556" s="1653"/>
      <c r="T556" s="1653"/>
      <c r="U556" s="1653"/>
      <c r="V556" s="1653"/>
      <c r="W556" s="1653"/>
      <c r="X556" s="1653"/>
      <c r="Y556" s="1653"/>
      <c r="Z556" s="1653"/>
      <c r="AA556" s="1653"/>
      <c r="AB556" s="1653"/>
      <c r="AC556" s="1653"/>
      <c r="AD556" s="1653"/>
      <c r="AE556" s="1653"/>
      <c r="AF556" s="1653"/>
      <c r="AG556" s="1653"/>
      <c r="AH556" s="1653"/>
      <c r="AI556" s="1653"/>
      <c r="AJ556" s="1653"/>
      <c r="AK556" s="567"/>
      <c r="AL556" s="498"/>
      <c r="AM556" s="528"/>
      <c r="AN556" s="522"/>
    </row>
    <row r="557" spans="1:45" s="475" customFormat="1" ht="12.75" customHeight="1">
      <c r="A557" s="528"/>
      <c r="B557" s="1653"/>
      <c r="C557" s="1653"/>
      <c r="D557" s="1653"/>
      <c r="E557" s="1653"/>
      <c r="F557" s="1653"/>
      <c r="G557" s="1653"/>
      <c r="H557" s="1653"/>
      <c r="I557" s="1653"/>
      <c r="J557" s="1653"/>
      <c r="K557" s="1653"/>
      <c r="L557" s="1653"/>
      <c r="M557" s="1653"/>
      <c r="N557" s="1653"/>
      <c r="O557" s="1653"/>
      <c r="P557" s="1653"/>
      <c r="Q557" s="1653"/>
      <c r="R557" s="1653"/>
      <c r="S557" s="1653"/>
      <c r="T557" s="1653"/>
      <c r="U557" s="1653"/>
      <c r="V557" s="1653"/>
      <c r="W557" s="1653"/>
      <c r="X557" s="1653"/>
      <c r="Y557" s="1653"/>
      <c r="Z557" s="1653"/>
      <c r="AA557" s="1653"/>
      <c r="AB557" s="1653"/>
      <c r="AC557" s="1653"/>
      <c r="AD557" s="1653"/>
      <c r="AE557" s="1653"/>
      <c r="AF557" s="1653"/>
      <c r="AG557" s="1653"/>
      <c r="AH557" s="1653"/>
      <c r="AI557" s="1653"/>
      <c r="AJ557" s="1653"/>
      <c r="AK557" s="567"/>
      <c r="AL557" s="498"/>
      <c r="AM557" s="528"/>
      <c r="AN557" s="522"/>
    </row>
    <row r="558" spans="1:45" s="475" customFormat="1" ht="12.75" customHeight="1">
      <c r="A558" s="528"/>
      <c r="B558" s="1653"/>
      <c r="C558" s="1653"/>
      <c r="D558" s="1653"/>
      <c r="E558" s="1653"/>
      <c r="F558" s="1653"/>
      <c r="G558" s="1653"/>
      <c r="H558" s="1653"/>
      <c r="I558" s="1653"/>
      <c r="J558" s="1653"/>
      <c r="K558" s="1653"/>
      <c r="L558" s="1653"/>
      <c r="M558" s="1653"/>
      <c r="N558" s="1653"/>
      <c r="O558" s="1653"/>
      <c r="P558" s="1653"/>
      <c r="Q558" s="1653"/>
      <c r="R558" s="1653"/>
      <c r="S558" s="1653"/>
      <c r="T558" s="1653"/>
      <c r="U558" s="1653"/>
      <c r="V558" s="1653"/>
      <c r="W558" s="1653"/>
      <c r="X558" s="1653"/>
      <c r="Y558" s="1653"/>
      <c r="Z558" s="1653"/>
      <c r="AA558" s="1653"/>
      <c r="AB558" s="1653"/>
      <c r="AC558" s="1653"/>
      <c r="AD558" s="1653"/>
      <c r="AE558" s="1653"/>
      <c r="AF558" s="1653"/>
      <c r="AG558" s="1653"/>
      <c r="AH558" s="1653"/>
      <c r="AI558" s="1653"/>
      <c r="AJ558" s="1653"/>
      <c r="AK558" s="567"/>
      <c r="AL558" s="498"/>
      <c r="AM558" s="528"/>
      <c r="AN558" s="522"/>
    </row>
    <row r="559" spans="1:45" s="475" customFormat="1" ht="12.75" customHeight="1">
      <c r="A559" s="528"/>
      <c r="B559" s="1653"/>
      <c r="C559" s="1653"/>
      <c r="D559" s="1653"/>
      <c r="E559" s="1653"/>
      <c r="F559" s="1653"/>
      <c r="G559" s="1653"/>
      <c r="H559" s="1653"/>
      <c r="I559" s="1653"/>
      <c r="J559" s="1653"/>
      <c r="K559" s="1653"/>
      <c r="L559" s="1653"/>
      <c r="M559" s="1653"/>
      <c r="N559" s="1653"/>
      <c r="O559" s="1653"/>
      <c r="P559" s="1653"/>
      <c r="Q559" s="1653"/>
      <c r="R559" s="1653"/>
      <c r="S559" s="1653"/>
      <c r="T559" s="1653"/>
      <c r="U559" s="1653"/>
      <c r="V559" s="1653"/>
      <c r="W559" s="1653"/>
      <c r="X559" s="1653"/>
      <c r="Y559" s="1653"/>
      <c r="Z559" s="1653"/>
      <c r="AA559" s="1653"/>
      <c r="AB559" s="1653"/>
      <c r="AC559" s="1653"/>
      <c r="AD559" s="1653"/>
      <c r="AE559" s="1653"/>
      <c r="AF559" s="1653"/>
      <c r="AG559" s="1653"/>
      <c r="AH559" s="1653"/>
      <c r="AI559" s="1653"/>
      <c r="AJ559" s="1653"/>
      <c r="AK559" s="567"/>
      <c r="AL559" s="498"/>
      <c r="AM559" s="528"/>
      <c r="AN559" s="522"/>
    </row>
    <row r="560" spans="1:45" ht="12.75" customHeight="1">
      <c r="A560" s="528"/>
      <c r="B560" s="1653"/>
      <c r="C560" s="1653"/>
      <c r="D560" s="1653"/>
      <c r="E560" s="1653"/>
      <c r="F560" s="1653"/>
      <c r="G560" s="1653"/>
      <c r="H560" s="1653"/>
      <c r="I560" s="1653"/>
      <c r="J560" s="1653"/>
      <c r="K560" s="1653"/>
      <c r="L560" s="1653"/>
      <c r="M560" s="1653"/>
      <c r="N560" s="1653"/>
      <c r="O560" s="1653"/>
      <c r="P560" s="1653"/>
      <c r="Q560" s="1653"/>
      <c r="R560" s="1653"/>
      <c r="S560" s="1653"/>
      <c r="T560" s="1653"/>
      <c r="U560" s="1653"/>
      <c r="V560" s="1653"/>
      <c r="W560" s="1653"/>
      <c r="X560" s="1653"/>
      <c r="Y560" s="1653"/>
      <c r="Z560" s="1653"/>
      <c r="AA560" s="1653"/>
      <c r="AB560" s="1653"/>
      <c r="AC560" s="1653"/>
      <c r="AD560" s="1653"/>
      <c r="AE560" s="1653"/>
      <c r="AF560" s="1653"/>
      <c r="AG560" s="1653"/>
      <c r="AH560" s="1653"/>
      <c r="AI560" s="1653"/>
      <c r="AJ560" s="1653"/>
      <c r="AK560" s="567"/>
      <c r="AL560" s="498"/>
      <c r="AM560" s="528"/>
    </row>
    <row r="561" spans="1:42" s="475" customFormat="1" ht="12.75" customHeight="1">
      <c r="B561" s="1653"/>
      <c r="C561" s="1653"/>
      <c r="D561" s="1653"/>
      <c r="E561" s="1653"/>
      <c r="F561" s="1653"/>
      <c r="G561" s="1653"/>
      <c r="H561" s="1653"/>
      <c r="I561" s="1653"/>
      <c r="J561" s="1653"/>
      <c r="K561" s="1653"/>
      <c r="L561" s="1653"/>
      <c r="M561" s="1653"/>
      <c r="N561" s="1653"/>
      <c r="O561" s="1653"/>
      <c r="P561" s="1653"/>
      <c r="Q561" s="1653"/>
      <c r="R561" s="1653"/>
      <c r="S561" s="1653"/>
      <c r="T561" s="1653"/>
      <c r="U561" s="1653"/>
      <c r="V561" s="1653"/>
      <c r="W561" s="1653"/>
      <c r="X561" s="1653"/>
      <c r="Y561" s="1653"/>
      <c r="Z561" s="1653"/>
      <c r="AA561" s="1653"/>
      <c r="AB561" s="1653"/>
      <c r="AC561" s="1653"/>
      <c r="AD561" s="1653"/>
      <c r="AE561" s="1653"/>
      <c r="AF561" s="1653"/>
      <c r="AG561" s="1653"/>
      <c r="AH561" s="1653"/>
      <c r="AI561" s="1653"/>
      <c r="AJ561" s="1653"/>
      <c r="AK561" s="567"/>
      <c r="AL561" s="498"/>
      <c r="AN561" s="522"/>
    </row>
    <row r="562" spans="1:42" s="475" customFormat="1" ht="12.75" customHeight="1">
      <c r="B562" s="567"/>
      <c r="C562" s="567"/>
      <c r="D562" s="567"/>
      <c r="E562" s="567"/>
      <c r="F562" s="567"/>
      <c r="G562" s="567"/>
      <c r="H562" s="567"/>
      <c r="I562" s="567"/>
      <c r="J562" s="567"/>
      <c r="K562" s="567"/>
      <c r="L562" s="567"/>
      <c r="M562" s="567"/>
      <c r="N562" s="567"/>
      <c r="O562" s="567"/>
      <c r="P562" s="567"/>
      <c r="Q562" s="567"/>
      <c r="R562" s="567"/>
      <c r="S562" s="567"/>
      <c r="T562" s="567"/>
      <c r="U562" s="567"/>
      <c r="V562" s="567"/>
      <c r="W562" s="567"/>
      <c r="X562" s="567"/>
      <c r="Y562" s="567"/>
      <c r="Z562" s="567"/>
      <c r="AA562" s="567"/>
      <c r="AB562" s="567"/>
      <c r="AC562" s="567"/>
      <c r="AD562" s="567"/>
      <c r="AE562" s="567"/>
      <c r="AF562" s="567"/>
      <c r="AG562" s="567"/>
      <c r="AH562" s="567"/>
      <c r="AI562" s="567"/>
      <c r="AJ562" s="567"/>
      <c r="AK562" s="567"/>
      <c r="AL562" s="498"/>
      <c r="AN562" s="522"/>
    </row>
    <row r="563" spans="1:42" s="475" customFormat="1" ht="12.75" customHeight="1">
      <c r="B563" s="588" t="s">
        <v>2272</v>
      </c>
      <c r="C563" s="596"/>
      <c r="D563" s="498"/>
      <c r="E563" s="498"/>
      <c r="F563" s="498"/>
      <c r="G563" s="498"/>
      <c r="H563" s="498"/>
      <c r="I563" s="498"/>
      <c r="J563" s="498"/>
      <c r="K563" s="498"/>
      <c r="L563" s="498"/>
      <c r="M563" s="498"/>
      <c r="N563" s="498"/>
      <c r="O563" s="498"/>
      <c r="P563" s="498"/>
      <c r="Q563" s="498"/>
      <c r="R563" s="498"/>
      <c r="S563" s="498"/>
      <c r="T563" s="498"/>
      <c r="U563" s="498"/>
      <c r="V563" s="498"/>
      <c r="W563" s="498"/>
      <c r="X563" s="498"/>
      <c r="Y563" s="498"/>
      <c r="Z563" s="498"/>
      <c r="AA563" s="498"/>
      <c r="AB563" s="498"/>
      <c r="AC563" s="498"/>
      <c r="AD563" s="498"/>
      <c r="AE563" s="498"/>
      <c r="AF563" s="498"/>
      <c r="AG563" s="498"/>
      <c r="AH563" s="498"/>
      <c r="AI563" s="498"/>
      <c r="AN563" s="522"/>
      <c r="AP563" s="475" t="s">
        <v>299</v>
      </c>
    </row>
    <row r="564" spans="1:42" s="475" customFormat="1" ht="12.75" customHeight="1">
      <c r="B564" s="461"/>
      <c r="C564" s="596"/>
      <c r="D564" s="498"/>
      <c r="E564" s="498"/>
      <c r="F564" s="498"/>
      <c r="G564" s="498"/>
      <c r="H564" s="498"/>
      <c r="I564" s="498"/>
      <c r="J564" s="498"/>
      <c r="K564" s="498"/>
      <c r="L564" s="498"/>
      <c r="M564" s="498"/>
      <c r="N564" s="498"/>
      <c r="O564" s="498"/>
      <c r="P564" s="498"/>
      <c r="Q564" s="498"/>
      <c r="R564" s="498"/>
      <c r="S564" s="498"/>
      <c r="T564" s="498"/>
      <c r="U564" s="498"/>
      <c r="V564" s="498"/>
      <c r="W564" s="498"/>
      <c r="X564" s="498"/>
      <c r="Y564" s="498"/>
      <c r="Z564" s="498"/>
      <c r="AA564" s="498"/>
      <c r="AB564" s="498"/>
      <c r="AC564" s="498"/>
      <c r="AD564" s="498"/>
      <c r="AE564" s="498"/>
      <c r="AF564" s="498"/>
      <c r="AG564" s="498"/>
      <c r="AH564" s="498"/>
      <c r="AI564" s="498"/>
      <c r="AN564" s="522"/>
      <c r="AP564" s="475" t="s">
        <v>837</v>
      </c>
    </row>
    <row r="565" spans="1:42" s="475" customFormat="1" ht="12.75" customHeight="1">
      <c r="C565" s="464" t="s">
        <v>2273</v>
      </c>
      <c r="D565" s="597"/>
      <c r="E565" s="498"/>
      <c r="F565" s="498"/>
      <c r="G565" s="498"/>
      <c r="H565" s="498"/>
      <c r="I565" s="498"/>
      <c r="J565" s="498"/>
      <c r="K565" s="498"/>
      <c r="L565" s="498"/>
      <c r="M565" s="498"/>
      <c r="N565" s="498"/>
      <c r="O565" s="498"/>
      <c r="P565" s="498"/>
      <c r="Q565" s="498"/>
      <c r="R565" s="498"/>
      <c r="S565" s="498"/>
      <c r="T565" s="498"/>
      <c r="U565" s="498"/>
      <c r="V565" s="498"/>
      <c r="W565" s="498"/>
      <c r="X565" s="498"/>
      <c r="Y565" s="498"/>
      <c r="Z565" s="498"/>
      <c r="AA565" s="498"/>
      <c r="AB565" s="498"/>
      <c r="AC565" s="498"/>
      <c r="AD565" s="498"/>
      <c r="AE565" s="498"/>
      <c r="AF565" s="498"/>
      <c r="AG565" s="498"/>
      <c r="AH565" s="498"/>
      <c r="AI565" s="498"/>
      <c r="AN565" s="522"/>
    </row>
    <row r="566" spans="1:42" s="475" customFormat="1" ht="12.75" customHeight="1">
      <c r="B566" s="461"/>
      <c r="C566" s="461"/>
      <c r="D566" s="565"/>
      <c r="E566" s="568"/>
      <c r="F566" s="568"/>
      <c r="G566" s="568"/>
      <c r="H566" s="568"/>
      <c r="I566" s="568"/>
      <c r="J566" s="568"/>
      <c r="K566" s="568"/>
      <c r="L566" s="568"/>
      <c r="M566" s="568"/>
      <c r="N566" s="568"/>
      <c r="O566" s="568"/>
      <c r="P566" s="568"/>
      <c r="Q566" s="568"/>
      <c r="R566" s="568"/>
      <c r="S566" s="568"/>
      <c r="T566" s="568"/>
      <c r="U566" s="568"/>
      <c r="V566" s="568"/>
      <c r="W566" s="568"/>
      <c r="X566" s="568"/>
      <c r="Y566" s="568"/>
      <c r="Z566" s="568"/>
      <c r="AA566" s="568"/>
      <c r="AB566" s="568"/>
      <c r="AC566" s="568"/>
      <c r="AD566" s="568"/>
      <c r="AE566" s="568"/>
      <c r="AF566" s="461"/>
      <c r="AG566" s="461"/>
      <c r="AH566" s="461"/>
      <c r="AI566" s="461"/>
      <c r="AJ566" s="461"/>
      <c r="AK566" s="461"/>
      <c r="AL566" s="461"/>
      <c r="AN566" s="522"/>
    </row>
    <row r="567" spans="1:42" s="475" customFormat="1" ht="12.75" customHeight="1">
      <c r="B567" s="461"/>
      <c r="C567" s="461"/>
      <c r="D567" s="588" t="s">
        <v>21</v>
      </c>
      <c r="E567" s="763" t="s">
        <v>2274</v>
      </c>
      <c r="F567" s="567"/>
      <c r="G567" s="567"/>
      <c r="H567" s="567"/>
      <c r="I567" s="567"/>
      <c r="J567" s="567"/>
      <c r="K567" s="567"/>
      <c r="L567" s="567"/>
      <c r="M567" s="567"/>
      <c r="N567" s="567"/>
      <c r="O567" s="567"/>
      <c r="P567" s="567"/>
      <c r="Q567" s="567"/>
      <c r="R567" s="567"/>
      <c r="S567" s="567"/>
      <c r="T567" s="567"/>
      <c r="U567" s="567"/>
      <c r="V567" s="567"/>
      <c r="W567" s="567"/>
      <c r="X567" s="567"/>
      <c r="Y567" s="567"/>
      <c r="Z567" s="567"/>
      <c r="AA567" s="567"/>
      <c r="AB567" s="567"/>
      <c r="AC567" s="461"/>
      <c r="AD567" s="461"/>
      <c r="AE567" s="461"/>
      <c r="AF567" s="1733" t="s">
        <v>2015</v>
      </c>
      <c r="AG567" s="1733"/>
      <c r="AH567" s="1733"/>
      <c r="AI567" s="1733"/>
      <c r="AJ567" s="1733"/>
      <c r="AK567" s="1733"/>
      <c r="AL567" s="1733"/>
      <c r="AN567" s="522"/>
    </row>
    <row r="568" spans="1:42" s="475" customFormat="1" ht="12.75" customHeight="1">
      <c r="B568" s="461"/>
      <c r="C568" s="541"/>
      <c r="D568" s="588"/>
      <c r="E568" s="763" t="s">
        <v>2275</v>
      </c>
      <c r="F568" s="567"/>
      <c r="G568" s="567"/>
      <c r="H568" s="567"/>
      <c r="I568" s="567"/>
      <c r="J568" s="567"/>
      <c r="K568" s="567"/>
      <c r="L568" s="567"/>
      <c r="M568" s="567"/>
      <c r="N568" s="567"/>
      <c r="O568" s="567"/>
      <c r="P568" s="567"/>
      <c r="Q568" s="567"/>
      <c r="R568" s="567"/>
      <c r="S568" s="567"/>
      <c r="T568" s="567"/>
      <c r="U568" s="567"/>
      <c r="V568" s="567"/>
      <c r="W568" s="567"/>
      <c r="X568" s="567"/>
      <c r="Y568" s="567"/>
      <c r="Z568" s="567"/>
      <c r="AA568" s="567"/>
      <c r="AB568" s="567"/>
      <c r="AC568" s="461"/>
      <c r="AD568" s="461"/>
      <c r="AE568" s="541"/>
      <c r="AF568" s="541"/>
      <c r="AG568" s="541"/>
      <c r="AH568" s="541"/>
      <c r="AI568" s="541"/>
      <c r="AJ568" s="541"/>
      <c r="AK568" s="541"/>
      <c r="AL568" s="541"/>
      <c r="AN568" s="522"/>
    </row>
    <row r="569" spans="1:42" s="475" customFormat="1" ht="12.75" customHeight="1">
      <c r="B569" s="461"/>
      <c r="C569" s="541"/>
      <c r="D569" s="588"/>
      <c r="E569" s="763" t="s">
        <v>2276</v>
      </c>
      <c r="F569" s="567"/>
      <c r="G569" s="567"/>
      <c r="H569" s="567"/>
      <c r="I569" s="567"/>
      <c r="J569" s="567"/>
      <c r="K569" s="567"/>
      <c r="L569" s="567"/>
      <c r="M569" s="567"/>
      <c r="N569" s="567"/>
      <c r="O569" s="567"/>
      <c r="P569" s="567"/>
      <c r="Q569" s="567"/>
      <c r="R569" s="567"/>
      <c r="S569" s="567"/>
      <c r="T569" s="567"/>
      <c r="U569" s="567"/>
      <c r="V569" s="567"/>
      <c r="W569" s="567"/>
      <c r="X569" s="567"/>
      <c r="Y569" s="567"/>
      <c r="Z569" s="567"/>
      <c r="AA569" s="567"/>
      <c r="AB569" s="567"/>
      <c r="AC569" s="461"/>
      <c r="AD569" s="461"/>
      <c r="AE569" s="541"/>
      <c r="AF569" s="541"/>
      <c r="AG569" s="541"/>
      <c r="AH569" s="541"/>
      <c r="AI569" s="541"/>
      <c r="AJ569" s="541"/>
      <c r="AK569" s="541"/>
      <c r="AL569" s="541"/>
      <c r="AN569" s="522"/>
    </row>
    <row r="570" spans="1:42" s="475" customFormat="1" ht="12.75" customHeight="1">
      <c r="B570" s="461"/>
      <c r="C570" s="541"/>
      <c r="D570" s="588"/>
      <c r="E570" s="763" t="s">
        <v>2277</v>
      </c>
      <c r="F570" s="567"/>
      <c r="G570" s="567"/>
      <c r="H570" s="567"/>
      <c r="I570" s="567"/>
      <c r="J570" s="567"/>
      <c r="K570" s="567"/>
      <c r="L570" s="567"/>
      <c r="M570" s="567"/>
      <c r="N570" s="567"/>
      <c r="O570" s="567"/>
      <c r="P570" s="567"/>
      <c r="Q570" s="567"/>
      <c r="R570" s="567"/>
      <c r="S570" s="567"/>
      <c r="T570" s="567"/>
      <c r="U570" s="567"/>
      <c r="V570" s="567"/>
      <c r="W570" s="567"/>
      <c r="X570" s="567"/>
      <c r="Y570" s="567"/>
      <c r="Z570" s="567"/>
      <c r="AA570" s="567"/>
      <c r="AB570" s="567"/>
      <c r="AC570" s="461"/>
      <c r="AD570" s="461"/>
      <c r="AE570" s="541"/>
      <c r="AF570" s="541"/>
      <c r="AG570" s="541"/>
      <c r="AH570" s="541"/>
      <c r="AI570" s="541"/>
      <c r="AJ570" s="541"/>
      <c r="AK570" s="541"/>
      <c r="AL570" s="541"/>
      <c r="AN570" s="522"/>
    </row>
    <row r="571" spans="1:42" s="475" customFormat="1" ht="12.75" customHeight="1">
      <c r="B571" s="461"/>
      <c r="C571" s="541"/>
      <c r="D571" s="588"/>
      <c r="E571" s="763" t="s">
        <v>2278</v>
      </c>
      <c r="F571" s="567"/>
      <c r="G571" s="567"/>
      <c r="H571" s="567"/>
      <c r="I571" s="567"/>
      <c r="J571" s="567"/>
      <c r="K571" s="567"/>
      <c r="L571" s="567"/>
      <c r="M571" s="567"/>
      <c r="N571" s="567"/>
      <c r="O571" s="567"/>
      <c r="P571" s="567"/>
      <c r="Q571" s="567"/>
      <c r="R571" s="567"/>
      <c r="S571" s="567"/>
      <c r="T571" s="567"/>
      <c r="U571" s="567"/>
      <c r="V571" s="567"/>
      <c r="W571" s="567"/>
      <c r="X571" s="567"/>
      <c r="Y571" s="567"/>
      <c r="Z571" s="567"/>
      <c r="AA571" s="567"/>
      <c r="AB571" s="567"/>
      <c r="AC571" s="461"/>
      <c r="AD571" s="461"/>
      <c r="AE571" s="541"/>
      <c r="AF571" s="541"/>
      <c r="AG571" s="541"/>
      <c r="AH571" s="541"/>
      <c r="AI571" s="541"/>
      <c r="AJ571" s="541"/>
      <c r="AK571" s="541"/>
      <c r="AL571" s="541"/>
      <c r="AN571" s="522"/>
      <c r="AO571" s="20" t="s">
        <v>2279</v>
      </c>
      <c r="AP571" s="475" t="b">
        <f>IF(Application!AF418&gt;=25,TRUE,FALSE)</f>
        <v>1</v>
      </c>
    </row>
    <row r="572" spans="1:42" s="475" customFormat="1" ht="12.75" customHeight="1">
      <c r="B572" s="461"/>
      <c r="C572" s="541"/>
      <c r="D572" s="588"/>
      <c r="E572" s="763" t="s">
        <v>2280</v>
      </c>
      <c r="F572" s="567"/>
      <c r="G572" s="567"/>
      <c r="H572" s="567"/>
      <c r="I572" s="567"/>
      <c r="J572" s="567"/>
      <c r="K572" s="567"/>
      <c r="L572" s="567"/>
      <c r="M572" s="567"/>
      <c r="N572" s="567"/>
      <c r="O572" s="567"/>
      <c r="P572" s="567"/>
      <c r="Q572" s="567"/>
      <c r="R572" s="567"/>
      <c r="S572" s="567"/>
      <c r="T572" s="567"/>
      <c r="U572" s="567"/>
      <c r="V572" s="567"/>
      <c r="W572" s="567"/>
      <c r="X572" s="567"/>
      <c r="Y572" s="567"/>
      <c r="Z572" s="567"/>
      <c r="AA572" s="567"/>
      <c r="AB572" s="567"/>
      <c r="AC572" s="461"/>
      <c r="AD572" s="461"/>
      <c r="AE572" s="541"/>
      <c r="AF572" s="541"/>
      <c r="AG572" s="541"/>
      <c r="AH572" s="541"/>
      <c r="AI572" s="541"/>
      <c r="AJ572" s="541"/>
      <c r="AK572" s="541"/>
      <c r="AL572" s="541"/>
      <c r="AN572" s="522"/>
      <c r="AO572" s="20" t="s">
        <v>2281</v>
      </c>
      <c r="AP572" s="475" t="b">
        <f>Application!Z199="Yes"</f>
        <v>0</v>
      </c>
    </row>
    <row r="573" spans="1:42" s="475" customFormat="1" ht="12.75" customHeight="1">
      <c r="B573" s="461"/>
      <c r="C573" s="541"/>
      <c r="D573" s="588"/>
      <c r="E573" s="763"/>
      <c r="F573" s="567"/>
      <c r="G573" s="567"/>
      <c r="H573" s="567"/>
      <c r="I573" s="567"/>
      <c r="J573" s="567"/>
      <c r="K573" s="567"/>
      <c r="L573" s="567"/>
      <c r="M573" s="567"/>
      <c r="N573" s="567"/>
      <c r="O573" s="567"/>
      <c r="P573" s="567"/>
      <c r="Q573" s="567"/>
      <c r="R573" s="567"/>
      <c r="S573" s="567"/>
      <c r="T573" s="567"/>
      <c r="U573" s="567"/>
      <c r="V573" s="567"/>
      <c r="W573" s="567"/>
      <c r="X573" s="567"/>
      <c r="Y573" s="567"/>
      <c r="Z573" s="567"/>
      <c r="AA573" s="567"/>
      <c r="AB573" s="567"/>
      <c r="AC573" s="461"/>
      <c r="AD573" s="461"/>
      <c r="AE573" s="541"/>
      <c r="AF573" s="461"/>
      <c r="AG573" s="461"/>
      <c r="AH573" s="461"/>
      <c r="AI573" s="461"/>
      <c r="AJ573" s="461"/>
      <c r="AK573" s="461"/>
      <c r="AL573" s="461"/>
      <c r="AN573" s="522"/>
    </row>
    <row r="574" spans="1:42" s="475" customFormat="1" ht="12.75" customHeight="1">
      <c r="A574" s="562"/>
      <c r="B574" s="461"/>
      <c r="C574" s="851"/>
      <c r="D574" s="588" t="s">
        <v>26</v>
      </c>
      <c r="E574" s="763" t="s">
        <v>2282</v>
      </c>
      <c r="F574" s="852"/>
      <c r="G574" s="852"/>
      <c r="H574" s="852"/>
      <c r="I574" s="852"/>
      <c r="J574" s="852"/>
      <c r="K574" s="852"/>
      <c r="L574" s="852"/>
      <c r="M574" s="852"/>
      <c r="N574" s="852"/>
      <c r="O574" s="852"/>
      <c r="P574" s="852"/>
      <c r="Q574" s="852"/>
      <c r="R574" s="852"/>
      <c r="S574" s="852"/>
      <c r="T574" s="852"/>
      <c r="U574" s="852"/>
      <c r="V574" s="852"/>
      <c r="W574" s="852"/>
      <c r="X574" s="852"/>
      <c r="Y574" s="852"/>
      <c r="Z574" s="852"/>
      <c r="AA574" s="852"/>
      <c r="AB574" s="852"/>
      <c r="AC574" s="461"/>
      <c r="AD574" s="461"/>
      <c r="AE574" s="461"/>
      <c r="AF574" s="1733" t="s">
        <v>2283</v>
      </c>
      <c r="AG574" s="1733"/>
      <c r="AH574" s="1733"/>
      <c r="AI574" s="1733"/>
      <c r="AJ574" s="1733"/>
      <c r="AK574" s="1733"/>
      <c r="AL574" s="1733"/>
      <c r="AN574" s="522"/>
    </row>
    <row r="575" spans="1:42" s="475" customFormat="1" ht="12.75" customHeight="1">
      <c r="B575" s="461"/>
      <c r="C575" s="853"/>
      <c r="D575" s="588"/>
      <c r="E575" s="763" t="s">
        <v>2284</v>
      </c>
      <c r="F575" s="852"/>
      <c r="G575" s="852"/>
      <c r="H575" s="852"/>
      <c r="I575" s="852"/>
      <c r="J575" s="852"/>
      <c r="K575" s="852"/>
      <c r="L575" s="852"/>
      <c r="M575" s="852"/>
      <c r="N575" s="852"/>
      <c r="O575" s="852"/>
      <c r="P575" s="852"/>
      <c r="Q575" s="852"/>
      <c r="R575" s="852"/>
      <c r="S575" s="852"/>
      <c r="T575" s="852"/>
      <c r="U575" s="852"/>
      <c r="V575" s="852"/>
      <c r="W575" s="852"/>
      <c r="X575" s="852"/>
      <c r="Y575" s="852"/>
      <c r="Z575" s="852"/>
      <c r="AA575" s="852"/>
      <c r="AB575" s="852"/>
      <c r="AC575" s="461"/>
      <c r="AD575" s="461"/>
      <c r="AE575" s="461"/>
      <c r="AF575" s="461"/>
      <c r="AG575" s="461"/>
      <c r="AH575" s="461"/>
      <c r="AI575" s="461"/>
      <c r="AJ575" s="461"/>
      <c r="AK575" s="461"/>
      <c r="AL575" s="461"/>
      <c r="AN575" s="522"/>
      <c r="AO575" s="475" t="s">
        <v>299</v>
      </c>
      <c r="AP575" s="598">
        <v>0</v>
      </c>
    </row>
    <row r="576" spans="1:42" s="475" customFormat="1" ht="12.75" customHeight="1">
      <c r="B576" s="535"/>
      <c r="C576" s="851"/>
      <c r="D576" s="588"/>
      <c r="E576" s="763" t="s">
        <v>2285</v>
      </c>
      <c r="F576" s="852"/>
      <c r="G576" s="852"/>
      <c r="H576" s="852"/>
      <c r="I576" s="852"/>
      <c r="J576" s="852"/>
      <c r="K576" s="852"/>
      <c r="L576" s="852"/>
      <c r="M576" s="852"/>
      <c r="N576" s="852"/>
      <c r="O576" s="852"/>
      <c r="P576" s="852"/>
      <c r="Q576" s="852"/>
      <c r="R576" s="852"/>
      <c r="S576" s="852"/>
      <c r="T576" s="852"/>
      <c r="U576" s="852"/>
      <c r="V576" s="852"/>
      <c r="W576" s="852"/>
      <c r="X576" s="852"/>
      <c r="Y576" s="852"/>
      <c r="Z576" s="852"/>
      <c r="AA576" s="852"/>
      <c r="AB576" s="852"/>
      <c r="AC576" s="461"/>
      <c r="AD576" s="461"/>
      <c r="AE576" s="461"/>
      <c r="AF576" s="461"/>
      <c r="AG576" s="461"/>
      <c r="AH576" s="461"/>
      <c r="AI576" s="461"/>
      <c r="AJ576" s="461"/>
      <c r="AK576" s="461"/>
      <c r="AL576" s="461"/>
      <c r="AN576" s="522"/>
      <c r="AO576" s="536" t="s">
        <v>21</v>
      </c>
      <c r="AP576" s="475">
        <f>7*AP571</f>
        <v>7</v>
      </c>
    </row>
    <row r="577" spans="1:53" s="475" customFormat="1" ht="12.75" customHeight="1">
      <c r="B577" s="535"/>
      <c r="C577" s="851"/>
      <c r="D577" s="588"/>
      <c r="E577" s="763" t="s">
        <v>2286</v>
      </c>
      <c r="F577" s="852"/>
      <c r="G577" s="852"/>
      <c r="H577" s="852"/>
      <c r="I577" s="852"/>
      <c r="J577" s="852"/>
      <c r="K577" s="852"/>
      <c r="L577" s="852"/>
      <c r="M577" s="852"/>
      <c r="N577" s="852"/>
      <c r="O577" s="852"/>
      <c r="P577" s="852"/>
      <c r="Q577" s="852"/>
      <c r="R577" s="852"/>
      <c r="S577" s="852"/>
      <c r="T577" s="852"/>
      <c r="U577" s="852"/>
      <c r="V577" s="852"/>
      <c r="W577" s="852"/>
      <c r="X577" s="852"/>
      <c r="Y577" s="852"/>
      <c r="Z577" s="852"/>
      <c r="AA577" s="852"/>
      <c r="AB577" s="852"/>
      <c r="AC577" s="461"/>
      <c r="AD577" s="461"/>
      <c r="AE577" s="461"/>
      <c r="AF577" s="461"/>
      <c r="AG577" s="461"/>
      <c r="AH577" s="461"/>
      <c r="AI577" s="461"/>
      <c r="AJ577" s="461"/>
      <c r="AK577" s="461"/>
      <c r="AL577" s="461"/>
      <c r="AN577" s="522"/>
      <c r="AO577" s="536" t="s">
        <v>26</v>
      </c>
      <c r="AP577" s="475">
        <v>6</v>
      </c>
    </row>
    <row r="578" spans="1:53" s="475" customFormat="1" ht="12.75" customHeight="1">
      <c r="B578" s="535"/>
      <c r="C578" s="851"/>
      <c r="D578" s="588"/>
      <c r="E578" s="763" t="s">
        <v>2287</v>
      </c>
      <c r="F578" s="852"/>
      <c r="G578" s="852"/>
      <c r="H578" s="852"/>
      <c r="I578" s="852"/>
      <c r="J578" s="852"/>
      <c r="K578" s="852"/>
      <c r="L578" s="852"/>
      <c r="M578" s="852"/>
      <c r="N578" s="852"/>
      <c r="O578" s="852"/>
      <c r="P578" s="852"/>
      <c r="Q578" s="852"/>
      <c r="R578" s="852"/>
      <c r="S578" s="852"/>
      <c r="T578" s="852"/>
      <c r="U578" s="852"/>
      <c r="V578" s="852"/>
      <c r="W578" s="852"/>
      <c r="X578" s="852"/>
      <c r="Y578" s="852"/>
      <c r="Z578" s="852"/>
      <c r="AA578" s="852"/>
      <c r="AB578" s="852"/>
      <c r="AC578" s="461"/>
      <c r="AD578" s="461"/>
      <c r="AE578" s="461"/>
      <c r="AF578" s="461"/>
      <c r="AG578" s="461"/>
      <c r="AH578" s="461"/>
      <c r="AI578" s="461"/>
      <c r="AJ578" s="461"/>
      <c r="AK578" s="461"/>
      <c r="AL578" s="461"/>
      <c r="AN578" s="522"/>
      <c r="AO578" s="536" t="s">
        <v>48</v>
      </c>
      <c r="AP578" s="475">
        <v>5</v>
      </c>
    </row>
    <row r="579" spans="1:53" s="475" customFormat="1" ht="12.75" customHeight="1">
      <c r="B579" s="535"/>
      <c r="C579" s="851"/>
      <c r="D579" s="588"/>
      <c r="E579" s="854"/>
      <c r="F579" s="855"/>
      <c r="G579" s="855"/>
      <c r="H579" s="855"/>
      <c r="I579" s="541"/>
      <c r="J579" s="541"/>
      <c r="K579" s="541"/>
      <c r="L579" s="541"/>
      <c r="M579" s="541"/>
      <c r="N579" s="541"/>
      <c r="O579" s="541"/>
      <c r="P579" s="541"/>
      <c r="Q579" s="541"/>
      <c r="R579" s="541"/>
      <c r="S579" s="541"/>
      <c r="T579" s="541"/>
      <c r="U579" s="541"/>
      <c r="V579" s="541"/>
      <c r="W579" s="541"/>
      <c r="X579" s="541"/>
      <c r="Y579" s="541"/>
      <c r="Z579" s="541"/>
      <c r="AA579" s="541"/>
      <c r="AB579" s="541"/>
      <c r="AC579" s="461"/>
      <c r="AD579" s="461"/>
      <c r="AE579" s="541"/>
      <c r="AF579" s="461"/>
      <c r="AG579" s="461"/>
      <c r="AH579" s="461"/>
      <c r="AI579" s="461"/>
      <c r="AJ579" s="461"/>
      <c r="AK579" s="461"/>
      <c r="AL579" s="461"/>
      <c r="AN579" s="522"/>
      <c r="AO579" s="536" t="s">
        <v>2288</v>
      </c>
      <c r="AP579" s="475">
        <v>4</v>
      </c>
    </row>
    <row r="580" spans="1:53" s="475" customFormat="1" ht="12.75" customHeight="1">
      <c r="B580" s="461"/>
      <c r="C580" s="851"/>
      <c r="D580" s="588" t="s">
        <v>48</v>
      </c>
      <c r="E580" s="763" t="s">
        <v>2289</v>
      </c>
      <c r="F580" s="852"/>
      <c r="G580" s="852"/>
      <c r="H580" s="852"/>
      <c r="I580" s="852"/>
      <c r="J580" s="852"/>
      <c r="K580" s="852"/>
      <c r="L580" s="852"/>
      <c r="M580" s="852"/>
      <c r="N580" s="852"/>
      <c r="O580" s="852"/>
      <c r="P580" s="852"/>
      <c r="Q580" s="852"/>
      <c r="R580" s="852"/>
      <c r="S580" s="852"/>
      <c r="T580" s="852"/>
      <c r="U580" s="852"/>
      <c r="V580" s="852"/>
      <c r="W580" s="852"/>
      <c r="X580" s="852"/>
      <c r="Y580" s="852"/>
      <c r="Z580" s="852"/>
      <c r="AA580" s="852"/>
      <c r="AB580" s="852"/>
      <c r="AC580" s="461"/>
      <c r="AD580" s="461"/>
      <c r="AE580" s="461"/>
      <c r="AF580" s="1733" t="s">
        <v>2290</v>
      </c>
      <c r="AG580" s="1733"/>
      <c r="AH580" s="1733"/>
      <c r="AI580" s="1733"/>
      <c r="AJ580" s="1733"/>
      <c r="AK580" s="1733"/>
      <c r="AL580" s="1733"/>
      <c r="AN580" s="522"/>
      <c r="AO580" s="536" t="s">
        <v>2291</v>
      </c>
      <c r="AP580" s="475">
        <v>3</v>
      </c>
    </row>
    <row r="581" spans="1:53" s="475" customFormat="1" ht="12.75" customHeight="1">
      <c r="B581" s="461"/>
      <c r="C581" s="853"/>
      <c r="D581" s="588"/>
      <c r="E581" s="763" t="s">
        <v>2284</v>
      </c>
      <c r="F581" s="852"/>
      <c r="G581" s="852"/>
      <c r="H581" s="852"/>
      <c r="I581" s="852"/>
      <c r="J581" s="852"/>
      <c r="K581" s="852"/>
      <c r="L581" s="852"/>
      <c r="M581" s="852"/>
      <c r="N581" s="852"/>
      <c r="O581" s="852"/>
      <c r="P581" s="852"/>
      <c r="Q581" s="852"/>
      <c r="R581" s="852"/>
      <c r="S581" s="852"/>
      <c r="T581" s="852"/>
      <c r="U581" s="852"/>
      <c r="V581" s="852"/>
      <c r="W581" s="852"/>
      <c r="X581" s="852"/>
      <c r="Y581" s="852"/>
      <c r="Z581" s="852"/>
      <c r="AA581" s="852"/>
      <c r="AB581" s="852"/>
      <c r="AC581" s="461"/>
      <c r="AD581" s="461"/>
      <c r="AE581" s="461"/>
      <c r="AF581" s="461"/>
      <c r="AG581" s="461"/>
      <c r="AH581" s="461"/>
      <c r="AI581" s="461"/>
      <c r="AJ581" s="461"/>
      <c r="AK581" s="461"/>
      <c r="AL581" s="461"/>
      <c r="AN581" s="522"/>
    </row>
    <row r="582" spans="1:53" s="475" customFormat="1" ht="12.75" customHeight="1">
      <c r="B582" s="461"/>
      <c r="C582" s="853"/>
      <c r="D582" s="588"/>
      <c r="E582" s="763" t="s">
        <v>2285</v>
      </c>
      <c r="F582" s="852"/>
      <c r="G582" s="852"/>
      <c r="H582" s="852"/>
      <c r="I582" s="852"/>
      <c r="J582" s="852"/>
      <c r="K582" s="852"/>
      <c r="L582" s="852"/>
      <c r="M582" s="852"/>
      <c r="N582" s="852"/>
      <c r="O582" s="852"/>
      <c r="P582" s="852"/>
      <c r="Q582" s="852"/>
      <c r="R582" s="852"/>
      <c r="S582" s="852"/>
      <c r="T582" s="852"/>
      <c r="U582" s="852"/>
      <c r="V582" s="852"/>
      <c r="W582" s="852"/>
      <c r="X582" s="852"/>
      <c r="Y582" s="852"/>
      <c r="Z582" s="852"/>
      <c r="AA582" s="852"/>
      <c r="AB582" s="852"/>
      <c r="AC582" s="461"/>
      <c r="AD582" s="461"/>
      <c r="AE582" s="461"/>
      <c r="AF582" s="461"/>
      <c r="AG582" s="461"/>
      <c r="AH582" s="461"/>
      <c r="AI582" s="461"/>
      <c r="AJ582" s="461"/>
      <c r="AK582" s="461"/>
      <c r="AL582" s="461"/>
      <c r="AN582" s="522"/>
      <c r="AO582" s="20" t="s">
        <v>2292</v>
      </c>
    </row>
    <row r="583" spans="1:53" s="475" customFormat="1" ht="12.75" customHeight="1">
      <c r="B583" s="461"/>
      <c r="C583" s="853"/>
      <c r="D583" s="588"/>
      <c r="E583" s="763" t="s">
        <v>2286</v>
      </c>
      <c r="F583" s="852"/>
      <c r="G583" s="852"/>
      <c r="H583" s="852"/>
      <c r="I583" s="852"/>
      <c r="J583" s="852"/>
      <c r="K583" s="852"/>
      <c r="L583" s="852"/>
      <c r="M583" s="852"/>
      <c r="N583" s="852"/>
      <c r="O583" s="852"/>
      <c r="P583" s="852"/>
      <c r="Q583" s="852"/>
      <c r="R583" s="852"/>
      <c r="S583" s="852"/>
      <c r="T583" s="852"/>
      <c r="U583" s="852"/>
      <c r="V583" s="852"/>
      <c r="W583" s="852"/>
      <c r="X583" s="852"/>
      <c r="Y583" s="852"/>
      <c r="Z583" s="852"/>
      <c r="AA583" s="852"/>
      <c r="AB583" s="852"/>
      <c r="AC583" s="461"/>
      <c r="AD583" s="461"/>
      <c r="AE583" s="461"/>
      <c r="AF583" s="461"/>
      <c r="AG583" s="461"/>
      <c r="AH583" s="461"/>
      <c r="AI583" s="461"/>
      <c r="AJ583" s="461"/>
      <c r="AK583" s="461"/>
      <c r="AL583" s="461"/>
      <c r="AN583" s="522"/>
      <c r="AO583" s="20" t="s">
        <v>2293</v>
      </c>
    </row>
    <row r="584" spans="1:53" s="475" customFormat="1" ht="12.75" customHeight="1">
      <c r="B584" s="461"/>
      <c r="C584" s="853"/>
      <c r="D584" s="588"/>
      <c r="E584" s="763" t="s">
        <v>2287</v>
      </c>
      <c r="F584" s="852"/>
      <c r="G584" s="852"/>
      <c r="H584" s="852"/>
      <c r="I584" s="852"/>
      <c r="J584" s="852"/>
      <c r="K584" s="852"/>
      <c r="L584" s="852"/>
      <c r="M584" s="852"/>
      <c r="N584" s="852"/>
      <c r="O584" s="852"/>
      <c r="P584" s="852"/>
      <c r="Q584" s="852"/>
      <c r="R584" s="852"/>
      <c r="S584" s="852"/>
      <c r="T584" s="852"/>
      <c r="U584" s="852"/>
      <c r="V584" s="852"/>
      <c r="W584" s="852"/>
      <c r="X584" s="852"/>
      <c r="Y584" s="852"/>
      <c r="Z584" s="852"/>
      <c r="AA584" s="852"/>
      <c r="AB584" s="852"/>
      <c r="AC584" s="461"/>
      <c r="AD584" s="461"/>
      <c r="AE584" s="461"/>
      <c r="AF584" s="461"/>
      <c r="AG584" s="461"/>
      <c r="AH584" s="461"/>
      <c r="AI584" s="461"/>
      <c r="AJ584" s="461"/>
      <c r="AK584" s="461"/>
      <c r="AL584" s="461"/>
      <c r="AN584" s="522"/>
      <c r="AO584" s="20" t="s">
        <v>2294</v>
      </c>
    </row>
    <row r="585" spans="1:53" s="475" customFormat="1" ht="12.75" customHeight="1">
      <c r="A585" s="14"/>
      <c r="B585" s="14"/>
      <c r="C585" s="14"/>
      <c r="D585" s="588"/>
      <c r="E585" s="599"/>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461"/>
      <c r="AD585" s="461"/>
      <c r="AE585" s="14"/>
      <c r="AF585" s="461"/>
      <c r="AG585" s="461"/>
      <c r="AH585" s="461"/>
      <c r="AI585" s="461"/>
      <c r="AJ585" s="461"/>
      <c r="AK585" s="461"/>
      <c r="AL585" s="461"/>
      <c r="AM585" s="14"/>
      <c r="AN585" s="522"/>
    </row>
    <row r="586" spans="1:53" s="475" customFormat="1" ht="12.75" customHeight="1">
      <c r="B586" s="461"/>
      <c r="C586" s="851"/>
      <c r="D586" s="588" t="s">
        <v>2288</v>
      </c>
      <c r="E586" s="763" t="s">
        <v>2295</v>
      </c>
      <c r="F586" s="852"/>
      <c r="G586" s="852"/>
      <c r="H586" s="852"/>
      <c r="I586" s="852"/>
      <c r="J586" s="852"/>
      <c r="K586" s="852"/>
      <c r="L586" s="852"/>
      <c r="M586" s="852"/>
      <c r="N586" s="852"/>
      <c r="O586" s="852"/>
      <c r="P586" s="852"/>
      <c r="Q586" s="852"/>
      <c r="R586" s="852"/>
      <c r="S586" s="852"/>
      <c r="T586" s="852"/>
      <c r="U586" s="852"/>
      <c r="V586" s="852"/>
      <c r="W586" s="852"/>
      <c r="X586" s="852"/>
      <c r="Y586" s="852"/>
      <c r="Z586" s="852"/>
      <c r="AA586" s="852"/>
      <c r="AB586" s="852"/>
      <c r="AC586" s="461"/>
      <c r="AD586" s="461"/>
      <c r="AE586" s="461"/>
      <c r="AF586" s="1733" t="s">
        <v>2296</v>
      </c>
      <c r="AG586" s="1733"/>
      <c r="AH586" s="1733"/>
      <c r="AI586" s="1733"/>
      <c r="AJ586" s="1733"/>
      <c r="AK586" s="1733"/>
      <c r="AL586" s="1733"/>
      <c r="AN586" s="522"/>
      <c r="AO586" s="475" t="str">
        <f>X623</f>
        <v>N/A</v>
      </c>
    </row>
    <row r="587" spans="1:53" s="475" customFormat="1" ht="12.75" customHeight="1">
      <c r="B587" s="461"/>
      <c r="C587" s="853"/>
      <c r="D587" s="588"/>
      <c r="E587" s="763" t="s">
        <v>2297</v>
      </c>
      <c r="F587" s="852"/>
      <c r="G587" s="852"/>
      <c r="H587" s="852"/>
      <c r="I587" s="852"/>
      <c r="J587" s="852"/>
      <c r="K587" s="852"/>
      <c r="L587" s="852"/>
      <c r="M587" s="852"/>
      <c r="N587" s="852"/>
      <c r="O587" s="852"/>
      <c r="P587" s="852"/>
      <c r="Q587" s="852"/>
      <c r="R587" s="852"/>
      <c r="S587" s="852"/>
      <c r="T587" s="852"/>
      <c r="U587" s="852"/>
      <c r="V587" s="852"/>
      <c r="W587" s="852"/>
      <c r="X587" s="852"/>
      <c r="Y587" s="852"/>
      <c r="Z587" s="852"/>
      <c r="AA587" s="852"/>
      <c r="AB587" s="852"/>
      <c r="AC587" s="14"/>
      <c r="AD587" s="14"/>
      <c r="AE587" s="461"/>
      <c r="AF587" s="461"/>
      <c r="AG587" s="461"/>
      <c r="AH587" s="461"/>
      <c r="AI587" s="461"/>
      <c r="AJ587" s="461"/>
      <c r="AK587" s="461"/>
      <c r="AL587" s="461"/>
      <c r="AN587" s="522"/>
      <c r="AU587" s="519"/>
      <c r="AV587" s="519"/>
      <c r="AW587" s="519"/>
      <c r="AX587" s="519"/>
      <c r="AY587" s="519"/>
      <c r="AZ587" s="519"/>
      <c r="BA587" s="519"/>
    </row>
    <row r="588" spans="1:53" s="475" customFormat="1" ht="12.75" customHeight="1">
      <c r="B588" s="535"/>
      <c r="C588" s="851"/>
      <c r="D588" s="588"/>
      <c r="E588" s="763" t="s">
        <v>2298</v>
      </c>
      <c r="F588" s="852"/>
      <c r="G588" s="852"/>
      <c r="H588" s="852"/>
      <c r="I588" s="852"/>
      <c r="J588" s="852"/>
      <c r="K588" s="852"/>
      <c r="L588" s="852"/>
      <c r="M588" s="852"/>
      <c r="N588" s="852"/>
      <c r="O588" s="852"/>
      <c r="P588" s="852"/>
      <c r="Q588" s="852"/>
      <c r="R588" s="852"/>
      <c r="S588" s="852"/>
      <c r="T588" s="852"/>
      <c r="U588" s="852"/>
      <c r="V588" s="852"/>
      <c r="W588" s="852"/>
      <c r="X588" s="852"/>
      <c r="Y588" s="852"/>
      <c r="Z588" s="852"/>
      <c r="AA588" s="852"/>
      <c r="AB588" s="852"/>
      <c r="AC588" s="461"/>
      <c r="AD588" s="461"/>
      <c r="AE588" s="461"/>
      <c r="AF588" s="461"/>
      <c r="AG588" s="461"/>
      <c r="AH588" s="461"/>
      <c r="AI588" s="461"/>
      <c r="AJ588" s="461"/>
      <c r="AK588" s="461"/>
      <c r="AL588" s="461"/>
      <c r="AN588" s="522"/>
      <c r="AO588" s="20" t="s">
        <v>2299</v>
      </c>
    </row>
    <row r="589" spans="1:53" s="475" customFormat="1" ht="12.75" customHeight="1">
      <c r="B589" s="535"/>
      <c r="C589" s="851"/>
      <c r="D589" s="588"/>
      <c r="E589" s="763"/>
      <c r="F589" s="852"/>
      <c r="G589" s="852"/>
      <c r="H589" s="852"/>
      <c r="I589" s="852"/>
      <c r="J589" s="852"/>
      <c r="K589" s="852"/>
      <c r="L589" s="852"/>
      <c r="M589" s="852"/>
      <c r="N589" s="852"/>
      <c r="O589" s="852"/>
      <c r="P589" s="852"/>
      <c r="Q589" s="852"/>
      <c r="R589" s="852"/>
      <c r="S589" s="852"/>
      <c r="T589" s="852"/>
      <c r="U589" s="852"/>
      <c r="V589" s="852"/>
      <c r="W589" s="852"/>
      <c r="X589" s="852"/>
      <c r="Y589" s="852"/>
      <c r="Z589" s="852"/>
      <c r="AA589" s="852"/>
      <c r="AB589" s="852"/>
      <c r="AC589" s="461"/>
      <c r="AD589" s="461"/>
      <c r="AE589" s="461"/>
      <c r="AF589" s="461"/>
      <c r="AG589" s="461"/>
      <c r="AH589" s="461"/>
      <c r="AI589" s="461"/>
      <c r="AJ589" s="461"/>
      <c r="AK589" s="461"/>
      <c r="AL589" s="461"/>
      <c r="AN589" s="522"/>
      <c r="AO589" s="20" t="s">
        <v>2300</v>
      </c>
    </row>
    <row r="590" spans="1:53" s="475" customFormat="1" ht="12.75" customHeight="1">
      <c r="B590" s="535"/>
      <c r="C590" s="851"/>
      <c r="D590" s="588"/>
      <c r="E590" s="461" t="s">
        <v>2301</v>
      </c>
      <c r="O590" s="1772" t="s">
        <v>1076</v>
      </c>
      <c r="P590" s="1772"/>
      <c r="Q590" s="1772"/>
      <c r="R590" s="1772"/>
      <c r="S590" s="1772"/>
      <c r="T590" s="1772"/>
      <c r="U590" s="1772"/>
      <c r="V590" s="1772"/>
      <c r="W590" s="1772"/>
      <c r="X590" s="1772"/>
      <c r="Y590" s="1772"/>
      <c r="Z590" s="1772"/>
      <c r="AA590" s="1772"/>
      <c r="AB590" s="1772"/>
      <c r="AH590" s="461"/>
      <c r="AI590" s="461"/>
      <c r="AJ590" s="461"/>
      <c r="AK590" s="461"/>
      <c r="AL590" s="461"/>
      <c r="AN590" s="522"/>
    </row>
    <row r="591" spans="1:53" s="475" customFormat="1" ht="12.75" customHeight="1">
      <c r="B591" s="535"/>
      <c r="C591" s="851"/>
      <c r="D591" s="588"/>
      <c r="E591" s="763"/>
      <c r="F591" s="852"/>
      <c r="G591" s="852"/>
      <c r="H591" s="852"/>
      <c r="I591" s="852"/>
      <c r="J591" s="852"/>
      <c r="K591" s="852"/>
      <c r="L591" s="852"/>
      <c r="M591" s="852"/>
      <c r="N591" s="852"/>
      <c r="O591" s="852"/>
      <c r="P591" s="852"/>
      <c r="Q591" s="852"/>
      <c r="R591" s="852"/>
      <c r="S591" s="852"/>
      <c r="T591" s="852"/>
      <c r="U591" s="852"/>
      <c r="V591" s="852"/>
      <c r="W591" s="852"/>
      <c r="X591" s="852"/>
      <c r="Y591" s="852"/>
      <c r="Z591" s="852"/>
      <c r="AA591" s="852"/>
      <c r="AB591" s="852"/>
      <c r="AC591" s="461"/>
      <c r="AD591" s="461"/>
      <c r="AE591" s="461"/>
      <c r="AF591" s="461"/>
      <c r="AG591" s="461"/>
      <c r="AH591" s="461"/>
      <c r="AI591" s="461"/>
      <c r="AJ591" s="461"/>
      <c r="AK591" s="461"/>
      <c r="AL591" s="461"/>
      <c r="AN591" s="522"/>
    </row>
    <row r="592" spans="1:53" s="475" customFormat="1" ht="12.75" customHeight="1">
      <c r="B592" s="461"/>
      <c r="C592" s="851"/>
      <c r="D592" s="588" t="s">
        <v>2291</v>
      </c>
      <c r="E592" s="763" t="s">
        <v>2302</v>
      </c>
      <c r="F592" s="852"/>
      <c r="G592" s="852"/>
      <c r="H592" s="852"/>
      <c r="I592" s="852"/>
      <c r="J592" s="852"/>
      <c r="K592" s="852"/>
      <c r="L592" s="852"/>
      <c r="M592" s="852"/>
      <c r="N592" s="852"/>
      <c r="O592" s="852"/>
      <c r="P592" s="852"/>
      <c r="Q592" s="852"/>
      <c r="R592" s="852"/>
      <c r="S592" s="852"/>
      <c r="T592" s="852"/>
      <c r="U592" s="852"/>
      <c r="V592" s="852"/>
      <c r="W592" s="852"/>
      <c r="X592" s="852"/>
      <c r="Y592" s="852"/>
      <c r="Z592" s="852"/>
      <c r="AA592" s="852"/>
      <c r="AB592" s="852"/>
      <c r="AC592" s="461"/>
      <c r="AD592" s="461"/>
      <c r="AE592" s="461"/>
      <c r="AF592" s="1733" t="s">
        <v>2029</v>
      </c>
      <c r="AG592" s="1733"/>
      <c r="AH592" s="1733"/>
      <c r="AI592" s="1733"/>
      <c r="AJ592" s="1733"/>
      <c r="AK592" s="1733"/>
      <c r="AL592" s="1733"/>
      <c r="AN592" s="522"/>
    </row>
    <row r="593" spans="2:47" s="475" customFormat="1" ht="12.75" customHeight="1">
      <c r="B593" s="461"/>
      <c r="C593" s="851"/>
      <c r="D593" s="588"/>
      <c r="E593" s="763" t="s">
        <v>2303</v>
      </c>
      <c r="F593" s="852"/>
      <c r="G593" s="852"/>
      <c r="H593" s="852"/>
      <c r="I593" s="852"/>
      <c r="J593" s="852"/>
      <c r="K593" s="852"/>
      <c r="L593" s="852"/>
      <c r="M593" s="852"/>
      <c r="N593" s="852"/>
      <c r="O593" s="852"/>
      <c r="P593" s="852"/>
      <c r="Q593" s="852"/>
      <c r="R593" s="852"/>
      <c r="S593" s="852"/>
      <c r="T593" s="852"/>
      <c r="U593" s="852"/>
      <c r="V593" s="852"/>
      <c r="W593" s="852"/>
      <c r="X593" s="852"/>
      <c r="Y593" s="852"/>
      <c r="Z593" s="852"/>
      <c r="AA593" s="852"/>
      <c r="AB593" s="852"/>
      <c r="AC593" s="461"/>
      <c r="AD593" s="461"/>
      <c r="AE593" s="519"/>
      <c r="AF593" s="461"/>
      <c r="AG593" s="461"/>
      <c r="AH593" s="461"/>
      <c r="AI593" s="461"/>
      <c r="AJ593" s="461"/>
      <c r="AK593" s="461"/>
      <c r="AL593" s="461"/>
      <c r="AN593" s="522"/>
    </row>
    <row r="594" spans="2:47" s="475" customFormat="1" ht="12.75" customHeight="1">
      <c r="B594" s="461"/>
      <c r="C594" s="853"/>
      <c r="D594" s="461"/>
      <c r="E594" s="541"/>
      <c r="F594" s="856"/>
      <c r="G594" s="856"/>
      <c r="H594" s="856"/>
      <c r="I594" s="856"/>
      <c r="J594" s="856"/>
      <c r="K594" s="856"/>
      <c r="L594" s="856"/>
      <c r="M594" s="856"/>
      <c r="N594" s="856"/>
      <c r="O594" s="856"/>
      <c r="P594" s="856"/>
      <c r="Q594" s="856"/>
      <c r="R594" s="856"/>
      <c r="S594" s="856"/>
      <c r="T594" s="856"/>
      <c r="U594" s="856"/>
      <c r="V594" s="856"/>
      <c r="W594" s="856"/>
      <c r="X594" s="856"/>
      <c r="Y594" s="856"/>
      <c r="Z594" s="856"/>
      <c r="AA594" s="856"/>
      <c r="AB594" s="856"/>
      <c r="AC594" s="461"/>
      <c r="AD594" s="461"/>
      <c r="AE594" s="461"/>
      <c r="AF594" s="461"/>
      <c r="AG594" s="461"/>
      <c r="AH594" s="461"/>
      <c r="AI594" s="461"/>
      <c r="AJ594" s="461"/>
      <c r="AK594" s="461"/>
      <c r="AL594" s="461"/>
      <c r="AN594" s="522"/>
      <c r="AO594" s="475" t="s">
        <v>299</v>
      </c>
      <c r="AP594" s="598">
        <v>0</v>
      </c>
      <c r="AT594" s="475" t="s">
        <v>299</v>
      </c>
      <c r="AU594" s="598">
        <v>0</v>
      </c>
    </row>
    <row r="595" spans="2:47" s="475" customFormat="1" ht="12.75" customHeight="1">
      <c r="B595" s="461"/>
      <c r="C595" s="853"/>
      <c r="D595" s="461" t="s">
        <v>2304</v>
      </c>
      <c r="E595" s="856"/>
      <c r="F595" s="856"/>
      <c r="G595" s="856"/>
      <c r="H595" s="1677" t="s">
        <v>21</v>
      </c>
      <c r="I595" s="1677"/>
      <c r="J595" s="856"/>
      <c r="K595" s="856"/>
      <c r="L595" s="856"/>
      <c r="N595" s="20"/>
      <c r="O595" s="20"/>
      <c r="P595" s="20"/>
      <c r="Q595" s="1075" t="s">
        <v>2305</v>
      </c>
      <c r="R595" s="1773"/>
      <c r="S595" s="1773"/>
      <c r="T595" s="1773"/>
      <c r="U595" s="1773"/>
      <c r="V595" s="1773"/>
      <c r="W595" s="1773"/>
      <c r="X595" s="461"/>
      <c r="Y595" s="461"/>
      <c r="Z595" s="461"/>
      <c r="AA595" s="461"/>
      <c r="AB595" s="461"/>
      <c r="AC595" s="461"/>
      <c r="AD595" s="461"/>
      <c r="AE595" s="461"/>
      <c r="AF595" s="461"/>
      <c r="AG595" s="461"/>
      <c r="AH595" s="461"/>
      <c r="AI595" s="461"/>
      <c r="AJ595" s="461"/>
      <c r="AK595" s="461"/>
      <c r="AL595" s="461"/>
      <c r="AN595" s="522"/>
      <c r="AO595" s="536" t="s">
        <v>21</v>
      </c>
      <c r="AP595" s="475">
        <v>3</v>
      </c>
      <c r="AT595" s="536" t="s">
        <v>21</v>
      </c>
      <c r="AU595" s="475">
        <v>3</v>
      </c>
    </row>
    <row r="596" spans="2:47" s="475" customFormat="1" ht="12.75" customHeight="1">
      <c r="B596" s="461"/>
      <c r="C596" s="853"/>
      <c r="D596" s="461"/>
      <c r="E596" s="856"/>
      <c r="F596" s="856"/>
      <c r="G596" s="856"/>
      <c r="H596" s="856"/>
      <c r="I596" s="856"/>
      <c r="J596" s="856"/>
      <c r="K596" s="856"/>
      <c r="L596" s="856"/>
      <c r="M596" s="856"/>
      <c r="N596" s="461"/>
      <c r="O596" s="461"/>
      <c r="P596" s="461"/>
      <c r="Q596" s="461"/>
      <c r="R596" s="461"/>
      <c r="S596" s="461"/>
      <c r="T596" s="461"/>
      <c r="U596" s="461"/>
      <c r="V596" s="461"/>
      <c r="W596" s="461"/>
      <c r="X596" s="461"/>
      <c r="Y596" s="1774" t="str">
        <f>IF(AND(H595="(i)",NOT(AP571)),AO588,IF(AND(H595="(iv)",OR(R595=AO584,R595=AO583),NOT(AP572)),AO589,""))</f>
        <v/>
      </c>
      <c r="Z596" s="1774"/>
      <c r="AA596" s="1774"/>
      <c r="AB596" s="1774"/>
      <c r="AC596" s="1774"/>
      <c r="AD596" s="1774"/>
      <c r="AE596" s="1774"/>
      <c r="AF596" s="1774"/>
      <c r="AG596" s="1774"/>
      <c r="AH596" s="1774"/>
      <c r="AI596" s="1774"/>
      <c r="AJ596" s="1774"/>
      <c r="AK596" s="1774"/>
      <c r="AL596" s="1774"/>
      <c r="AM596" s="1775"/>
      <c r="AN596" s="522"/>
      <c r="AO596" s="536" t="s">
        <v>26</v>
      </c>
      <c r="AP596" s="475">
        <v>2</v>
      </c>
      <c r="AT596" s="536" t="s">
        <v>26</v>
      </c>
      <c r="AU596" s="475">
        <v>2</v>
      </c>
    </row>
    <row r="597" spans="2:47" s="475" customFormat="1" ht="12.75" customHeight="1">
      <c r="B597" s="461"/>
      <c r="C597" s="853"/>
      <c r="D597" s="461"/>
      <c r="E597" s="856"/>
      <c r="F597" s="856"/>
      <c r="G597" s="856"/>
      <c r="H597" s="856"/>
      <c r="I597" s="856"/>
      <c r="J597" s="856"/>
      <c r="K597" s="856"/>
      <c r="L597" s="856"/>
      <c r="M597" s="856"/>
      <c r="N597" s="461"/>
      <c r="O597" s="461"/>
      <c r="P597" s="461"/>
      <c r="Q597" s="461"/>
      <c r="X597" s="461"/>
      <c r="Y597" s="1774"/>
      <c r="Z597" s="1774"/>
      <c r="AA597" s="1774"/>
      <c r="AB597" s="1774"/>
      <c r="AC597" s="1774"/>
      <c r="AD597" s="1774"/>
      <c r="AE597" s="1774"/>
      <c r="AF597" s="1774"/>
      <c r="AG597" s="1774"/>
      <c r="AH597" s="1774"/>
      <c r="AI597" s="1774"/>
      <c r="AJ597" s="1774"/>
      <c r="AK597" s="1774"/>
      <c r="AL597" s="1774"/>
      <c r="AM597" s="1775"/>
      <c r="AN597" s="522"/>
      <c r="AO597" s="536"/>
      <c r="AT597" s="536"/>
    </row>
    <row r="598" spans="2:47" s="475" customFormat="1" ht="12.75" customHeight="1">
      <c r="B598" s="461"/>
      <c r="C598" s="853"/>
      <c r="D598" s="461" t="s">
        <v>2306</v>
      </c>
      <c r="E598" s="856"/>
      <c r="F598" s="856"/>
      <c r="G598" s="856"/>
      <c r="H598" s="856"/>
      <c r="I598" s="856"/>
      <c r="J598" s="856"/>
      <c r="K598" s="856"/>
      <c r="L598" s="856"/>
      <c r="M598" s="856"/>
      <c r="N598" s="461"/>
      <c r="O598" s="461"/>
      <c r="P598" s="461"/>
      <c r="Q598" s="461"/>
      <c r="R598" s="461"/>
      <c r="S598" s="461"/>
      <c r="T598" s="461"/>
      <c r="U598" s="461"/>
      <c r="V598" s="461"/>
      <c r="W598" s="461"/>
      <c r="X598" s="461"/>
      <c r="Y598" s="461"/>
      <c r="Z598" s="461"/>
      <c r="AA598" s="461"/>
      <c r="AB598" s="461"/>
      <c r="AC598" s="461"/>
      <c r="AD598" s="461"/>
      <c r="AE598" s="461"/>
      <c r="AF598" s="461"/>
      <c r="AG598" s="461"/>
      <c r="AH598" s="461"/>
      <c r="AI598" s="461"/>
      <c r="AJ598" s="461"/>
      <c r="AK598" s="461"/>
      <c r="AL598" s="461"/>
      <c r="AN598" s="522"/>
    </row>
    <row r="599" spans="2:47" s="475" customFormat="1" ht="12.75" customHeight="1">
      <c r="B599" s="461"/>
      <c r="C599" s="853"/>
      <c r="D599" s="461" t="s">
        <v>2307</v>
      </c>
      <c r="E599" s="856"/>
      <c r="F599" s="856"/>
      <c r="G599" s="856"/>
      <c r="H599" s="856"/>
      <c r="I599" s="856"/>
      <c r="J599" s="856"/>
      <c r="K599" s="856"/>
      <c r="L599" s="856"/>
      <c r="M599" s="856"/>
      <c r="N599" s="461"/>
      <c r="O599" s="461"/>
      <c r="P599" s="461"/>
      <c r="Q599" s="461"/>
      <c r="R599" s="461"/>
      <c r="S599" s="461"/>
      <c r="T599" s="461"/>
      <c r="U599" s="461"/>
      <c r="V599" s="461"/>
      <c r="W599" s="461"/>
      <c r="X599" s="461"/>
      <c r="Y599" s="461"/>
      <c r="Z599" s="461"/>
      <c r="AA599" s="461"/>
      <c r="AB599" s="461"/>
      <c r="AC599" s="461"/>
      <c r="AD599" s="461"/>
      <c r="AE599" s="461"/>
      <c r="AF599" s="461"/>
      <c r="AG599" s="461"/>
      <c r="AH599" s="461"/>
      <c r="AI599" s="461"/>
      <c r="AJ599" s="461"/>
      <c r="AK599" s="461"/>
      <c r="AL599" s="461"/>
      <c r="AN599" s="522"/>
    </row>
    <row r="600" spans="2:47" s="475" customFormat="1" ht="12.75" customHeight="1">
      <c r="B600" s="461"/>
      <c r="C600" s="853"/>
      <c r="D600" s="461" t="s">
        <v>2308</v>
      </c>
      <c r="E600" s="856"/>
      <c r="F600" s="856"/>
      <c r="G600" s="856"/>
      <c r="H600" s="856"/>
      <c r="I600" s="856"/>
      <c r="J600" s="856"/>
      <c r="K600" s="856"/>
      <c r="L600" s="856"/>
      <c r="M600" s="856"/>
      <c r="N600" s="461"/>
      <c r="O600" s="461"/>
      <c r="P600" s="461"/>
      <c r="Q600" s="461"/>
      <c r="R600" s="461"/>
      <c r="S600" s="461"/>
      <c r="T600" s="461"/>
      <c r="U600" s="461"/>
      <c r="V600" s="461"/>
      <c r="W600" s="461"/>
      <c r="X600" s="461"/>
      <c r="Y600" s="461"/>
      <c r="Z600" s="461"/>
      <c r="AA600" s="461"/>
      <c r="AB600" s="461"/>
      <c r="AC600" s="461"/>
      <c r="AD600" s="461"/>
      <c r="AE600" s="461"/>
      <c r="AF600" s="461"/>
      <c r="AG600" s="461"/>
      <c r="AH600" s="461"/>
      <c r="AI600" s="461"/>
      <c r="AJ600" s="461"/>
      <c r="AK600" s="461"/>
      <c r="AL600" s="461"/>
      <c r="AN600" s="522"/>
    </row>
    <row r="601" spans="2:47" s="475" customFormat="1" ht="12.75" customHeight="1">
      <c r="B601" s="461"/>
      <c r="C601" s="853"/>
      <c r="D601" s="530" t="s">
        <v>2309</v>
      </c>
      <c r="E601" s="856"/>
      <c r="F601" s="856"/>
      <c r="G601" s="856"/>
      <c r="H601" s="856"/>
      <c r="I601" s="856"/>
      <c r="J601" s="856"/>
      <c r="K601" s="856"/>
      <c r="L601" s="856"/>
      <c r="M601" s="856"/>
      <c r="N601" s="461"/>
      <c r="O601" s="461"/>
      <c r="P601" s="461"/>
      <c r="Q601" s="461"/>
      <c r="R601" s="461"/>
      <c r="S601" s="461"/>
      <c r="T601" s="461"/>
      <c r="U601" s="461"/>
      <c r="V601" s="461"/>
      <c r="W601" s="461"/>
      <c r="X601" s="461"/>
      <c r="Y601" s="461"/>
      <c r="Z601" s="461"/>
      <c r="AA601" s="461"/>
      <c r="AB601" s="461"/>
      <c r="AC601" s="461"/>
      <c r="AD601" s="461"/>
      <c r="AE601" s="461"/>
      <c r="AF601" s="461"/>
      <c r="AG601" s="461"/>
      <c r="AH601" s="461"/>
      <c r="AI601" s="461"/>
      <c r="AJ601" s="461"/>
      <c r="AK601" s="461"/>
      <c r="AL601" s="461"/>
      <c r="AN601" s="522"/>
    </row>
    <row r="602" spans="2:47" s="475" customFormat="1" ht="12.75" customHeight="1">
      <c r="B602" s="461"/>
      <c r="C602" s="853"/>
      <c r="D602" s="461"/>
      <c r="E602" s="461"/>
      <c r="F602" s="461"/>
      <c r="G602" s="461"/>
      <c r="H602" s="461"/>
      <c r="I602" s="461"/>
      <c r="J602" s="461"/>
      <c r="K602" s="461"/>
      <c r="L602" s="461"/>
      <c r="M602" s="461"/>
      <c r="N602" s="461"/>
      <c r="O602" s="461"/>
      <c r="P602" s="461"/>
      <c r="Q602" s="461"/>
      <c r="R602" s="461"/>
      <c r="S602" s="461"/>
      <c r="T602" s="461"/>
      <c r="U602" s="461"/>
      <c r="V602" s="461"/>
      <c r="W602" s="461"/>
      <c r="X602" s="461"/>
      <c r="Y602" s="461"/>
      <c r="Z602" s="461"/>
      <c r="AA602" s="461"/>
      <c r="AB602" s="461"/>
      <c r="AC602" s="461"/>
      <c r="AD602" s="461"/>
      <c r="AE602" s="461"/>
      <c r="AF602" s="461"/>
      <c r="AG602" s="461"/>
      <c r="AH602" s="461"/>
      <c r="AI602" s="461"/>
      <c r="AJ602" s="461"/>
      <c r="AK602" s="461"/>
      <c r="AL602" s="461"/>
      <c r="AN602" s="522"/>
      <c r="AO602" s="475" t="s">
        <v>299</v>
      </c>
      <c r="AP602" s="598">
        <v>0</v>
      </c>
    </row>
    <row r="603" spans="2:47" s="475" customFormat="1" ht="12.75" customHeight="1">
      <c r="B603" s="461"/>
      <c r="C603" s="853"/>
      <c r="D603" s="461"/>
      <c r="E603" s="461" t="s">
        <v>2304</v>
      </c>
      <c r="F603" s="856"/>
      <c r="G603" s="856"/>
      <c r="I603" s="1771" t="s">
        <v>299</v>
      </c>
      <c r="J603" s="1771"/>
      <c r="K603" s="1771"/>
      <c r="L603" s="1771"/>
      <c r="M603" s="1771"/>
      <c r="N603" s="1771"/>
      <c r="O603" s="1771"/>
      <c r="P603" s="1771"/>
      <c r="Q603" s="1771"/>
      <c r="R603" s="1771"/>
      <c r="S603" s="1771"/>
      <c r="T603" s="1771"/>
      <c r="U603" s="1771"/>
      <c r="V603" s="1771"/>
      <c r="W603" s="1771"/>
      <c r="X603" s="1771"/>
      <c r="Y603" s="1771"/>
      <c r="Z603" s="1771"/>
      <c r="AA603" s="1771"/>
      <c r="AB603" s="1771"/>
      <c r="AC603" s="1771"/>
      <c r="AD603" s="1771"/>
      <c r="AE603" s="1771"/>
      <c r="AF603" s="461"/>
      <c r="AG603" s="461"/>
      <c r="AH603" s="461"/>
      <c r="AI603" s="461"/>
      <c r="AJ603" s="461"/>
      <c r="AK603" s="461"/>
      <c r="AL603" s="461"/>
      <c r="AN603" s="522"/>
      <c r="AO603" s="475" t="s">
        <v>2310</v>
      </c>
      <c r="AP603" s="475">
        <v>3</v>
      </c>
    </row>
    <row r="604" spans="2:47" s="475" customFormat="1" ht="12.75" customHeight="1">
      <c r="B604" s="461"/>
      <c r="C604" s="461"/>
      <c r="D604" s="461"/>
      <c r="E604" s="461"/>
      <c r="F604" s="567"/>
      <c r="G604" s="567"/>
      <c r="H604" s="567"/>
      <c r="I604" s="567"/>
      <c r="J604" s="567"/>
      <c r="K604" s="567"/>
      <c r="L604" s="567"/>
      <c r="M604" s="567"/>
      <c r="N604" s="567"/>
      <c r="O604" s="567"/>
      <c r="P604" s="567"/>
      <c r="Q604" s="567"/>
      <c r="R604" s="567"/>
      <c r="S604" s="567"/>
      <c r="T604" s="567"/>
      <c r="U604" s="567"/>
      <c r="V604" s="567"/>
      <c r="W604" s="567"/>
      <c r="X604" s="567"/>
      <c r="Y604" s="567"/>
      <c r="Z604" s="567"/>
      <c r="AA604" s="567"/>
      <c r="AB604" s="567"/>
      <c r="AC604" s="567"/>
      <c r="AD604" s="567"/>
      <c r="AE604" s="567"/>
      <c r="AF604" s="567"/>
      <c r="AG604" s="567"/>
      <c r="AH604" s="567"/>
      <c r="AI604" s="567"/>
      <c r="AJ604" s="567"/>
      <c r="AK604" s="567"/>
      <c r="AL604" s="567"/>
      <c r="AN604" s="522"/>
      <c r="AO604" s="475" t="s">
        <v>2311</v>
      </c>
      <c r="AP604" s="475">
        <v>2</v>
      </c>
    </row>
    <row r="605" spans="2:47" s="475" customFormat="1" ht="12.75" customHeight="1">
      <c r="B605" s="1769" t="s">
        <v>299</v>
      </c>
      <c r="C605" s="1769"/>
      <c r="D605" s="567"/>
      <c r="E605" s="1653" t="s">
        <v>2312</v>
      </c>
      <c r="F605" s="1653"/>
      <c r="G605" s="1653"/>
      <c r="H605" s="1653"/>
      <c r="I605" s="1653"/>
      <c r="J605" s="1653"/>
      <c r="K605" s="1653"/>
      <c r="L605" s="1653"/>
      <c r="M605" s="1653"/>
      <c r="N605" s="1653"/>
      <c r="O605" s="1653"/>
      <c r="P605" s="1653"/>
      <c r="Q605" s="1653"/>
      <c r="R605" s="1653"/>
      <c r="S605" s="1653"/>
      <c r="T605" s="1653"/>
      <c r="U605" s="1653"/>
      <c r="V605" s="1653"/>
      <c r="W605" s="1653"/>
      <c r="X605" s="1653"/>
      <c r="Y605" s="1653"/>
      <c r="Z605" s="1653"/>
      <c r="AA605" s="1653"/>
      <c r="AB605" s="1653"/>
      <c r="AC605" s="1653"/>
      <c r="AD605" s="1653"/>
      <c r="AE605" s="1653"/>
      <c r="AF605" s="1653"/>
      <c r="AG605" s="1653"/>
      <c r="AH605" s="567"/>
      <c r="AI605" s="567"/>
      <c r="AJ605" s="567"/>
      <c r="AK605" s="567"/>
      <c r="AL605" s="567"/>
      <c r="AN605" s="522"/>
    </row>
    <row r="606" spans="2:47" s="475" customFormat="1" ht="12.75" customHeight="1">
      <c r="B606" s="461"/>
      <c r="C606" s="853"/>
      <c r="D606" s="567"/>
      <c r="E606" s="1653"/>
      <c r="F606" s="1653"/>
      <c r="G606" s="1653"/>
      <c r="H606" s="1653"/>
      <c r="I606" s="1653"/>
      <c r="J606" s="1653"/>
      <c r="K606" s="1653"/>
      <c r="L606" s="1653"/>
      <c r="M606" s="1653"/>
      <c r="N606" s="1653"/>
      <c r="O606" s="1653"/>
      <c r="P606" s="1653"/>
      <c r="Q606" s="1653"/>
      <c r="R606" s="1653"/>
      <c r="S606" s="1653"/>
      <c r="T606" s="1653"/>
      <c r="U606" s="1653"/>
      <c r="V606" s="1653"/>
      <c r="W606" s="1653"/>
      <c r="X606" s="1653"/>
      <c r="Y606" s="1653"/>
      <c r="Z606" s="1653"/>
      <c r="AA606" s="1653"/>
      <c r="AB606" s="1653"/>
      <c r="AC606" s="1653"/>
      <c r="AD606" s="1653"/>
      <c r="AE606" s="1653"/>
      <c r="AF606" s="1653"/>
      <c r="AG606" s="1653"/>
      <c r="AH606" s="567"/>
      <c r="AI606" s="567"/>
      <c r="AJ606" s="567"/>
      <c r="AK606" s="567"/>
      <c r="AL606" s="567"/>
      <c r="AN606" s="522"/>
    </row>
    <row r="607" spans="2:47" s="475" customFormat="1" ht="12.75" customHeight="1">
      <c r="B607" s="461"/>
      <c r="C607" s="853"/>
      <c r="D607" s="567"/>
      <c r="E607" s="1653"/>
      <c r="F607" s="1653"/>
      <c r="G607" s="1653"/>
      <c r="H607" s="1653"/>
      <c r="I607" s="1653"/>
      <c r="J607" s="1653"/>
      <c r="K607" s="1653"/>
      <c r="L607" s="1653"/>
      <c r="M607" s="1653"/>
      <c r="N607" s="1653"/>
      <c r="O607" s="1653"/>
      <c r="P607" s="1653"/>
      <c r="Q607" s="1653"/>
      <c r="R607" s="1653"/>
      <c r="S607" s="1653"/>
      <c r="T607" s="1653"/>
      <c r="U607" s="1653"/>
      <c r="V607" s="1653"/>
      <c r="W607" s="1653"/>
      <c r="X607" s="1653"/>
      <c r="Y607" s="1653"/>
      <c r="Z607" s="1653"/>
      <c r="AA607" s="1653"/>
      <c r="AB607" s="1653"/>
      <c r="AC607" s="1653"/>
      <c r="AD607" s="1653"/>
      <c r="AE607" s="1653"/>
      <c r="AF607" s="1653"/>
      <c r="AG607" s="1653"/>
      <c r="AH607" s="567"/>
      <c r="AI607" s="567"/>
      <c r="AJ607" s="567"/>
      <c r="AK607" s="567"/>
      <c r="AL607" s="567"/>
      <c r="AN607" s="522"/>
    </row>
    <row r="608" spans="2:47" s="475" customFormat="1" ht="12.75" customHeight="1">
      <c r="B608" s="461"/>
      <c r="C608" s="853"/>
      <c r="D608" s="567"/>
      <c r="E608" s="1653"/>
      <c r="F608" s="1653"/>
      <c r="G608" s="1653"/>
      <c r="H608" s="1653"/>
      <c r="I608" s="1653"/>
      <c r="J608" s="1653"/>
      <c r="K608" s="1653"/>
      <c r="L608" s="1653"/>
      <c r="M608" s="1653"/>
      <c r="N608" s="1653"/>
      <c r="O608" s="1653"/>
      <c r="P608" s="1653"/>
      <c r="Q608" s="1653"/>
      <c r="R608" s="1653"/>
      <c r="S608" s="1653"/>
      <c r="T608" s="1653"/>
      <c r="U608" s="1653"/>
      <c r="V608" s="1653"/>
      <c r="W608" s="1653"/>
      <c r="X608" s="1653"/>
      <c r="Y608" s="1653"/>
      <c r="Z608" s="1653"/>
      <c r="AA608" s="1653"/>
      <c r="AB608" s="1653"/>
      <c r="AC608" s="1653"/>
      <c r="AD608" s="1653"/>
      <c r="AE608" s="1653"/>
      <c r="AF608" s="1653"/>
      <c r="AG608" s="1653"/>
      <c r="AH608" s="567"/>
      <c r="AI608" s="567"/>
      <c r="AJ608" s="567"/>
      <c r="AK608" s="567"/>
      <c r="AL608" s="567"/>
      <c r="AN608" s="522"/>
    </row>
    <row r="609" spans="1:42" s="475" customFormat="1" ht="12.75" customHeight="1">
      <c r="B609" s="461"/>
      <c r="C609" s="853"/>
      <c r="D609" s="857"/>
      <c r="E609" s="877"/>
      <c r="F609" s="877"/>
      <c r="G609" s="877"/>
      <c r="H609" s="877"/>
      <c r="I609" s="877"/>
      <c r="J609" s="877"/>
      <c r="K609" s="877"/>
      <c r="L609" s="877"/>
      <c r="M609" s="877"/>
      <c r="N609" s="877"/>
      <c r="O609" s="877"/>
      <c r="P609" s="877"/>
      <c r="Q609" s="877"/>
      <c r="R609" s="877"/>
      <c r="S609" s="877"/>
      <c r="T609" s="877"/>
      <c r="U609" s="877"/>
      <c r="V609" s="877"/>
      <c r="W609" s="877"/>
      <c r="X609" s="877"/>
      <c r="Y609" s="877"/>
      <c r="Z609" s="877"/>
      <c r="AA609" s="877"/>
      <c r="AB609" s="877"/>
      <c r="AC609" s="877"/>
      <c r="AD609" s="877"/>
      <c r="AE609" s="877"/>
      <c r="AF609" s="877"/>
      <c r="AG609" s="877"/>
      <c r="AH609" s="857"/>
      <c r="AI609" s="857"/>
      <c r="AJ609" s="857"/>
      <c r="AK609" s="857"/>
      <c r="AL609" s="567"/>
      <c r="AN609" s="522"/>
    </row>
    <row r="610" spans="1:42" s="475" customFormat="1" ht="12.75" customHeight="1">
      <c r="A610" s="531"/>
      <c r="B610" s="526"/>
      <c r="C610" s="858"/>
      <c r="D610" s="526"/>
      <c r="E610" s="859"/>
      <c r="F610" s="859"/>
      <c r="G610" s="859"/>
      <c r="H610" s="859"/>
      <c r="I610" s="859"/>
      <c r="J610" s="859"/>
      <c r="K610" s="859"/>
      <c r="L610" s="859"/>
      <c r="M610" s="859"/>
      <c r="N610" s="859"/>
      <c r="O610" s="859"/>
      <c r="P610" s="859"/>
      <c r="Q610" s="859"/>
      <c r="R610" s="859"/>
      <c r="S610" s="859"/>
      <c r="T610" s="859"/>
      <c r="U610" s="859"/>
      <c r="V610" s="859"/>
      <c r="W610" s="859"/>
      <c r="X610" s="859"/>
      <c r="Y610" s="859"/>
      <c r="Z610" s="859"/>
      <c r="AA610" s="859"/>
      <c r="AB610" s="526"/>
      <c r="AC610" s="526"/>
      <c r="AD610" s="526"/>
      <c r="AE610" s="526"/>
      <c r="AF610" s="526"/>
      <c r="AG610" s="526"/>
      <c r="AH610" s="526"/>
      <c r="AI610" s="490" t="s">
        <v>2313</v>
      </c>
      <c r="AJ610" s="1660">
        <f>VLOOKUP($H$595,$AO$575:$AP$580,2,FALSE)+IF(R595=AO583,0,VLOOKUP($I$603,$AO$602:$AP$604,2,FALSE))</f>
        <v>7</v>
      </c>
      <c r="AK610" s="1662"/>
      <c r="AL610" s="520"/>
      <c r="AM610" s="600"/>
      <c r="AN610" s="522"/>
    </row>
    <row r="611" spans="1:42" s="475" customFormat="1" ht="12.75" customHeight="1">
      <c r="B611" s="461"/>
      <c r="C611" s="853"/>
      <c r="D611" s="461"/>
      <c r="E611" s="856"/>
      <c r="F611" s="856"/>
      <c r="G611" s="856"/>
      <c r="H611" s="856"/>
      <c r="I611" s="856"/>
      <c r="J611" s="856"/>
      <c r="K611" s="856"/>
      <c r="L611" s="856"/>
      <c r="M611" s="856"/>
      <c r="N611" s="856"/>
      <c r="O611" s="856"/>
      <c r="P611" s="856"/>
      <c r="Q611" s="856"/>
      <c r="R611" s="856"/>
      <c r="S611" s="856"/>
      <c r="T611" s="856"/>
      <c r="U611" s="856"/>
      <c r="V611" s="856"/>
      <c r="W611" s="856"/>
      <c r="X611" s="856"/>
      <c r="Y611" s="856"/>
      <c r="Z611" s="856"/>
      <c r="AA611" s="856"/>
      <c r="AB611" s="856"/>
      <c r="AC611" s="461"/>
      <c r="AD611" s="461"/>
      <c r="AE611" s="856"/>
      <c r="AF611" s="856"/>
      <c r="AG611" s="856"/>
      <c r="AH611" s="856"/>
      <c r="AI611" s="856"/>
      <c r="AJ611" s="856"/>
      <c r="AK611" s="856"/>
      <c r="AL611" s="856"/>
      <c r="AM611" s="600"/>
      <c r="AN611" s="522"/>
    </row>
    <row r="612" spans="1:42" s="475" customFormat="1" ht="12.75" customHeight="1">
      <c r="B612" s="461"/>
      <c r="C612" s="464" t="s">
        <v>2314</v>
      </c>
      <c r="D612" s="464"/>
      <c r="E612" s="856"/>
      <c r="F612" s="856"/>
      <c r="G612" s="856"/>
      <c r="H612" s="856"/>
      <c r="I612" s="856"/>
      <c r="J612" s="856"/>
      <c r="K612" s="856"/>
      <c r="L612" s="856"/>
      <c r="M612" s="856"/>
      <c r="N612" s="856"/>
      <c r="O612" s="856"/>
      <c r="P612" s="856"/>
      <c r="Q612" s="856"/>
      <c r="R612" s="856"/>
      <c r="S612" s="856"/>
      <c r="T612" s="856"/>
      <c r="U612" s="856"/>
      <c r="V612" s="856"/>
      <c r="W612" s="856"/>
      <c r="X612" s="856"/>
      <c r="Y612" s="856"/>
      <c r="Z612" s="856"/>
      <c r="AA612" s="856"/>
      <c r="AB612" s="856"/>
      <c r="AC612" s="461"/>
      <c r="AD612" s="461"/>
      <c r="AE612" s="461"/>
      <c r="AF612" s="461"/>
      <c r="AG612" s="461"/>
      <c r="AH612" s="461"/>
      <c r="AI612" s="461"/>
      <c r="AJ612" s="461"/>
      <c r="AK612" s="461"/>
      <c r="AL612" s="461"/>
      <c r="AN612" s="522"/>
    </row>
    <row r="613" spans="1:42" s="475" customFormat="1" ht="12.75" customHeight="1">
      <c r="B613" s="535"/>
      <c r="C613" s="461"/>
      <c r="D613" s="855"/>
      <c r="E613" s="856"/>
      <c r="F613" s="856"/>
      <c r="G613" s="856"/>
      <c r="H613" s="856"/>
      <c r="I613" s="856"/>
      <c r="J613" s="856"/>
      <c r="K613" s="856"/>
      <c r="L613" s="856"/>
      <c r="M613" s="856"/>
      <c r="N613" s="856"/>
      <c r="O613" s="856"/>
      <c r="P613" s="856"/>
      <c r="Q613" s="856"/>
      <c r="R613" s="856"/>
      <c r="S613" s="856"/>
      <c r="T613" s="856"/>
      <c r="U613" s="856"/>
      <c r="V613" s="856"/>
      <c r="W613" s="856"/>
      <c r="X613" s="856"/>
      <c r="Y613" s="856"/>
      <c r="Z613" s="856"/>
      <c r="AA613" s="856"/>
      <c r="AB613" s="856"/>
      <c r="AC613" s="461"/>
      <c r="AD613" s="461"/>
      <c r="AE613" s="461"/>
      <c r="AF613" s="461"/>
      <c r="AG613" s="461"/>
      <c r="AH613" s="461"/>
      <c r="AI613" s="461"/>
      <c r="AJ613" s="461"/>
      <c r="AK613" s="461"/>
      <c r="AL613" s="461"/>
      <c r="AN613" s="522"/>
    </row>
    <row r="614" spans="1:42" s="521" customFormat="1" ht="12.75" customHeight="1">
      <c r="A614" s="475"/>
      <c r="B614" s="461"/>
      <c r="C614" s="461"/>
      <c r="D614" s="588" t="s">
        <v>21</v>
      </c>
      <c r="E614" s="1770" t="s">
        <v>2315</v>
      </c>
      <c r="F614" s="1770"/>
      <c r="G614" s="1770"/>
      <c r="H614" s="1770"/>
      <c r="I614" s="1770"/>
      <c r="J614" s="1770"/>
      <c r="K614" s="1770"/>
      <c r="L614" s="1770"/>
      <c r="M614" s="1770"/>
      <c r="N614" s="1770"/>
      <c r="O614" s="1770"/>
      <c r="P614" s="1770"/>
      <c r="Q614" s="1770"/>
      <c r="R614" s="1770"/>
      <c r="S614" s="1770"/>
      <c r="T614" s="1770"/>
      <c r="U614" s="1770"/>
      <c r="V614" s="1770"/>
      <c r="W614" s="1770"/>
      <c r="X614" s="1770"/>
      <c r="Y614" s="1770"/>
      <c r="Z614" s="1770"/>
      <c r="AA614" s="1770"/>
      <c r="AB614" s="1770"/>
      <c r="AC614" s="1770"/>
      <c r="AD614" s="1770"/>
      <c r="AE614" s="464"/>
      <c r="AF614" s="1733" t="s">
        <v>2029</v>
      </c>
      <c r="AG614" s="1733"/>
      <c r="AH614" s="1733"/>
      <c r="AI614" s="1733"/>
      <c r="AJ614" s="1733"/>
      <c r="AK614" s="1733"/>
      <c r="AL614" s="1733"/>
      <c r="AM614" s="475"/>
      <c r="AN614" s="603"/>
    </row>
    <row r="615" spans="1:42" s="475" customFormat="1" ht="12.75" customHeight="1">
      <c r="A615" s="604"/>
      <c r="B615" s="461"/>
      <c r="C615" s="853"/>
      <c r="D615" s="588"/>
      <c r="E615" s="1770"/>
      <c r="F615" s="1770"/>
      <c r="G615" s="1770"/>
      <c r="H615" s="1770"/>
      <c r="I615" s="1770"/>
      <c r="J615" s="1770"/>
      <c r="K615" s="1770"/>
      <c r="L615" s="1770"/>
      <c r="M615" s="1770"/>
      <c r="N615" s="1770"/>
      <c r="O615" s="1770"/>
      <c r="P615" s="1770"/>
      <c r="Q615" s="1770"/>
      <c r="R615" s="1770"/>
      <c r="S615" s="1770"/>
      <c r="T615" s="1770"/>
      <c r="U615" s="1770"/>
      <c r="V615" s="1770"/>
      <c r="W615" s="1770"/>
      <c r="X615" s="1770"/>
      <c r="Y615" s="1770"/>
      <c r="Z615" s="1770"/>
      <c r="AA615" s="1770"/>
      <c r="AB615" s="1770"/>
      <c r="AC615" s="1770"/>
      <c r="AD615" s="1770"/>
      <c r="AE615" s="461"/>
      <c r="AF615" s="461"/>
      <c r="AG615" s="461"/>
      <c r="AH615" s="461"/>
      <c r="AI615" s="461"/>
      <c r="AJ615" s="461"/>
      <c r="AK615" s="461"/>
      <c r="AL615" s="461"/>
      <c r="AN615" s="522"/>
    </row>
    <row r="616" spans="1:42" s="475" customFormat="1" ht="12.75" customHeight="1">
      <c r="B616" s="461"/>
      <c r="C616" s="851"/>
      <c r="D616" s="588"/>
      <c r="E616" s="1770"/>
      <c r="F616" s="1770"/>
      <c r="G616" s="1770"/>
      <c r="H616" s="1770"/>
      <c r="I616" s="1770"/>
      <c r="J616" s="1770"/>
      <c r="K616" s="1770"/>
      <c r="L616" s="1770"/>
      <c r="M616" s="1770"/>
      <c r="N616" s="1770"/>
      <c r="O616" s="1770"/>
      <c r="P616" s="1770"/>
      <c r="Q616" s="1770"/>
      <c r="R616" s="1770"/>
      <c r="S616" s="1770"/>
      <c r="T616" s="1770"/>
      <c r="U616" s="1770"/>
      <c r="V616" s="1770"/>
      <c r="W616" s="1770"/>
      <c r="X616" s="1770"/>
      <c r="Y616" s="1770"/>
      <c r="Z616" s="1770"/>
      <c r="AA616" s="1770"/>
      <c r="AB616" s="1770"/>
      <c r="AC616" s="1770"/>
      <c r="AD616" s="1770"/>
      <c r="AE616" s="461"/>
      <c r="AF616" s="461"/>
      <c r="AG616" s="461"/>
      <c r="AH616" s="461"/>
      <c r="AI616" s="461"/>
      <c r="AJ616" s="461"/>
      <c r="AK616" s="461"/>
      <c r="AL616" s="461"/>
      <c r="AN616" s="522"/>
    </row>
    <row r="617" spans="1:42" s="475" customFormat="1" ht="12.75" customHeight="1">
      <c r="B617" s="461"/>
      <c r="C617" s="851"/>
      <c r="D617" s="588"/>
      <c r="E617" s="1770"/>
      <c r="F617" s="1770"/>
      <c r="G617" s="1770"/>
      <c r="H617" s="1770"/>
      <c r="I617" s="1770"/>
      <c r="J617" s="1770"/>
      <c r="K617" s="1770"/>
      <c r="L617" s="1770"/>
      <c r="M617" s="1770"/>
      <c r="N617" s="1770"/>
      <c r="O617" s="1770"/>
      <c r="P617" s="1770"/>
      <c r="Q617" s="1770"/>
      <c r="R617" s="1770"/>
      <c r="S617" s="1770"/>
      <c r="T617" s="1770"/>
      <c r="U617" s="1770"/>
      <c r="V617" s="1770"/>
      <c r="W617" s="1770"/>
      <c r="X617" s="1770"/>
      <c r="Y617" s="1770"/>
      <c r="Z617" s="1770"/>
      <c r="AA617" s="1770"/>
      <c r="AB617" s="1770"/>
      <c r="AC617" s="1770"/>
      <c r="AD617" s="1770"/>
      <c r="AE617" s="461"/>
      <c r="AF617" s="461"/>
      <c r="AG617" s="461"/>
      <c r="AH617" s="461"/>
      <c r="AI617" s="461"/>
      <c r="AJ617" s="461"/>
      <c r="AK617" s="461"/>
      <c r="AL617" s="461"/>
      <c r="AN617" s="522"/>
    </row>
    <row r="618" spans="1:42" s="475" customFormat="1" ht="12.75" customHeight="1">
      <c r="B618" s="461"/>
      <c r="C618" s="851"/>
      <c r="D618" s="588"/>
      <c r="E618" s="1770"/>
      <c r="F618" s="1770"/>
      <c r="G618" s="1770"/>
      <c r="H618" s="1770"/>
      <c r="I618" s="1770"/>
      <c r="J618" s="1770"/>
      <c r="K618" s="1770"/>
      <c r="L618" s="1770"/>
      <c r="M618" s="1770"/>
      <c r="N618" s="1770"/>
      <c r="O618" s="1770"/>
      <c r="P618" s="1770"/>
      <c r="Q618" s="1770"/>
      <c r="R618" s="1770"/>
      <c r="S618" s="1770"/>
      <c r="T618" s="1770"/>
      <c r="U618" s="1770"/>
      <c r="V618" s="1770"/>
      <c r="W618" s="1770"/>
      <c r="X618" s="1770"/>
      <c r="Y618" s="1770"/>
      <c r="Z618" s="1770"/>
      <c r="AA618" s="1770"/>
      <c r="AB618" s="1770"/>
      <c r="AC618" s="1770"/>
      <c r="AD618" s="1770"/>
      <c r="AE618" s="461"/>
      <c r="AF618" s="461"/>
      <c r="AG618" s="461"/>
      <c r="AH618" s="461"/>
      <c r="AI618" s="461"/>
      <c r="AJ618" s="461"/>
      <c r="AK618" s="461"/>
      <c r="AL618" s="461"/>
      <c r="AN618" s="522"/>
    </row>
    <row r="619" spans="1:42" s="475" customFormat="1" ht="12.75" customHeight="1">
      <c r="B619" s="461"/>
      <c r="C619" s="851"/>
      <c r="D619" s="588"/>
      <c r="E619" s="1770"/>
      <c r="F619" s="1770"/>
      <c r="G619" s="1770"/>
      <c r="H619" s="1770"/>
      <c r="I619" s="1770"/>
      <c r="J619" s="1770"/>
      <c r="K619" s="1770"/>
      <c r="L619" s="1770"/>
      <c r="M619" s="1770"/>
      <c r="N619" s="1770"/>
      <c r="O619" s="1770"/>
      <c r="P619" s="1770"/>
      <c r="Q619" s="1770"/>
      <c r="R619" s="1770"/>
      <c r="S619" s="1770"/>
      <c r="T619" s="1770"/>
      <c r="U619" s="1770"/>
      <c r="V619" s="1770"/>
      <c r="W619" s="1770"/>
      <c r="X619" s="1770"/>
      <c r="Y619" s="1770"/>
      <c r="Z619" s="1770"/>
      <c r="AA619" s="1770"/>
      <c r="AB619" s="1770"/>
      <c r="AC619" s="1770"/>
      <c r="AD619" s="1770"/>
      <c r="AE619" s="461"/>
      <c r="AF619" s="461"/>
      <c r="AG619" s="461"/>
      <c r="AH619" s="461"/>
      <c r="AI619" s="461"/>
      <c r="AJ619" s="461"/>
      <c r="AK619" s="461"/>
      <c r="AL619" s="461"/>
      <c r="AN619" s="522"/>
    </row>
    <row r="620" spans="1:42" s="475" customFormat="1" ht="12.75" customHeight="1">
      <c r="A620" s="562"/>
      <c r="B620" s="541"/>
      <c r="C620" s="860"/>
      <c r="D620" s="588"/>
      <c r="E620" s="1770"/>
      <c r="F620" s="1770"/>
      <c r="G620" s="1770"/>
      <c r="H620" s="1770"/>
      <c r="I620" s="1770"/>
      <c r="J620" s="1770"/>
      <c r="K620" s="1770"/>
      <c r="L620" s="1770"/>
      <c r="M620" s="1770"/>
      <c r="N620" s="1770"/>
      <c r="O620" s="1770"/>
      <c r="P620" s="1770"/>
      <c r="Q620" s="1770"/>
      <c r="R620" s="1770"/>
      <c r="S620" s="1770"/>
      <c r="T620" s="1770"/>
      <c r="U620" s="1770"/>
      <c r="V620" s="1770"/>
      <c r="W620" s="1770"/>
      <c r="X620" s="1770"/>
      <c r="Y620" s="1770"/>
      <c r="Z620" s="1770"/>
      <c r="AA620" s="1770"/>
      <c r="AB620" s="1770"/>
      <c r="AC620" s="1770"/>
      <c r="AD620" s="1770"/>
      <c r="AE620" s="541"/>
      <c r="AF620" s="541"/>
      <c r="AG620" s="541"/>
      <c r="AH620" s="541"/>
      <c r="AI620" s="541"/>
      <c r="AJ620" s="541"/>
      <c r="AK620" s="461"/>
      <c r="AL620" s="461"/>
      <c r="AN620" s="522"/>
    </row>
    <row r="621" spans="1:42" s="475" customFormat="1" ht="12.75" customHeight="1">
      <c r="B621" s="541"/>
      <c r="C621" s="860"/>
      <c r="D621" s="588"/>
      <c r="E621" s="1770"/>
      <c r="F621" s="1770"/>
      <c r="G621" s="1770"/>
      <c r="H621" s="1770"/>
      <c r="I621" s="1770"/>
      <c r="J621" s="1770"/>
      <c r="K621" s="1770"/>
      <c r="L621" s="1770"/>
      <c r="M621" s="1770"/>
      <c r="N621" s="1770"/>
      <c r="O621" s="1770"/>
      <c r="P621" s="1770"/>
      <c r="Q621" s="1770"/>
      <c r="R621" s="1770"/>
      <c r="S621" s="1770"/>
      <c r="T621" s="1770"/>
      <c r="U621" s="1770"/>
      <c r="V621" s="1770"/>
      <c r="W621" s="1770"/>
      <c r="X621" s="1770"/>
      <c r="Y621" s="1770"/>
      <c r="Z621" s="1770"/>
      <c r="AA621" s="1770"/>
      <c r="AB621" s="1770"/>
      <c r="AC621" s="1770"/>
      <c r="AD621" s="1770"/>
      <c r="AE621" s="541"/>
      <c r="AF621" s="541"/>
      <c r="AG621" s="541"/>
      <c r="AH621" s="541"/>
      <c r="AI621" s="541"/>
      <c r="AJ621" s="541"/>
      <c r="AK621" s="461"/>
      <c r="AL621" s="461"/>
      <c r="AN621" s="522"/>
    </row>
    <row r="622" spans="1:42" s="475" customFormat="1" ht="12" customHeight="1">
      <c r="B622" s="541"/>
      <c r="C622" s="860"/>
      <c r="D622" s="588"/>
      <c r="E622" s="876"/>
      <c r="F622" s="876"/>
      <c r="G622" s="876"/>
      <c r="H622" s="876"/>
      <c r="I622" s="876"/>
      <c r="J622" s="876"/>
      <c r="K622" s="876"/>
      <c r="L622" s="876"/>
      <c r="M622" s="876"/>
      <c r="N622" s="876"/>
      <c r="O622" s="876"/>
      <c r="P622" s="876"/>
      <c r="Q622" s="876"/>
      <c r="R622" s="876"/>
      <c r="S622" s="876"/>
      <c r="T622" s="876"/>
      <c r="U622" s="876"/>
      <c r="V622" s="876"/>
      <c r="W622" s="876"/>
      <c r="X622" s="876"/>
      <c r="Y622" s="876"/>
      <c r="Z622" s="876"/>
      <c r="AA622" s="876"/>
      <c r="AB622" s="876"/>
      <c r="AC622" s="876"/>
      <c r="AD622" s="876"/>
      <c r="AE622" s="541"/>
      <c r="AF622" s="541"/>
      <c r="AG622" s="541"/>
      <c r="AH622" s="541"/>
      <c r="AI622" s="541"/>
      <c r="AJ622" s="541"/>
      <c r="AK622" s="461"/>
      <c r="AL622" s="461"/>
      <c r="AN622" s="522"/>
      <c r="AO622" s="475" t="s">
        <v>299</v>
      </c>
      <c r="AP622" s="598">
        <v>0</v>
      </c>
    </row>
    <row r="623" spans="1:42" s="475" customFormat="1" ht="12.75" customHeight="1">
      <c r="B623" s="541"/>
      <c r="C623" s="851"/>
      <c r="D623" s="588"/>
      <c r="E623" s="541" t="s">
        <v>2316</v>
      </c>
      <c r="F623" s="861"/>
      <c r="G623" s="861"/>
      <c r="H623" s="861"/>
      <c r="I623" s="861"/>
      <c r="J623" s="861"/>
      <c r="K623" s="861"/>
      <c r="L623" s="861"/>
      <c r="M623" s="861"/>
      <c r="N623" s="861"/>
      <c r="O623" s="861"/>
      <c r="P623" s="861"/>
      <c r="Q623" s="861"/>
      <c r="R623" s="861"/>
      <c r="U623" s="861"/>
      <c r="V623" s="861"/>
      <c r="W623" s="861"/>
      <c r="X623" s="1769" t="s">
        <v>299</v>
      </c>
      <c r="Y623" s="1769"/>
      <c r="Z623" s="861"/>
      <c r="AA623" s="861"/>
      <c r="AB623" s="861"/>
      <c r="AC623" s="861"/>
      <c r="AD623" s="861"/>
      <c r="AE623" s="461"/>
      <c r="AF623" s="541"/>
      <c r="AG623" s="541"/>
      <c r="AH623" s="541"/>
      <c r="AI623" s="541"/>
      <c r="AJ623" s="541"/>
      <c r="AK623" s="461"/>
      <c r="AL623" s="461"/>
      <c r="AN623" s="522"/>
      <c r="AO623" s="536" t="s">
        <v>21</v>
      </c>
      <c r="AP623" s="475">
        <v>5</v>
      </c>
    </row>
    <row r="624" spans="1:42" s="475" customFormat="1" ht="12.75" customHeight="1">
      <c r="B624" s="541"/>
      <c r="C624" s="860"/>
      <c r="D624" s="461"/>
      <c r="E624" s="461"/>
      <c r="F624" s="461"/>
      <c r="G624" s="461"/>
      <c r="H624" s="461"/>
      <c r="I624" s="461"/>
      <c r="J624" s="461"/>
      <c r="K624" s="461"/>
      <c r="L624" s="461"/>
      <c r="M624" s="461"/>
      <c r="N624" s="461"/>
      <c r="O624" s="461"/>
      <c r="P624" s="461"/>
      <c r="Q624" s="461"/>
      <c r="R624" s="461"/>
      <c r="S624" s="461"/>
      <c r="T624" s="461"/>
      <c r="U624" s="461"/>
      <c r="V624" s="461"/>
      <c r="W624" s="541"/>
      <c r="X624" s="541"/>
      <c r="Y624" s="541"/>
      <c r="Z624" s="541"/>
      <c r="AA624" s="541"/>
      <c r="AB624" s="541"/>
      <c r="AC624" s="461"/>
      <c r="AD624" s="461"/>
      <c r="AE624" s="461"/>
      <c r="AF624" s="461"/>
      <c r="AG624" s="461"/>
      <c r="AH624" s="461"/>
      <c r="AI624" s="461"/>
      <c r="AJ624" s="461"/>
      <c r="AK624" s="461"/>
      <c r="AL624" s="461"/>
      <c r="AN624" s="522"/>
      <c r="AO624" s="536" t="s">
        <v>26</v>
      </c>
      <c r="AP624" s="605">
        <v>4</v>
      </c>
    </row>
    <row r="625" spans="1:42" s="475" customFormat="1" ht="12.75" customHeight="1">
      <c r="B625" s="461"/>
      <c r="C625" s="851"/>
      <c r="D625" s="588" t="s">
        <v>26</v>
      </c>
      <c r="E625" s="480" t="s">
        <v>2317</v>
      </c>
      <c r="F625" s="862"/>
      <c r="G625" s="862"/>
      <c r="H625" s="862"/>
      <c r="I625" s="862"/>
      <c r="J625" s="862"/>
      <c r="K625" s="862"/>
      <c r="L625" s="862"/>
      <c r="M625" s="862"/>
      <c r="N625" s="862"/>
      <c r="O625" s="862"/>
      <c r="P625" s="862"/>
      <c r="Q625" s="862"/>
      <c r="R625" s="862"/>
      <c r="S625" s="862"/>
      <c r="T625" s="862"/>
      <c r="U625" s="461"/>
      <c r="V625" s="461"/>
      <c r="W625" s="862"/>
      <c r="X625" s="862"/>
      <c r="Y625" s="862"/>
      <c r="Z625" s="862"/>
      <c r="AA625" s="862"/>
      <c r="AB625" s="862"/>
      <c r="AC625" s="461"/>
      <c r="AD625" s="461"/>
      <c r="AE625" s="461"/>
      <c r="AF625" s="1733" t="s">
        <v>2318</v>
      </c>
      <c r="AG625" s="1733"/>
      <c r="AH625" s="1733"/>
      <c r="AI625" s="1733"/>
      <c r="AJ625" s="1733"/>
      <c r="AK625" s="1733"/>
      <c r="AL625" s="1733"/>
      <c r="AN625" s="522"/>
      <c r="AO625" s="536" t="s">
        <v>48</v>
      </c>
      <c r="AP625" s="475">
        <v>3</v>
      </c>
    </row>
    <row r="626" spans="1:42" s="475" customFormat="1" ht="12.75" customHeight="1">
      <c r="B626" s="461"/>
      <c r="C626" s="851"/>
      <c r="D626" s="461"/>
      <c r="E626" s="461"/>
      <c r="F626" s="862"/>
      <c r="G626" s="862"/>
      <c r="H626" s="862"/>
      <c r="I626" s="862"/>
      <c r="J626" s="862"/>
      <c r="K626" s="862"/>
      <c r="L626" s="862"/>
      <c r="M626" s="862"/>
      <c r="N626" s="862"/>
      <c r="O626" s="862"/>
      <c r="P626" s="862"/>
      <c r="Q626" s="862"/>
      <c r="R626" s="862"/>
      <c r="S626" s="862"/>
      <c r="T626" s="862"/>
      <c r="U626" s="461"/>
      <c r="V626" s="461"/>
      <c r="W626" s="461"/>
      <c r="X626" s="862"/>
      <c r="Y626" s="862"/>
      <c r="Z626" s="862"/>
      <c r="AA626" s="862"/>
      <c r="AB626" s="862"/>
      <c r="AC626" s="461"/>
      <c r="AD626" s="461"/>
      <c r="AE626" s="461"/>
      <c r="AF626" s="461"/>
      <c r="AG626" s="461"/>
      <c r="AH626" s="461"/>
      <c r="AI626" s="461"/>
      <c r="AJ626" s="461"/>
      <c r="AK626" s="461"/>
      <c r="AL626" s="461"/>
      <c r="AN626" s="522"/>
      <c r="AO626" s="536" t="s">
        <v>2288</v>
      </c>
      <c r="AP626" s="605">
        <v>4</v>
      </c>
    </row>
    <row r="627" spans="1:42" s="475" customFormat="1" ht="12.75" customHeight="1">
      <c r="B627" s="461"/>
      <c r="C627" s="851"/>
      <c r="D627" s="461" t="s">
        <v>2304</v>
      </c>
      <c r="E627" s="856"/>
      <c r="F627" s="856"/>
      <c r="G627" s="856"/>
      <c r="H627" s="1677" t="s">
        <v>21</v>
      </c>
      <c r="I627" s="1677"/>
      <c r="J627" s="862"/>
      <c r="K627" s="862"/>
      <c r="L627" s="862"/>
      <c r="M627" s="862"/>
      <c r="N627" s="862"/>
      <c r="O627" s="862"/>
      <c r="P627" s="862"/>
      <c r="Q627" s="862"/>
      <c r="R627" s="862"/>
      <c r="S627" s="862"/>
      <c r="T627" s="862"/>
      <c r="U627" s="856"/>
      <c r="V627" s="856"/>
      <c r="W627" s="856"/>
      <c r="X627" s="461"/>
      <c r="Y627" s="461"/>
      <c r="Z627" s="461"/>
      <c r="AA627" s="461"/>
      <c r="AB627" s="461"/>
      <c r="AC627" s="461"/>
      <c r="AD627" s="461"/>
      <c r="AE627" s="461"/>
      <c r="AF627" s="461"/>
      <c r="AG627" s="461"/>
      <c r="AH627" s="461"/>
      <c r="AI627" s="461"/>
      <c r="AJ627" s="461"/>
      <c r="AK627" s="461"/>
      <c r="AL627" s="461"/>
      <c r="AN627" s="522"/>
      <c r="AO627" s="536" t="s">
        <v>2291</v>
      </c>
      <c r="AP627" s="475">
        <v>3</v>
      </c>
    </row>
    <row r="628" spans="1:42" s="475" customFormat="1" ht="12.75" customHeight="1">
      <c r="B628" s="461"/>
      <c r="C628" s="851"/>
      <c r="D628" s="461"/>
      <c r="E628" s="856"/>
      <c r="F628" s="862"/>
      <c r="G628" s="862"/>
      <c r="H628" s="862"/>
      <c r="I628" s="863"/>
      <c r="J628" s="862"/>
      <c r="K628" s="862"/>
      <c r="L628" s="862"/>
      <c r="M628" s="862"/>
      <c r="N628" s="862"/>
      <c r="O628" s="862"/>
      <c r="P628" s="862"/>
      <c r="Q628" s="862"/>
      <c r="R628" s="461"/>
      <c r="S628" s="461"/>
      <c r="T628" s="862"/>
      <c r="U628" s="856"/>
      <c r="V628" s="856"/>
      <c r="W628" s="856"/>
      <c r="X628" s="856"/>
      <c r="Y628" s="856"/>
      <c r="Z628" s="856"/>
      <c r="AA628" s="856"/>
      <c r="AB628" s="856"/>
      <c r="AC628" s="461"/>
      <c r="AD628" s="461"/>
      <c r="AE628" s="461"/>
      <c r="AF628" s="461"/>
      <c r="AG628" s="461"/>
      <c r="AH628" s="461"/>
      <c r="AI628" s="862"/>
      <c r="AJ628" s="862"/>
      <c r="AK628" s="862"/>
      <c r="AL628" s="862"/>
      <c r="AM628" s="606"/>
      <c r="AN628" s="522"/>
      <c r="AO628" s="536" t="s">
        <v>2319</v>
      </c>
      <c r="AP628" s="475">
        <v>2</v>
      </c>
    </row>
    <row r="629" spans="1:42" s="475" customFormat="1" ht="12.75" customHeight="1">
      <c r="A629" s="531"/>
      <c r="B629" s="526"/>
      <c r="C629" s="864"/>
      <c r="D629" s="526"/>
      <c r="E629" s="859"/>
      <c r="F629" s="859"/>
      <c r="G629" s="865"/>
      <c r="H629" s="865"/>
      <c r="I629" s="865"/>
      <c r="J629" s="865"/>
      <c r="K629" s="865"/>
      <c r="L629" s="865"/>
      <c r="M629" s="865"/>
      <c r="N629" s="865"/>
      <c r="O629" s="865"/>
      <c r="P629" s="865"/>
      <c r="Q629" s="865"/>
      <c r="R629" s="865"/>
      <c r="S629" s="865"/>
      <c r="T629" s="859"/>
      <c r="U629" s="859"/>
      <c r="V629" s="859"/>
      <c r="W629" s="859"/>
      <c r="X629" s="859"/>
      <c r="Y629" s="859"/>
      <c r="Z629" s="859"/>
      <c r="AA629" s="859"/>
      <c r="AB629" s="526"/>
      <c r="AC629" s="526"/>
      <c r="AD629" s="526"/>
      <c r="AE629" s="526"/>
      <c r="AF629" s="526"/>
      <c r="AG629" s="526"/>
      <c r="AH629" s="526"/>
      <c r="AI629" s="490" t="s">
        <v>2320</v>
      </c>
      <c r="AJ629" s="1660">
        <f>VLOOKUP($H$627,$AO$594:$AP$596,2,FALSE)</f>
        <v>3</v>
      </c>
      <c r="AK629" s="1662"/>
      <c r="AL629" s="520"/>
      <c r="AN629" s="522"/>
      <c r="AO629" s="536" t="s">
        <v>2321</v>
      </c>
      <c r="AP629" s="475">
        <v>1</v>
      </c>
    </row>
    <row r="630" spans="1:42" s="475" customFormat="1" ht="12.75" customHeight="1">
      <c r="B630" s="461"/>
      <c r="C630" s="851"/>
      <c r="D630" s="461"/>
      <c r="E630" s="856"/>
      <c r="F630" s="856"/>
      <c r="G630" s="856"/>
      <c r="H630" s="461"/>
      <c r="I630" s="461"/>
      <c r="J630" s="862"/>
      <c r="K630" s="862"/>
      <c r="L630" s="862"/>
      <c r="M630" s="862"/>
      <c r="N630" s="862"/>
      <c r="O630" s="862"/>
      <c r="P630" s="862"/>
      <c r="Q630" s="862"/>
      <c r="R630" s="862"/>
      <c r="S630" s="862"/>
      <c r="T630" s="862"/>
      <c r="U630" s="856"/>
      <c r="V630" s="856"/>
      <c r="W630" s="856"/>
      <c r="X630" s="856"/>
      <c r="Y630" s="856"/>
      <c r="Z630" s="856"/>
      <c r="AA630" s="856"/>
      <c r="AB630" s="856"/>
      <c r="AC630" s="461"/>
      <c r="AD630" s="461"/>
      <c r="AE630" s="461"/>
      <c r="AF630" s="461"/>
      <c r="AG630" s="461"/>
      <c r="AH630" s="461"/>
      <c r="AI630" s="461"/>
      <c r="AJ630" s="468"/>
      <c r="AK630" s="461"/>
      <c r="AL630" s="461"/>
      <c r="AN630" s="522"/>
    </row>
    <row r="631" spans="1:42" s="475" customFormat="1" ht="12.75" customHeight="1">
      <c r="B631" s="461"/>
      <c r="C631" s="464" t="s">
        <v>2322</v>
      </c>
      <c r="D631" s="461"/>
      <c r="E631" s="856"/>
      <c r="F631" s="862"/>
      <c r="G631" s="862"/>
      <c r="H631" s="862"/>
      <c r="I631" s="862"/>
      <c r="J631" s="862"/>
      <c r="K631" s="862"/>
      <c r="L631" s="862"/>
      <c r="M631" s="862"/>
      <c r="N631" s="862"/>
      <c r="O631" s="862"/>
      <c r="P631" s="862"/>
      <c r="Q631" s="862"/>
      <c r="R631" s="862"/>
      <c r="S631" s="862"/>
      <c r="T631" s="862"/>
      <c r="U631" s="461"/>
      <c r="V631" s="461"/>
      <c r="W631" s="862"/>
      <c r="X631" s="862"/>
      <c r="Y631" s="862"/>
      <c r="Z631" s="862"/>
      <c r="AA631" s="862"/>
      <c r="AB631" s="862"/>
      <c r="AC631" s="519"/>
      <c r="AD631" s="519"/>
      <c r="AE631" s="519"/>
      <c r="AF631" s="519"/>
      <c r="AG631" s="519"/>
      <c r="AH631" s="519"/>
      <c r="AI631" s="519"/>
      <c r="AJ631" s="461"/>
      <c r="AK631" s="461"/>
      <c r="AL631" s="461"/>
      <c r="AN631" s="522"/>
    </row>
    <row r="632" spans="1:42" s="475" customFormat="1" ht="12.75" customHeight="1">
      <c r="A632" s="562"/>
      <c r="B632" s="461"/>
      <c r="C632" s="853"/>
      <c r="D632" s="461"/>
      <c r="E632" s="862"/>
      <c r="F632" s="862"/>
      <c r="G632" s="862"/>
      <c r="H632" s="862"/>
      <c r="I632" s="862"/>
      <c r="J632" s="862"/>
      <c r="K632" s="862"/>
      <c r="L632" s="862"/>
      <c r="M632" s="862"/>
      <c r="N632" s="862"/>
      <c r="O632" s="862"/>
      <c r="P632" s="862"/>
      <c r="Q632" s="862"/>
      <c r="R632" s="862"/>
      <c r="S632" s="862"/>
      <c r="T632" s="862"/>
      <c r="U632" s="862"/>
      <c r="V632" s="862"/>
      <c r="W632" s="862"/>
      <c r="X632" s="862"/>
      <c r="Y632" s="862"/>
      <c r="Z632" s="862"/>
      <c r="AA632" s="862"/>
      <c r="AB632" s="862"/>
      <c r="AC632" s="461"/>
      <c r="AD632" s="461"/>
      <c r="AE632" s="461"/>
      <c r="AF632" s="461"/>
      <c r="AG632" s="461"/>
      <c r="AH632" s="461"/>
      <c r="AI632" s="461"/>
      <c r="AJ632" s="461"/>
      <c r="AK632" s="461"/>
      <c r="AL632" s="461"/>
      <c r="AN632" s="522"/>
    </row>
    <row r="633" spans="1:42" s="475" customFormat="1" ht="12.75" customHeight="1">
      <c r="B633" s="461"/>
      <c r="C633" s="461"/>
      <c r="D633" s="588" t="s">
        <v>21</v>
      </c>
      <c r="E633" s="1653" t="s">
        <v>2323</v>
      </c>
      <c r="F633" s="1653"/>
      <c r="G633" s="1653"/>
      <c r="H633" s="1653"/>
      <c r="I633" s="1653"/>
      <c r="J633" s="1653"/>
      <c r="K633" s="1653"/>
      <c r="L633" s="1653"/>
      <c r="M633" s="1653"/>
      <c r="N633" s="1653"/>
      <c r="O633" s="1653"/>
      <c r="P633" s="1653"/>
      <c r="Q633" s="1653"/>
      <c r="R633" s="1653"/>
      <c r="S633" s="1653"/>
      <c r="T633" s="1653"/>
      <c r="U633" s="1653"/>
      <c r="V633" s="1653"/>
      <c r="W633" s="1653"/>
      <c r="X633" s="1653"/>
      <c r="Y633" s="1653"/>
      <c r="Z633" s="1653"/>
      <c r="AA633" s="1653"/>
      <c r="AB633" s="1653"/>
      <c r="AC633" s="1653"/>
      <c r="AD633" s="1653"/>
      <c r="AE633" s="461"/>
      <c r="AF633" s="1733" t="s">
        <v>2029</v>
      </c>
      <c r="AG633" s="1733"/>
      <c r="AH633" s="1733"/>
      <c r="AI633" s="1733"/>
      <c r="AJ633" s="1733"/>
      <c r="AK633" s="1733"/>
      <c r="AL633" s="1733"/>
      <c r="AN633" s="522"/>
    </row>
    <row r="634" spans="1:42" s="475" customFormat="1" ht="12.75" customHeight="1">
      <c r="B634" s="461"/>
      <c r="C634" s="461"/>
      <c r="D634" s="588"/>
      <c r="E634" s="1653"/>
      <c r="F634" s="1653"/>
      <c r="G634" s="1653"/>
      <c r="H634" s="1653"/>
      <c r="I634" s="1653"/>
      <c r="J634" s="1653"/>
      <c r="K634" s="1653"/>
      <c r="L634" s="1653"/>
      <c r="M634" s="1653"/>
      <c r="N634" s="1653"/>
      <c r="O634" s="1653"/>
      <c r="P634" s="1653"/>
      <c r="Q634" s="1653"/>
      <c r="R634" s="1653"/>
      <c r="S634" s="1653"/>
      <c r="T634" s="1653"/>
      <c r="U634" s="1653"/>
      <c r="V634" s="1653"/>
      <c r="W634" s="1653"/>
      <c r="X634" s="1653"/>
      <c r="Y634" s="1653"/>
      <c r="Z634" s="1653"/>
      <c r="AA634" s="1653"/>
      <c r="AB634" s="1653"/>
      <c r="AC634" s="1653"/>
      <c r="AD634" s="1653"/>
      <c r="AE634" s="519"/>
      <c r="AF634" s="519"/>
      <c r="AG634" s="519"/>
      <c r="AH634" s="519"/>
      <c r="AI634" s="519"/>
      <c r="AJ634" s="519"/>
      <c r="AK634" s="519"/>
      <c r="AL634" s="519"/>
      <c r="AN634" s="522"/>
    </row>
    <row r="635" spans="1:42" s="475" customFormat="1" ht="12.75" customHeight="1">
      <c r="B635" s="541"/>
      <c r="C635" s="860"/>
      <c r="D635" s="588"/>
      <c r="E635" s="541"/>
      <c r="F635" s="541"/>
      <c r="G635" s="541"/>
      <c r="H635" s="541"/>
      <c r="I635" s="541"/>
      <c r="J635" s="541"/>
      <c r="K635" s="541"/>
      <c r="L635" s="541"/>
      <c r="M635" s="541"/>
      <c r="N635" s="541"/>
      <c r="O635" s="541"/>
      <c r="P635" s="541"/>
      <c r="Q635" s="541"/>
      <c r="R635" s="541"/>
      <c r="S635" s="541"/>
      <c r="T635" s="541"/>
      <c r="U635" s="541"/>
      <c r="V635" s="541"/>
      <c r="W635" s="541"/>
      <c r="X635" s="541"/>
      <c r="Y635" s="541"/>
      <c r="Z635" s="541"/>
      <c r="AA635" s="541"/>
      <c r="AB635" s="541"/>
      <c r="AC635" s="461"/>
      <c r="AD635" s="461"/>
      <c r="AE635" s="541"/>
      <c r="AF635" s="461"/>
      <c r="AG635" s="461"/>
      <c r="AH635" s="461"/>
      <c r="AI635" s="461"/>
      <c r="AJ635" s="461"/>
      <c r="AK635" s="461"/>
      <c r="AL635" s="461"/>
      <c r="AN635" s="522"/>
    </row>
    <row r="636" spans="1:42" s="475" customFormat="1" ht="12.75" customHeight="1">
      <c r="B636" s="461"/>
      <c r="C636" s="851"/>
      <c r="D636" s="588" t="s">
        <v>26</v>
      </c>
      <c r="E636" s="541" t="s">
        <v>2324</v>
      </c>
      <c r="F636" s="541"/>
      <c r="G636" s="541"/>
      <c r="H636" s="541"/>
      <c r="I636" s="541"/>
      <c r="J636" s="541"/>
      <c r="K636" s="541"/>
      <c r="L636" s="541"/>
      <c r="M636" s="541"/>
      <c r="N636" s="541"/>
      <c r="O636" s="541"/>
      <c r="P636" s="541"/>
      <c r="Q636" s="541"/>
      <c r="R636" s="541"/>
      <c r="S636" s="541"/>
      <c r="T636" s="541"/>
      <c r="U636" s="541"/>
      <c r="V636" s="541"/>
      <c r="W636" s="541"/>
      <c r="X636" s="541"/>
      <c r="Y636" s="541"/>
      <c r="Z636" s="541"/>
      <c r="AA636" s="541"/>
      <c r="AB636" s="541"/>
      <c r="AC636" s="461"/>
      <c r="AD636" s="461"/>
      <c r="AE636" s="461"/>
      <c r="AF636" s="1733" t="s">
        <v>2318</v>
      </c>
      <c r="AG636" s="1733"/>
      <c r="AH636" s="1733"/>
      <c r="AI636" s="1733"/>
      <c r="AJ636" s="1733"/>
      <c r="AK636" s="1733"/>
      <c r="AL636" s="1733"/>
      <c r="AN636" s="522"/>
    </row>
    <row r="637" spans="1:42" s="475" customFormat="1" ht="12.75" customHeight="1">
      <c r="B637" s="461"/>
      <c r="C637" s="851"/>
      <c r="D637" s="588"/>
      <c r="E637" s="541" t="s">
        <v>2325</v>
      </c>
      <c r="F637" s="541"/>
      <c r="G637" s="541"/>
      <c r="H637" s="541"/>
      <c r="I637" s="541"/>
      <c r="J637" s="541"/>
      <c r="K637" s="541"/>
      <c r="L637" s="541"/>
      <c r="M637" s="541"/>
      <c r="N637" s="541"/>
      <c r="O637" s="541"/>
      <c r="P637" s="541"/>
      <c r="Q637" s="541"/>
      <c r="R637" s="541"/>
      <c r="S637" s="541"/>
      <c r="T637" s="541"/>
      <c r="U637" s="541"/>
      <c r="V637" s="541"/>
      <c r="W637" s="541"/>
      <c r="X637" s="541"/>
      <c r="Y637" s="541"/>
      <c r="Z637" s="541"/>
      <c r="AA637" s="541"/>
      <c r="AB637" s="541"/>
      <c r="AC637" s="461"/>
      <c r="AD637" s="461"/>
      <c r="AE637" s="519"/>
      <c r="AF637" s="519"/>
      <c r="AG637" s="519"/>
      <c r="AH637" s="519"/>
      <c r="AI637" s="519"/>
      <c r="AJ637" s="519"/>
      <c r="AK637" s="519"/>
      <c r="AL637" s="519"/>
      <c r="AN637" s="522"/>
    </row>
    <row r="638" spans="1:42" s="475" customFormat="1" ht="12.75" customHeight="1">
      <c r="B638" s="461"/>
      <c r="C638" s="851"/>
      <c r="D638" s="461"/>
      <c r="E638" s="541"/>
      <c r="F638" s="541"/>
      <c r="G638" s="541"/>
      <c r="H638" s="541"/>
      <c r="I638" s="541"/>
      <c r="J638" s="541"/>
      <c r="K638" s="541"/>
      <c r="L638" s="541"/>
      <c r="M638" s="541"/>
      <c r="N638" s="541"/>
      <c r="O638" s="541"/>
      <c r="P638" s="541"/>
      <c r="Q638" s="541"/>
      <c r="R638" s="541"/>
      <c r="S638" s="541"/>
      <c r="T638" s="541"/>
      <c r="U638" s="541"/>
      <c r="V638" s="541"/>
      <c r="W638" s="541"/>
      <c r="X638" s="541"/>
      <c r="Y638" s="541"/>
      <c r="Z638" s="541"/>
      <c r="AA638" s="541"/>
      <c r="AB638" s="541"/>
      <c r="AC638" s="461"/>
      <c r="AD638" s="461"/>
      <c r="AE638" s="461"/>
      <c r="AF638" s="461"/>
      <c r="AG638" s="461"/>
      <c r="AH638" s="461"/>
      <c r="AI638" s="461"/>
      <c r="AJ638" s="461"/>
      <c r="AK638" s="461"/>
      <c r="AL638" s="461"/>
      <c r="AN638" s="522"/>
      <c r="AP638" s="605"/>
    </row>
    <row r="639" spans="1:42" s="475" customFormat="1" ht="12.75" customHeight="1">
      <c r="B639" s="461"/>
      <c r="C639" s="851"/>
      <c r="D639" s="461" t="s">
        <v>2304</v>
      </c>
      <c r="E639" s="856"/>
      <c r="F639" s="856"/>
      <c r="G639" s="856"/>
      <c r="H639" s="1677" t="s">
        <v>299</v>
      </c>
      <c r="I639" s="1677"/>
      <c r="J639" s="541"/>
      <c r="K639" s="541"/>
      <c r="L639" s="541"/>
      <c r="M639" s="541"/>
      <c r="N639" s="541"/>
      <c r="O639" s="541"/>
      <c r="P639" s="541"/>
      <c r="Q639" s="541"/>
      <c r="R639" s="541"/>
      <c r="S639" s="541"/>
      <c r="T639" s="541"/>
      <c r="U639" s="541"/>
      <c r="V639" s="541"/>
      <c r="W639" s="461"/>
      <c r="X639" s="461"/>
      <c r="Y639" s="461"/>
      <c r="Z639" s="461"/>
      <c r="AA639" s="461"/>
      <c r="AB639" s="461"/>
      <c r="AC639" s="461"/>
      <c r="AD639" s="461"/>
      <c r="AE639" s="461"/>
      <c r="AF639" s="461"/>
      <c r="AG639" s="461"/>
      <c r="AH639" s="461"/>
      <c r="AI639" s="461"/>
      <c r="AJ639" s="461"/>
      <c r="AK639" s="461"/>
      <c r="AL639" s="461"/>
      <c r="AN639" s="522"/>
    </row>
    <row r="640" spans="1:42" s="475" customFormat="1" ht="12.75" customHeight="1">
      <c r="B640" s="461"/>
      <c r="C640" s="851"/>
      <c r="D640" s="461"/>
      <c r="E640" s="856"/>
      <c r="F640" s="856"/>
      <c r="G640" s="541"/>
      <c r="H640" s="541"/>
      <c r="I640" s="541"/>
      <c r="J640" s="541"/>
      <c r="K640" s="541"/>
      <c r="L640" s="541"/>
      <c r="M640" s="541"/>
      <c r="N640" s="541"/>
      <c r="O640" s="541"/>
      <c r="P640" s="541"/>
      <c r="Q640" s="541"/>
      <c r="R640" s="541"/>
      <c r="S640" s="541"/>
      <c r="T640" s="541"/>
      <c r="U640" s="541"/>
      <c r="V640" s="541"/>
      <c r="W640" s="541"/>
      <c r="X640" s="541"/>
      <c r="Y640" s="541"/>
      <c r="Z640" s="856"/>
      <c r="AA640" s="856"/>
      <c r="AB640" s="856"/>
      <c r="AC640" s="461"/>
      <c r="AD640" s="461"/>
      <c r="AE640" s="461"/>
      <c r="AF640" s="461"/>
      <c r="AG640" s="461"/>
      <c r="AH640" s="461"/>
      <c r="AI640" s="461"/>
      <c r="AJ640" s="541"/>
      <c r="AK640" s="541"/>
      <c r="AL640" s="541"/>
      <c r="AM640" s="476"/>
      <c r="AN640" s="522"/>
    </row>
    <row r="641" spans="1:42" s="475" customFormat="1" ht="12.75" customHeight="1">
      <c r="A641" s="531"/>
      <c r="B641" s="526"/>
      <c r="C641" s="864"/>
      <c r="D641" s="526"/>
      <c r="E641" s="859"/>
      <c r="F641" s="859"/>
      <c r="G641" s="590"/>
      <c r="H641" s="590"/>
      <c r="I641" s="590"/>
      <c r="J641" s="590"/>
      <c r="K641" s="590"/>
      <c r="L641" s="590"/>
      <c r="M641" s="590"/>
      <c r="N641" s="590"/>
      <c r="O641" s="590"/>
      <c r="P641" s="590"/>
      <c r="Q641" s="590"/>
      <c r="R641" s="590"/>
      <c r="S641" s="590"/>
      <c r="T641" s="590"/>
      <c r="U641" s="590"/>
      <c r="V641" s="590"/>
      <c r="W641" s="590"/>
      <c r="X641" s="590"/>
      <c r="Y641" s="859"/>
      <c r="Z641" s="859"/>
      <c r="AA641" s="859"/>
      <c r="AB641" s="526"/>
      <c r="AC641" s="526"/>
      <c r="AD641" s="526"/>
      <c r="AE641" s="526"/>
      <c r="AF641" s="526"/>
      <c r="AG641" s="526"/>
      <c r="AH641" s="526"/>
      <c r="AI641" s="490" t="s">
        <v>2326</v>
      </c>
      <c r="AJ641" s="1660">
        <f>VLOOKUP(H639,AT594:AU596,2,FALSE)</f>
        <v>0</v>
      </c>
      <c r="AK641" s="1662"/>
      <c r="AL641" s="520"/>
      <c r="AN641" s="522"/>
    </row>
    <row r="642" spans="1:42" s="475" customFormat="1" ht="12.75" customHeight="1">
      <c r="B642" s="461"/>
      <c r="C642" s="851"/>
      <c r="D642" s="461"/>
      <c r="E642" s="461"/>
      <c r="F642" s="461"/>
      <c r="G642" s="461"/>
      <c r="H642" s="461"/>
      <c r="I642" s="461"/>
      <c r="J642" s="461"/>
      <c r="K642" s="461"/>
      <c r="L642" s="461"/>
      <c r="M642" s="461"/>
      <c r="N642" s="461"/>
      <c r="O642" s="461"/>
      <c r="P642" s="461"/>
      <c r="Q642" s="461"/>
      <c r="R642" s="461"/>
      <c r="S642" s="461"/>
      <c r="T642" s="461"/>
      <c r="U642" s="461"/>
      <c r="V642" s="461"/>
      <c r="W642" s="461"/>
      <c r="X642" s="461"/>
      <c r="Y642" s="461"/>
      <c r="Z642" s="461"/>
      <c r="AA642" s="461"/>
      <c r="AB642" s="461"/>
      <c r="AC642" s="461"/>
      <c r="AD642" s="461"/>
      <c r="AE642" s="461"/>
      <c r="AF642" s="461"/>
      <c r="AG642" s="461"/>
      <c r="AH642" s="461"/>
      <c r="AI642" s="461"/>
      <c r="AJ642" s="461"/>
      <c r="AK642" s="461"/>
      <c r="AL642" s="461"/>
      <c r="AN642" s="522"/>
    </row>
    <row r="643" spans="1:42" s="475" customFormat="1" ht="12.75" customHeight="1">
      <c r="B643" s="461"/>
      <c r="C643" s="464" t="s">
        <v>2327</v>
      </c>
      <c r="D643" s="461"/>
      <c r="E643" s="461"/>
      <c r="F643" s="461"/>
      <c r="G643" s="461"/>
      <c r="H643" s="461"/>
      <c r="I643" s="461"/>
      <c r="J643" s="461"/>
      <c r="K643" s="461"/>
      <c r="L643" s="461"/>
      <c r="M643" s="461"/>
      <c r="N643" s="461"/>
      <c r="O643" s="461"/>
      <c r="P643" s="461"/>
      <c r="Q643" s="461"/>
      <c r="R643" s="461"/>
      <c r="S643" s="461"/>
      <c r="T643" s="461"/>
      <c r="U643" s="461"/>
      <c r="V643" s="461"/>
      <c r="W643" s="461"/>
      <c r="X643" s="461"/>
      <c r="Y643" s="461"/>
      <c r="Z643" s="461"/>
      <c r="AA643" s="461"/>
      <c r="AB643" s="461"/>
      <c r="AC643" s="461"/>
      <c r="AD643" s="461"/>
      <c r="AE643" s="461"/>
      <c r="AF643" s="461"/>
      <c r="AG643" s="461"/>
      <c r="AH643" s="461"/>
      <c r="AI643" s="461"/>
      <c r="AJ643" s="461"/>
      <c r="AK643" s="461"/>
      <c r="AL643" s="461"/>
      <c r="AN643" s="522"/>
    </row>
    <row r="644" spans="1:42" s="475" customFormat="1" ht="12.75" customHeight="1">
      <c r="B644" s="461"/>
      <c r="C644" s="464"/>
      <c r="D644" s="607" t="s">
        <v>2328</v>
      </c>
      <c r="E644" s="461"/>
      <c r="F644" s="461"/>
      <c r="G644" s="461"/>
      <c r="H644" s="461"/>
      <c r="I644" s="461"/>
      <c r="J644" s="461"/>
      <c r="K644" s="461"/>
      <c r="L644" s="461"/>
      <c r="M644" s="461"/>
      <c r="N644" s="461"/>
      <c r="O644" s="461"/>
      <c r="P644" s="461"/>
      <c r="Q644" s="461"/>
      <c r="R644" s="461"/>
      <c r="S644" s="461"/>
      <c r="T644" s="461"/>
      <c r="U644" s="461"/>
      <c r="V644" s="461"/>
      <c r="W644" s="461"/>
      <c r="X644" s="461"/>
      <c r="Y644" s="461"/>
      <c r="Z644" s="461"/>
      <c r="AA644" s="461"/>
      <c r="AB644" s="461"/>
      <c r="AC644" s="461"/>
      <c r="AD644" s="461"/>
      <c r="AE644" s="461"/>
      <c r="AF644" s="461"/>
      <c r="AG644" s="461"/>
      <c r="AH644" s="461"/>
      <c r="AI644" s="461"/>
      <c r="AJ644" s="461"/>
      <c r="AK644" s="461"/>
      <c r="AL644" s="461"/>
      <c r="AN644" s="522"/>
    </row>
    <row r="645" spans="1:42" s="475" customFormat="1" ht="12.75" customHeight="1">
      <c r="B645" s="461"/>
      <c r="C645" s="464"/>
      <c r="D645" s="461"/>
      <c r="E645" s="461"/>
      <c r="F645" s="461"/>
      <c r="G645" s="461"/>
      <c r="H645" s="461"/>
      <c r="I645" s="461"/>
      <c r="J645" s="461"/>
      <c r="K645" s="461"/>
      <c r="L645" s="461"/>
      <c r="M645" s="461"/>
      <c r="N645" s="461"/>
      <c r="O645" s="461"/>
      <c r="P645" s="461"/>
      <c r="Q645" s="461"/>
      <c r="R645" s="461"/>
      <c r="S645" s="461"/>
      <c r="T645" s="461"/>
      <c r="U645" s="461"/>
      <c r="V645" s="461"/>
      <c r="W645" s="461"/>
      <c r="X645" s="461"/>
      <c r="Y645" s="461"/>
      <c r="Z645" s="461"/>
      <c r="AA645" s="461"/>
      <c r="AB645" s="461"/>
      <c r="AC645" s="461"/>
      <c r="AD645" s="461"/>
      <c r="AE645" s="461"/>
      <c r="AF645" s="461"/>
      <c r="AG645" s="461"/>
      <c r="AH645" s="461"/>
      <c r="AI645" s="461"/>
      <c r="AJ645" s="461"/>
      <c r="AK645" s="461"/>
      <c r="AL645" s="461"/>
      <c r="AN645" s="522"/>
    </row>
    <row r="646" spans="1:42" s="475" customFormat="1" ht="12.75" customHeight="1">
      <c r="B646" s="461"/>
      <c r="C646" s="464"/>
      <c r="D646" s="588" t="s">
        <v>21</v>
      </c>
      <c r="E646" s="1653" t="s">
        <v>2329</v>
      </c>
      <c r="F646" s="1653"/>
      <c r="G646" s="1653"/>
      <c r="H646" s="1653"/>
      <c r="I646" s="1653"/>
      <c r="J646" s="1653"/>
      <c r="K646" s="1653"/>
      <c r="L646" s="1653"/>
      <c r="M646" s="1653"/>
      <c r="N646" s="1653"/>
      <c r="O646" s="1653"/>
      <c r="P646" s="1653"/>
      <c r="Q646" s="1653"/>
      <c r="R646" s="1653"/>
      <c r="S646" s="1653"/>
      <c r="T646" s="1653"/>
      <c r="U646" s="1653"/>
      <c r="V646" s="1653"/>
      <c r="W646" s="1653"/>
      <c r="X646" s="1653"/>
      <c r="Y646" s="1653"/>
      <c r="Z646" s="1653"/>
      <c r="AA646" s="1653"/>
      <c r="AB646" s="1653"/>
      <c r="AC646" s="1653"/>
      <c r="AD646" s="461"/>
      <c r="AE646" s="461"/>
      <c r="AF646" s="1733" t="s">
        <v>2290</v>
      </c>
      <c r="AG646" s="1733"/>
      <c r="AH646" s="1733"/>
      <c r="AI646" s="1733"/>
      <c r="AJ646" s="1733"/>
      <c r="AK646" s="1733"/>
      <c r="AL646" s="1733"/>
      <c r="AN646" s="522"/>
    </row>
    <row r="647" spans="1:42" s="475" customFormat="1" ht="12.75" customHeight="1">
      <c r="B647" s="461"/>
      <c r="C647" s="464"/>
      <c r="D647" s="461"/>
      <c r="E647" s="1653"/>
      <c r="F647" s="1653"/>
      <c r="G647" s="1653"/>
      <c r="H647" s="1653"/>
      <c r="I647" s="1653"/>
      <c r="J647" s="1653"/>
      <c r="K647" s="1653"/>
      <c r="L647" s="1653"/>
      <c r="M647" s="1653"/>
      <c r="N647" s="1653"/>
      <c r="O647" s="1653"/>
      <c r="P647" s="1653"/>
      <c r="Q647" s="1653"/>
      <c r="R647" s="1653"/>
      <c r="S647" s="1653"/>
      <c r="T647" s="1653"/>
      <c r="U647" s="1653"/>
      <c r="V647" s="1653"/>
      <c r="W647" s="1653"/>
      <c r="X647" s="1653"/>
      <c r="Y647" s="1653"/>
      <c r="Z647" s="1653"/>
      <c r="AA647" s="1653"/>
      <c r="AB647" s="1653"/>
      <c r="AC647" s="1653"/>
      <c r="AD647" s="461"/>
      <c r="AE647" s="461"/>
      <c r="AF647" s="461"/>
      <c r="AG647" s="461"/>
      <c r="AH647" s="461"/>
      <c r="AI647" s="461"/>
      <c r="AJ647" s="461"/>
      <c r="AK647" s="461"/>
      <c r="AL647" s="461"/>
      <c r="AN647" s="522"/>
    </row>
    <row r="648" spans="1:42" s="475" customFormat="1" ht="12.75" customHeight="1">
      <c r="B648" s="461"/>
      <c r="C648" s="464"/>
      <c r="D648" s="588"/>
      <c r="E648" s="1653"/>
      <c r="F648" s="1653"/>
      <c r="G648" s="1653"/>
      <c r="H648" s="1653"/>
      <c r="I648" s="1653"/>
      <c r="J648" s="1653"/>
      <c r="K648" s="1653"/>
      <c r="L648" s="1653"/>
      <c r="M648" s="1653"/>
      <c r="N648" s="1653"/>
      <c r="O648" s="1653"/>
      <c r="P648" s="1653"/>
      <c r="Q648" s="1653"/>
      <c r="R648" s="1653"/>
      <c r="S648" s="1653"/>
      <c r="T648" s="1653"/>
      <c r="U648" s="1653"/>
      <c r="V648" s="1653"/>
      <c r="W648" s="1653"/>
      <c r="X648" s="1653"/>
      <c r="Y648" s="1653"/>
      <c r="Z648" s="1653"/>
      <c r="AA648" s="1653"/>
      <c r="AB648" s="1653"/>
      <c r="AC648" s="1653"/>
      <c r="AD648" s="461"/>
      <c r="AE648" s="461"/>
      <c r="AF648" s="461"/>
      <c r="AG648" s="461"/>
      <c r="AH648" s="461"/>
      <c r="AI648" s="461"/>
      <c r="AJ648" s="461"/>
      <c r="AK648" s="461"/>
      <c r="AL648" s="461"/>
      <c r="AN648" s="522"/>
    </row>
    <row r="649" spans="1:42" s="475" customFormat="1" ht="15" customHeight="1">
      <c r="B649" s="461"/>
      <c r="C649" s="464"/>
      <c r="D649" s="461"/>
      <c r="E649" s="866"/>
      <c r="F649" s="866"/>
      <c r="G649" s="866"/>
      <c r="H649" s="866"/>
      <c r="I649" s="866"/>
      <c r="J649" s="866"/>
      <c r="K649" s="866"/>
      <c r="L649" s="866"/>
      <c r="M649" s="866"/>
      <c r="N649" s="866"/>
      <c r="O649" s="866"/>
      <c r="P649" s="866"/>
      <c r="Q649" s="866"/>
      <c r="R649" s="866"/>
      <c r="S649" s="866"/>
      <c r="T649" s="866"/>
      <c r="U649" s="866"/>
      <c r="V649" s="866"/>
      <c r="W649" s="866"/>
      <c r="X649" s="866"/>
      <c r="Y649" s="866"/>
      <c r="Z649" s="866"/>
      <c r="AA649" s="866"/>
      <c r="AB649" s="866"/>
      <c r="AC649" s="461"/>
      <c r="AD649" s="461"/>
      <c r="AE649" s="461"/>
      <c r="AF649" s="461"/>
      <c r="AG649" s="461"/>
      <c r="AH649" s="461"/>
      <c r="AI649" s="461"/>
      <c r="AJ649" s="461"/>
      <c r="AK649" s="461"/>
      <c r="AL649" s="461"/>
      <c r="AN649" s="522"/>
    </row>
    <row r="650" spans="1:42" s="475" customFormat="1" ht="12.75" customHeight="1">
      <c r="B650" s="461"/>
      <c r="C650" s="464"/>
      <c r="D650" s="588" t="s">
        <v>26</v>
      </c>
      <c r="E650" s="1653" t="s">
        <v>2330</v>
      </c>
      <c r="F650" s="1653"/>
      <c r="G650" s="1653"/>
      <c r="H650" s="1653"/>
      <c r="I650" s="1653"/>
      <c r="J650" s="1653"/>
      <c r="K650" s="1653"/>
      <c r="L650" s="1653"/>
      <c r="M650" s="1653"/>
      <c r="N650" s="1653"/>
      <c r="O650" s="1653"/>
      <c r="P650" s="1653"/>
      <c r="Q650" s="1653"/>
      <c r="R650" s="1653"/>
      <c r="S650" s="1653"/>
      <c r="T650" s="1653"/>
      <c r="U650" s="1653"/>
      <c r="V650" s="1653"/>
      <c r="W650" s="1653"/>
      <c r="X650" s="1653"/>
      <c r="Y650" s="1653"/>
      <c r="Z650" s="1653"/>
      <c r="AA650" s="1653"/>
      <c r="AB650" s="1653"/>
      <c r="AC650" s="1653"/>
      <c r="AD650" s="461"/>
      <c r="AE650" s="461"/>
      <c r="AF650" s="1733" t="s">
        <v>2296</v>
      </c>
      <c r="AG650" s="1733"/>
      <c r="AH650" s="1733"/>
      <c r="AI650" s="1733"/>
      <c r="AJ650" s="1733"/>
      <c r="AK650" s="1733"/>
      <c r="AL650" s="1733"/>
      <c r="AN650" s="522"/>
    </row>
    <row r="651" spans="1:42" s="475" customFormat="1" ht="12.75" customHeight="1">
      <c r="B651" s="461"/>
      <c r="C651" s="464"/>
      <c r="D651" s="461"/>
      <c r="E651" s="1653"/>
      <c r="F651" s="1653"/>
      <c r="G651" s="1653"/>
      <c r="H651" s="1653"/>
      <c r="I651" s="1653"/>
      <c r="J651" s="1653"/>
      <c r="K651" s="1653"/>
      <c r="L651" s="1653"/>
      <c r="M651" s="1653"/>
      <c r="N651" s="1653"/>
      <c r="O651" s="1653"/>
      <c r="P651" s="1653"/>
      <c r="Q651" s="1653"/>
      <c r="R651" s="1653"/>
      <c r="S651" s="1653"/>
      <c r="T651" s="1653"/>
      <c r="U651" s="1653"/>
      <c r="V651" s="1653"/>
      <c r="W651" s="1653"/>
      <c r="X651" s="1653"/>
      <c r="Y651" s="1653"/>
      <c r="Z651" s="1653"/>
      <c r="AA651" s="1653"/>
      <c r="AB651" s="1653"/>
      <c r="AC651" s="1653"/>
      <c r="AD651" s="461"/>
      <c r="AE651" s="461"/>
      <c r="AF651" s="461"/>
      <c r="AG651" s="461"/>
      <c r="AH651" s="461"/>
      <c r="AI651" s="461"/>
      <c r="AJ651" s="461"/>
      <c r="AK651" s="461"/>
      <c r="AL651" s="461"/>
      <c r="AN651" s="522"/>
    </row>
    <row r="652" spans="1:42" s="475" customFormat="1" ht="15" customHeight="1">
      <c r="B652" s="461"/>
      <c r="C652" s="464"/>
      <c r="D652" s="588"/>
      <c r="E652" s="1653"/>
      <c r="F652" s="1653"/>
      <c r="G652" s="1653"/>
      <c r="H652" s="1653"/>
      <c r="I652" s="1653"/>
      <c r="J652" s="1653"/>
      <c r="K652" s="1653"/>
      <c r="L652" s="1653"/>
      <c r="M652" s="1653"/>
      <c r="N652" s="1653"/>
      <c r="O652" s="1653"/>
      <c r="P652" s="1653"/>
      <c r="Q652" s="1653"/>
      <c r="R652" s="1653"/>
      <c r="S652" s="1653"/>
      <c r="T652" s="1653"/>
      <c r="U652" s="1653"/>
      <c r="V652" s="1653"/>
      <c r="W652" s="1653"/>
      <c r="X652" s="1653"/>
      <c r="Y652" s="1653"/>
      <c r="Z652" s="1653"/>
      <c r="AA652" s="1653"/>
      <c r="AB652" s="1653"/>
      <c r="AC652" s="1653"/>
      <c r="AD652" s="461"/>
      <c r="AE652" s="461"/>
      <c r="AF652" s="461"/>
      <c r="AG652" s="461"/>
      <c r="AH652" s="461"/>
      <c r="AI652" s="461"/>
      <c r="AJ652" s="461"/>
      <c r="AK652" s="461"/>
      <c r="AL652" s="461"/>
      <c r="AN652" s="522"/>
    </row>
    <row r="653" spans="1:42" s="475" customFormat="1" ht="12.75" customHeight="1">
      <c r="B653" s="461"/>
      <c r="C653" s="464"/>
      <c r="D653" s="461"/>
      <c r="E653" s="866"/>
      <c r="F653" s="866"/>
      <c r="G653" s="866"/>
      <c r="H653" s="866"/>
      <c r="I653" s="866"/>
      <c r="J653" s="866"/>
      <c r="K653" s="866"/>
      <c r="L653" s="866"/>
      <c r="M653" s="866"/>
      <c r="N653" s="866"/>
      <c r="O653" s="866"/>
      <c r="P653" s="866"/>
      <c r="Q653" s="866"/>
      <c r="R653" s="866"/>
      <c r="S653" s="866"/>
      <c r="T653" s="866"/>
      <c r="U653" s="866"/>
      <c r="V653" s="866"/>
      <c r="W653" s="866"/>
      <c r="X653" s="866"/>
      <c r="Y653" s="866"/>
      <c r="Z653" s="866"/>
      <c r="AA653" s="866"/>
      <c r="AB653" s="866"/>
      <c r="AC653" s="461"/>
      <c r="AD653" s="461"/>
      <c r="AE653" s="461"/>
      <c r="AF653" s="461"/>
      <c r="AG653" s="461"/>
      <c r="AH653" s="461"/>
      <c r="AI653" s="461"/>
      <c r="AJ653" s="461"/>
      <c r="AK653" s="461"/>
      <c r="AL653" s="461"/>
      <c r="AN653" s="522"/>
    </row>
    <row r="654" spans="1:42" s="475" customFormat="1" ht="12.75" customHeight="1">
      <c r="B654" s="461"/>
      <c r="C654" s="464"/>
      <c r="D654" s="588" t="s">
        <v>48</v>
      </c>
      <c r="E654" s="1653" t="s">
        <v>2331</v>
      </c>
      <c r="F654" s="1653"/>
      <c r="G654" s="1653"/>
      <c r="H654" s="1653"/>
      <c r="I654" s="1653"/>
      <c r="J654" s="1653"/>
      <c r="K654" s="1653"/>
      <c r="L654" s="1653"/>
      <c r="M654" s="1653"/>
      <c r="N654" s="1653"/>
      <c r="O654" s="1653"/>
      <c r="P654" s="1653"/>
      <c r="Q654" s="1653"/>
      <c r="R654" s="1653"/>
      <c r="S654" s="1653"/>
      <c r="T654" s="1653"/>
      <c r="U654" s="1653"/>
      <c r="V654" s="1653"/>
      <c r="W654" s="1653"/>
      <c r="X654" s="1653"/>
      <c r="Y654" s="1653"/>
      <c r="Z654" s="1653"/>
      <c r="AA654" s="1653"/>
      <c r="AB654" s="1653"/>
      <c r="AC654" s="1653"/>
      <c r="AD654" s="461"/>
      <c r="AE654" s="461"/>
      <c r="AF654" s="1733" t="s">
        <v>2029</v>
      </c>
      <c r="AG654" s="1733"/>
      <c r="AH654" s="1733"/>
      <c r="AI654" s="1733"/>
      <c r="AJ654" s="1733"/>
      <c r="AK654" s="1733"/>
      <c r="AL654" s="1733"/>
      <c r="AN654" s="522"/>
    </row>
    <row r="655" spans="1:42" s="475" customFormat="1" ht="12.75" customHeight="1">
      <c r="B655" s="461"/>
      <c r="C655" s="851"/>
      <c r="D655" s="461"/>
      <c r="E655" s="1653"/>
      <c r="F655" s="1653"/>
      <c r="G655" s="1653"/>
      <c r="H655" s="1653"/>
      <c r="I655" s="1653"/>
      <c r="J655" s="1653"/>
      <c r="K655" s="1653"/>
      <c r="L655" s="1653"/>
      <c r="M655" s="1653"/>
      <c r="N655" s="1653"/>
      <c r="O655" s="1653"/>
      <c r="P655" s="1653"/>
      <c r="Q655" s="1653"/>
      <c r="R655" s="1653"/>
      <c r="S655" s="1653"/>
      <c r="T655" s="1653"/>
      <c r="U655" s="1653"/>
      <c r="V655" s="1653"/>
      <c r="W655" s="1653"/>
      <c r="X655" s="1653"/>
      <c r="Y655" s="1653"/>
      <c r="Z655" s="1653"/>
      <c r="AA655" s="1653"/>
      <c r="AB655" s="1653"/>
      <c r="AC655" s="1653"/>
      <c r="AD655" s="461"/>
      <c r="AE655" s="1733"/>
      <c r="AF655" s="1733"/>
      <c r="AG655" s="1733"/>
      <c r="AH655" s="1733"/>
      <c r="AI655" s="1733"/>
      <c r="AJ655" s="1733"/>
      <c r="AK655" s="1733"/>
      <c r="AL655" s="519"/>
      <c r="AN655" s="522"/>
      <c r="AO655" s="475" t="s">
        <v>299</v>
      </c>
      <c r="AP655" s="598">
        <v>0</v>
      </c>
    </row>
    <row r="656" spans="1:42" s="475" customFormat="1" ht="12.75" customHeight="1">
      <c r="A656" s="604"/>
      <c r="B656" s="461"/>
      <c r="C656" s="461"/>
      <c r="D656" s="588"/>
      <c r="E656" s="1653"/>
      <c r="F656" s="1653"/>
      <c r="G656" s="1653"/>
      <c r="H656" s="1653"/>
      <c r="I656" s="1653"/>
      <c r="J656" s="1653"/>
      <c r="K656" s="1653"/>
      <c r="L656" s="1653"/>
      <c r="M656" s="1653"/>
      <c r="N656" s="1653"/>
      <c r="O656" s="1653"/>
      <c r="P656" s="1653"/>
      <c r="Q656" s="1653"/>
      <c r="R656" s="1653"/>
      <c r="S656" s="1653"/>
      <c r="T656" s="1653"/>
      <c r="U656" s="1653"/>
      <c r="V656" s="1653"/>
      <c r="W656" s="1653"/>
      <c r="X656" s="1653"/>
      <c r="Y656" s="1653"/>
      <c r="Z656" s="1653"/>
      <c r="AA656" s="1653"/>
      <c r="AB656" s="1653"/>
      <c r="AC656" s="1653"/>
      <c r="AD656" s="461"/>
      <c r="AE656" s="461"/>
      <c r="AF656" s="461"/>
      <c r="AG656" s="461"/>
      <c r="AH656" s="461"/>
      <c r="AI656" s="461"/>
      <c r="AJ656" s="461"/>
      <c r="AK656" s="461"/>
      <c r="AL656" s="461"/>
      <c r="AN656" s="522"/>
      <c r="AO656" s="536" t="s">
        <v>21</v>
      </c>
      <c r="AP656" s="475">
        <v>3</v>
      </c>
    </row>
    <row r="657" spans="1:42" s="475" customFormat="1" ht="12.75" customHeight="1">
      <c r="B657" s="461"/>
      <c r="C657" s="851"/>
      <c r="D657" s="588"/>
      <c r="E657" s="500"/>
      <c r="F657" s="500"/>
      <c r="G657" s="500"/>
      <c r="H657" s="500"/>
      <c r="I657" s="500"/>
      <c r="J657" s="500"/>
      <c r="K657" s="500"/>
      <c r="L657" s="500"/>
      <c r="M657" s="500"/>
      <c r="N657" s="500"/>
      <c r="O657" s="500"/>
      <c r="P657" s="500"/>
      <c r="Q657" s="500"/>
      <c r="R657" s="500"/>
      <c r="S657" s="500"/>
      <c r="T657" s="500"/>
      <c r="U657" s="500"/>
      <c r="V657" s="500"/>
      <c r="W657" s="500"/>
      <c r="X657" s="500"/>
      <c r="Y657" s="500"/>
      <c r="Z657" s="500"/>
      <c r="AA657" s="500"/>
      <c r="AB657" s="500"/>
      <c r="AC657" s="461"/>
      <c r="AD657" s="461"/>
      <c r="AE657" s="461"/>
      <c r="AF657" s="461"/>
      <c r="AG657" s="461"/>
      <c r="AH657" s="461"/>
      <c r="AI657" s="461"/>
      <c r="AJ657" s="461"/>
      <c r="AK657" s="461"/>
      <c r="AL657" s="461"/>
      <c r="AN657" s="522"/>
      <c r="AO657" s="536" t="s">
        <v>26</v>
      </c>
      <c r="AP657" s="475">
        <v>2</v>
      </c>
    </row>
    <row r="658" spans="1:42" s="475" customFormat="1" ht="12.75" customHeight="1">
      <c r="A658" s="595"/>
      <c r="B658" s="461"/>
      <c r="C658" s="867"/>
      <c r="D658" s="588" t="s">
        <v>2288</v>
      </c>
      <c r="E658" s="1653" t="s">
        <v>2332</v>
      </c>
      <c r="F658" s="1653"/>
      <c r="G658" s="1653"/>
      <c r="H658" s="1653"/>
      <c r="I658" s="1653"/>
      <c r="J658" s="1653"/>
      <c r="K658" s="1653"/>
      <c r="L658" s="1653"/>
      <c r="M658" s="1653"/>
      <c r="N658" s="1653"/>
      <c r="O658" s="1653"/>
      <c r="P658" s="1653"/>
      <c r="Q658" s="1653"/>
      <c r="R658" s="1653"/>
      <c r="S658" s="1653"/>
      <c r="T658" s="1653"/>
      <c r="U658" s="1653"/>
      <c r="V658" s="1653"/>
      <c r="W658" s="1653"/>
      <c r="X658" s="1653"/>
      <c r="Y658" s="1653"/>
      <c r="Z658" s="1653"/>
      <c r="AA658" s="1653"/>
      <c r="AB658" s="1653"/>
      <c r="AC658" s="1653"/>
      <c r="AD658" s="461"/>
      <c r="AE658" s="461"/>
      <c r="AF658" s="1733" t="s">
        <v>2296</v>
      </c>
      <c r="AG658" s="1733"/>
      <c r="AH658" s="1733"/>
      <c r="AI658" s="1733"/>
      <c r="AJ658" s="1733"/>
      <c r="AK658" s="1733"/>
      <c r="AL658" s="1733"/>
      <c r="AN658" s="522"/>
    </row>
    <row r="659" spans="1:42" s="475" customFormat="1" ht="12.75" customHeight="1">
      <c r="A659" s="595"/>
      <c r="B659" s="461"/>
      <c r="C659" s="867"/>
      <c r="D659" s="588"/>
      <c r="E659" s="1653"/>
      <c r="F659" s="1653"/>
      <c r="G659" s="1653"/>
      <c r="H659" s="1653"/>
      <c r="I659" s="1653"/>
      <c r="J659" s="1653"/>
      <c r="K659" s="1653"/>
      <c r="L659" s="1653"/>
      <c r="M659" s="1653"/>
      <c r="N659" s="1653"/>
      <c r="O659" s="1653"/>
      <c r="P659" s="1653"/>
      <c r="Q659" s="1653"/>
      <c r="R659" s="1653"/>
      <c r="S659" s="1653"/>
      <c r="T659" s="1653"/>
      <c r="U659" s="1653"/>
      <c r="V659" s="1653"/>
      <c r="W659" s="1653"/>
      <c r="X659" s="1653"/>
      <c r="Y659" s="1653"/>
      <c r="Z659" s="1653"/>
      <c r="AA659" s="1653"/>
      <c r="AB659" s="1653"/>
      <c r="AC659" s="1653"/>
      <c r="AD659" s="461"/>
      <c r="AE659" s="519"/>
      <c r="AF659" s="519"/>
      <c r="AG659" s="519"/>
      <c r="AH659" s="519"/>
      <c r="AI659" s="519"/>
      <c r="AJ659" s="519"/>
      <c r="AK659" s="519"/>
      <c r="AL659" s="519"/>
      <c r="AM659" s="521"/>
      <c r="AN659" s="522"/>
    </row>
    <row r="660" spans="1:42" s="475" customFormat="1" ht="12.75" customHeight="1">
      <c r="A660" s="595"/>
      <c r="B660" s="461"/>
      <c r="C660" s="867"/>
      <c r="D660" s="588"/>
      <c r="E660" s="1653"/>
      <c r="F660" s="1653"/>
      <c r="G660" s="1653"/>
      <c r="H660" s="1653"/>
      <c r="I660" s="1653"/>
      <c r="J660" s="1653"/>
      <c r="K660" s="1653"/>
      <c r="L660" s="1653"/>
      <c r="M660" s="1653"/>
      <c r="N660" s="1653"/>
      <c r="O660" s="1653"/>
      <c r="P660" s="1653"/>
      <c r="Q660" s="1653"/>
      <c r="R660" s="1653"/>
      <c r="S660" s="1653"/>
      <c r="T660" s="1653"/>
      <c r="U660" s="1653"/>
      <c r="V660" s="1653"/>
      <c r="W660" s="1653"/>
      <c r="X660" s="1653"/>
      <c r="Y660" s="1653"/>
      <c r="Z660" s="1653"/>
      <c r="AA660" s="1653"/>
      <c r="AB660" s="1653"/>
      <c r="AC660" s="1653"/>
      <c r="AD660" s="461"/>
      <c r="AE660" s="519"/>
      <c r="AF660" s="519"/>
      <c r="AG660" s="519"/>
      <c r="AH660" s="519"/>
      <c r="AI660" s="519"/>
      <c r="AJ660" s="519"/>
      <c r="AK660" s="519"/>
      <c r="AL660" s="519"/>
      <c r="AM660" s="521"/>
      <c r="AN660" s="522"/>
    </row>
    <row r="661" spans="1:42" s="475" customFormat="1" ht="12.75" customHeight="1">
      <c r="B661" s="461"/>
      <c r="C661" s="851"/>
      <c r="D661" s="588"/>
      <c r="E661" s="567"/>
      <c r="F661" s="567"/>
      <c r="G661" s="567"/>
      <c r="H661" s="567"/>
      <c r="I661" s="567"/>
      <c r="J661" s="567"/>
      <c r="K661" s="567"/>
      <c r="L661" s="567"/>
      <c r="M661" s="567"/>
      <c r="N661" s="567"/>
      <c r="O661" s="567"/>
      <c r="P661" s="567"/>
      <c r="Q661" s="567"/>
      <c r="R661" s="567"/>
      <c r="S661" s="567"/>
      <c r="T661" s="567"/>
      <c r="U661" s="567"/>
      <c r="V661" s="567"/>
      <c r="W661" s="567"/>
      <c r="X661" s="567"/>
      <c r="Y661" s="567"/>
      <c r="Z661" s="567"/>
      <c r="AA661" s="567"/>
      <c r="AB661" s="567"/>
      <c r="AC661" s="464"/>
      <c r="AD661" s="464"/>
      <c r="AE661" s="461"/>
      <c r="AF661" s="461"/>
      <c r="AG661" s="461"/>
      <c r="AH661" s="461"/>
      <c r="AI661" s="461"/>
      <c r="AJ661" s="461"/>
      <c r="AK661" s="461"/>
      <c r="AL661" s="519"/>
      <c r="AM661" s="521"/>
      <c r="AN661" s="522"/>
    </row>
    <row r="662" spans="1:42" s="475" customFormat="1" ht="12.75" customHeight="1">
      <c r="B662" s="461"/>
      <c r="C662" s="851"/>
      <c r="D662" s="588" t="s">
        <v>2291</v>
      </c>
      <c r="E662" s="1653" t="s">
        <v>2333</v>
      </c>
      <c r="F662" s="1653"/>
      <c r="G662" s="1653"/>
      <c r="H662" s="1653"/>
      <c r="I662" s="1653"/>
      <c r="J662" s="1653"/>
      <c r="K662" s="1653"/>
      <c r="L662" s="1653"/>
      <c r="M662" s="1653"/>
      <c r="N662" s="1653"/>
      <c r="O662" s="1653"/>
      <c r="P662" s="1653"/>
      <c r="Q662" s="1653"/>
      <c r="R662" s="1653"/>
      <c r="S662" s="1653"/>
      <c r="T662" s="1653"/>
      <c r="U662" s="1653"/>
      <c r="V662" s="1653"/>
      <c r="W662" s="1653"/>
      <c r="X662" s="1653"/>
      <c r="Y662" s="1653"/>
      <c r="Z662" s="1653"/>
      <c r="AA662" s="1653"/>
      <c r="AB662" s="1653"/>
      <c r="AC662" s="1653"/>
      <c r="AD662" s="461"/>
      <c r="AE662" s="461"/>
      <c r="AF662" s="1733" t="s">
        <v>2029</v>
      </c>
      <c r="AG662" s="1733"/>
      <c r="AH662" s="1733"/>
      <c r="AI662" s="1733"/>
      <c r="AJ662" s="1733"/>
      <c r="AK662" s="1733"/>
      <c r="AL662" s="1733"/>
      <c r="AM662" s="521"/>
      <c r="AN662" s="522"/>
    </row>
    <row r="663" spans="1:42" s="475" customFormat="1" ht="12.75" customHeight="1">
      <c r="B663" s="461"/>
      <c r="C663" s="851"/>
      <c r="D663" s="588"/>
      <c r="E663" s="1653"/>
      <c r="F663" s="1653"/>
      <c r="G663" s="1653"/>
      <c r="H663" s="1653"/>
      <c r="I663" s="1653"/>
      <c r="J663" s="1653"/>
      <c r="K663" s="1653"/>
      <c r="L663" s="1653"/>
      <c r="M663" s="1653"/>
      <c r="N663" s="1653"/>
      <c r="O663" s="1653"/>
      <c r="P663" s="1653"/>
      <c r="Q663" s="1653"/>
      <c r="R663" s="1653"/>
      <c r="S663" s="1653"/>
      <c r="T663" s="1653"/>
      <c r="U663" s="1653"/>
      <c r="V663" s="1653"/>
      <c r="W663" s="1653"/>
      <c r="X663" s="1653"/>
      <c r="Y663" s="1653"/>
      <c r="Z663" s="1653"/>
      <c r="AA663" s="1653"/>
      <c r="AB663" s="1653"/>
      <c r="AC663" s="1653"/>
      <c r="AD663" s="461"/>
      <c r="AE663" s="461"/>
      <c r="AF663" s="461"/>
      <c r="AG663" s="461"/>
      <c r="AH663" s="461"/>
      <c r="AI663" s="461"/>
      <c r="AJ663" s="461"/>
      <c r="AK663" s="461"/>
      <c r="AL663" s="461"/>
      <c r="AM663" s="521"/>
      <c r="AN663" s="522"/>
    </row>
    <row r="664" spans="1:42" s="475" customFormat="1" ht="12.75" customHeight="1">
      <c r="B664" s="461"/>
      <c r="C664" s="851"/>
      <c r="D664" s="588"/>
      <c r="E664" s="1653"/>
      <c r="F664" s="1653"/>
      <c r="G664" s="1653"/>
      <c r="H664" s="1653"/>
      <c r="I664" s="1653"/>
      <c r="J664" s="1653"/>
      <c r="K664" s="1653"/>
      <c r="L664" s="1653"/>
      <c r="M664" s="1653"/>
      <c r="N664" s="1653"/>
      <c r="O664" s="1653"/>
      <c r="P664" s="1653"/>
      <c r="Q664" s="1653"/>
      <c r="R664" s="1653"/>
      <c r="S664" s="1653"/>
      <c r="T664" s="1653"/>
      <c r="U664" s="1653"/>
      <c r="V664" s="1653"/>
      <c r="W664" s="1653"/>
      <c r="X664" s="1653"/>
      <c r="Y664" s="1653"/>
      <c r="Z664" s="1653"/>
      <c r="AA664" s="1653"/>
      <c r="AB664" s="1653"/>
      <c r="AC664" s="1653"/>
      <c r="AD664" s="461"/>
      <c r="AE664" s="461"/>
      <c r="AF664" s="461"/>
      <c r="AG664" s="461"/>
      <c r="AH664" s="461"/>
      <c r="AI664" s="461"/>
      <c r="AJ664" s="461"/>
      <c r="AK664" s="461"/>
      <c r="AL664" s="461"/>
      <c r="AM664" s="521"/>
      <c r="AN664" s="522"/>
    </row>
    <row r="665" spans="1:42" s="475" customFormat="1" ht="12.75" customHeight="1">
      <c r="B665" s="461"/>
      <c r="C665" s="851"/>
      <c r="D665" s="588"/>
      <c r="E665" s="461"/>
      <c r="F665" s="461"/>
      <c r="G665" s="461"/>
      <c r="H665" s="461"/>
      <c r="I665" s="461"/>
      <c r="J665" s="461"/>
      <c r="K665" s="461"/>
      <c r="L665" s="461"/>
      <c r="M665" s="461"/>
      <c r="N665" s="461"/>
      <c r="O665" s="461"/>
      <c r="P665" s="461"/>
      <c r="Q665" s="461"/>
      <c r="R665" s="461"/>
      <c r="S665" s="461"/>
      <c r="T665" s="461"/>
      <c r="U665" s="461"/>
      <c r="V665" s="461"/>
      <c r="W665" s="461"/>
      <c r="X665" s="461"/>
      <c r="Y665" s="461"/>
      <c r="Z665" s="461"/>
      <c r="AA665" s="461"/>
      <c r="AB665" s="461"/>
      <c r="AC665" s="461"/>
      <c r="AD665" s="461"/>
      <c r="AE665" s="461"/>
      <c r="AF665" s="461"/>
      <c r="AG665" s="461"/>
      <c r="AH665" s="461"/>
      <c r="AI665" s="461"/>
      <c r="AJ665" s="461"/>
      <c r="AK665" s="461"/>
      <c r="AL665" s="461"/>
      <c r="AM665" s="521"/>
      <c r="AN665" s="522"/>
    </row>
    <row r="666" spans="1:42" s="475" customFormat="1" ht="12.75" customHeight="1">
      <c r="A666" s="604"/>
      <c r="B666" s="461"/>
      <c r="C666" s="851"/>
      <c r="D666" s="588" t="s">
        <v>2319</v>
      </c>
      <c r="E666" s="1653" t="s">
        <v>2334</v>
      </c>
      <c r="F666" s="1653"/>
      <c r="G666" s="1653"/>
      <c r="H666" s="1653"/>
      <c r="I666" s="1653"/>
      <c r="J666" s="1653"/>
      <c r="K666" s="1653"/>
      <c r="L666" s="1653"/>
      <c r="M666" s="1653"/>
      <c r="N666" s="1653"/>
      <c r="O666" s="1653"/>
      <c r="P666" s="1653"/>
      <c r="Q666" s="1653"/>
      <c r="R666" s="1653"/>
      <c r="S666" s="1653"/>
      <c r="T666" s="1653"/>
      <c r="U666" s="1653"/>
      <c r="V666" s="1653"/>
      <c r="W666" s="1653"/>
      <c r="X666" s="1653"/>
      <c r="Y666" s="1653"/>
      <c r="Z666" s="1653"/>
      <c r="AA666" s="1653"/>
      <c r="AB666" s="1653"/>
      <c r="AC666" s="1653"/>
      <c r="AD666" s="461"/>
      <c r="AE666" s="461"/>
      <c r="AF666" s="1733" t="s">
        <v>2318</v>
      </c>
      <c r="AG666" s="1733"/>
      <c r="AH666" s="1733"/>
      <c r="AI666" s="1733"/>
      <c r="AJ666" s="1733"/>
      <c r="AK666" s="1733"/>
      <c r="AL666" s="1733"/>
      <c r="AM666" s="521"/>
      <c r="AN666" s="522"/>
    </row>
    <row r="667" spans="1:42" s="475" customFormat="1" ht="12.75" customHeight="1">
      <c r="A667" s="604"/>
      <c r="B667" s="461"/>
      <c r="C667" s="851"/>
      <c r="D667" s="588"/>
      <c r="E667" s="1653"/>
      <c r="F667" s="1653"/>
      <c r="G667" s="1653"/>
      <c r="H667" s="1653"/>
      <c r="I667" s="1653"/>
      <c r="J667" s="1653"/>
      <c r="K667" s="1653"/>
      <c r="L667" s="1653"/>
      <c r="M667" s="1653"/>
      <c r="N667" s="1653"/>
      <c r="O667" s="1653"/>
      <c r="P667" s="1653"/>
      <c r="Q667" s="1653"/>
      <c r="R667" s="1653"/>
      <c r="S667" s="1653"/>
      <c r="T667" s="1653"/>
      <c r="U667" s="1653"/>
      <c r="V667" s="1653"/>
      <c r="W667" s="1653"/>
      <c r="X667" s="1653"/>
      <c r="Y667" s="1653"/>
      <c r="Z667" s="1653"/>
      <c r="AA667" s="1653"/>
      <c r="AB667" s="1653"/>
      <c r="AC667" s="1653"/>
      <c r="AD667" s="461"/>
      <c r="AE667" s="461"/>
      <c r="AF667" s="519"/>
      <c r="AG667" s="519"/>
      <c r="AH667" s="519"/>
      <c r="AI667" s="519"/>
      <c r="AJ667" s="519"/>
      <c r="AK667" s="519"/>
      <c r="AL667" s="519"/>
      <c r="AM667" s="521"/>
      <c r="AN667" s="522"/>
    </row>
    <row r="668" spans="1:42" s="475" customFormat="1" ht="12.75" customHeight="1">
      <c r="A668" s="604"/>
      <c r="B668" s="461"/>
      <c r="C668" s="851"/>
      <c r="D668" s="588"/>
      <c r="E668" s="1653"/>
      <c r="F668" s="1653"/>
      <c r="G668" s="1653"/>
      <c r="H668" s="1653"/>
      <c r="I668" s="1653"/>
      <c r="J668" s="1653"/>
      <c r="K668" s="1653"/>
      <c r="L668" s="1653"/>
      <c r="M668" s="1653"/>
      <c r="N668" s="1653"/>
      <c r="O668" s="1653"/>
      <c r="P668" s="1653"/>
      <c r="Q668" s="1653"/>
      <c r="R668" s="1653"/>
      <c r="S668" s="1653"/>
      <c r="T668" s="1653"/>
      <c r="U668" s="1653"/>
      <c r="V668" s="1653"/>
      <c r="W668" s="1653"/>
      <c r="X668" s="1653"/>
      <c r="Y668" s="1653"/>
      <c r="Z668" s="1653"/>
      <c r="AA668" s="1653"/>
      <c r="AB668" s="1653"/>
      <c r="AC668" s="1653"/>
      <c r="AD668" s="461"/>
      <c r="AE668" s="519"/>
      <c r="AF668" s="519"/>
      <c r="AG668" s="519"/>
      <c r="AH668" s="519"/>
      <c r="AI668" s="519"/>
      <c r="AJ668" s="519"/>
      <c r="AK668" s="519"/>
      <c r="AL668" s="519"/>
      <c r="AM668" s="521"/>
      <c r="AN668" s="522"/>
    </row>
    <row r="669" spans="1:42" s="475" customFormat="1" ht="12.75" customHeight="1">
      <c r="A669" s="604"/>
      <c r="B669" s="461"/>
      <c r="C669" s="851"/>
      <c r="D669" s="588"/>
      <c r="E669" s="567"/>
      <c r="F669" s="567"/>
      <c r="G669" s="567"/>
      <c r="H669" s="567"/>
      <c r="I669" s="567"/>
      <c r="J669" s="567"/>
      <c r="K669" s="567"/>
      <c r="L669" s="567"/>
      <c r="M669" s="567"/>
      <c r="N669" s="567"/>
      <c r="O669" s="567"/>
      <c r="P669" s="567"/>
      <c r="Q669" s="567"/>
      <c r="R669" s="567"/>
      <c r="S669" s="567"/>
      <c r="T669" s="567"/>
      <c r="U669" s="567"/>
      <c r="V669" s="567"/>
      <c r="W669" s="567"/>
      <c r="X669" s="567"/>
      <c r="Y669" s="567"/>
      <c r="Z669" s="567"/>
      <c r="AA669" s="567"/>
      <c r="AB669" s="567"/>
      <c r="AC669" s="567"/>
      <c r="AD669" s="461"/>
      <c r="AE669" s="519"/>
      <c r="AF669" s="461"/>
      <c r="AG669" s="461"/>
      <c r="AH669" s="461"/>
      <c r="AI669" s="461"/>
      <c r="AJ669" s="461"/>
      <c r="AK669" s="461"/>
      <c r="AL669" s="461"/>
      <c r="AM669" s="521"/>
      <c r="AN669" s="522"/>
      <c r="AO669" s="475" t="s">
        <v>299</v>
      </c>
      <c r="AP669" s="562">
        <v>0</v>
      </c>
    </row>
    <row r="670" spans="1:42" s="475" customFormat="1" ht="12.75" customHeight="1">
      <c r="A670" s="604"/>
      <c r="B670" s="461"/>
      <c r="C670" s="851"/>
      <c r="D670" s="588" t="s">
        <v>2321</v>
      </c>
      <c r="E670" s="1653" t="s">
        <v>2335</v>
      </c>
      <c r="F670" s="1653"/>
      <c r="G670" s="1653"/>
      <c r="H670" s="1653"/>
      <c r="I670" s="1653"/>
      <c r="J670" s="1653"/>
      <c r="K670" s="1653"/>
      <c r="L670" s="1653"/>
      <c r="M670" s="1653"/>
      <c r="N670" s="1653"/>
      <c r="O670" s="1653"/>
      <c r="P670" s="1653"/>
      <c r="Q670" s="1653"/>
      <c r="R670" s="1653"/>
      <c r="S670" s="1653"/>
      <c r="T670" s="1653"/>
      <c r="U670" s="1653"/>
      <c r="V670" s="1653"/>
      <c r="W670" s="1653"/>
      <c r="X670" s="1653"/>
      <c r="Y670" s="1653"/>
      <c r="Z670" s="1653"/>
      <c r="AA670" s="1653"/>
      <c r="AB670" s="1653"/>
      <c r="AC670" s="1653"/>
      <c r="AD670" s="461"/>
      <c r="AE670" s="461"/>
      <c r="AF670" s="1733" t="s">
        <v>2336</v>
      </c>
      <c r="AG670" s="1733"/>
      <c r="AH670" s="1733"/>
      <c r="AI670" s="1733"/>
      <c r="AJ670" s="1733"/>
      <c r="AK670" s="1733"/>
      <c r="AL670" s="1733"/>
      <c r="AM670" s="521"/>
      <c r="AN670" s="522"/>
      <c r="AO670" s="536" t="s">
        <v>21</v>
      </c>
      <c r="AP670" s="475">
        <v>3</v>
      </c>
    </row>
    <row r="671" spans="1:42" s="475" customFormat="1" ht="12.75" customHeight="1">
      <c r="A671" s="604"/>
      <c r="B671" s="461"/>
      <c r="C671" s="851"/>
      <c r="D671" s="588"/>
      <c r="E671" s="1653"/>
      <c r="F671" s="1653"/>
      <c r="G671" s="1653"/>
      <c r="H671" s="1653"/>
      <c r="I671" s="1653"/>
      <c r="J671" s="1653"/>
      <c r="K671" s="1653"/>
      <c r="L671" s="1653"/>
      <c r="M671" s="1653"/>
      <c r="N671" s="1653"/>
      <c r="O671" s="1653"/>
      <c r="P671" s="1653"/>
      <c r="Q671" s="1653"/>
      <c r="R671" s="1653"/>
      <c r="S671" s="1653"/>
      <c r="T671" s="1653"/>
      <c r="U671" s="1653"/>
      <c r="V671" s="1653"/>
      <c r="W671" s="1653"/>
      <c r="X671" s="1653"/>
      <c r="Y671" s="1653"/>
      <c r="Z671" s="1653"/>
      <c r="AA671" s="1653"/>
      <c r="AB671" s="1653"/>
      <c r="AC671" s="1653"/>
      <c r="AD671" s="461"/>
      <c r="AE671" s="461"/>
      <c r="AF671" s="519"/>
      <c r="AG671" s="519"/>
      <c r="AH671" s="519"/>
      <c r="AI671" s="519"/>
      <c r="AJ671" s="519"/>
      <c r="AK671" s="519"/>
      <c r="AL671" s="519"/>
      <c r="AM671" s="521"/>
      <c r="AN671" s="522"/>
      <c r="AO671" s="536" t="s">
        <v>26</v>
      </c>
      <c r="AP671" s="475">
        <v>2</v>
      </c>
    </row>
    <row r="672" spans="1:42" s="475" customFormat="1" ht="12.75" customHeight="1">
      <c r="A672" s="604"/>
      <c r="B672" s="461"/>
      <c r="C672" s="851"/>
      <c r="D672" s="588"/>
      <c r="E672" s="1653"/>
      <c r="F672" s="1653"/>
      <c r="G672" s="1653"/>
      <c r="H672" s="1653"/>
      <c r="I672" s="1653"/>
      <c r="J672" s="1653"/>
      <c r="K672" s="1653"/>
      <c r="L672" s="1653"/>
      <c r="M672" s="1653"/>
      <c r="N672" s="1653"/>
      <c r="O672" s="1653"/>
      <c r="P672" s="1653"/>
      <c r="Q672" s="1653"/>
      <c r="R672" s="1653"/>
      <c r="S672" s="1653"/>
      <c r="T672" s="1653"/>
      <c r="U672" s="1653"/>
      <c r="V672" s="1653"/>
      <c r="W672" s="1653"/>
      <c r="X672" s="1653"/>
      <c r="Y672" s="1653"/>
      <c r="Z672" s="1653"/>
      <c r="AA672" s="1653"/>
      <c r="AB672" s="1653"/>
      <c r="AC672" s="1653"/>
      <c r="AD672" s="461"/>
      <c r="AE672" s="519"/>
      <c r="AF672" s="519"/>
      <c r="AG672" s="519"/>
      <c r="AH672" s="519"/>
      <c r="AI672" s="519"/>
      <c r="AJ672" s="519"/>
      <c r="AK672" s="519"/>
      <c r="AL672" s="519"/>
      <c r="AM672" s="521"/>
      <c r="AN672" s="522"/>
    </row>
    <row r="673" spans="1:51" s="475" customFormat="1" ht="12.75" customHeight="1">
      <c r="A673" s="595"/>
      <c r="B673" s="461"/>
      <c r="C673" s="867"/>
      <c r="D673" s="588"/>
      <c r="E673" s="568"/>
      <c r="F673" s="568"/>
      <c r="G673" s="568"/>
      <c r="H673" s="568"/>
      <c r="I673" s="568"/>
      <c r="J673" s="568"/>
      <c r="K673" s="568"/>
      <c r="L673" s="568"/>
      <c r="M673" s="568"/>
      <c r="N673" s="568"/>
      <c r="O673" s="568"/>
      <c r="P673" s="568"/>
      <c r="Q673" s="568"/>
      <c r="R673" s="568"/>
      <c r="S673" s="568"/>
      <c r="T673" s="568"/>
      <c r="U673" s="568"/>
      <c r="V673" s="568"/>
      <c r="W673" s="568"/>
      <c r="X673" s="568"/>
      <c r="Y673" s="568"/>
      <c r="Z673" s="568"/>
      <c r="AA673" s="568"/>
      <c r="AB673" s="568"/>
      <c r="AC673" s="568"/>
      <c r="AD673" s="461"/>
      <c r="AE673" s="519"/>
      <c r="AF673" s="519"/>
      <c r="AG673" s="519"/>
      <c r="AH673" s="519"/>
      <c r="AI673" s="519"/>
      <c r="AJ673" s="519"/>
      <c r="AK673" s="519"/>
      <c r="AL673" s="519"/>
      <c r="AM673" s="521"/>
      <c r="AN673" s="522"/>
    </row>
    <row r="674" spans="1:51" s="475" customFormat="1" ht="12.75" customHeight="1">
      <c r="A674" s="604"/>
      <c r="B674" s="461"/>
      <c r="C674" s="851"/>
      <c r="D674" s="461" t="s">
        <v>2304</v>
      </c>
      <c r="E674" s="856"/>
      <c r="F674" s="856"/>
      <c r="G674" s="856"/>
      <c r="H674" s="1677" t="s">
        <v>26</v>
      </c>
      <c r="I674" s="1677"/>
      <c r="J674" s="541"/>
      <c r="K674" s="541"/>
      <c r="L674" s="461"/>
      <c r="M674" s="461"/>
      <c r="N674" s="461"/>
      <c r="O674" s="461"/>
      <c r="P674" s="461"/>
      <c r="Q674" s="461"/>
      <c r="R674" s="461"/>
      <c r="S674" s="461"/>
      <c r="T674" s="461"/>
      <c r="U674" s="461"/>
      <c r="V674" s="461"/>
      <c r="W674" s="461"/>
      <c r="X674" s="461"/>
      <c r="Y674" s="461"/>
      <c r="Z674" s="461"/>
      <c r="AA674" s="461"/>
      <c r="AB674" s="461"/>
      <c r="AC674" s="461"/>
      <c r="AD674" s="461"/>
      <c r="AE674" s="461"/>
      <c r="AF674" s="461"/>
      <c r="AG674" s="461"/>
      <c r="AH674" s="461"/>
      <c r="AI674" s="461"/>
      <c r="AJ674" s="461"/>
      <c r="AK674" s="461"/>
      <c r="AL674" s="461"/>
      <c r="AN674" s="522"/>
    </row>
    <row r="675" spans="1:51" s="475" customFormat="1" ht="12.75" customHeight="1">
      <c r="A675" s="604"/>
      <c r="B675" s="461"/>
      <c r="C675" s="851"/>
      <c r="D675" s="461"/>
      <c r="E675" s="856"/>
      <c r="F675" s="856"/>
      <c r="G675" s="541"/>
      <c r="H675" s="541"/>
      <c r="I675" s="541"/>
      <c r="J675" s="541"/>
      <c r="K675" s="541"/>
      <c r="L675" s="541"/>
      <c r="M675" s="541"/>
      <c r="N675" s="541"/>
      <c r="O675" s="541"/>
      <c r="P675" s="541"/>
      <c r="Q675" s="541"/>
      <c r="R675" s="541"/>
      <c r="S675" s="541"/>
      <c r="T675" s="541"/>
      <c r="U675" s="541"/>
      <c r="V675" s="541"/>
      <c r="W675" s="541"/>
      <c r="X675" s="541"/>
      <c r="Y675" s="541"/>
      <c r="Z675" s="856"/>
      <c r="AA675" s="856"/>
      <c r="AB675" s="856"/>
      <c r="AC675" s="461"/>
      <c r="AD675" s="461"/>
      <c r="AE675" s="461"/>
      <c r="AF675" s="461"/>
      <c r="AG675" s="541"/>
      <c r="AH675" s="541"/>
      <c r="AI675" s="541"/>
      <c r="AJ675" s="541"/>
      <c r="AK675" s="541"/>
      <c r="AL675" s="541"/>
      <c r="AM675" s="476"/>
      <c r="AN675" s="522"/>
    </row>
    <row r="676" spans="1:51" s="475" customFormat="1" ht="12.75" customHeight="1">
      <c r="A676" s="608"/>
      <c r="B676" s="526"/>
      <c r="C676" s="864"/>
      <c r="D676" s="526"/>
      <c r="E676" s="859"/>
      <c r="F676" s="590"/>
      <c r="G676" s="590"/>
      <c r="H676" s="590"/>
      <c r="I676" s="590"/>
      <c r="J676" s="590"/>
      <c r="K676" s="590"/>
      <c r="L676" s="590"/>
      <c r="M676" s="590"/>
      <c r="N676" s="590"/>
      <c r="O676" s="590"/>
      <c r="P676" s="590"/>
      <c r="Q676" s="590"/>
      <c r="R676" s="590"/>
      <c r="S676" s="590"/>
      <c r="T676" s="590"/>
      <c r="U676" s="590"/>
      <c r="V676" s="590"/>
      <c r="W676" s="590"/>
      <c r="X676" s="590"/>
      <c r="Y676" s="859"/>
      <c r="Z676" s="859"/>
      <c r="AA676" s="859"/>
      <c r="AB676" s="526"/>
      <c r="AC676" s="526"/>
      <c r="AD676" s="526"/>
      <c r="AE676" s="526"/>
      <c r="AF676" s="526"/>
      <c r="AG676" s="526"/>
      <c r="AH676" s="526"/>
      <c r="AI676" s="490" t="s">
        <v>2337</v>
      </c>
      <c r="AJ676" s="1660">
        <f>VLOOKUP($H$674,$AO$622:$AP$629,2,FALSE)</f>
        <v>4</v>
      </c>
      <c r="AK676" s="1662"/>
      <c r="AL676" s="520"/>
      <c r="AN676" s="522"/>
    </row>
    <row r="677" spans="1:51" s="475" customFormat="1" ht="12.75" customHeight="1">
      <c r="A677" s="604"/>
      <c r="B677" s="461"/>
      <c r="C677" s="851"/>
      <c r="D677" s="461"/>
      <c r="E677" s="541"/>
      <c r="F677" s="541"/>
      <c r="G677" s="541"/>
      <c r="H677" s="541"/>
      <c r="I677" s="541"/>
      <c r="J677" s="541"/>
      <c r="K677" s="541"/>
      <c r="L677" s="541"/>
      <c r="M677" s="541"/>
      <c r="N677" s="541"/>
      <c r="O677" s="541"/>
      <c r="P677" s="541"/>
      <c r="Q677" s="541"/>
      <c r="R677" s="541"/>
      <c r="S677" s="541"/>
      <c r="T677" s="541"/>
      <c r="U677" s="541"/>
      <c r="V677" s="541"/>
      <c r="W677" s="541"/>
      <c r="X677" s="541"/>
      <c r="Y677" s="541"/>
      <c r="Z677" s="541"/>
      <c r="AA677" s="541"/>
      <c r="AB677" s="541"/>
      <c r="AC677" s="541"/>
      <c r="AD677" s="565"/>
      <c r="AE677" s="461"/>
      <c r="AF677" s="461"/>
      <c r="AG677" s="461"/>
      <c r="AH677" s="461"/>
      <c r="AI677" s="461"/>
      <c r="AJ677" s="461"/>
      <c r="AK677" s="461"/>
      <c r="AL677" s="461"/>
      <c r="AN677" s="522"/>
    </row>
    <row r="678" spans="1:51" s="475" customFormat="1" ht="12.75" customHeight="1">
      <c r="A678" s="604"/>
      <c r="B678" s="461"/>
      <c r="C678" s="464" t="s">
        <v>2338</v>
      </c>
      <c r="D678" s="637"/>
      <c r="E678" s="541"/>
      <c r="F678" s="541"/>
      <c r="G678" s="541"/>
      <c r="H678" s="541"/>
      <c r="I678" s="541"/>
      <c r="J678" s="541"/>
      <c r="K678" s="541"/>
      <c r="L678" s="541"/>
      <c r="M678" s="541"/>
      <c r="N678" s="541"/>
      <c r="O678" s="541"/>
      <c r="P678" s="541"/>
      <c r="Q678" s="541"/>
      <c r="R678" s="541"/>
      <c r="S678" s="541"/>
      <c r="T678" s="541"/>
      <c r="U678" s="541"/>
      <c r="V678" s="541"/>
      <c r="W678" s="541"/>
      <c r="X678" s="541"/>
      <c r="Y678" s="541"/>
      <c r="Z678" s="541"/>
      <c r="AA678" s="541"/>
      <c r="AB678" s="541"/>
      <c r="AC678" s="541"/>
      <c r="AD678" s="565"/>
      <c r="AE678" s="461"/>
      <c r="AF678" s="461"/>
      <c r="AG678" s="461"/>
      <c r="AH678" s="461"/>
      <c r="AI678" s="461"/>
      <c r="AJ678" s="461"/>
      <c r="AK678" s="461"/>
      <c r="AL678" s="461"/>
      <c r="AN678" s="522"/>
      <c r="AW678" s="20" t="s">
        <v>2339</v>
      </c>
      <c r="AX678" s="475">
        <f>Application!Y212</f>
        <v>0</v>
      </c>
    </row>
    <row r="679" spans="1:51" s="475" customFormat="1" ht="12.75" customHeight="1">
      <c r="A679" s="604"/>
      <c r="B679" s="461"/>
      <c r="C679" s="868"/>
      <c r="D679" s="461"/>
      <c r="E679" s="461"/>
      <c r="F679" s="461"/>
      <c r="G679" s="461"/>
      <c r="H679" s="461"/>
      <c r="I679" s="461"/>
      <c r="J679" s="461"/>
      <c r="K679" s="461"/>
      <c r="L679" s="461"/>
      <c r="M679" s="461"/>
      <c r="N679" s="461"/>
      <c r="O679" s="461"/>
      <c r="P679" s="461"/>
      <c r="Q679" s="461"/>
      <c r="R679" s="461"/>
      <c r="S679" s="461"/>
      <c r="T679" s="461"/>
      <c r="U679" s="461"/>
      <c r="V679" s="461"/>
      <c r="W679" s="461"/>
      <c r="X679" s="461"/>
      <c r="Y679" s="461"/>
      <c r="Z679" s="461"/>
      <c r="AA679" s="461"/>
      <c r="AB679" s="461"/>
      <c r="AC679" s="461"/>
      <c r="AD679" s="461"/>
      <c r="AE679" s="461"/>
      <c r="AF679" s="461"/>
      <c r="AG679" s="461"/>
      <c r="AH679" s="461"/>
      <c r="AI679" s="461"/>
      <c r="AJ679" s="461"/>
      <c r="AK679" s="461"/>
      <c r="AL679" s="461"/>
      <c r="AN679" s="522"/>
      <c r="AW679" s="20" t="s">
        <v>2340</v>
      </c>
      <c r="AX679" s="1076">
        <f>Application!G753</f>
        <v>47</v>
      </c>
    </row>
    <row r="680" spans="1:51" s="475" customFormat="1" ht="12.75" customHeight="1">
      <c r="A680" s="604"/>
      <c r="B680" s="461"/>
      <c r="C680" s="868"/>
      <c r="D680" s="588" t="s">
        <v>21</v>
      </c>
      <c r="E680" s="1768" t="s">
        <v>2341</v>
      </c>
      <c r="F680" s="1768"/>
      <c r="G680" s="1768"/>
      <c r="H680" s="1768"/>
      <c r="I680" s="1768"/>
      <c r="J680" s="1768"/>
      <c r="K680" s="1768"/>
      <c r="L680" s="1768"/>
      <c r="M680" s="1768"/>
      <c r="N680" s="1768"/>
      <c r="O680" s="1768"/>
      <c r="P680" s="1768"/>
      <c r="Q680" s="1768"/>
      <c r="R680" s="1768"/>
      <c r="S680" s="1768"/>
      <c r="T680" s="1768"/>
      <c r="U680" s="1768"/>
      <c r="V680" s="1768"/>
      <c r="W680" s="1768"/>
      <c r="X680" s="1768"/>
      <c r="Y680" s="1768"/>
      <c r="Z680" s="1768"/>
      <c r="AA680" s="1768"/>
      <c r="AB680" s="1768"/>
      <c r="AC680" s="461"/>
      <c r="AD680" s="461"/>
      <c r="AE680" s="461"/>
      <c r="AF680" s="1733" t="s">
        <v>2029</v>
      </c>
      <c r="AG680" s="1733"/>
      <c r="AH680" s="1733"/>
      <c r="AI680" s="1733"/>
      <c r="AJ680" s="1733"/>
      <c r="AK680" s="1733"/>
      <c r="AL680" s="1733"/>
      <c r="AN680" s="522"/>
      <c r="AW680" s="20" t="s">
        <v>2342</v>
      </c>
      <c r="AX680" s="475">
        <f>Application!CC632</f>
        <v>12</v>
      </c>
    </row>
    <row r="681" spans="1:51" s="475" customFormat="1" ht="12.75" customHeight="1">
      <c r="A681" s="604"/>
      <c r="B681" s="461"/>
      <c r="C681" s="868"/>
      <c r="D681" s="588"/>
      <c r="E681" s="1768"/>
      <c r="F681" s="1768"/>
      <c r="G681" s="1768"/>
      <c r="H681" s="1768"/>
      <c r="I681" s="1768"/>
      <c r="J681" s="1768"/>
      <c r="K681" s="1768"/>
      <c r="L681" s="1768"/>
      <c r="M681" s="1768"/>
      <c r="N681" s="1768"/>
      <c r="O681" s="1768"/>
      <c r="P681" s="1768"/>
      <c r="Q681" s="1768"/>
      <c r="R681" s="1768"/>
      <c r="S681" s="1768"/>
      <c r="T681" s="1768"/>
      <c r="U681" s="1768"/>
      <c r="V681" s="1768"/>
      <c r="W681" s="1768"/>
      <c r="X681" s="1768"/>
      <c r="Y681" s="1768"/>
      <c r="Z681" s="1768"/>
      <c r="AA681" s="1768"/>
      <c r="AB681" s="1768"/>
      <c r="AC681" s="461"/>
      <c r="AD681" s="461"/>
      <c r="AE681" s="461"/>
      <c r="AF681" s="461"/>
      <c r="AG681" s="461"/>
      <c r="AH681" s="461"/>
      <c r="AI681" s="461"/>
      <c r="AJ681" s="461"/>
      <c r="AK681" s="461"/>
      <c r="AL681" s="461"/>
      <c r="AN681" s="522"/>
      <c r="AW681" s="20" t="s">
        <v>2343</v>
      </c>
      <c r="AX681" s="475">
        <f>Application!CH632</f>
        <v>0</v>
      </c>
    </row>
    <row r="682" spans="1:51" s="475" customFormat="1" ht="12.75" customHeight="1">
      <c r="A682" s="604"/>
      <c r="B682" s="461"/>
      <c r="C682" s="868"/>
      <c r="D682" s="588"/>
      <c r="E682" s="461"/>
      <c r="F682" s="461"/>
      <c r="G682" s="461"/>
      <c r="H682" s="461"/>
      <c r="I682" s="461"/>
      <c r="J682" s="461"/>
      <c r="K682" s="461"/>
      <c r="L682" s="461"/>
      <c r="M682" s="461"/>
      <c r="N682" s="461"/>
      <c r="O682" s="461"/>
      <c r="P682" s="461"/>
      <c r="Q682" s="461"/>
      <c r="R682" s="461"/>
      <c r="S682" s="461"/>
      <c r="T682" s="461"/>
      <c r="U682" s="461"/>
      <c r="V682" s="461"/>
      <c r="W682" s="461"/>
      <c r="X682" s="461"/>
      <c r="Y682" s="461"/>
      <c r="Z682" s="461"/>
      <c r="AA682" s="461"/>
      <c r="AB682" s="461"/>
      <c r="AC682" s="461"/>
      <c r="AD682" s="461"/>
      <c r="AE682" s="461"/>
      <c r="AF682" s="461"/>
      <c r="AG682" s="461"/>
      <c r="AH682" s="461"/>
      <c r="AI682" s="461"/>
      <c r="AJ682" s="461"/>
      <c r="AK682" s="461"/>
      <c r="AL682" s="461"/>
      <c r="AN682" s="522"/>
      <c r="AW682" s="20" t="s">
        <v>2344</v>
      </c>
      <c r="AX682" s="475">
        <f>Application!CM632</f>
        <v>0</v>
      </c>
    </row>
    <row r="683" spans="1:51" s="475" customFormat="1" ht="12.75" customHeight="1">
      <c r="B683" s="461"/>
      <c r="C683" s="851"/>
      <c r="D683" s="588" t="s">
        <v>26</v>
      </c>
      <c r="E683" s="1653" t="s">
        <v>2345</v>
      </c>
      <c r="F683" s="1653"/>
      <c r="G683" s="1653"/>
      <c r="H683" s="1653"/>
      <c r="I683" s="1653"/>
      <c r="J683" s="1653"/>
      <c r="K683" s="1653"/>
      <c r="L683" s="1653"/>
      <c r="M683" s="1653"/>
      <c r="N683" s="1653"/>
      <c r="O683" s="1653"/>
      <c r="P683" s="1653"/>
      <c r="Q683" s="1653"/>
      <c r="R683" s="1653"/>
      <c r="S683" s="1653"/>
      <c r="T683" s="1653"/>
      <c r="U683" s="1653"/>
      <c r="V683" s="1653"/>
      <c r="W683" s="1653"/>
      <c r="X683" s="1653"/>
      <c r="Y683" s="1653"/>
      <c r="Z683" s="1653"/>
      <c r="AA683" s="1653"/>
      <c r="AB683" s="1653"/>
      <c r="AC683" s="461"/>
      <c r="AD683" s="461"/>
      <c r="AE683" s="461"/>
      <c r="AF683" s="1733" t="s">
        <v>2029</v>
      </c>
      <c r="AG683" s="1733"/>
      <c r="AH683" s="1733"/>
      <c r="AI683" s="1733"/>
      <c r="AJ683" s="1733"/>
      <c r="AK683" s="1733"/>
      <c r="AL683" s="1733"/>
      <c r="AN683" s="522"/>
      <c r="AW683" s="20" t="s">
        <v>2346</v>
      </c>
      <c r="AX683" s="475">
        <f>AX680+AX681+AX682</f>
        <v>12</v>
      </c>
    </row>
    <row r="684" spans="1:51" s="475" customFormat="1" ht="12.75" customHeight="1">
      <c r="B684" s="461"/>
      <c r="C684" s="860"/>
      <c r="D684" s="588"/>
      <c r="E684" s="1653"/>
      <c r="F684" s="1653"/>
      <c r="G684" s="1653"/>
      <c r="H684" s="1653"/>
      <c r="I684" s="1653"/>
      <c r="J684" s="1653"/>
      <c r="K684" s="1653"/>
      <c r="L684" s="1653"/>
      <c r="M684" s="1653"/>
      <c r="N684" s="1653"/>
      <c r="O684" s="1653"/>
      <c r="P684" s="1653"/>
      <c r="Q684" s="1653"/>
      <c r="R684" s="1653"/>
      <c r="S684" s="1653"/>
      <c r="T684" s="1653"/>
      <c r="U684" s="1653"/>
      <c r="V684" s="1653"/>
      <c r="W684" s="1653"/>
      <c r="X684" s="1653"/>
      <c r="Y684" s="1653"/>
      <c r="Z684" s="1653"/>
      <c r="AA684" s="1653"/>
      <c r="AB684" s="1653"/>
      <c r="AC684" s="461"/>
      <c r="AD684" s="461"/>
      <c r="AE684" s="541"/>
      <c r="AF684" s="461"/>
      <c r="AG684" s="461"/>
      <c r="AH684" s="461"/>
      <c r="AI684" s="461"/>
      <c r="AJ684" s="461"/>
      <c r="AK684" s="461"/>
      <c r="AL684" s="461"/>
      <c r="AN684" s="522"/>
      <c r="AO684" s="1668" t="b">
        <f>IF(Application!D211="Special Needs",IF(AY684&gt;=0.25,TRUE,FALSE),IF(AX684&gt;=0.25,TRUE,FALSE))</f>
        <v>1</v>
      </c>
      <c r="AP684" s="1668"/>
      <c r="AW684" s="20" t="s">
        <v>2347</v>
      </c>
      <c r="AX684" s="475">
        <f>IFERROR(AX683/AX679,0)</f>
        <v>0.25531914893617019</v>
      </c>
      <c r="AY684" s="475">
        <f>IFERROR(AX683/(AX679-AX678),0)</f>
        <v>0.25531914893617019</v>
      </c>
    </row>
    <row r="685" spans="1:51" s="475" customFormat="1" ht="12.75" customHeight="1">
      <c r="B685" s="461"/>
      <c r="C685" s="860"/>
      <c r="E685" s="1653"/>
      <c r="F685" s="1653"/>
      <c r="G685" s="1653"/>
      <c r="H685" s="1653"/>
      <c r="I685" s="1653"/>
      <c r="J685" s="1653"/>
      <c r="K685" s="1653"/>
      <c r="L685" s="1653"/>
      <c r="M685" s="1653"/>
      <c r="N685" s="1653"/>
      <c r="O685" s="1653"/>
      <c r="P685" s="1653"/>
      <c r="Q685" s="1653"/>
      <c r="R685" s="1653"/>
      <c r="S685" s="1653"/>
      <c r="T685" s="1653"/>
      <c r="U685" s="1653"/>
      <c r="V685" s="1653"/>
      <c r="W685" s="1653"/>
      <c r="X685" s="1653"/>
      <c r="Y685" s="1653"/>
      <c r="Z685" s="1653"/>
      <c r="AA685" s="1653"/>
      <c r="AB685" s="1653"/>
      <c r="AC685" s="461"/>
      <c r="AD685" s="461"/>
      <c r="AE685" s="541"/>
      <c r="AF685" s="541"/>
      <c r="AG685" s="541"/>
      <c r="AH685" s="541"/>
      <c r="AI685" s="541"/>
      <c r="AJ685" s="541"/>
      <c r="AK685" s="541"/>
      <c r="AL685" s="541"/>
      <c r="AN685" s="522"/>
      <c r="AW685" s="14"/>
    </row>
    <row r="686" spans="1:51" s="475" customFormat="1" ht="28.5" customHeight="1">
      <c r="B686" s="461"/>
      <c r="C686" s="860"/>
      <c r="D686" s="461"/>
      <c r="E686" s="1653"/>
      <c r="F686" s="1653"/>
      <c r="G686" s="1653"/>
      <c r="H686" s="1653"/>
      <c r="I686" s="1653"/>
      <c r="J686" s="1653"/>
      <c r="K686" s="1653"/>
      <c r="L686" s="1653"/>
      <c r="M686" s="1653"/>
      <c r="N686" s="1653"/>
      <c r="O686" s="1653"/>
      <c r="P686" s="1653"/>
      <c r="Q686" s="1653"/>
      <c r="R686" s="1653"/>
      <c r="S686" s="1653"/>
      <c r="T686" s="1653"/>
      <c r="U686" s="1653"/>
      <c r="V686" s="1653"/>
      <c r="W686" s="1653"/>
      <c r="X686" s="1653"/>
      <c r="Y686" s="1653"/>
      <c r="Z686" s="1653"/>
      <c r="AA686" s="1653"/>
      <c r="AB686" s="1653"/>
      <c r="AC686" s="461"/>
      <c r="AD686" s="461"/>
      <c r="AE686" s="541"/>
      <c r="AF686" s="541"/>
      <c r="AG686" s="541"/>
      <c r="AH686" s="541"/>
      <c r="AI686" s="541"/>
      <c r="AJ686" s="541"/>
      <c r="AK686" s="541"/>
      <c r="AL686" s="541"/>
      <c r="AN686" s="522"/>
      <c r="AO686" s="475" t="s">
        <v>299</v>
      </c>
      <c r="AP686" s="598">
        <v>0</v>
      </c>
    </row>
    <row r="687" spans="1:51" s="475" customFormat="1" ht="12.75" customHeight="1">
      <c r="B687" s="461"/>
      <c r="C687" s="860"/>
      <c r="E687" s="500"/>
      <c r="F687" s="500"/>
      <c r="G687" s="500"/>
      <c r="H687" s="500"/>
      <c r="I687" s="500"/>
      <c r="J687" s="500"/>
      <c r="K687" s="500"/>
      <c r="L687" s="500"/>
      <c r="M687" s="500"/>
      <c r="N687" s="500"/>
      <c r="O687" s="500"/>
      <c r="P687" s="500"/>
      <c r="Q687" s="500"/>
      <c r="R687" s="500"/>
      <c r="S687" s="500"/>
      <c r="T687" s="500"/>
      <c r="U687" s="500"/>
      <c r="V687" s="500"/>
      <c r="W687" s="500"/>
      <c r="X687" s="500"/>
      <c r="Y687" s="500"/>
      <c r="Z687" s="500"/>
      <c r="AA687" s="500"/>
      <c r="AB687" s="500"/>
      <c r="AC687" s="461"/>
      <c r="AD687" s="461"/>
      <c r="AE687" s="541"/>
      <c r="AF687" s="541"/>
      <c r="AG687" s="541"/>
      <c r="AH687" s="541"/>
      <c r="AI687" s="541"/>
      <c r="AJ687" s="541"/>
      <c r="AK687" s="541"/>
      <c r="AL687" s="541"/>
      <c r="AN687" s="522"/>
      <c r="AO687" s="536" t="s">
        <v>21</v>
      </c>
      <c r="AP687" s="475">
        <v>2</v>
      </c>
    </row>
    <row r="688" spans="1:51" s="475" customFormat="1" ht="12.75" customHeight="1">
      <c r="B688" s="461"/>
      <c r="C688" s="851"/>
      <c r="D688" s="588" t="s">
        <v>48</v>
      </c>
      <c r="E688" s="1653" t="s">
        <v>2348</v>
      </c>
      <c r="F688" s="1653"/>
      <c r="G688" s="1653"/>
      <c r="H688" s="1653"/>
      <c r="I688" s="1653"/>
      <c r="J688" s="1653"/>
      <c r="K688" s="1653"/>
      <c r="L688" s="1653"/>
      <c r="M688" s="1653"/>
      <c r="N688" s="1653"/>
      <c r="O688" s="1653"/>
      <c r="P688" s="1653"/>
      <c r="Q688" s="1653"/>
      <c r="R688" s="1653"/>
      <c r="S688" s="1653"/>
      <c r="T688" s="1653"/>
      <c r="U688" s="1653"/>
      <c r="V688" s="1653"/>
      <c r="W688" s="1653"/>
      <c r="X688" s="1653"/>
      <c r="Y688" s="1653"/>
      <c r="Z688" s="1653"/>
      <c r="AA688" s="1653"/>
      <c r="AB688" s="1653"/>
      <c r="AC688" s="461"/>
      <c r="AD688" s="461"/>
      <c r="AE688" s="461"/>
      <c r="AF688" s="1733" t="s">
        <v>2318</v>
      </c>
      <c r="AG688" s="1733"/>
      <c r="AH688" s="1733"/>
      <c r="AI688" s="1733"/>
      <c r="AJ688" s="1733"/>
      <c r="AK688" s="1733"/>
      <c r="AL688" s="1733"/>
      <c r="AN688" s="522"/>
      <c r="AO688" s="536" t="s">
        <v>26</v>
      </c>
      <c r="AP688" s="475">
        <v>1</v>
      </c>
    </row>
    <row r="689" spans="1:42" s="475" customFormat="1" ht="12" customHeight="1">
      <c r="B689" s="461"/>
      <c r="C689" s="851"/>
      <c r="E689" s="1653"/>
      <c r="F689" s="1653"/>
      <c r="G689" s="1653"/>
      <c r="H689" s="1653"/>
      <c r="I689" s="1653"/>
      <c r="J689" s="1653"/>
      <c r="K689" s="1653"/>
      <c r="L689" s="1653"/>
      <c r="M689" s="1653"/>
      <c r="N689" s="1653"/>
      <c r="O689" s="1653"/>
      <c r="P689" s="1653"/>
      <c r="Q689" s="1653"/>
      <c r="R689" s="1653"/>
      <c r="S689" s="1653"/>
      <c r="T689" s="1653"/>
      <c r="U689" s="1653"/>
      <c r="V689" s="1653"/>
      <c r="W689" s="1653"/>
      <c r="X689" s="1653"/>
      <c r="Y689" s="1653"/>
      <c r="Z689" s="1653"/>
      <c r="AA689" s="1653"/>
      <c r="AB689" s="1653"/>
      <c r="AC689" s="461"/>
      <c r="AD689" s="461"/>
      <c r="AE689" s="541"/>
      <c r="AF689" s="461"/>
      <c r="AG689" s="461"/>
      <c r="AH689" s="461"/>
      <c r="AI689" s="461"/>
      <c r="AJ689" s="461"/>
      <c r="AK689" s="461"/>
      <c r="AL689" s="461"/>
      <c r="AN689" s="522"/>
    </row>
    <row r="690" spans="1:42" s="475" customFormat="1" ht="12" customHeight="1">
      <c r="B690" s="461"/>
      <c r="C690" s="851"/>
      <c r="D690" s="461"/>
      <c r="E690" s="1653"/>
      <c r="F690" s="1653"/>
      <c r="G690" s="1653"/>
      <c r="H690" s="1653"/>
      <c r="I690" s="1653"/>
      <c r="J690" s="1653"/>
      <c r="K690" s="1653"/>
      <c r="L690" s="1653"/>
      <c r="M690" s="1653"/>
      <c r="N690" s="1653"/>
      <c r="O690" s="1653"/>
      <c r="P690" s="1653"/>
      <c r="Q690" s="1653"/>
      <c r="R690" s="1653"/>
      <c r="S690" s="1653"/>
      <c r="T690" s="1653"/>
      <c r="U690" s="1653"/>
      <c r="V690" s="1653"/>
      <c r="W690" s="1653"/>
      <c r="X690" s="1653"/>
      <c r="Y690" s="1653"/>
      <c r="Z690" s="1653"/>
      <c r="AA690" s="1653"/>
      <c r="AB690" s="1653"/>
      <c r="AC690" s="461"/>
      <c r="AD690" s="461"/>
      <c r="AE690" s="541"/>
      <c r="AF690" s="461"/>
      <c r="AG690" s="461"/>
      <c r="AH690" s="461"/>
      <c r="AI690" s="461"/>
      <c r="AJ690" s="461"/>
      <c r="AK690" s="461"/>
      <c r="AL690" s="461"/>
      <c r="AN690" s="522"/>
    </row>
    <row r="691" spans="1:42" s="475" customFormat="1" ht="12" customHeight="1">
      <c r="B691" s="461"/>
      <c r="C691" s="851"/>
      <c r="D691" s="461"/>
      <c r="E691" s="1653"/>
      <c r="F691" s="1653"/>
      <c r="G691" s="1653"/>
      <c r="H691" s="1653"/>
      <c r="I691" s="1653"/>
      <c r="J691" s="1653"/>
      <c r="K691" s="1653"/>
      <c r="L691" s="1653"/>
      <c r="M691" s="1653"/>
      <c r="N691" s="1653"/>
      <c r="O691" s="1653"/>
      <c r="P691" s="1653"/>
      <c r="Q691" s="1653"/>
      <c r="R691" s="1653"/>
      <c r="S691" s="1653"/>
      <c r="T691" s="1653"/>
      <c r="U691" s="1653"/>
      <c r="V691" s="1653"/>
      <c r="W691" s="1653"/>
      <c r="X691" s="1653"/>
      <c r="Y691" s="1653"/>
      <c r="Z691" s="1653"/>
      <c r="AA691" s="1653"/>
      <c r="AB691" s="1653"/>
      <c r="AC691" s="461"/>
      <c r="AD691" s="461"/>
      <c r="AE691" s="541"/>
      <c r="AF691" s="461"/>
      <c r="AG691" s="461"/>
      <c r="AH691" s="461"/>
      <c r="AI691" s="461"/>
      <c r="AJ691" s="461"/>
      <c r="AK691" s="461"/>
      <c r="AL691" s="461"/>
      <c r="AN691" s="522"/>
    </row>
    <row r="692" spans="1:42" s="495" customFormat="1" ht="12.95" customHeight="1">
      <c r="A692" s="475"/>
      <c r="B692" s="461"/>
      <c r="C692" s="851"/>
      <c r="D692" s="461"/>
      <c r="E692" s="1653"/>
      <c r="F692" s="1653"/>
      <c r="G692" s="1653"/>
      <c r="H692" s="1653"/>
      <c r="I692" s="1653"/>
      <c r="J692" s="1653"/>
      <c r="K692" s="1653"/>
      <c r="L692" s="1653"/>
      <c r="M692" s="1653"/>
      <c r="N692" s="1653"/>
      <c r="O692" s="1653"/>
      <c r="P692" s="1653"/>
      <c r="Q692" s="1653"/>
      <c r="R692" s="1653"/>
      <c r="S692" s="1653"/>
      <c r="T692" s="1653"/>
      <c r="U692" s="1653"/>
      <c r="V692" s="1653"/>
      <c r="W692" s="1653"/>
      <c r="X692" s="1653"/>
      <c r="Y692" s="1653"/>
      <c r="Z692" s="1653"/>
      <c r="AA692" s="1653"/>
      <c r="AB692" s="1653"/>
      <c r="AC692" s="461"/>
      <c r="AD692" s="461"/>
      <c r="AE692" s="541"/>
      <c r="AF692" s="541"/>
      <c r="AG692" s="541"/>
      <c r="AH692" s="541"/>
      <c r="AI692" s="541"/>
      <c r="AJ692" s="461"/>
      <c r="AK692" s="461"/>
      <c r="AL692" s="461"/>
      <c r="AM692" s="475"/>
      <c r="AN692" s="609"/>
      <c r="AO692" s="475" t="s">
        <v>299</v>
      </c>
      <c r="AP692" s="598">
        <v>0</v>
      </c>
    </row>
    <row r="693" spans="1:42" s="495" customFormat="1" ht="12" customHeight="1">
      <c r="A693" s="475"/>
      <c r="B693" s="461"/>
      <c r="C693" s="851"/>
      <c r="D693" s="461"/>
      <c r="E693" s="568"/>
      <c r="F693" s="568"/>
      <c r="G693" s="568"/>
      <c r="H693" s="568"/>
      <c r="I693" s="568"/>
      <c r="J693" s="568"/>
      <c r="K693" s="568"/>
      <c r="L693" s="568"/>
      <c r="M693" s="568"/>
      <c r="N693" s="568"/>
      <c r="O693" s="568"/>
      <c r="P693" s="568"/>
      <c r="Q693" s="568"/>
      <c r="R693" s="568"/>
      <c r="S693" s="568"/>
      <c r="T693" s="568"/>
      <c r="U693" s="568"/>
      <c r="V693" s="568"/>
      <c r="W693" s="568"/>
      <c r="X693" s="568"/>
      <c r="Y693" s="568"/>
      <c r="Z693" s="568"/>
      <c r="AA693" s="568"/>
      <c r="AB693" s="568"/>
      <c r="AC693" s="461"/>
      <c r="AD693" s="461"/>
      <c r="AE693" s="541"/>
      <c r="AF693" s="541"/>
      <c r="AG693" s="541"/>
      <c r="AH693" s="541"/>
      <c r="AI693" s="541"/>
      <c r="AJ693" s="461"/>
      <c r="AK693" s="461"/>
      <c r="AL693" s="461"/>
      <c r="AM693" s="475"/>
      <c r="AN693" s="609"/>
      <c r="AO693" s="536" t="s">
        <v>21</v>
      </c>
      <c r="AP693" s="475">
        <v>3</v>
      </c>
    </row>
    <row r="694" spans="1:42" s="495" customFormat="1" ht="12.75" customHeight="1">
      <c r="A694" s="475"/>
      <c r="B694" s="461"/>
      <c r="C694" s="851"/>
      <c r="D694" s="461"/>
      <c r="E694" s="1653" t="s">
        <v>2349</v>
      </c>
      <c r="F694" s="1653"/>
      <c r="G694" s="1653"/>
      <c r="H694" s="1653"/>
      <c r="I694" s="1653"/>
      <c r="J694" s="1653"/>
      <c r="K694" s="1653"/>
      <c r="L694" s="1653"/>
      <c r="M694" s="1653"/>
      <c r="N694" s="1653"/>
      <c r="O694" s="1653"/>
      <c r="P694" s="1653"/>
      <c r="Q694" s="1653"/>
      <c r="R694" s="1653"/>
      <c r="S694" s="1653"/>
      <c r="T694" s="1653"/>
      <c r="U694" s="1653"/>
      <c r="V694" s="1653"/>
      <c r="W694" s="1653"/>
      <c r="X694" s="1653"/>
      <c r="Y694" s="1653"/>
      <c r="Z694" s="1653"/>
      <c r="AA694" s="1653"/>
      <c r="AB694" s="1653"/>
      <c r="AC694" s="461"/>
      <c r="AD694" s="461"/>
      <c r="AE694" s="541"/>
      <c r="AF694" s="541"/>
      <c r="AG694" s="541"/>
      <c r="AH694" s="541"/>
      <c r="AI694" s="541"/>
      <c r="AJ694" s="461"/>
      <c r="AK694" s="461"/>
      <c r="AL694" s="461"/>
      <c r="AM694" s="475"/>
      <c r="AN694" s="609"/>
      <c r="AO694" s="536" t="s">
        <v>26</v>
      </c>
      <c r="AP694" s="475">
        <f>3*$AO$684</f>
        <v>3</v>
      </c>
    </row>
    <row r="695" spans="1:42" s="495" customFormat="1" ht="12.75" customHeight="1">
      <c r="A695" s="475"/>
      <c r="B695" s="461"/>
      <c r="C695" s="851"/>
      <c r="D695" s="461"/>
      <c r="E695" s="1653"/>
      <c r="F695" s="1653"/>
      <c r="G695" s="1653"/>
      <c r="H695" s="1653"/>
      <c r="I695" s="1653"/>
      <c r="J695" s="1653"/>
      <c r="K695" s="1653"/>
      <c r="L695" s="1653"/>
      <c r="M695" s="1653"/>
      <c r="N695" s="1653"/>
      <c r="O695" s="1653"/>
      <c r="P695" s="1653"/>
      <c r="Q695" s="1653"/>
      <c r="R695" s="1653"/>
      <c r="S695" s="1653"/>
      <c r="T695" s="1653"/>
      <c r="U695" s="1653"/>
      <c r="V695" s="1653"/>
      <c r="W695" s="1653"/>
      <c r="X695" s="1653"/>
      <c r="Y695" s="1653"/>
      <c r="Z695" s="1653"/>
      <c r="AA695" s="1653"/>
      <c r="AB695" s="1653"/>
      <c r="AC695" s="461"/>
      <c r="AD695" s="461"/>
      <c r="AE695" s="541"/>
      <c r="AF695" s="541"/>
      <c r="AG695" s="541"/>
      <c r="AH695" s="541"/>
      <c r="AI695" s="541"/>
      <c r="AJ695" s="461"/>
      <c r="AK695" s="461"/>
      <c r="AL695" s="461"/>
      <c r="AM695" s="475"/>
      <c r="AN695" s="609"/>
      <c r="AO695" s="536" t="s">
        <v>48</v>
      </c>
      <c r="AP695" s="475">
        <f>2*$AO$684</f>
        <v>2</v>
      </c>
    </row>
    <row r="696" spans="1:42" s="495" customFormat="1" ht="12.75" customHeight="1">
      <c r="A696" s="475"/>
      <c r="B696" s="461"/>
      <c r="C696" s="851"/>
      <c r="D696" s="461"/>
      <c r="E696" s="1653"/>
      <c r="F696" s="1653"/>
      <c r="G696" s="1653"/>
      <c r="H696" s="1653"/>
      <c r="I696" s="1653"/>
      <c r="J696" s="1653"/>
      <c r="K696" s="1653"/>
      <c r="L696" s="1653"/>
      <c r="M696" s="1653"/>
      <c r="N696" s="1653"/>
      <c r="O696" s="1653"/>
      <c r="P696" s="1653"/>
      <c r="Q696" s="1653"/>
      <c r="R696" s="1653"/>
      <c r="S696" s="1653"/>
      <c r="T696" s="1653"/>
      <c r="U696" s="1653"/>
      <c r="V696" s="1653"/>
      <c r="W696" s="1653"/>
      <c r="X696" s="1653"/>
      <c r="Y696" s="1653"/>
      <c r="Z696" s="1653"/>
      <c r="AA696" s="1653"/>
      <c r="AB696" s="1653"/>
      <c r="AC696" s="461"/>
      <c r="AD696" s="461"/>
      <c r="AE696" s="541"/>
      <c r="AF696" s="541"/>
      <c r="AG696" s="541"/>
      <c r="AH696" s="541"/>
      <c r="AI696" s="541"/>
      <c r="AJ696" s="461"/>
      <c r="AK696" s="461"/>
      <c r="AL696" s="461"/>
      <c r="AM696" s="475"/>
      <c r="AN696" s="609"/>
    </row>
    <row r="697" spans="1:42" s="495" customFormat="1" ht="12.75" customHeight="1">
      <c r="A697" s="475"/>
      <c r="B697" s="461"/>
      <c r="C697" s="851"/>
      <c r="D697" s="461"/>
      <c r="E697" s="568"/>
      <c r="F697" s="568"/>
      <c r="G697" s="568"/>
      <c r="H697" s="568"/>
      <c r="I697" s="568"/>
      <c r="J697" s="568"/>
      <c r="K697" s="568"/>
      <c r="L697" s="568"/>
      <c r="M697" s="568"/>
      <c r="N697" s="568"/>
      <c r="O697" s="568"/>
      <c r="P697" s="568"/>
      <c r="Q697" s="568"/>
      <c r="R697" s="568"/>
      <c r="S697" s="568"/>
      <c r="T697" s="568"/>
      <c r="U697" s="568"/>
      <c r="V697" s="568"/>
      <c r="W697" s="568"/>
      <c r="X697" s="568"/>
      <c r="Y697" s="568"/>
      <c r="Z697" s="568"/>
      <c r="AA697" s="568"/>
      <c r="AB697" s="568"/>
      <c r="AC697" s="461"/>
      <c r="AD697" s="461"/>
      <c r="AE697" s="541"/>
      <c r="AF697" s="541"/>
      <c r="AG697" s="541"/>
      <c r="AH697" s="541"/>
      <c r="AI697" s="541"/>
      <c r="AJ697" s="461"/>
      <c r="AK697" s="461"/>
      <c r="AL697" s="461"/>
      <c r="AM697" s="475"/>
      <c r="AN697" s="609"/>
    </row>
    <row r="698" spans="1:42" s="495" customFormat="1" ht="12.75" customHeight="1">
      <c r="A698" s="475"/>
      <c r="B698" s="461"/>
      <c r="C698" s="851"/>
      <c r="D698" s="461" t="s">
        <v>2304</v>
      </c>
      <c r="E698" s="856"/>
      <c r="F698" s="856"/>
      <c r="G698" s="856"/>
      <c r="H698" s="1677" t="s">
        <v>48</v>
      </c>
      <c r="I698" s="1677"/>
      <c r="J698" s="568"/>
      <c r="K698" s="568"/>
      <c r="L698" s="568"/>
      <c r="M698" s="568"/>
      <c r="N698" s="568"/>
      <c r="O698" s="568"/>
      <c r="P698" s="568"/>
      <c r="Q698" s="568"/>
      <c r="R698" s="568"/>
      <c r="S698" s="568"/>
      <c r="T698" s="568"/>
      <c r="U698" s="568"/>
      <c r="V698" s="568"/>
      <c r="W698" s="568"/>
      <c r="X698" s="568"/>
      <c r="Y698" s="568"/>
      <c r="Z698" s="568"/>
      <c r="AA698" s="568"/>
      <c r="AB698" s="568"/>
      <c r="AC698" s="461"/>
      <c r="AD698" s="461"/>
      <c r="AE698" s="541"/>
      <c r="AF698" s="541"/>
      <c r="AG698" s="541"/>
      <c r="AH698" s="541"/>
      <c r="AI698" s="541"/>
      <c r="AJ698" s="461"/>
      <c r="AK698" s="461"/>
      <c r="AL698" s="461"/>
      <c r="AM698" s="475"/>
      <c r="AN698" s="609"/>
      <c r="AP698" s="495" t="s">
        <v>2350</v>
      </c>
    </row>
    <row r="699" spans="1:42" s="495" customFormat="1">
      <c r="A699" s="475"/>
      <c r="B699" s="461"/>
      <c r="C699" s="851"/>
      <c r="D699" s="461"/>
      <c r="E699" s="568"/>
      <c r="F699" s="568"/>
      <c r="G699" s="568"/>
      <c r="H699" s="568"/>
      <c r="I699" s="568"/>
      <c r="J699" s="568"/>
      <c r="K699" s="568"/>
      <c r="L699" s="568"/>
      <c r="M699" s="568"/>
      <c r="N699" s="568"/>
      <c r="O699" s="568"/>
      <c r="P699" s="568"/>
      <c r="Q699" s="568"/>
      <c r="R699" s="568"/>
      <c r="S699" s="568"/>
      <c r="T699" s="568"/>
      <c r="U699" s="568"/>
      <c r="V699" s="568"/>
      <c r="W699" s="568"/>
      <c r="X699" s="568"/>
      <c r="Y699" s="568"/>
      <c r="Z699" s="568"/>
      <c r="AA699" s="568"/>
      <c r="AB699" s="568"/>
      <c r="AC699" s="461"/>
      <c r="AD699" s="461"/>
      <c r="AE699" s="541"/>
      <c r="AF699" s="541"/>
      <c r="AG699" s="541"/>
      <c r="AH699" s="541"/>
      <c r="AI699" s="541"/>
      <c r="AJ699" s="461"/>
      <c r="AK699" s="461"/>
      <c r="AL699" s="461"/>
      <c r="AM699" s="475"/>
      <c r="AN699" s="609"/>
      <c r="AP699" s="495" t="s">
        <v>2314</v>
      </c>
    </row>
    <row r="700" spans="1:42" s="495" customFormat="1" ht="12.75" customHeight="1">
      <c r="A700" s="531"/>
      <c r="B700" s="526"/>
      <c r="C700" s="864"/>
      <c r="D700" s="526"/>
      <c r="E700" s="526"/>
      <c r="F700" s="526"/>
      <c r="G700" s="526"/>
      <c r="H700" s="526"/>
      <c r="I700" s="526"/>
      <c r="J700" s="869"/>
      <c r="K700" s="869"/>
      <c r="L700" s="590"/>
      <c r="M700" s="590"/>
      <c r="N700" s="590"/>
      <c r="O700" s="590"/>
      <c r="P700" s="590"/>
      <c r="Q700" s="590"/>
      <c r="R700" s="590"/>
      <c r="S700" s="590"/>
      <c r="T700" s="590"/>
      <c r="U700" s="590"/>
      <c r="V700" s="590"/>
      <c r="W700" s="590"/>
      <c r="X700" s="590"/>
      <c r="Y700" s="859"/>
      <c r="Z700" s="859"/>
      <c r="AA700" s="859"/>
      <c r="AB700" s="526"/>
      <c r="AC700" s="526"/>
      <c r="AD700" s="526"/>
      <c r="AE700" s="526"/>
      <c r="AF700" s="526"/>
      <c r="AG700" s="526"/>
      <c r="AH700" s="526"/>
      <c r="AI700" s="490" t="s">
        <v>2351</v>
      </c>
      <c r="AJ700" s="1660">
        <f>VLOOKUP($H$698,$AO$692:$AP$695,2,FALSE)</f>
        <v>2</v>
      </c>
      <c r="AK700" s="1662"/>
      <c r="AL700" s="520"/>
      <c r="AM700" s="475"/>
      <c r="AN700" s="609"/>
      <c r="AP700" s="495" t="s">
        <v>2322</v>
      </c>
    </row>
    <row r="701" spans="1:42" s="495" customFormat="1">
      <c r="A701" s="475"/>
      <c r="B701" s="461"/>
      <c r="C701" s="461"/>
      <c r="D701" s="461"/>
      <c r="E701" s="461"/>
      <c r="F701" s="461"/>
      <c r="G701" s="461"/>
      <c r="H701" s="461"/>
      <c r="I701" s="461"/>
      <c r="J701" s="461"/>
      <c r="K701" s="461"/>
      <c r="L701" s="461"/>
      <c r="M701" s="461"/>
      <c r="N701" s="461"/>
      <c r="O701" s="461"/>
      <c r="P701" s="461"/>
      <c r="Q701" s="461"/>
      <c r="R701" s="461"/>
      <c r="S701" s="461"/>
      <c r="T701" s="461"/>
      <c r="U701" s="461"/>
      <c r="V701" s="461"/>
      <c r="W701" s="461"/>
      <c r="X701" s="461"/>
      <c r="Y701" s="461"/>
      <c r="Z701" s="461"/>
      <c r="AA701" s="461"/>
      <c r="AB701" s="461"/>
      <c r="AC701" s="461"/>
      <c r="AD701" s="461"/>
      <c r="AE701" s="541"/>
      <c r="AF701" s="541"/>
      <c r="AG701" s="541"/>
      <c r="AH701" s="541"/>
      <c r="AI701" s="541"/>
      <c r="AJ701" s="461"/>
      <c r="AK701" s="461"/>
      <c r="AL701" s="461"/>
      <c r="AM701" s="475"/>
      <c r="AN701" s="609"/>
      <c r="AP701" s="495" t="s">
        <v>2352</v>
      </c>
    </row>
    <row r="702" spans="1:42" s="495" customFormat="1" ht="12.75" customHeight="1">
      <c r="A702" s="475"/>
      <c r="B702" s="461"/>
      <c r="C702" s="464" t="s">
        <v>2353</v>
      </c>
      <c r="D702" s="637"/>
      <c r="E702" s="461"/>
      <c r="F702" s="461"/>
      <c r="G702" s="461"/>
      <c r="H702" s="461"/>
      <c r="I702" s="461"/>
      <c r="J702" s="461"/>
      <c r="K702" s="461"/>
      <c r="L702" s="461"/>
      <c r="M702" s="461"/>
      <c r="N702" s="461"/>
      <c r="O702" s="461"/>
      <c r="P702" s="461"/>
      <c r="Q702" s="461"/>
      <c r="R702" s="461"/>
      <c r="S702" s="461"/>
      <c r="T702" s="461"/>
      <c r="U702" s="461"/>
      <c r="V702" s="461"/>
      <c r="W702" s="461"/>
      <c r="X702" s="461"/>
      <c r="Y702" s="461"/>
      <c r="Z702" s="461"/>
      <c r="AA702" s="461"/>
      <c r="AB702" s="461"/>
      <c r="AC702" s="461"/>
      <c r="AD702" s="461"/>
      <c r="AE702" s="541"/>
      <c r="AF702" s="541"/>
      <c r="AG702" s="541"/>
      <c r="AH702" s="541"/>
      <c r="AI702" s="541"/>
      <c r="AJ702" s="461"/>
      <c r="AK702" s="461"/>
      <c r="AL702" s="461"/>
      <c r="AM702" s="475"/>
      <c r="AN702" s="609"/>
      <c r="AP702" s="495" t="s">
        <v>2354</v>
      </c>
    </row>
    <row r="703" spans="1:42" s="495" customFormat="1" ht="12.75" customHeight="1">
      <c r="A703" s="475"/>
      <c r="B703" s="461"/>
      <c r="C703" s="851"/>
      <c r="D703" s="461"/>
      <c r="E703" s="461"/>
      <c r="F703" s="461"/>
      <c r="G703" s="461"/>
      <c r="H703" s="461"/>
      <c r="I703" s="461"/>
      <c r="J703" s="461"/>
      <c r="K703" s="461"/>
      <c r="L703" s="461"/>
      <c r="M703" s="461"/>
      <c r="N703" s="461"/>
      <c r="O703" s="461"/>
      <c r="P703" s="461"/>
      <c r="Q703" s="461"/>
      <c r="R703" s="461"/>
      <c r="S703" s="461"/>
      <c r="T703" s="461"/>
      <c r="U703" s="461"/>
      <c r="V703" s="461"/>
      <c r="W703" s="461"/>
      <c r="X703" s="461"/>
      <c r="Y703" s="461"/>
      <c r="Z703" s="461"/>
      <c r="AA703" s="461"/>
      <c r="AB703" s="461"/>
      <c r="AC703" s="461"/>
      <c r="AD703" s="461"/>
      <c r="AE703" s="541"/>
      <c r="AF703" s="541"/>
      <c r="AG703" s="541"/>
      <c r="AH703" s="541"/>
      <c r="AI703" s="541"/>
      <c r="AJ703" s="461"/>
      <c r="AK703" s="461"/>
      <c r="AL703" s="461"/>
      <c r="AM703" s="475"/>
      <c r="AN703" s="609"/>
      <c r="AP703" s="495" t="s">
        <v>2355</v>
      </c>
    </row>
    <row r="704" spans="1:42" s="495" customFormat="1" ht="12.75" customHeight="1">
      <c r="A704" s="562"/>
      <c r="B704" s="461"/>
      <c r="C704" s="851"/>
      <c r="D704" s="588" t="s">
        <v>21</v>
      </c>
      <c r="E704" s="1766" t="s">
        <v>2356</v>
      </c>
      <c r="F704" s="1766"/>
      <c r="G704" s="1766"/>
      <c r="H704" s="1766"/>
      <c r="I704" s="1766"/>
      <c r="J704" s="1766"/>
      <c r="K704" s="1766"/>
      <c r="L704" s="1766"/>
      <c r="M704" s="1766"/>
      <c r="N704" s="1766"/>
      <c r="O704" s="1766"/>
      <c r="P704" s="1766"/>
      <c r="Q704" s="1766"/>
      <c r="R704" s="1766"/>
      <c r="S704" s="1766"/>
      <c r="T704" s="1766"/>
      <c r="U704" s="1766"/>
      <c r="V704" s="1766"/>
      <c r="W704" s="1766"/>
      <c r="X704" s="1766"/>
      <c r="Y704" s="1766"/>
      <c r="Z704" s="1766"/>
      <c r="AA704" s="1766"/>
      <c r="AB704" s="1766"/>
      <c r="AC704" s="461"/>
      <c r="AD704" s="461"/>
      <c r="AE704" s="461"/>
      <c r="AF704" s="1733" t="s">
        <v>2029</v>
      </c>
      <c r="AG704" s="1733"/>
      <c r="AH704" s="1733"/>
      <c r="AI704" s="1733"/>
      <c r="AJ704" s="1733"/>
      <c r="AK704" s="1733"/>
      <c r="AL704" s="1733"/>
      <c r="AM704" s="475"/>
      <c r="AN704" s="609"/>
      <c r="AP704" s="495" t="s">
        <v>2357</v>
      </c>
    </row>
    <row r="705" spans="1:52" s="495" customFormat="1" ht="12" customHeight="1">
      <c r="A705" s="475"/>
      <c r="B705" s="461"/>
      <c r="C705" s="853"/>
      <c r="D705" s="588"/>
      <c r="E705" s="1766"/>
      <c r="F705" s="1766"/>
      <c r="G705" s="1766"/>
      <c r="H705" s="1766"/>
      <c r="I705" s="1766"/>
      <c r="J705" s="1766"/>
      <c r="K705" s="1766"/>
      <c r="L705" s="1766"/>
      <c r="M705" s="1766"/>
      <c r="N705" s="1766"/>
      <c r="O705" s="1766"/>
      <c r="P705" s="1766"/>
      <c r="Q705" s="1766"/>
      <c r="R705" s="1766"/>
      <c r="S705" s="1766"/>
      <c r="T705" s="1766"/>
      <c r="U705" s="1766"/>
      <c r="V705" s="1766"/>
      <c r="W705" s="1766"/>
      <c r="X705" s="1766"/>
      <c r="Y705" s="1766"/>
      <c r="Z705" s="1766"/>
      <c r="AA705" s="1766"/>
      <c r="AB705" s="1766"/>
      <c r="AC705" s="461"/>
      <c r="AD705" s="461"/>
      <c r="AE705" s="461"/>
      <c r="AF705" s="461"/>
      <c r="AG705" s="461"/>
      <c r="AH705" s="461"/>
      <c r="AI705" s="461"/>
      <c r="AJ705" s="461"/>
      <c r="AK705" s="461"/>
      <c r="AL705" s="461"/>
      <c r="AM705" s="475"/>
      <c r="AN705" s="609"/>
      <c r="AP705" s="495" t="s">
        <v>2358</v>
      </c>
    </row>
    <row r="706" spans="1:52" s="495" customFormat="1" ht="14.1" customHeight="1">
      <c r="A706" s="475"/>
      <c r="B706" s="535"/>
      <c r="C706" s="851"/>
      <c r="D706" s="588"/>
      <c r="E706" s="1766"/>
      <c r="F706" s="1766"/>
      <c r="G706" s="1766"/>
      <c r="H706" s="1766"/>
      <c r="I706" s="1766"/>
      <c r="J706" s="1766"/>
      <c r="K706" s="1766"/>
      <c r="L706" s="1766"/>
      <c r="M706" s="1766"/>
      <c r="N706" s="1766"/>
      <c r="O706" s="1766"/>
      <c r="P706" s="1766"/>
      <c r="Q706" s="1766"/>
      <c r="R706" s="1766"/>
      <c r="S706" s="1766"/>
      <c r="T706" s="1766"/>
      <c r="U706" s="1766"/>
      <c r="V706" s="1766"/>
      <c r="W706" s="1766"/>
      <c r="X706" s="1766"/>
      <c r="Y706" s="1766"/>
      <c r="Z706" s="1766"/>
      <c r="AA706" s="1766"/>
      <c r="AB706" s="1766"/>
      <c r="AC706" s="461"/>
      <c r="AD706" s="461"/>
      <c r="AE706" s="541"/>
      <c r="AF706" s="461"/>
      <c r="AG706" s="461"/>
      <c r="AH706" s="461"/>
      <c r="AI706" s="461"/>
      <c r="AJ706" s="461"/>
      <c r="AK706" s="461"/>
      <c r="AL706" s="461"/>
      <c r="AM706" s="475"/>
      <c r="AN706" s="609"/>
      <c r="AP706" s="495" t="s">
        <v>2359</v>
      </c>
    </row>
    <row r="707" spans="1:52" s="495" customFormat="1" ht="14.1" customHeight="1">
      <c r="A707" s="475"/>
      <c r="B707" s="535"/>
      <c r="C707" s="851"/>
      <c r="D707" s="588"/>
      <c r="E707" s="856"/>
      <c r="F707" s="856"/>
      <c r="G707" s="856"/>
      <c r="H707" s="856"/>
      <c r="I707" s="856"/>
      <c r="J707" s="856"/>
      <c r="K707" s="856"/>
      <c r="L707" s="856"/>
      <c r="M707" s="856"/>
      <c r="N707" s="856"/>
      <c r="O707" s="856"/>
      <c r="P707" s="856"/>
      <c r="Q707" s="856"/>
      <c r="R707" s="856"/>
      <c r="S707" s="856"/>
      <c r="T707" s="856"/>
      <c r="U707" s="856"/>
      <c r="V707" s="856"/>
      <c r="W707" s="856"/>
      <c r="X707" s="856"/>
      <c r="Y707" s="856"/>
      <c r="Z707" s="856"/>
      <c r="AA707" s="856"/>
      <c r="AB707" s="856"/>
      <c r="AC707" s="461"/>
      <c r="AD707" s="461"/>
      <c r="AE707" s="541"/>
      <c r="AF707" s="461"/>
      <c r="AG707" s="461"/>
      <c r="AH707" s="461"/>
      <c r="AI707" s="461"/>
      <c r="AJ707" s="461"/>
      <c r="AK707" s="461"/>
      <c r="AL707" s="461"/>
      <c r="AM707" s="475"/>
      <c r="AN707" s="609"/>
      <c r="AP707" s="611" t="s">
        <v>2360</v>
      </c>
    </row>
    <row r="708" spans="1:52" s="495" customFormat="1" ht="14.1" customHeight="1">
      <c r="A708" s="475"/>
      <c r="B708" s="461"/>
      <c r="C708" s="851"/>
      <c r="D708" s="588" t="s">
        <v>26</v>
      </c>
      <c r="E708" s="1767" t="s">
        <v>2361</v>
      </c>
      <c r="F708" s="1767"/>
      <c r="G708" s="1767"/>
      <c r="H708" s="1767"/>
      <c r="I708" s="1767"/>
      <c r="J708" s="1767"/>
      <c r="K708" s="1767"/>
      <c r="L708" s="1767"/>
      <c r="M708" s="1767"/>
      <c r="N708" s="1767"/>
      <c r="O708" s="1767"/>
      <c r="P708" s="1767"/>
      <c r="Q708" s="1767"/>
      <c r="R708" s="1767"/>
      <c r="S708" s="1767"/>
      <c r="T708" s="1767"/>
      <c r="U708" s="1767"/>
      <c r="V708" s="1767"/>
      <c r="W708" s="1767"/>
      <c r="X708" s="1767"/>
      <c r="Y708" s="1767"/>
      <c r="Z708" s="1767"/>
      <c r="AA708" s="1767"/>
      <c r="AB708" s="1767"/>
      <c r="AC708" s="461"/>
      <c r="AD708" s="461"/>
      <c r="AE708" s="461"/>
      <c r="AF708" s="1733" t="s">
        <v>2318</v>
      </c>
      <c r="AG708" s="1733"/>
      <c r="AH708" s="1733"/>
      <c r="AI708" s="1733"/>
      <c r="AJ708" s="1733"/>
      <c r="AK708" s="1733"/>
      <c r="AL708" s="1733"/>
      <c r="AM708" s="475"/>
      <c r="AN708" s="610"/>
    </row>
    <row r="709" spans="1:52" s="495" customFormat="1" ht="12.75" customHeight="1">
      <c r="A709" s="475"/>
      <c r="B709" s="461"/>
      <c r="C709" s="853"/>
      <c r="D709" s="461"/>
      <c r="E709" s="1767"/>
      <c r="F709" s="1767"/>
      <c r="G709" s="1767"/>
      <c r="H709" s="1767"/>
      <c r="I709" s="1767"/>
      <c r="J709" s="1767"/>
      <c r="K709" s="1767"/>
      <c r="L709" s="1767"/>
      <c r="M709" s="1767"/>
      <c r="N709" s="1767"/>
      <c r="O709" s="1767"/>
      <c r="P709" s="1767"/>
      <c r="Q709" s="1767"/>
      <c r="R709" s="1767"/>
      <c r="S709" s="1767"/>
      <c r="T709" s="1767"/>
      <c r="U709" s="1767"/>
      <c r="V709" s="1767"/>
      <c r="W709" s="1767"/>
      <c r="X709" s="1767"/>
      <c r="Y709" s="1767"/>
      <c r="Z709" s="1767"/>
      <c r="AA709" s="1767"/>
      <c r="AB709" s="1767"/>
      <c r="AC709" s="461"/>
      <c r="AD709" s="461"/>
      <c r="AE709" s="461"/>
      <c r="AF709" s="461"/>
      <c r="AG709" s="461"/>
      <c r="AH709" s="461"/>
      <c r="AI709" s="461"/>
      <c r="AJ709" s="461"/>
      <c r="AK709" s="461"/>
      <c r="AL709" s="461"/>
      <c r="AM709" s="475"/>
      <c r="AN709" s="609"/>
      <c r="AP709" s="475" t="s">
        <v>299</v>
      </c>
      <c r="AQ709" s="598">
        <v>0</v>
      </c>
    </row>
    <row r="710" spans="1:52" s="495" customFormat="1" ht="14.1" customHeight="1">
      <c r="A710" s="475"/>
      <c r="B710" s="461"/>
      <c r="C710" s="853"/>
      <c r="D710" s="461"/>
      <c r="E710" s="1767"/>
      <c r="F710" s="1767"/>
      <c r="G710" s="1767"/>
      <c r="H710" s="1767"/>
      <c r="I710" s="1767"/>
      <c r="J710" s="1767"/>
      <c r="K710" s="1767"/>
      <c r="L710" s="1767"/>
      <c r="M710" s="1767"/>
      <c r="N710" s="1767"/>
      <c r="O710" s="1767"/>
      <c r="P710" s="1767"/>
      <c r="Q710" s="1767"/>
      <c r="R710" s="1767"/>
      <c r="S710" s="1767"/>
      <c r="T710" s="1767"/>
      <c r="U710" s="1767"/>
      <c r="V710" s="1767"/>
      <c r="W710" s="1767"/>
      <c r="X710" s="1767"/>
      <c r="Y710" s="1767"/>
      <c r="Z710" s="1767"/>
      <c r="AA710" s="1767"/>
      <c r="AB710" s="1767"/>
      <c r="AC710" s="461"/>
      <c r="AD710" s="461"/>
      <c r="AE710" s="461"/>
      <c r="AF710" s="461"/>
      <c r="AG710" s="461"/>
      <c r="AH710" s="461"/>
      <c r="AI710" s="461"/>
      <c r="AJ710" s="461"/>
      <c r="AK710" s="461"/>
      <c r="AL710" s="461"/>
      <c r="AM710" s="475"/>
      <c r="AN710" s="609"/>
      <c r="AP710" s="536" t="s">
        <v>21</v>
      </c>
      <c r="AQ710" s="475">
        <v>3</v>
      </c>
    </row>
    <row r="711" spans="1:52" s="495" customFormat="1" ht="14.1" customHeight="1">
      <c r="A711" s="475"/>
      <c r="B711" s="461"/>
      <c r="C711" s="853"/>
      <c r="D711" s="461"/>
      <c r="E711" s="870"/>
      <c r="F711" s="870"/>
      <c r="G711" s="870"/>
      <c r="H711" s="870"/>
      <c r="I711" s="870"/>
      <c r="J711" s="870"/>
      <c r="K711" s="870"/>
      <c r="L711" s="870"/>
      <c r="M711" s="870"/>
      <c r="N711" s="870"/>
      <c r="O711" s="870"/>
      <c r="P711" s="870"/>
      <c r="Q711" s="870"/>
      <c r="R711" s="870"/>
      <c r="S711" s="870"/>
      <c r="T711" s="870"/>
      <c r="U711" s="870"/>
      <c r="V711" s="870"/>
      <c r="W711" s="870"/>
      <c r="X711" s="870"/>
      <c r="Y711" s="870"/>
      <c r="Z711" s="870"/>
      <c r="AA711" s="870"/>
      <c r="AB711" s="870"/>
      <c r="AC711" s="461"/>
      <c r="AD711" s="461"/>
      <c r="AE711" s="461"/>
      <c r="AF711" s="461"/>
      <c r="AG711" s="461"/>
      <c r="AH711" s="461"/>
      <c r="AI711" s="461"/>
      <c r="AJ711" s="461"/>
      <c r="AK711" s="461"/>
      <c r="AL711" s="461"/>
      <c r="AM711" s="475"/>
      <c r="AN711" s="609"/>
      <c r="AP711" s="536" t="s">
        <v>26</v>
      </c>
      <c r="AQ711" s="475">
        <v>2</v>
      </c>
    </row>
    <row r="712" spans="1:52" s="495" customFormat="1" ht="14.1" customHeight="1">
      <c r="A712" s="475"/>
      <c r="B712" s="461"/>
      <c r="C712" s="853"/>
      <c r="D712" s="461" t="s">
        <v>2304</v>
      </c>
      <c r="E712" s="856"/>
      <c r="F712" s="856"/>
      <c r="G712" s="856"/>
      <c r="H712" s="1677" t="s">
        <v>299</v>
      </c>
      <c r="I712" s="1677"/>
      <c r="J712" s="870"/>
      <c r="K712" s="870"/>
      <c r="L712" s="870"/>
      <c r="M712" s="870"/>
      <c r="N712" s="870"/>
      <c r="O712" s="870"/>
      <c r="P712" s="870"/>
      <c r="Q712" s="870"/>
      <c r="R712" s="870"/>
      <c r="S712" s="870"/>
      <c r="T712" s="870"/>
      <c r="U712" s="870"/>
      <c r="V712" s="870"/>
      <c r="W712" s="870"/>
      <c r="X712" s="870"/>
      <c r="Y712" s="870"/>
      <c r="Z712" s="870"/>
      <c r="AA712" s="870"/>
      <c r="AB712" s="870"/>
      <c r="AC712" s="461"/>
      <c r="AD712" s="461"/>
      <c r="AE712" s="461"/>
      <c r="AF712" s="461"/>
      <c r="AG712" s="461"/>
      <c r="AH712" s="461"/>
      <c r="AI712" s="461"/>
      <c r="AJ712" s="461"/>
      <c r="AK712" s="461"/>
      <c r="AL712" s="461"/>
      <c r="AM712" s="475"/>
      <c r="AN712" s="609"/>
    </row>
    <row r="713" spans="1:52" s="495" customFormat="1" ht="14.25" customHeight="1">
      <c r="A713" s="475"/>
      <c r="B713" s="461"/>
      <c r="C713" s="853"/>
      <c r="D713" s="461"/>
      <c r="E713" s="870"/>
      <c r="F713" s="870"/>
      <c r="G713" s="870"/>
      <c r="H713" s="870"/>
      <c r="I713" s="870"/>
      <c r="J713" s="870"/>
      <c r="K713" s="870"/>
      <c r="L713" s="870"/>
      <c r="M713" s="870"/>
      <c r="N713" s="870"/>
      <c r="O713" s="870"/>
      <c r="P713" s="870"/>
      <c r="Q713" s="870"/>
      <c r="R713" s="870"/>
      <c r="S713" s="870"/>
      <c r="T713" s="870"/>
      <c r="U713" s="870"/>
      <c r="V713" s="870"/>
      <c r="W713" s="870"/>
      <c r="X713" s="870"/>
      <c r="Y713" s="870"/>
      <c r="Z713" s="870"/>
      <c r="AA713" s="870"/>
      <c r="AB713" s="870"/>
      <c r="AC713" s="461"/>
      <c r="AD713" s="461"/>
      <c r="AE713" s="461"/>
      <c r="AF713" s="461"/>
      <c r="AG713" s="461"/>
      <c r="AH713" s="461"/>
      <c r="AI713" s="461"/>
      <c r="AJ713" s="461"/>
      <c r="AK713" s="461"/>
      <c r="AL713" s="461"/>
      <c r="AM713" s="475"/>
      <c r="AN713" s="609"/>
    </row>
    <row r="714" spans="1:52" s="495" customFormat="1" ht="12.75" customHeight="1">
      <c r="A714" s="531"/>
      <c r="B714" s="526"/>
      <c r="C714" s="858"/>
      <c r="D714" s="526"/>
      <c r="E714" s="526"/>
      <c r="F714" s="526"/>
      <c r="G714" s="526"/>
      <c r="H714" s="526"/>
      <c r="I714" s="526"/>
      <c r="J714" s="871"/>
      <c r="K714" s="871"/>
      <c r="L714" s="871"/>
      <c r="M714" s="871"/>
      <c r="N714" s="871"/>
      <c r="O714" s="871"/>
      <c r="P714" s="871"/>
      <c r="Q714" s="871"/>
      <c r="R714" s="871"/>
      <c r="S714" s="871"/>
      <c r="T714" s="871"/>
      <c r="U714" s="590"/>
      <c r="V714" s="590"/>
      <c r="W714" s="590"/>
      <c r="X714" s="590"/>
      <c r="Y714" s="859"/>
      <c r="Z714" s="859"/>
      <c r="AA714" s="859"/>
      <c r="AB714" s="526"/>
      <c r="AC714" s="526"/>
      <c r="AD714" s="526"/>
      <c r="AE714" s="526"/>
      <c r="AF714" s="526"/>
      <c r="AG714" s="526"/>
      <c r="AH714" s="526"/>
      <c r="AI714" s="490" t="s">
        <v>2362</v>
      </c>
      <c r="AJ714" s="1660">
        <f>VLOOKUP($H$712,$AP$709:$AQ$711,2,FALSE)</f>
        <v>0</v>
      </c>
      <c r="AK714" s="1662"/>
      <c r="AL714" s="520"/>
      <c r="AM714" s="475"/>
      <c r="AN714" s="609"/>
      <c r="AP714" s="1660"/>
      <c r="AQ714" s="1662"/>
    </row>
    <row r="715" spans="1:52" s="495" customFormat="1">
      <c r="A715" s="475"/>
      <c r="B715" s="535"/>
      <c r="C715" s="851"/>
      <c r="D715" s="855"/>
      <c r="E715" s="541"/>
      <c r="F715" s="541"/>
      <c r="G715" s="541"/>
      <c r="H715" s="541"/>
      <c r="I715" s="541"/>
      <c r="J715" s="541"/>
      <c r="K715" s="541"/>
      <c r="L715" s="541"/>
      <c r="M715" s="541"/>
      <c r="N715" s="541"/>
      <c r="O715" s="541"/>
      <c r="P715" s="541"/>
      <c r="Q715" s="541"/>
      <c r="R715" s="541"/>
      <c r="S715" s="541"/>
      <c r="T715" s="541"/>
      <c r="U715" s="541"/>
      <c r="V715" s="541"/>
      <c r="W715" s="541"/>
      <c r="X715" s="541"/>
      <c r="Y715" s="541"/>
      <c r="Z715" s="541"/>
      <c r="AA715" s="541"/>
      <c r="AB715" s="541"/>
      <c r="AC715" s="461"/>
      <c r="AD715" s="461"/>
      <c r="AE715" s="461"/>
      <c r="AF715" s="461"/>
      <c r="AG715" s="461"/>
      <c r="AH715" s="461"/>
      <c r="AI715" s="461"/>
      <c r="AJ715" s="461"/>
      <c r="AK715" s="461"/>
      <c r="AL715" s="461"/>
      <c r="AM715" s="475"/>
      <c r="AN715" s="609"/>
      <c r="AT715" s="14"/>
      <c r="AU715" s="14"/>
      <c r="AV715" s="14"/>
      <c r="AW715" s="14"/>
      <c r="AX715" s="14"/>
      <c r="AY715" s="14"/>
      <c r="AZ715" s="14"/>
    </row>
    <row r="716" spans="1:52" s="495" customFormat="1">
      <c r="A716" s="475"/>
      <c r="B716" s="461"/>
      <c r="C716" s="464" t="s">
        <v>2363</v>
      </c>
      <c r="D716" s="872"/>
      <c r="E716" s="541"/>
      <c r="F716" s="541"/>
      <c r="G716" s="541"/>
      <c r="H716" s="541"/>
      <c r="I716" s="541"/>
      <c r="J716" s="541"/>
      <c r="K716" s="541"/>
      <c r="L716" s="541"/>
      <c r="M716" s="541"/>
      <c r="N716" s="541"/>
      <c r="O716" s="541"/>
      <c r="P716" s="541"/>
      <c r="Q716" s="541"/>
      <c r="R716" s="541"/>
      <c r="S716" s="541"/>
      <c r="T716" s="541"/>
      <c r="U716" s="541"/>
      <c r="V716" s="541"/>
      <c r="W716" s="541"/>
      <c r="X716" s="541"/>
      <c r="Y716" s="541"/>
      <c r="Z716" s="541"/>
      <c r="AA716" s="541"/>
      <c r="AB716" s="541"/>
      <c r="AC716" s="461"/>
      <c r="AD716" s="461"/>
      <c r="AE716" s="461"/>
      <c r="AF716" s="461"/>
      <c r="AG716" s="461"/>
      <c r="AH716" s="461"/>
      <c r="AI716" s="461"/>
      <c r="AJ716" s="461"/>
      <c r="AK716" s="461"/>
      <c r="AL716" s="461"/>
      <c r="AM716" s="475"/>
      <c r="AN716" s="609"/>
      <c r="AT716" s="14"/>
      <c r="AU716" s="14"/>
      <c r="AV716" s="14"/>
      <c r="AW716" s="14"/>
      <c r="AX716" s="14"/>
      <c r="AY716" s="14"/>
      <c r="AZ716" s="14"/>
    </row>
    <row r="717" spans="1:52" s="495" customFormat="1">
      <c r="A717" s="475"/>
      <c r="B717" s="535"/>
      <c r="C717" s="851"/>
      <c r="D717" s="855"/>
      <c r="E717" s="541"/>
      <c r="F717" s="541"/>
      <c r="G717" s="541"/>
      <c r="H717" s="541"/>
      <c r="I717" s="541"/>
      <c r="J717" s="541"/>
      <c r="K717" s="541"/>
      <c r="L717" s="541"/>
      <c r="M717" s="541"/>
      <c r="N717" s="541"/>
      <c r="O717" s="541"/>
      <c r="P717" s="541"/>
      <c r="Q717" s="541"/>
      <c r="R717" s="541"/>
      <c r="S717" s="541"/>
      <c r="T717" s="541"/>
      <c r="U717" s="541"/>
      <c r="V717" s="541"/>
      <c r="W717" s="541"/>
      <c r="X717" s="541"/>
      <c r="Y717" s="541"/>
      <c r="Z717" s="541"/>
      <c r="AA717" s="541"/>
      <c r="AB717" s="541"/>
      <c r="AC717" s="461"/>
      <c r="AD717" s="461"/>
      <c r="AE717" s="461"/>
      <c r="AF717" s="461"/>
      <c r="AG717" s="461"/>
      <c r="AH717" s="461"/>
      <c r="AI717" s="461"/>
      <c r="AJ717" s="461"/>
      <c r="AK717" s="461"/>
      <c r="AL717" s="461"/>
      <c r="AM717" s="475"/>
      <c r="AN717" s="609"/>
      <c r="AT717" s="14"/>
      <c r="AU717" s="14"/>
      <c r="AV717" s="14"/>
      <c r="AW717" s="14"/>
      <c r="AX717" s="14"/>
      <c r="AY717" s="14"/>
      <c r="AZ717" s="14"/>
    </row>
    <row r="718" spans="1:52" s="495" customFormat="1">
      <c r="A718" s="475"/>
      <c r="B718" s="461"/>
      <c r="C718" s="851"/>
      <c r="D718" s="588" t="s">
        <v>21</v>
      </c>
      <c r="E718" s="1653" t="s">
        <v>2364</v>
      </c>
      <c r="F718" s="1653"/>
      <c r="G718" s="1653"/>
      <c r="H718" s="1653"/>
      <c r="I718" s="1653"/>
      <c r="J718" s="1653"/>
      <c r="K718" s="1653"/>
      <c r="L718" s="1653"/>
      <c r="M718" s="1653"/>
      <c r="N718" s="1653"/>
      <c r="O718" s="1653"/>
      <c r="P718" s="1653"/>
      <c r="Q718" s="1653"/>
      <c r="R718" s="1653"/>
      <c r="S718" s="1653"/>
      <c r="T718" s="1653"/>
      <c r="U718" s="1653"/>
      <c r="V718" s="1653"/>
      <c r="W718" s="1653"/>
      <c r="X718" s="1653"/>
      <c r="Y718" s="1653"/>
      <c r="Z718" s="1653"/>
      <c r="AA718" s="1653"/>
      <c r="AB718" s="1653"/>
      <c r="AC718" s="461"/>
      <c r="AD718" s="461"/>
      <c r="AE718" s="461"/>
      <c r="AF718" s="1733" t="s">
        <v>2029</v>
      </c>
      <c r="AG718" s="1733"/>
      <c r="AH718" s="1733"/>
      <c r="AI718" s="1733"/>
      <c r="AJ718" s="1733"/>
      <c r="AK718" s="1733"/>
      <c r="AL718" s="1733"/>
      <c r="AM718" s="475"/>
      <c r="AN718" s="609"/>
      <c r="AT718" s="14"/>
      <c r="AU718" s="14"/>
      <c r="AV718" s="14"/>
      <c r="AW718" s="14"/>
      <c r="AX718" s="14"/>
      <c r="AY718" s="14"/>
      <c r="AZ718" s="14"/>
    </row>
    <row r="719" spans="1:52" s="495" customFormat="1">
      <c r="A719" s="475"/>
      <c r="B719" s="461"/>
      <c r="C719" s="853"/>
      <c r="D719" s="588"/>
      <c r="E719" s="1653"/>
      <c r="F719" s="1653"/>
      <c r="G719" s="1653"/>
      <c r="H719" s="1653"/>
      <c r="I719" s="1653"/>
      <c r="J719" s="1653"/>
      <c r="K719" s="1653"/>
      <c r="L719" s="1653"/>
      <c r="M719" s="1653"/>
      <c r="N719" s="1653"/>
      <c r="O719" s="1653"/>
      <c r="P719" s="1653"/>
      <c r="Q719" s="1653"/>
      <c r="R719" s="1653"/>
      <c r="S719" s="1653"/>
      <c r="T719" s="1653"/>
      <c r="U719" s="1653"/>
      <c r="V719" s="1653"/>
      <c r="W719" s="1653"/>
      <c r="X719" s="1653"/>
      <c r="Y719" s="1653"/>
      <c r="Z719" s="1653"/>
      <c r="AA719" s="1653"/>
      <c r="AB719" s="1653"/>
      <c r="AC719" s="461"/>
      <c r="AD719" s="461"/>
      <c r="AE719" s="461"/>
      <c r="AF719" s="461"/>
      <c r="AG719" s="461"/>
      <c r="AH719" s="461"/>
      <c r="AI719" s="461"/>
      <c r="AJ719" s="461"/>
      <c r="AK719" s="461"/>
      <c r="AL719" s="461"/>
      <c r="AM719" s="475"/>
      <c r="AN719" s="609"/>
      <c r="AT719" s="14"/>
      <c r="AU719" s="14"/>
      <c r="AV719" s="14"/>
      <c r="AW719" s="14"/>
      <c r="AX719" s="14"/>
      <c r="AY719" s="14"/>
      <c r="AZ719" s="14"/>
    </row>
    <row r="720" spans="1:52" s="495" customFormat="1">
      <c r="A720" s="475"/>
      <c r="B720" s="535"/>
      <c r="C720" s="851"/>
      <c r="D720" s="588"/>
      <c r="E720" s="541"/>
      <c r="F720" s="541"/>
      <c r="G720" s="541"/>
      <c r="H720" s="541"/>
      <c r="I720" s="541"/>
      <c r="J720" s="541"/>
      <c r="K720" s="541"/>
      <c r="L720" s="541"/>
      <c r="M720" s="541"/>
      <c r="N720" s="541"/>
      <c r="O720" s="541"/>
      <c r="P720" s="541"/>
      <c r="Q720" s="541"/>
      <c r="R720" s="541"/>
      <c r="S720" s="541"/>
      <c r="T720" s="541"/>
      <c r="U720" s="541"/>
      <c r="V720" s="541"/>
      <c r="W720" s="541"/>
      <c r="X720" s="541"/>
      <c r="Y720" s="541"/>
      <c r="Z720" s="541"/>
      <c r="AA720" s="541"/>
      <c r="AB720" s="541"/>
      <c r="AC720" s="461"/>
      <c r="AD720" s="461"/>
      <c r="AE720" s="461"/>
      <c r="AF720" s="461"/>
      <c r="AG720" s="461"/>
      <c r="AH720" s="461"/>
      <c r="AI720" s="461"/>
      <c r="AJ720" s="461"/>
      <c r="AK720" s="461"/>
      <c r="AL720" s="461"/>
      <c r="AM720" s="475"/>
      <c r="AN720" s="609"/>
      <c r="AT720" s="14"/>
      <c r="AU720" s="14"/>
      <c r="AV720" s="14"/>
      <c r="AW720" s="14"/>
      <c r="AX720" s="14"/>
      <c r="AY720" s="14"/>
      <c r="AZ720" s="14"/>
    </row>
    <row r="721" spans="1:81" s="495" customFormat="1" ht="12.75" customHeight="1">
      <c r="A721" s="475"/>
      <c r="B721" s="461"/>
      <c r="C721" s="851"/>
      <c r="D721" s="588" t="s">
        <v>26</v>
      </c>
      <c r="E721" s="1653" t="s">
        <v>2365</v>
      </c>
      <c r="F721" s="1653"/>
      <c r="G721" s="1653"/>
      <c r="H721" s="1653"/>
      <c r="I721" s="1653"/>
      <c r="J721" s="1653"/>
      <c r="K721" s="1653"/>
      <c r="L721" s="1653"/>
      <c r="M721" s="1653"/>
      <c r="N721" s="1653"/>
      <c r="O721" s="1653"/>
      <c r="P721" s="1653"/>
      <c r="Q721" s="1653"/>
      <c r="R721" s="1653"/>
      <c r="S721" s="1653"/>
      <c r="T721" s="1653"/>
      <c r="U721" s="1653"/>
      <c r="V721" s="1653"/>
      <c r="W721" s="1653"/>
      <c r="X721" s="1653"/>
      <c r="Y721" s="1653"/>
      <c r="Z721" s="1653"/>
      <c r="AA721" s="1653"/>
      <c r="AB721" s="1653"/>
      <c r="AC721" s="461"/>
      <c r="AD721" s="461"/>
      <c r="AE721" s="461"/>
      <c r="AF721" s="1733" t="s">
        <v>2318</v>
      </c>
      <c r="AG721" s="1733"/>
      <c r="AH721" s="1733"/>
      <c r="AI721" s="1733"/>
      <c r="AJ721" s="1733"/>
      <c r="AK721" s="1733"/>
      <c r="AL721" s="1733"/>
      <c r="AM721" s="475"/>
      <c r="AN721" s="609"/>
      <c r="AT721" s="14"/>
      <c r="AU721" s="14"/>
      <c r="AV721" s="14"/>
      <c r="AW721" s="14"/>
      <c r="AX721" s="14"/>
      <c r="AY721" s="14"/>
      <c r="AZ721" s="14"/>
    </row>
    <row r="722" spans="1:81" s="495" customFormat="1">
      <c r="A722" s="475"/>
      <c r="B722" s="461"/>
      <c r="C722" s="853"/>
      <c r="D722" s="461"/>
      <c r="E722" s="1653"/>
      <c r="F722" s="1653"/>
      <c r="G722" s="1653"/>
      <c r="H722" s="1653"/>
      <c r="I722" s="1653"/>
      <c r="J722" s="1653"/>
      <c r="K722" s="1653"/>
      <c r="L722" s="1653"/>
      <c r="M722" s="1653"/>
      <c r="N722" s="1653"/>
      <c r="O722" s="1653"/>
      <c r="P722" s="1653"/>
      <c r="Q722" s="1653"/>
      <c r="R722" s="1653"/>
      <c r="S722" s="1653"/>
      <c r="T722" s="1653"/>
      <c r="U722" s="1653"/>
      <c r="V722" s="1653"/>
      <c r="W722" s="1653"/>
      <c r="X722" s="1653"/>
      <c r="Y722" s="1653"/>
      <c r="Z722" s="1653"/>
      <c r="AA722" s="1653"/>
      <c r="AB722" s="1653"/>
      <c r="AC722" s="461"/>
      <c r="AD722" s="461"/>
      <c r="AE722" s="461"/>
      <c r="AF722" s="461"/>
      <c r="AG722" s="461"/>
      <c r="AH722" s="461"/>
      <c r="AI722" s="461"/>
      <c r="AJ722" s="461"/>
      <c r="AK722" s="461"/>
      <c r="AL722" s="461"/>
      <c r="AM722" s="475"/>
      <c r="AN722" s="609"/>
      <c r="AT722" s="14"/>
      <c r="AU722" s="14"/>
      <c r="AV722" s="14"/>
      <c r="AW722" s="14"/>
      <c r="AX722" s="14"/>
      <c r="AY722" s="14"/>
      <c r="AZ722" s="14"/>
    </row>
    <row r="723" spans="1:81" s="495" customFormat="1">
      <c r="A723" s="475"/>
      <c r="B723" s="461"/>
      <c r="C723" s="853"/>
      <c r="D723" s="461"/>
      <c r="E723" s="568"/>
      <c r="F723" s="568"/>
      <c r="G723" s="568"/>
      <c r="H723" s="568"/>
      <c r="I723" s="568"/>
      <c r="J723" s="568"/>
      <c r="K723" s="568"/>
      <c r="L723" s="568"/>
      <c r="M723" s="568"/>
      <c r="N723" s="568"/>
      <c r="O723" s="568"/>
      <c r="P723" s="568"/>
      <c r="Q723" s="568"/>
      <c r="R723" s="568"/>
      <c r="S723" s="568"/>
      <c r="T723" s="568"/>
      <c r="U723" s="568"/>
      <c r="V723" s="568"/>
      <c r="W723" s="568"/>
      <c r="X723" s="568"/>
      <c r="Y723" s="568"/>
      <c r="Z723" s="568"/>
      <c r="AA723" s="568"/>
      <c r="AB723" s="568"/>
      <c r="AC723" s="461"/>
      <c r="AD723" s="461"/>
      <c r="AE723" s="461"/>
      <c r="AF723" s="461"/>
      <c r="AG723" s="461"/>
      <c r="AH723" s="461"/>
      <c r="AI723" s="461"/>
      <c r="AJ723" s="461"/>
      <c r="AK723" s="461"/>
      <c r="AL723" s="461"/>
      <c r="AM723" s="475"/>
      <c r="AN723" s="609"/>
      <c r="AT723" s="14"/>
      <c r="AU723" s="14"/>
      <c r="AV723" s="14"/>
      <c r="AW723" s="14"/>
      <c r="AX723" s="14"/>
      <c r="AY723" s="14"/>
      <c r="AZ723" s="14"/>
    </row>
    <row r="724" spans="1:81" s="495" customFormat="1" ht="12.75" customHeight="1">
      <c r="A724" s="475"/>
      <c r="B724" s="461"/>
      <c r="C724" s="853"/>
      <c r="D724" s="461" t="s">
        <v>2304</v>
      </c>
      <c r="E724" s="856"/>
      <c r="F724" s="856"/>
      <c r="G724" s="856"/>
      <c r="H724" s="1677" t="s">
        <v>299</v>
      </c>
      <c r="I724" s="1677"/>
      <c r="J724" s="568"/>
      <c r="K724" s="568"/>
      <c r="L724" s="568"/>
      <c r="M724" s="568"/>
      <c r="N724" s="568"/>
      <c r="O724" s="568"/>
      <c r="P724" s="568"/>
      <c r="Q724" s="568"/>
      <c r="R724" s="568"/>
      <c r="S724" s="568"/>
      <c r="T724" s="568"/>
      <c r="U724" s="568"/>
      <c r="V724" s="568"/>
      <c r="W724" s="568"/>
      <c r="X724" s="568"/>
      <c r="Y724" s="568"/>
      <c r="Z724" s="568"/>
      <c r="AA724" s="568"/>
      <c r="AB724" s="568"/>
      <c r="AC724" s="461"/>
      <c r="AD724" s="461"/>
      <c r="AE724" s="461"/>
      <c r="AF724" s="461"/>
      <c r="AG724" s="461"/>
      <c r="AH724" s="461"/>
      <c r="AI724" s="461"/>
      <c r="AJ724" s="461"/>
      <c r="AK724" s="461"/>
      <c r="AL724" s="461"/>
      <c r="AM724" s="475"/>
      <c r="AN724" s="609"/>
      <c r="AT724" s="14"/>
      <c r="AU724" s="14"/>
      <c r="AV724" s="14"/>
      <c r="AW724" s="14"/>
      <c r="AX724" s="14"/>
      <c r="AY724" s="14"/>
      <c r="AZ724" s="14"/>
    </row>
    <row r="725" spans="1:81" s="495" customFormat="1">
      <c r="A725" s="475"/>
      <c r="B725" s="461"/>
      <c r="C725" s="853"/>
      <c r="D725" s="461"/>
      <c r="E725" s="568"/>
      <c r="F725" s="568"/>
      <c r="G725" s="568"/>
      <c r="H725" s="568"/>
      <c r="I725" s="568"/>
      <c r="J725" s="568"/>
      <c r="K725" s="568"/>
      <c r="L725" s="568"/>
      <c r="M725" s="568"/>
      <c r="N725" s="568"/>
      <c r="O725" s="568"/>
      <c r="P725" s="568"/>
      <c r="Q725" s="568"/>
      <c r="R725" s="568"/>
      <c r="S725" s="568"/>
      <c r="T725" s="568"/>
      <c r="U725" s="568"/>
      <c r="V725" s="568"/>
      <c r="W725" s="568"/>
      <c r="X725" s="568"/>
      <c r="Y725" s="568"/>
      <c r="Z725" s="568"/>
      <c r="AA725" s="568"/>
      <c r="AB725" s="568"/>
      <c r="AC725" s="461"/>
      <c r="AD725" s="461"/>
      <c r="AE725" s="461"/>
      <c r="AF725" s="461"/>
      <c r="AG725" s="461"/>
      <c r="AH725" s="461"/>
      <c r="AI725" s="461"/>
      <c r="AJ725" s="461"/>
      <c r="AK725" s="461"/>
      <c r="AL725" s="461"/>
      <c r="AM725" s="475"/>
      <c r="AN725" s="609"/>
      <c r="AS725" s="14"/>
      <c r="AT725" s="14"/>
      <c r="AU725" s="14"/>
      <c r="AV725" s="14"/>
      <c r="AW725" s="14"/>
      <c r="AX725" s="14"/>
      <c r="AY725" s="14"/>
      <c r="AZ725" s="14"/>
      <c r="BA725" s="14"/>
      <c r="BB725" s="14"/>
      <c r="BC725" s="14"/>
      <c r="BD725" s="28"/>
      <c r="BE725" s="28"/>
      <c r="BF725" s="28"/>
      <c r="BG725" s="28"/>
      <c r="BH725" s="28"/>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495" customFormat="1">
      <c r="A726" s="531"/>
      <c r="B726" s="526"/>
      <c r="C726" s="858"/>
      <c r="D726" s="526"/>
      <c r="E726" s="869"/>
      <c r="F726" s="869"/>
      <c r="G726" s="869"/>
      <c r="H726" s="869"/>
      <c r="I726" s="869"/>
      <c r="J726" s="869"/>
      <c r="K726" s="869"/>
      <c r="L726" s="869"/>
      <c r="M726" s="869"/>
      <c r="N726" s="869"/>
      <c r="O726" s="869"/>
      <c r="P726" s="869"/>
      <c r="Q726" s="869"/>
      <c r="R726" s="869"/>
      <c r="S726" s="869"/>
      <c r="T726" s="869"/>
      <c r="U726" s="869"/>
      <c r="V726" s="590"/>
      <c r="W726" s="590"/>
      <c r="X726" s="590"/>
      <c r="Y726" s="859"/>
      <c r="Z726" s="859"/>
      <c r="AA726" s="859"/>
      <c r="AB726" s="526"/>
      <c r="AC726" s="526"/>
      <c r="AD726" s="526"/>
      <c r="AE726" s="526"/>
      <c r="AF726" s="526"/>
      <c r="AG726" s="526"/>
      <c r="AH726" s="526"/>
      <c r="AI726" s="490" t="s">
        <v>2366</v>
      </c>
      <c r="AJ726" s="1660">
        <f>VLOOKUP($H$724,$AO$655:$AP$657,2,FALSE)</f>
        <v>0</v>
      </c>
      <c r="AK726" s="1662"/>
      <c r="AL726" s="520"/>
      <c r="AM726" s="475"/>
      <c r="AN726" s="609"/>
      <c r="AS726" s="14"/>
      <c r="AT726" s="14"/>
      <c r="AU726" s="14"/>
      <c r="AV726" s="14"/>
      <c r="AW726" s="14"/>
      <c r="AX726" s="14"/>
      <c r="AY726" s="14"/>
      <c r="AZ726" s="14"/>
      <c r="BA726" s="14"/>
      <c r="BB726" s="14"/>
      <c r="BC726" s="14"/>
      <c r="BD726" s="28"/>
      <c r="BE726" s="28"/>
      <c r="BF726" s="28"/>
      <c r="BG726" s="28"/>
      <c r="BH726" s="28"/>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495" customFormat="1" ht="12.75" customHeight="1">
      <c r="A727" s="475"/>
      <c r="B727" s="461"/>
      <c r="C727" s="853"/>
      <c r="D727" s="461"/>
      <c r="E727" s="461"/>
      <c r="F727" s="461"/>
      <c r="G727" s="461"/>
      <c r="H727" s="461"/>
      <c r="I727" s="461"/>
      <c r="J727" s="568"/>
      <c r="K727" s="568"/>
      <c r="L727" s="568"/>
      <c r="M727" s="568"/>
      <c r="N727" s="461"/>
      <c r="O727" s="461"/>
      <c r="P727" s="461"/>
      <c r="Q727" s="461"/>
      <c r="R727" s="461"/>
      <c r="S727" s="461"/>
      <c r="T727" s="461"/>
      <c r="U727" s="461"/>
      <c r="V727" s="461"/>
      <c r="W727" s="461"/>
      <c r="X727" s="461"/>
      <c r="Y727" s="461"/>
      <c r="Z727" s="461"/>
      <c r="AA727" s="461"/>
      <c r="AB727" s="461"/>
      <c r="AC727" s="461"/>
      <c r="AD727" s="461"/>
      <c r="AE727" s="461"/>
      <c r="AF727" s="461"/>
      <c r="AG727" s="461"/>
      <c r="AH727" s="461"/>
      <c r="AI727" s="461"/>
      <c r="AJ727" s="461"/>
      <c r="AK727" s="461"/>
      <c r="AL727" s="461"/>
      <c r="AM727" s="475"/>
      <c r="AN727" s="609"/>
      <c r="AS727" s="14"/>
      <c r="AT727" s="14"/>
      <c r="AU727" s="14"/>
      <c r="AV727" s="14"/>
      <c r="AW727" s="14"/>
      <c r="AX727" s="14"/>
      <c r="AY727" s="14"/>
      <c r="AZ727" s="14"/>
      <c r="BA727" s="14"/>
      <c r="BB727" s="14"/>
      <c r="BC727" s="14"/>
      <c r="BD727" s="28"/>
      <c r="BE727" s="28"/>
      <c r="BF727" s="28"/>
      <c r="BG727" s="28"/>
      <c r="BH727" s="28"/>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495" customFormat="1" ht="12.75" customHeight="1">
      <c r="A728" s="475"/>
      <c r="B728" s="461"/>
      <c r="C728" s="464" t="s">
        <v>2367</v>
      </c>
      <c r="D728" s="461"/>
      <c r="E728" s="461"/>
      <c r="F728" s="461"/>
      <c r="G728" s="461"/>
      <c r="H728" s="461"/>
      <c r="I728" s="461"/>
      <c r="J728" s="461"/>
      <c r="K728" s="461"/>
      <c r="L728" s="461"/>
      <c r="M728" s="461"/>
      <c r="N728" s="461"/>
      <c r="O728" s="461"/>
      <c r="P728" s="461"/>
      <c r="Q728" s="461"/>
      <c r="R728" s="461"/>
      <c r="S728" s="461"/>
      <c r="T728" s="461"/>
      <c r="U728" s="461"/>
      <c r="V728" s="461"/>
      <c r="W728" s="461"/>
      <c r="X728" s="461"/>
      <c r="Y728" s="461"/>
      <c r="Z728" s="461"/>
      <c r="AA728" s="461"/>
      <c r="AB728" s="461"/>
      <c r="AC728" s="461"/>
      <c r="AD728" s="461"/>
      <c r="AE728" s="461"/>
      <c r="AF728" s="461"/>
      <c r="AG728" s="461"/>
      <c r="AH728" s="461"/>
      <c r="AI728" s="461"/>
      <c r="AJ728" s="461"/>
      <c r="AK728" s="461"/>
      <c r="AL728" s="461"/>
      <c r="AM728" s="475"/>
      <c r="AN728" s="609"/>
      <c r="AS728" s="14"/>
      <c r="AT728" s="14"/>
      <c r="AU728" s="14"/>
      <c r="AV728" s="14"/>
      <c r="AW728" s="14"/>
      <c r="AX728" s="14"/>
      <c r="AY728" s="14"/>
      <c r="AZ728" s="14"/>
      <c r="BA728" s="14"/>
      <c r="BB728" s="14"/>
      <c r="BC728" s="14"/>
      <c r="BD728" s="28"/>
      <c r="BE728" s="28"/>
      <c r="BF728" s="28"/>
      <c r="BG728" s="28"/>
      <c r="BH728" s="28"/>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495" customFormat="1">
      <c r="A729" s="475"/>
      <c r="B729" s="535"/>
      <c r="C729" s="873"/>
      <c r="D729" s="535"/>
      <c r="E729" s="535"/>
      <c r="F729" s="461"/>
      <c r="G729" s="461"/>
      <c r="H729" s="535"/>
      <c r="I729" s="535"/>
      <c r="J729" s="535"/>
      <c r="K729" s="535"/>
      <c r="L729" s="535"/>
      <c r="M729" s="535"/>
      <c r="N729" s="535"/>
      <c r="O729" s="535"/>
      <c r="P729" s="535"/>
      <c r="Q729" s="535"/>
      <c r="R729" s="535"/>
      <c r="S729" s="535"/>
      <c r="T729" s="461"/>
      <c r="U729" s="461"/>
      <c r="V729" s="461"/>
      <c r="W729" s="461"/>
      <c r="X729" s="520"/>
      <c r="Y729" s="520"/>
      <c r="Z729" s="520"/>
      <c r="AA729" s="520"/>
      <c r="AB729" s="520"/>
      <c r="AC729" s="461"/>
      <c r="AD729" s="461"/>
      <c r="AE729" s="461"/>
      <c r="AF729" s="461"/>
      <c r="AG729" s="461"/>
      <c r="AH729" s="461"/>
      <c r="AI729" s="461"/>
      <c r="AJ729" s="461"/>
      <c r="AK729" s="461"/>
      <c r="AL729" s="461"/>
      <c r="AM729" s="475"/>
      <c r="AN729" s="609"/>
      <c r="AS729" s="14"/>
      <c r="AT729" s="14"/>
      <c r="AU729" s="14"/>
      <c r="AV729" s="14"/>
      <c r="AW729" s="14"/>
      <c r="AX729" s="14"/>
      <c r="AY729" s="14"/>
      <c r="AZ729" s="14"/>
      <c r="BA729" s="14"/>
      <c r="BB729" s="14"/>
      <c r="BC729" s="14"/>
      <c r="BD729" s="28"/>
      <c r="BE729" s="28"/>
      <c r="BF729" s="28"/>
      <c r="BG729" s="28"/>
      <c r="BH729" s="28"/>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495" customFormat="1">
      <c r="A730" s="475"/>
      <c r="B730" s="461"/>
      <c r="C730" s="851"/>
      <c r="D730" s="588" t="s">
        <v>21</v>
      </c>
      <c r="E730" s="1653" t="s">
        <v>2368</v>
      </c>
      <c r="F730" s="1653"/>
      <c r="G730" s="1653"/>
      <c r="H730" s="1653"/>
      <c r="I730" s="1653"/>
      <c r="J730" s="1653"/>
      <c r="K730" s="1653"/>
      <c r="L730" s="1653"/>
      <c r="M730" s="1653"/>
      <c r="N730" s="1653"/>
      <c r="O730" s="1653"/>
      <c r="P730" s="1653"/>
      <c r="Q730" s="1653"/>
      <c r="R730" s="1653"/>
      <c r="S730" s="1653"/>
      <c r="T730" s="1653"/>
      <c r="U730" s="1653"/>
      <c r="V730" s="1653"/>
      <c r="W730" s="1653"/>
      <c r="X730" s="1653"/>
      <c r="Y730" s="1653"/>
      <c r="Z730" s="1653"/>
      <c r="AA730" s="1653"/>
      <c r="AB730" s="1653"/>
      <c r="AC730" s="461"/>
      <c r="AD730" s="461"/>
      <c r="AE730" s="461"/>
      <c r="AF730" s="1733" t="s">
        <v>2029</v>
      </c>
      <c r="AG730" s="1733"/>
      <c r="AH730" s="1733"/>
      <c r="AI730" s="1733"/>
      <c r="AJ730" s="1733"/>
      <c r="AK730" s="1733"/>
      <c r="AL730" s="1733"/>
      <c r="AM730" s="475"/>
      <c r="AN730" s="609"/>
      <c r="AT730" s="14"/>
      <c r="AU730" s="14"/>
      <c r="AV730" s="14"/>
      <c r="AW730" s="14"/>
      <c r="AX730" s="14"/>
      <c r="AY730" s="14"/>
      <c r="AZ730" s="14"/>
    </row>
    <row r="731" spans="1:81" s="495" customFormat="1">
      <c r="A731" s="475"/>
      <c r="B731" s="461"/>
      <c r="C731" s="851"/>
      <c r="D731" s="588"/>
      <c r="E731" s="1653"/>
      <c r="F731" s="1653"/>
      <c r="G731" s="1653"/>
      <c r="H731" s="1653"/>
      <c r="I731" s="1653"/>
      <c r="J731" s="1653"/>
      <c r="K731" s="1653"/>
      <c r="L731" s="1653"/>
      <c r="M731" s="1653"/>
      <c r="N731" s="1653"/>
      <c r="O731" s="1653"/>
      <c r="P731" s="1653"/>
      <c r="Q731" s="1653"/>
      <c r="R731" s="1653"/>
      <c r="S731" s="1653"/>
      <c r="T731" s="1653"/>
      <c r="U731" s="1653"/>
      <c r="V731" s="1653"/>
      <c r="W731" s="1653"/>
      <c r="X731" s="1653"/>
      <c r="Y731" s="1653"/>
      <c r="Z731" s="1653"/>
      <c r="AA731" s="1653"/>
      <c r="AB731" s="1653"/>
      <c r="AC731" s="461"/>
      <c r="AD731" s="461"/>
      <c r="AE731" s="461"/>
      <c r="AF731" s="519"/>
      <c r="AG731" s="519"/>
      <c r="AH731" s="519"/>
      <c r="AI731" s="519"/>
      <c r="AJ731" s="519"/>
      <c r="AK731" s="519"/>
      <c r="AL731" s="519"/>
      <c r="AM731" s="475"/>
      <c r="AN731" s="609"/>
      <c r="AT731" s="14"/>
      <c r="AU731" s="14"/>
      <c r="AV731" s="14"/>
      <c r="AW731" s="14"/>
      <c r="AX731" s="14"/>
      <c r="AY731" s="14"/>
      <c r="AZ731" s="14"/>
    </row>
    <row r="732" spans="1:81" s="495" customFormat="1">
      <c r="A732" s="475"/>
      <c r="B732" s="461"/>
      <c r="C732" s="853"/>
      <c r="D732" s="588"/>
      <c r="E732" s="1653"/>
      <c r="F732" s="1653"/>
      <c r="G732" s="1653"/>
      <c r="H732" s="1653"/>
      <c r="I732" s="1653"/>
      <c r="J732" s="1653"/>
      <c r="K732" s="1653"/>
      <c r="L732" s="1653"/>
      <c r="M732" s="1653"/>
      <c r="N732" s="1653"/>
      <c r="O732" s="1653"/>
      <c r="P732" s="1653"/>
      <c r="Q732" s="1653"/>
      <c r="R732" s="1653"/>
      <c r="S732" s="1653"/>
      <c r="T732" s="1653"/>
      <c r="U732" s="1653"/>
      <c r="V732" s="1653"/>
      <c r="W732" s="1653"/>
      <c r="X732" s="1653"/>
      <c r="Y732" s="1653"/>
      <c r="Z732" s="1653"/>
      <c r="AA732" s="1653"/>
      <c r="AB732" s="1653"/>
      <c r="AC732" s="461"/>
      <c r="AD732" s="461"/>
      <c r="AE732" s="461"/>
      <c r="AF732" s="461"/>
      <c r="AG732" s="461"/>
      <c r="AH732" s="461"/>
      <c r="AI732" s="461"/>
      <c r="AJ732" s="461"/>
      <c r="AK732" s="461"/>
      <c r="AL732" s="461"/>
      <c r="AM732" s="475"/>
      <c r="AN732" s="609"/>
    </row>
    <row r="733" spans="1:81" s="495" customFormat="1" ht="12.75" customHeight="1">
      <c r="A733" s="475"/>
      <c r="B733" s="461"/>
      <c r="C733" s="853"/>
      <c r="D733" s="588"/>
      <c r="E733" s="1653"/>
      <c r="F733" s="1653"/>
      <c r="G733" s="1653"/>
      <c r="H733" s="1653"/>
      <c r="I733" s="1653"/>
      <c r="J733" s="1653"/>
      <c r="K733" s="1653"/>
      <c r="L733" s="1653"/>
      <c r="M733" s="1653"/>
      <c r="N733" s="1653"/>
      <c r="O733" s="1653"/>
      <c r="P733" s="1653"/>
      <c r="Q733" s="1653"/>
      <c r="R733" s="1653"/>
      <c r="S733" s="1653"/>
      <c r="T733" s="1653"/>
      <c r="U733" s="1653"/>
      <c r="V733" s="1653"/>
      <c r="W733" s="1653"/>
      <c r="X733" s="1653"/>
      <c r="Y733" s="1653"/>
      <c r="Z733" s="1653"/>
      <c r="AA733" s="1653"/>
      <c r="AB733" s="1653"/>
      <c r="AC733" s="461"/>
      <c r="AD733" s="461"/>
      <c r="AE733" s="461"/>
      <c r="AF733" s="461"/>
      <c r="AG733" s="461"/>
      <c r="AH733" s="461"/>
      <c r="AI733" s="461"/>
      <c r="AJ733" s="461"/>
      <c r="AK733" s="461"/>
      <c r="AL733" s="461"/>
      <c r="AM733" s="475"/>
      <c r="AN733" s="459"/>
      <c r="AO733" s="14"/>
    </row>
    <row r="734" spans="1:81" s="495" customFormat="1">
      <c r="A734" s="604"/>
      <c r="B734" s="520"/>
      <c r="C734" s="851"/>
      <c r="D734" s="588"/>
      <c r="E734" s="866"/>
      <c r="F734" s="866"/>
      <c r="G734" s="866"/>
      <c r="H734" s="866"/>
      <c r="I734" s="866"/>
      <c r="J734" s="866"/>
      <c r="K734" s="866"/>
      <c r="L734" s="866"/>
      <c r="M734" s="866"/>
      <c r="N734" s="866"/>
      <c r="O734" s="866"/>
      <c r="P734" s="866"/>
      <c r="Q734" s="866"/>
      <c r="R734" s="866"/>
      <c r="S734" s="866"/>
      <c r="T734" s="866"/>
      <c r="U734" s="866"/>
      <c r="V734" s="866"/>
      <c r="W734" s="866"/>
      <c r="X734" s="866"/>
      <c r="Y734" s="866"/>
      <c r="Z734" s="866"/>
      <c r="AA734" s="866"/>
      <c r="AB734" s="866"/>
      <c r="AC734" s="461"/>
      <c r="AD734" s="461"/>
      <c r="AE734" s="461"/>
      <c r="AF734" s="461"/>
      <c r="AG734" s="461"/>
      <c r="AH734" s="461"/>
      <c r="AI734" s="461"/>
      <c r="AJ734" s="461"/>
      <c r="AK734" s="461"/>
      <c r="AL734" s="461"/>
      <c r="AM734" s="475"/>
      <c r="AN734" s="609"/>
      <c r="AO734" s="26"/>
      <c r="AP734" s="14"/>
    </row>
    <row r="735" spans="1:81" s="495" customFormat="1">
      <c r="A735" s="475"/>
      <c r="B735" s="461"/>
      <c r="C735" s="851"/>
      <c r="D735" s="588" t="s">
        <v>26</v>
      </c>
      <c r="E735" s="1653" t="s">
        <v>2369</v>
      </c>
      <c r="F735" s="1653"/>
      <c r="G735" s="1653"/>
      <c r="H735" s="1653"/>
      <c r="I735" s="1653"/>
      <c r="J735" s="1653"/>
      <c r="K735" s="1653"/>
      <c r="L735" s="1653"/>
      <c r="M735" s="1653"/>
      <c r="N735" s="1653"/>
      <c r="O735" s="1653"/>
      <c r="P735" s="1653"/>
      <c r="Q735" s="1653"/>
      <c r="R735" s="1653"/>
      <c r="S735" s="1653"/>
      <c r="T735" s="1653"/>
      <c r="U735" s="1653"/>
      <c r="V735" s="1653"/>
      <c r="W735" s="1653"/>
      <c r="X735" s="1653"/>
      <c r="Y735" s="1653"/>
      <c r="Z735" s="1653"/>
      <c r="AA735" s="1653"/>
      <c r="AB735" s="500"/>
      <c r="AC735" s="461"/>
      <c r="AD735" s="461"/>
      <c r="AE735" s="461"/>
      <c r="AF735" s="1733" t="s">
        <v>2318</v>
      </c>
      <c r="AG735" s="1733"/>
      <c r="AH735" s="1733"/>
      <c r="AI735" s="1733"/>
      <c r="AJ735" s="1733"/>
      <c r="AK735" s="1733"/>
      <c r="AL735" s="1733"/>
      <c r="AM735" s="475"/>
      <c r="AN735" s="609"/>
      <c r="AO735" s="26"/>
      <c r="AP735" s="14"/>
    </row>
    <row r="736" spans="1:81" s="495" customFormat="1">
      <c r="A736" s="475"/>
      <c r="B736" s="461"/>
      <c r="C736" s="851"/>
      <c r="D736" s="588"/>
      <c r="E736" s="1653"/>
      <c r="F736" s="1653"/>
      <c r="G736" s="1653"/>
      <c r="H736" s="1653"/>
      <c r="I736" s="1653"/>
      <c r="J736" s="1653"/>
      <c r="K736" s="1653"/>
      <c r="L736" s="1653"/>
      <c r="M736" s="1653"/>
      <c r="N736" s="1653"/>
      <c r="O736" s="1653"/>
      <c r="P736" s="1653"/>
      <c r="Q736" s="1653"/>
      <c r="R736" s="1653"/>
      <c r="S736" s="1653"/>
      <c r="T736" s="1653"/>
      <c r="U736" s="1653"/>
      <c r="V736" s="1653"/>
      <c r="W736" s="1653"/>
      <c r="X736" s="1653"/>
      <c r="Y736" s="1653"/>
      <c r="Z736" s="1653"/>
      <c r="AA736" s="1653"/>
      <c r="AB736" s="500"/>
      <c r="AC736" s="461"/>
      <c r="AD736" s="461"/>
      <c r="AE736" s="461"/>
      <c r="AF736" s="519"/>
      <c r="AG736" s="519"/>
      <c r="AH736" s="519"/>
      <c r="AI736" s="519"/>
      <c r="AJ736" s="519"/>
      <c r="AK736" s="519"/>
      <c r="AL736" s="519"/>
      <c r="AM736" s="475"/>
      <c r="AN736" s="609"/>
      <c r="AO736" s="26"/>
      <c r="AP736" s="14"/>
    </row>
    <row r="737" spans="1:74" s="495" customFormat="1">
      <c r="A737" s="475"/>
      <c r="B737" s="461"/>
      <c r="C737" s="851"/>
      <c r="D737" s="461"/>
      <c r="E737" s="1653"/>
      <c r="F737" s="1653"/>
      <c r="G737" s="1653"/>
      <c r="H737" s="1653"/>
      <c r="I737" s="1653"/>
      <c r="J737" s="1653"/>
      <c r="K737" s="1653"/>
      <c r="L737" s="1653"/>
      <c r="M737" s="1653"/>
      <c r="N737" s="1653"/>
      <c r="O737" s="1653"/>
      <c r="P737" s="1653"/>
      <c r="Q737" s="1653"/>
      <c r="R737" s="1653"/>
      <c r="S737" s="1653"/>
      <c r="T737" s="1653"/>
      <c r="U737" s="1653"/>
      <c r="V737" s="1653"/>
      <c r="W737" s="1653"/>
      <c r="X737" s="1653"/>
      <c r="Y737" s="1653"/>
      <c r="Z737" s="1653"/>
      <c r="AA737" s="1653"/>
      <c r="AB737" s="500"/>
      <c r="AC737" s="519"/>
      <c r="AD737" s="519"/>
      <c r="AE737" s="519"/>
      <c r="AF737" s="519"/>
      <c r="AG737" s="519"/>
      <c r="AH737" s="519"/>
      <c r="AI737" s="519"/>
      <c r="AJ737" s="461"/>
      <c r="AK737" s="461"/>
      <c r="AL737" s="461"/>
      <c r="AM737" s="475"/>
      <c r="AN737" s="609"/>
      <c r="AO737" s="26"/>
      <c r="AP737" s="14"/>
    </row>
    <row r="738" spans="1:74" s="495" customFormat="1">
      <c r="A738" s="475"/>
      <c r="B738" s="461"/>
      <c r="C738" s="851"/>
      <c r="D738" s="461"/>
      <c r="E738" s="1653"/>
      <c r="F738" s="1653"/>
      <c r="G738" s="1653"/>
      <c r="H738" s="1653"/>
      <c r="I738" s="1653"/>
      <c r="J738" s="1653"/>
      <c r="K738" s="1653"/>
      <c r="L738" s="1653"/>
      <c r="M738" s="1653"/>
      <c r="N738" s="1653"/>
      <c r="O738" s="1653"/>
      <c r="P738" s="1653"/>
      <c r="Q738" s="1653"/>
      <c r="R738" s="1653"/>
      <c r="S738" s="1653"/>
      <c r="T738" s="1653"/>
      <c r="U738" s="1653"/>
      <c r="V738" s="1653"/>
      <c r="W738" s="1653"/>
      <c r="X738" s="1653"/>
      <c r="Y738" s="1653"/>
      <c r="Z738" s="1653"/>
      <c r="AA738" s="1653"/>
      <c r="AB738" s="500"/>
      <c r="AC738" s="519"/>
      <c r="AD738" s="519"/>
      <c r="AE738" s="519"/>
      <c r="AF738" s="519"/>
      <c r="AG738" s="519"/>
      <c r="AH738" s="519"/>
      <c r="AI738" s="519"/>
      <c r="AJ738" s="461"/>
      <c r="AK738" s="461"/>
      <c r="AL738" s="461"/>
      <c r="AM738" s="475"/>
      <c r="AN738" s="609"/>
      <c r="AO738" s="26"/>
      <c r="AP738" s="14"/>
    </row>
    <row r="739" spans="1:74" s="495" customFormat="1">
      <c r="A739" s="475"/>
      <c r="B739" s="461"/>
      <c r="C739" s="851"/>
      <c r="D739" s="461"/>
      <c r="E739" s="567"/>
      <c r="F739" s="567"/>
      <c r="G739" s="567"/>
      <c r="H739" s="567"/>
      <c r="I739" s="567"/>
      <c r="J739" s="567"/>
      <c r="K739" s="567"/>
      <c r="L739" s="567"/>
      <c r="M739" s="567"/>
      <c r="N739" s="567"/>
      <c r="O739" s="567"/>
      <c r="P739" s="567"/>
      <c r="Q739" s="567"/>
      <c r="R739" s="567"/>
      <c r="S739" s="567"/>
      <c r="T739" s="567"/>
      <c r="U739" s="567"/>
      <c r="V739" s="567"/>
      <c r="W739" s="567"/>
      <c r="X739" s="567"/>
      <c r="Y739" s="567"/>
      <c r="Z739" s="567"/>
      <c r="AA739" s="567"/>
      <c r="AB739" s="567"/>
      <c r="AC739" s="519"/>
      <c r="AD739" s="519"/>
      <c r="AE739" s="519"/>
      <c r="AF739" s="519"/>
      <c r="AG739" s="519"/>
      <c r="AH739" s="519"/>
      <c r="AI739" s="519"/>
      <c r="AJ739" s="461"/>
      <c r="AK739" s="461"/>
      <c r="AL739" s="461"/>
      <c r="AM739" s="475"/>
      <c r="AN739" s="609"/>
    </row>
    <row r="740" spans="1:74" s="495" customFormat="1" ht="12.75" customHeight="1">
      <c r="A740" s="475"/>
      <c r="B740" s="461"/>
      <c r="C740" s="851"/>
      <c r="D740" s="461" t="s">
        <v>2304</v>
      </c>
      <c r="E740" s="856"/>
      <c r="F740" s="856"/>
      <c r="G740" s="856"/>
      <c r="H740" s="1677" t="s">
        <v>21</v>
      </c>
      <c r="I740" s="1677"/>
      <c r="J740" s="567"/>
      <c r="K740" s="567"/>
      <c r="L740" s="567"/>
      <c r="M740" s="567"/>
      <c r="N740" s="567"/>
      <c r="O740" s="567"/>
      <c r="P740" s="567"/>
      <c r="Q740" s="567"/>
      <c r="R740" s="567"/>
      <c r="S740" s="567"/>
      <c r="T740" s="567"/>
      <c r="U740" s="567"/>
      <c r="V740" s="567"/>
      <c r="W740" s="567"/>
      <c r="X740" s="567"/>
      <c r="Y740" s="567"/>
      <c r="Z740" s="567"/>
      <c r="AA740" s="567"/>
      <c r="AB740" s="567"/>
      <c r="AC740" s="519"/>
      <c r="AD740" s="519"/>
      <c r="AE740" s="519"/>
      <c r="AF740" s="519"/>
      <c r="AG740" s="519"/>
      <c r="AH740" s="519"/>
      <c r="AI740" s="519"/>
      <c r="AJ740" s="461"/>
      <c r="AK740" s="461"/>
      <c r="AL740" s="461"/>
      <c r="AM740" s="475"/>
      <c r="AN740" s="609"/>
    </row>
    <row r="741" spans="1:74" s="495" customFormat="1" ht="12.75" customHeight="1">
      <c r="A741" s="475"/>
      <c r="B741" s="461"/>
      <c r="C741" s="851"/>
      <c r="D741" s="461"/>
      <c r="E741" s="567"/>
      <c r="F741" s="567"/>
      <c r="G741" s="567"/>
      <c r="H741" s="567"/>
      <c r="I741" s="567"/>
      <c r="J741" s="567"/>
      <c r="K741" s="567"/>
      <c r="L741" s="567"/>
      <c r="M741" s="567"/>
      <c r="N741" s="567"/>
      <c r="O741" s="567"/>
      <c r="P741" s="567"/>
      <c r="Q741" s="567"/>
      <c r="R741" s="567"/>
      <c r="S741" s="567"/>
      <c r="T741" s="567"/>
      <c r="U741" s="567"/>
      <c r="V741" s="567"/>
      <c r="W741" s="567"/>
      <c r="X741" s="567"/>
      <c r="Y741" s="567"/>
      <c r="Z741" s="567"/>
      <c r="AA741" s="567"/>
      <c r="AB741" s="567"/>
      <c r="AC741" s="519"/>
      <c r="AD741" s="519"/>
      <c r="AE741" s="519"/>
      <c r="AF741" s="519"/>
      <c r="AG741" s="519"/>
      <c r="AH741" s="519"/>
      <c r="AI741" s="519"/>
      <c r="AJ741" s="461"/>
      <c r="AK741" s="461"/>
      <c r="AL741" s="461"/>
      <c r="AM741" s="475"/>
      <c r="AN741" s="459"/>
      <c r="AO741" s="26"/>
      <c r="AP741" s="14"/>
      <c r="AQ741" s="14"/>
      <c r="AR741" s="14"/>
      <c r="AS741" s="14"/>
      <c r="AT741" s="14"/>
      <c r="AU741" s="14"/>
      <c r="AV741" s="14"/>
      <c r="AW741" s="14"/>
      <c r="AX741" s="14"/>
      <c r="AY741" s="14"/>
      <c r="AZ741" s="14"/>
      <c r="BA741" s="14"/>
      <c r="BB741" s="14"/>
      <c r="BC741" s="14"/>
      <c r="BD741" s="28"/>
      <c r="BE741" s="28"/>
      <c r="BF741" s="28"/>
      <c r="BG741" s="28"/>
      <c r="BH741" s="28"/>
      <c r="BI741" s="14"/>
      <c r="BJ741" s="14"/>
      <c r="BK741" s="14"/>
      <c r="BL741" s="14"/>
      <c r="BM741" s="14"/>
      <c r="BN741" s="14"/>
      <c r="BO741" s="14"/>
      <c r="BP741" s="14"/>
      <c r="BQ741" s="14"/>
      <c r="BR741" s="14"/>
      <c r="BS741" s="14"/>
      <c r="BT741" s="14"/>
      <c r="BU741" s="14"/>
      <c r="BV741" s="14"/>
    </row>
    <row r="742" spans="1:74" s="495" customFormat="1">
      <c r="A742" s="531"/>
      <c r="B742" s="526"/>
      <c r="C742" s="864"/>
      <c r="D742" s="526"/>
      <c r="E742" s="874"/>
      <c r="F742" s="874"/>
      <c r="G742" s="874"/>
      <c r="H742" s="874"/>
      <c r="I742" s="874"/>
      <c r="J742" s="874"/>
      <c r="K742" s="874"/>
      <c r="L742" s="874"/>
      <c r="M742" s="874"/>
      <c r="N742" s="874"/>
      <c r="O742" s="874"/>
      <c r="P742" s="874"/>
      <c r="Q742" s="874"/>
      <c r="R742" s="874"/>
      <c r="S742" s="874"/>
      <c r="T742" s="874"/>
      <c r="U742" s="874"/>
      <c r="V742" s="874"/>
      <c r="W742" s="874"/>
      <c r="X742" s="874"/>
      <c r="Y742" s="874"/>
      <c r="Z742" s="874"/>
      <c r="AA742" s="874"/>
      <c r="AB742" s="612"/>
      <c r="AC742" s="612"/>
      <c r="AD742" s="612"/>
      <c r="AE742" s="612"/>
      <c r="AF742" s="612"/>
      <c r="AG742" s="612"/>
      <c r="AH742" s="526"/>
      <c r="AI742" s="490" t="s">
        <v>2370</v>
      </c>
      <c r="AJ742" s="1660">
        <f>VLOOKUP($H$740,$AO$669:$AP$671,2,FALSE)</f>
        <v>3</v>
      </c>
      <c r="AK742" s="1662"/>
      <c r="AL742" s="520"/>
      <c r="AM742" s="475"/>
      <c r="AN742" s="459"/>
      <c r="AO742" s="26"/>
      <c r="AP742" s="14"/>
      <c r="AQ742" s="14"/>
      <c r="AR742" s="14"/>
      <c r="AS742" s="14"/>
      <c r="AT742" s="14"/>
      <c r="AU742" s="14"/>
      <c r="AV742" s="14"/>
      <c r="AW742" s="14"/>
      <c r="AX742" s="14"/>
      <c r="AY742" s="14"/>
      <c r="AZ742" s="14"/>
      <c r="BA742" s="14"/>
      <c r="BB742" s="14"/>
      <c r="BC742" s="14"/>
      <c r="BD742" s="28"/>
      <c r="BE742" s="28"/>
      <c r="BF742" s="28"/>
      <c r="BG742" s="28"/>
      <c r="BH742" s="28"/>
      <c r="BI742" s="14"/>
      <c r="BJ742" s="14"/>
      <c r="BK742" s="14"/>
      <c r="BL742" s="14"/>
      <c r="BM742" s="14"/>
      <c r="BN742" s="14"/>
      <c r="BO742" s="14"/>
      <c r="BP742" s="14"/>
      <c r="BQ742" s="14"/>
      <c r="BR742" s="14"/>
      <c r="BS742" s="14"/>
      <c r="BT742" s="14"/>
      <c r="BU742" s="14"/>
      <c r="BV742" s="14"/>
    </row>
    <row r="743" spans="1:74" s="495" customFormat="1" ht="12.75" customHeight="1">
      <c r="A743" s="562"/>
      <c r="B743" s="461"/>
      <c r="C743" s="853"/>
      <c r="D743" s="461"/>
      <c r="E743" s="461"/>
      <c r="F743" s="461"/>
      <c r="G743" s="461"/>
      <c r="H743" s="461"/>
      <c r="I743" s="461"/>
      <c r="J743" s="567"/>
      <c r="K743" s="567"/>
      <c r="L743" s="568"/>
      <c r="M743" s="568"/>
      <c r="N743" s="568"/>
      <c r="O743" s="568"/>
      <c r="P743" s="568"/>
      <c r="Q743" s="568"/>
      <c r="R743" s="568"/>
      <c r="S743" s="568"/>
      <c r="T743" s="568"/>
      <c r="U743" s="568"/>
      <c r="V743" s="541"/>
      <c r="W743" s="541"/>
      <c r="X743" s="541"/>
      <c r="Y743" s="541"/>
      <c r="Z743" s="856"/>
      <c r="AA743" s="856"/>
      <c r="AB743" s="856"/>
      <c r="AC743" s="461"/>
      <c r="AD743" s="461"/>
      <c r="AE743" s="461"/>
      <c r="AF743" s="461"/>
      <c r="AG743" s="461"/>
      <c r="AH743" s="461"/>
      <c r="AI743" s="461"/>
      <c r="AJ743" s="461"/>
      <c r="AK743" s="461"/>
      <c r="AL743" s="461"/>
      <c r="AM743" s="475"/>
      <c r="AN743" s="459"/>
      <c r="AO743" s="26"/>
      <c r="AP743" s="14"/>
      <c r="AQ743" s="14"/>
      <c r="AR743" s="14"/>
      <c r="AS743" s="14"/>
      <c r="AT743" s="14"/>
      <c r="AU743" s="14"/>
      <c r="AV743" s="14"/>
      <c r="AW743" s="14"/>
      <c r="AX743" s="14"/>
      <c r="AY743" s="14"/>
      <c r="AZ743" s="14"/>
      <c r="BA743" s="14"/>
      <c r="BB743" s="14"/>
      <c r="BC743" s="14"/>
      <c r="BD743" s="28"/>
      <c r="BE743" s="28"/>
      <c r="BF743" s="28"/>
      <c r="BG743" s="28"/>
      <c r="BH743" s="28"/>
      <c r="BI743" s="14"/>
      <c r="BJ743" s="14"/>
      <c r="BK743" s="14"/>
      <c r="BL743" s="14"/>
      <c r="BM743" s="14"/>
      <c r="BN743" s="14"/>
      <c r="BO743" s="14"/>
      <c r="BP743" s="14"/>
      <c r="BQ743" s="14"/>
      <c r="BR743" s="14"/>
      <c r="BS743" s="14"/>
      <c r="BT743" s="14"/>
      <c r="BU743" s="14"/>
      <c r="BV743" s="14"/>
    </row>
    <row r="744" spans="1:74" s="495" customFormat="1">
      <c r="A744" s="475"/>
      <c r="B744" s="461"/>
      <c r="C744" s="464" t="s">
        <v>2359</v>
      </c>
      <c r="D744" s="541"/>
      <c r="E744" s="461"/>
      <c r="F744" s="461"/>
      <c r="G744" s="461"/>
      <c r="H744" s="461"/>
      <c r="I744" s="461"/>
      <c r="J744" s="461"/>
      <c r="K744" s="461"/>
      <c r="L744" s="461"/>
      <c r="M744" s="461"/>
      <c r="N744" s="461"/>
      <c r="O744" s="461"/>
      <c r="P744" s="461"/>
      <c r="Q744" s="461"/>
      <c r="R744" s="461"/>
      <c r="S744" s="461"/>
      <c r="T744" s="461"/>
      <c r="U744" s="461"/>
      <c r="V744" s="461"/>
      <c r="W744" s="461"/>
      <c r="X744" s="461"/>
      <c r="Y744" s="461"/>
      <c r="Z744" s="461"/>
      <c r="AA744" s="461"/>
      <c r="AB744" s="461"/>
      <c r="AC744" s="461"/>
      <c r="AD744" s="461"/>
      <c r="AE744" s="461"/>
      <c r="AF744" s="461"/>
      <c r="AG744" s="461"/>
      <c r="AH744" s="461"/>
      <c r="AI744" s="461"/>
      <c r="AJ744" s="461"/>
      <c r="AK744" s="461"/>
      <c r="AL744" s="461"/>
      <c r="AM744" s="475"/>
      <c r="AN744" s="459"/>
      <c r="AO744" s="26"/>
      <c r="AP744" s="14"/>
      <c r="AQ744" s="14"/>
      <c r="AR744" s="14"/>
      <c r="AS744" s="14"/>
      <c r="AT744" s="14"/>
      <c r="AU744" s="14"/>
      <c r="AV744" s="14"/>
      <c r="AW744" s="14"/>
      <c r="AX744" s="14"/>
      <c r="AY744" s="14"/>
      <c r="AZ744" s="14"/>
      <c r="BA744" s="14"/>
      <c r="BB744" s="14"/>
      <c r="BC744" s="14"/>
      <c r="BD744" s="28"/>
      <c r="BE744" s="28"/>
      <c r="BF744" s="28"/>
      <c r="BG744" s="28"/>
      <c r="BH744" s="28"/>
      <c r="BI744" s="14"/>
      <c r="BJ744" s="14"/>
      <c r="BK744" s="14"/>
      <c r="BL744" s="14"/>
      <c r="BM744" s="14"/>
      <c r="BN744" s="14"/>
      <c r="BO744" s="14"/>
      <c r="BP744" s="14"/>
      <c r="BQ744" s="14"/>
      <c r="BR744" s="14"/>
      <c r="BS744" s="14"/>
      <c r="BT744" s="14"/>
      <c r="BU744" s="14"/>
      <c r="BV744" s="14"/>
    </row>
    <row r="745" spans="1:74" s="495" customFormat="1">
      <c r="A745" s="475"/>
      <c r="B745" s="541"/>
      <c r="C745" s="461"/>
      <c r="D745" s="461"/>
      <c r="E745" s="541"/>
      <c r="F745" s="541"/>
      <c r="G745" s="541"/>
      <c r="H745" s="541"/>
      <c r="I745" s="541"/>
      <c r="J745" s="541"/>
      <c r="K745" s="541"/>
      <c r="L745" s="541"/>
      <c r="M745" s="541"/>
      <c r="N745" s="541"/>
      <c r="O745" s="541"/>
      <c r="P745" s="541"/>
      <c r="Q745" s="541"/>
      <c r="R745" s="541"/>
      <c r="S745" s="541"/>
      <c r="T745" s="541"/>
      <c r="U745" s="541"/>
      <c r="V745" s="541"/>
      <c r="W745" s="541"/>
      <c r="X745" s="541"/>
      <c r="Y745" s="541"/>
      <c r="Z745" s="541"/>
      <c r="AA745" s="541"/>
      <c r="AB745" s="541"/>
      <c r="AC745" s="541"/>
      <c r="AD745" s="541"/>
      <c r="AE745" s="541"/>
      <c r="AF745" s="541"/>
      <c r="AG745" s="541"/>
      <c r="AH745" s="541"/>
      <c r="AI745" s="461"/>
      <c r="AJ745" s="461"/>
      <c r="AK745" s="461"/>
      <c r="AL745" s="461"/>
      <c r="AM745" s="475"/>
      <c r="AN745" s="459"/>
      <c r="AO745" s="26"/>
      <c r="AP745" s="14"/>
      <c r="AQ745" s="14"/>
      <c r="AR745" s="14"/>
      <c r="AS745" s="14"/>
      <c r="AT745" s="14"/>
      <c r="AU745" s="14"/>
      <c r="AV745" s="14"/>
      <c r="AW745" s="14"/>
      <c r="AX745" s="14"/>
      <c r="AY745" s="14"/>
      <c r="AZ745" s="14"/>
      <c r="BA745" s="14"/>
      <c r="BB745" s="14"/>
      <c r="BC745" s="14"/>
      <c r="BD745" s="28"/>
      <c r="BE745" s="28"/>
      <c r="BF745" s="28"/>
      <c r="BG745" s="28"/>
      <c r="BH745" s="28"/>
      <c r="BI745" s="14"/>
      <c r="BJ745" s="14"/>
      <c r="BK745" s="14"/>
      <c r="BL745" s="14"/>
      <c r="BM745" s="14"/>
      <c r="BN745" s="14"/>
      <c r="BO745" s="14"/>
      <c r="BP745" s="14"/>
      <c r="BQ745" s="14"/>
      <c r="BR745" s="14"/>
      <c r="BS745" s="14"/>
      <c r="BT745" s="14"/>
      <c r="BU745" s="14"/>
      <c r="BV745" s="14"/>
    </row>
    <row r="746" spans="1:74" s="495" customFormat="1">
      <c r="A746" s="475"/>
      <c r="B746" s="461"/>
      <c r="C746" s="851"/>
      <c r="D746" s="588" t="s">
        <v>21</v>
      </c>
      <c r="E746" s="1653" t="s">
        <v>2371</v>
      </c>
      <c r="F746" s="1653"/>
      <c r="G746" s="1653"/>
      <c r="H746" s="1653"/>
      <c r="I746" s="1653"/>
      <c r="J746" s="1653"/>
      <c r="K746" s="1653"/>
      <c r="L746" s="1653"/>
      <c r="M746" s="1653"/>
      <c r="N746" s="1653"/>
      <c r="O746" s="1653"/>
      <c r="P746" s="1653"/>
      <c r="Q746" s="1653"/>
      <c r="R746" s="1653"/>
      <c r="S746" s="1653"/>
      <c r="T746" s="1653"/>
      <c r="U746" s="1653"/>
      <c r="V746" s="1653"/>
      <c r="W746" s="1653"/>
      <c r="X746" s="1653"/>
      <c r="Y746" s="1653"/>
      <c r="Z746" s="1653"/>
      <c r="AA746" s="1653"/>
      <c r="AB746" s="1653"/>
      <c r="AC746" s="461"/>
      <c r="AD746" s="461"/>
      <c r="AE746" s="461"/>
      <c r="AF746" s="1733" t="s">
        <v>2318</v>
      </c>
      <c r="AG746" s="1733"/>
      <c r="AH746" s="1733"/>
      <c r="AI746" s="1733"/>
      <c r="AJ746" s="1733"/>
      <c r="AK746" s="1733"/>
      <c r="AL746" s="1733"/>
      <c r="AM746" s="475"/>
      <c r="AN746" s="459"/>
      <c r="AO746" s="26"/>
      <c r="AP746" s="14"/>
      <c r="AQ746" s="14"/>
      <c r="AR746" s="14"/>
      <c r="AS746" s="14"/>
      <c r="AT746" s="14"/>
      <c r="AU746" s="14"/>
      <c r="AV746" s="14"/>
      <c r="AW746" s="14"/>
      <c r="AX746" s="14"/>
      <c r="AY746" s="14"/>
      <c r="AZ746" s="14"/>
      <c r="BA746" s="14"/>
      <c r="BB746" s="14"/>
      <c r="BC746" s="14"/>
      <c r="BD746" s="28"/>
      <c r="BE746" s="28"/>
      <c r="BF746" s="28"/>
      <c r="BG746" s="28"/>
      <c r="BH746" s="28"/>
      <c r="BI746" s="14"/>
      <c r="BJ746" s="14"/>
      <c r="BK746" s="14"/>
      <c r="BL746" s="14"/>
      <c r="BM746" s="14"/>
      <c r="BN746" s="14"/>
      <c r="BO746" s="14"/>
      <c r="BP746" s="14"/>
      <c r="BQ746" s="14"/>
      <c r="BR746" s="14"/>
      <c r="BS746" s="14"/>
      <c r="BT746" s="14"/>
      <c r="BU746" s="14"/>
      <c r="BV746" s="14"/>
    </row>
    <row r="747" spans="1:74" s="495" customFormat="1">
      <c r="A747" s="475"/>
      <c r="B747" s="461"/>
      <c r="C747" s="853"/>
      <c r="D747" s="588"/>
      <c r="E747" s="1653"/>
      <c r="F747" s="1653"/>
      <c r="G747" s="1653"/>
      <c r="H747" s="1653"/>
      <c r="I747" s="1653"/>
      <c r="J747" s="1653"/>
      <c r="K747" s="1653"/>
      <c r="L747" s="1653"/>
      <c r="M747" s="1653"/>
      <c r="N747" s="1653"/>
      <c r="O747" s="1653"/>
      <c r="P747" s="1653"/>
      <c r="Q747" s="1653"/>
      <c r="R747" s="1653"/>
      <c r="S747" s="1653"/>
      <c r="T747" s="1653"/>
      <c r="U747" s="1653"/>
      <c r="V747" s="1653"/>
      <c r="W747" s="1653"/>
      <c r="X747" s="1653"/>
      <c r="Y747" s="1653"/>
      <c r="Z747" s="1653"/>
      <c r="AA747" s="1653"/>
      <c r="AB747" s="1653"/>
      <c r="AC747" s="461"/>
      <c r="AD747" s="461"/>
      <c r="AE747" s="461"/>
      <c r="AF747" s="461"/>
      <c r="AG747" s="461"/>
      <c r="AH747" s="461"/>
      <c r="AI747" s="461"/>
      <c r="AJ747" s="461"/>
      <c r="AK747" s="461"/>
      <c r="AL747" s="461"/>
      <c r="AM747" s="475"/>
      <c r="AN747" s="459"/>
      <c r="AO747" s="26"/>
      <c r="AP747" s="14"/>
      <c r="AQ747" s="14"/>
      <c r="AR747" s="14"/>
      <c r="AS747" s="14"/>
      <c r="AT747" s="14"/>
      <c r="AU747" s="14"/>
      <c r="AV747" s="14"/>
      <c r="AW747" s="14"/>
      <c r="AX747" s="14"/>
      <c r="AY747" s="14"/>
      <c r="AZ747" s="14"/>
      <c r="BA747" s="14"/>
      <c r="BB747" s="14"/>
      <c r="BC747" s="14"/>
      <c r="BD747" s="28"/>
      <c r="BE747" s="28"/>
      <c r="BF747" s="28"/>
      <c r="BG747" s="28"/>
      <c r="BH747" s="28"/>
      <c r="BI747" s="14"/>
      <c r="BJ747" s="14"/>
      <c r="BK747" s="14"/>
      <c r="BL747" s="14"/>
      <c r="BM747" s="14"/>
      <c r="BN747" s="14"/>
      <c r="BO747" s="14"/>
      <c r="BP747" s="14"/>
      <c r="BQ747" s="14"/>
      <c r="BR747" s="14"/>
      <c r="BS747" s="14"/>
      <c r="BT747" s="14"/>
      <c r="BU747" s="14"/>
      <c r="BV747" s="14"/>
    </row>
    <row r="748" spans="1:74" s="495" customFormat="1">
      <c r="A748" s="475"/>
      <c r="B748" s="541"/>
      <c r="C748" s="860"/>
      <c r="D748" s="588"/>
      <c r="E748" s="541"/>
      <c r="F748" s="541"/>
      <c r="G748" s="541"/>
      <c r="H748" s="541"/>
      <c r="I748" s="541"/>
      <c r="J748" s="541"/>
      <c r="K748" s="541"/>
      <c r="L748" s="541"/>
      <c r="M748" s="541"/>
      <c r="N748" s="541"/>
      <c r="O748" s="541"/>
      <c r="P748" s="541"/>
      <c r="Q748" s="541"/>
      <c r="R748" s="541"/>
      <c r="S748" s="541"/>
      <c r="T748" s="541"/>
      <c r="U748" s="541"/>
      <c r="V748" s="541"/>
      <c r="W748" s="541"/>
      <c r="X748" s="541"/>
      <c r="Y748" s="541"/>
      <c r="Z748" s="541"/>
      <c r="AA748" s="541"/>
      <c r="AB748" s="541"/>
      <c r="AC748" s="461"/>
      <c r="AD748" s="461"/>
      <c r="AE748" s="541"/>
      <c r="AF748" s="541"/>
      <c r="AG748" s="541"/>
      <c r="AH748" s="541"/>
      <c r="AI748" s="541"/>
      <c r="AJ748" s="541"/>
      <c r="AK748" s="461"/>
      <c r="AL748" s="461"/>
      <c r="AM748" s="475"/>
      <c r="AN748" s="459"/>
      <c r="AO748" s="26"/>
      <c r="AP748" s="14"/>
      <c r="AQ748" s="14"/>
      <c r="AR748" s="14"/>
      <c r="AS748" s="14"/>
      <c r="AT748" s="14"/>
      <c r="AU748" s="14"/>
      <c r="AV748" s="14"/>
      <c r="AW748" s="14"/>
      <c r="AX748" s="14"/>
      <c r="AY748" s="14"/>
      <c r="AZ748" s="14"/>
      <c r="BA748" s="14"/>
      <c r="BB748" s="14"/>
      <c r="BC748" s="14"/>
      <c r="BD748" s="28"/>
      <c r="BE748" s="28"/>
      <c r="BF748" s="28"/>
      <c r="BG748" s="28"/>
      <c r="BH748" s="28"/>
      <c r="BI748" s="14"/>
      <c r="BJ748" s="14"/>
      <c r="BK748" s="14"/>
      <c r="BL748" s="14"/>
      <c r="BM748" s="14"/>
      <c r="BN748" s="14"/>
      <c r="BO748" s="14"/>
      <c r="BP748" s="14"/>
      <c r="BQ748" s="14"/>
      <c r="BR748" s="14"/>
      <c r="BS748" s="14"/>
      <c r="BT748" s="14"/>
      <c r="BU748" s="14"/>
      <c r="BV748" s="14"/>
    </row>
    <row r="749" spans="1:74" s="495" customFormat="1">
      <c r="A749" s="562"/>
      <c r="B749" s="461"/>
      <c r="C749" s="851"/>
      <c r="D749" s="588" t="s">
        <v>26</v>
      </c>
      <c r="E749" s="1653" t="s">
        <v>2372</v>
      </c>
      <c r="F749" s="1653"/>
      <c r="G749" s="1653"/>
      <c r="H749" s="1653"/>
      <c r="I749" s="1653"/>
      <c r="J749" s="1653"/>
      <c r="K749" s="1653"/>
      <c r="L749" s="1653"/>
      <c r="M749" s="1653"/>
      <c r="N749" s="1653"/>
      <c r="O749" s="1653"/>
      <c r="P749" s="1653"/>
      <c r="Q749" s="1653"/>
      <c r="R749" s="1653"/>
      <c r="S749" s="1653"/>
      <c r="T749" s="1653"/>
      <c r="U749" s="1653"/>
      <c r="V749" s="1653"/>
      <c r="W749" s="1653"/>
      <c r="X749" s="1653"/>
      <c r="Y749" s="1653"/>
      <c r="Z749" s="1653"/>
      <c r="AA749" s="1653"/>
      <c r="AB749" s="1653"/>
      <c r="AC749" s="461"/>
      <c r="AD749" s="461"/>
      <c r="AE749" s="461"/>
      <c r="AF749" s="1733" t="s">
        <v>2336</v>
      </c>
      <c r="AG749" s="1733"/>
      <c r="AH749" s="1733"/>
      <c r="AI749" s="1733"/>
      <c r="AJ749" s="1733"/>
      <c r="AK749" s="1733"/>
      <c r="AL749" s="1733"/>
      <c r="AM749" s="475"/>
      <c r="AN749" s="459"/>
      <c r="AO749" s="26"/>
      <c r="AP749" s="14"/>
      <c r="AQ749" s="14"/>
      <c r="AR749" s="14"/>
      <c r="AS749" s="14"/>
      <c r="AT749" s="14"/>
      <c r="AU749" s="14"/>
      <c r="AV749" s="14"/>
      <c r="AW749" s="14"/>
      <c r="AX749" s="14"/>
      <c r="AY749" s="14"/>
      <c r="AZ749" s="14"/>
      <c r="BA749" s="14"/>
      <c r="BB749" s="14"/>
      <c r="BC749" s="14"/>
      <c r="BD749" s="28"/>
      <c r="BE749" s="28"/>
      <c r="BF749" s="28"/>
      <c r="BG749" s="28"/>
      <c r="BH749" s="28"/>
      <c r="BI749" s="14"/>
      <c r="BJ749" s="14"/>
      <c r="BK749" s="14"/>
      <c r="BL749" s="14"/>
      <c r="BM749" s="14"/>
      <c r="BN749" s="14"/>
      <c r="BO749" s="14"/>
      <c r="BP749" s="14"/>
      <c r="BQ749" s="14"/>
      <c r="BR749" s="14"/>
      <c r="BS749" s="14"/>
      <c r="BT749" s="14"/>
      <c r="BU749" s="14"/>
      <c r="BV749" s="14"/>
    </row>
    <row r="750" spans="1:74" s="495" customFormat="1" ht="12.75" customHeight="1">
      <c r="A750" s="562"/>
      <c r="B750" s="461"/>
      <c r="C750" s="851"/>
      <c r="D750" s="588"/>
      <c r="E750" s="1653"/>
      <c r="F750" s="1653"/>
      <c r="G750" s="1653"/>
      <c r="H750" s="1653"/>
      <c r="I750" s="1653"/>
      <c r="J750" s="1653"/>
      <c r="K750" s="1653"/>
      <c r="L750" s="1653"/>
      <c r="M750" s="1653"/>
      <c r="N750" s="1653"/>
      <c r="O750" s="1653"/>
      <c r="P750" s="1653"/>
      <c r="Q750" s="1653"/>
      <c r="R750" s="1653"/>
      <c r="S750" s="1653"/>
      <c r="T750" s="1653"/>
      <c r="U750" s="1653"/>
      <c r="V750" s="1653"/>
      <c r="W750" s="1653"/>
      <c r="X750" s="1653"/>
      <c r="Y750" s="1653"/>
      <c r="Z750" s="1653"/>
      <c r="AA750" s="1653"/>
      <c r="AB750" s="1653"/>
      <c r="AC750" s="461"/>
      <c r="AD750" s="461"/>
      <c r="AE750" s="519"/>
      <c r="AF750" s="461"/>
      <c r="AG750" s="461"/>
      <c r="AH750" s="461"/>
      <c r="AI750" s="461"/>
      <c r="AJ750" s="461"/>
      <c r="AK750" s="461"/>
      <c r="AL750" s="461"/>
      <c r="AM750" s="475"/>
      <c r="AN750" s="459"/>
      <c r="AO750" s="26"/>
      <c r="AP750" s="14"/>
      <c r="AQ750" s="14"/>
      <c r="AR750" s="14"/>
      <c r="AS750" s="14"/>
      <c r="AT750" s="14"/>
      <c r="AU750" s="14"/>
      <c r="AV750" s="14"/>
      <c r="AW750" s="14"/>
      <c r="AX750" s="14"/>
      <c r="AY750" s="14"/>
      <c r="AZ750" s="14"/>
      <c r="BA750" s="14"/>
      <c r="BB750" s="14"/>
      <c r="BC750" s="14"/>
      <c r="BD750" s="28"/>
      <c r="BE750" s="28"/>
      <c r="BF750" s="28"/>
      <c r="BG750" s="28"/>
      <c r="BH750" s="28"/>
      <c r="BI750" s="14"/>
      <c r="BJ750" s="14"/>
      <c r="BK750" s="14"/>
      <c r="BL750" s="14"/>
      <c r="BM750" s="14"/>
      <c r="BN750" s="14"/>
      <c r="BO750" s="14"/>
      <c r="BP750" s="14"/>
      <c r="BQ750" s="14"/>
      <c r="BR750" s="14"/>
      <c r="BS750" s="14"/>
      <c r="BT750" s="14"/>
      <c r="BU750" s="14"/>
      <c r="BV750" s="14"/>
    </row>
    <row r="751" spans="1:74" s="495" customFormat="1">
      <c r="A751" s="475"/>
      <c r="B751" s="461"/>
      <c r="C751" s="853"/>
      <c r="D751" s="461"/>
      <c r="E751" s="568"/>
      <c r="F751" s="568"/>
      <c r="G751" s="568"/>
      <c r="H751" s="568"/>
      <c r="I751" s="568"/>
      <c r="J751" s="568"/>
      <c r="K751" s="568"/>
      <c r="L751" s="568"/>
      <c r="M751" s="568"/>
      <c r="N751" s="568"/>
      <c r="O751" s="568"/>
      <c r="P751" s="568"/>
      <c r="Q751" s="568"/>
      <c r="R751" s="568"/>
      <c r="S751" s="568"/>
      <c r="T751" s="568"/>
      <c r="U751" s="568"/>
      <c r="V751" s="568"/>
      <c r="W751" s="568"/>
      <c r="X751" s="568"/>
      <c r="Y751" s="568"/>
      <c r="Z751" s="568"/>
      <c r="AA751" s="568"/>
      <c r="AB751" s="568"/>
      <c r="AC751" s="461"/>
      <c r="AD751" s="461"/>
      <c r="AE751" s="541"/>
      <c r="AF751" s="541"/>
      <c r="AG751" s="541"/>
      <c r="AH751" s="541"/>
      <c r="AI751" s="461"/>
      <c r="AJ751" s="461"/>
      <c r="AK751" s="461"/>
      <c r="AL751" s="461"/>
      <c r="AM751" s="475"/>
      <c r="AN751" s="459"/>
      <c r="AO751" s="26"/>
      <c r="AP751" s="14"/>
      <c r="AQ751" s="14"/>
      <c r="AR751" s="14"/>
      <c r="AS751" s="14"/>
      <c r="AT751" s="14"/>
      <c r="AU751" s="14"/>
      <c r="AV751" s="14"/>
      <c r="AW751" s="14"/>
      <c r="AX751" s="14"/>
      <c r="AY751" s="14"/>
      <c r="AZ751" s="14"/>
      <c r="BA751" s="14"/>
      <c r="BB751" s="14"/>
      <c r="BC751" s="14"/>
      <c r="BD751" s="28"/>
      <c r="BE751" s="28"/>
      <c r="BF751" s="28"/>
      <c r="BG751" s="28"/>
      <c r="BH751" s="28"/>
      <c r="BI751" s="14"/>
      <c r="BJ751" s="14"/>
      <c r="BK751" s="14"/>
      <c r="BL751" s="14"/>
      <c r="BM751" s="14"/>
      <c r="BN751" s="14"/>
      <c r="BO751" s="14"/>
      <c r="BP751" s="14"/>
      <c r="BQ751" s="14"/>
      <c r="BR751" s="14"/>
      <c r="BS751" s="14"/>
      <c r="BT751" s="14"/>
      <c r="BU751" s="14"/>
      <c r="BV751" s="14"/>
    </row>
    <row r="752" spans="1:74" s="495" customFormat="1" ht="12.75" customHeight="1">
      <c r="A752" s="475"/>
      <c r="B752" s="461"/>
      <c r="C752" s="461"/>
      <c r="D752" s="461" t="s">
        <v>2304</v>
      </c>
      <c r="E752" s="856"/>
      <c r="F752" s="856"/>
      <c r="G752" s="856"/>
      <c r="H752" s="1677" t="s">
        <v>21</v>
      </c>
      <c r="I752" s="1677"/>
      <c r="J752" s="568"/>
      <c r="K752" s="568"/>
      <c r="L752" s="568"/>
      <c r="M752" s="568"/>
      <c r="N752" s="568"/>
      <c r="O752" s="568"/>
      <c r="P752" s="568"/>
      <c r="Q752" s="461"/>
      <c r="R752" s="461"/>
      <c r="S752" s="461"/>
      <c r="T752" s="461"/>
      <c r="U752" s="461"/>
      <c r="V752" s="461"/>
      <c r="W752" s="568"/>
      <c r="X752" s="568"/>
      <c r="Y752" s="568"/>
      <c r="Z752" s="568"/>
      <c r="AA752" s="568"/>
      <c r="AB752" s="568"/>
      <c r="AC752" s="461"/>
      <c r="AD752" s="461"/>
      <c r="AE752" s="541"/>
      <c r="AF752" s="541"/>
      <c r="AG752" s="541"/>
      <c r="AH752" s="541"/>
      <c r="AI752" s="461"/>
      <c r="AJ752" s="461"/>
      <c r="AK752" s="461"/>
      <c r="AL752" s="461"/>
      <c r="AM752" s="475"/>
      <c r="AN752" s="459"/>
      <c r="AO752" s="26"/>
      <c r="AP752" s="14"/>
      <c r="AQ752" s="14"/>
      <c r="AR752" s="14"/>
      <c r="AS752" s="14"/>
      <c r="AT752" s="14"/>
      <c r="AU752" s="14"/>
      <c r="AV752" s="14"/>
      <c r="AW752" s="14"/>
      <c r="AX752" s="14"/>
      <c r="AY752" s="14"/>
      <c r="AZ752" s="14"/>
      <c r="BA752" s="14"/>
      <c r="BB752" s="14"/>
      <c r="BC752" s="14"/>
      <c r="BD752" s="28"/>
      <c r="BE752" s="28"/>
      <c r="BF752" s="28"/>
      <c r="BG752" s="28"/>
      <c r="BH752" s="28"/>
      <c r="BI752" s="14"/>
      <c r="BJ752" s="14"/>
      <c r="BK752" s="14"/>
      <c r="BL752" s="14"/>
      <c r="BM752" s="14"/>
      <c r="BN752" s="14"/>
      <c r="BO752" s="14"/>
      <c r="BP752" s="14"/>
      <c r="BQ752" s="14"/>
      <c r="BR752" s="14"/>
      <c r="BS752" s="14"/>
      <c r="BT752" s="14"/>
      <c r="BU752" s="14"/>
      <c r="BV752" s="14"/>
    </row>
    <row r="753" spans="1:74" s="495" customFormat="1" ht="12.75" customHeight="1">
      <c r="A753" s="475"/>
      <c r="B753" s="541"/>
      <c r="C753" s="860"/>
      <c r="D753" s="541"/>
      <c r="E753" s="541"/>
      <c r="F753" s="541"/>
      <c r="G753" s="541"/>
      <c r="H753" s="541"/>
      <c r="I753" s="541"/>
      <c r="J753" s="541"/>
      <c r="K753" s="541"/>
      <c r="L753" s="541"/>
      <c r="M753" s="541"/>
      <c r="N753" s="541"/>
      <c r="O753" s="541"/>
      <c r="P753" s="541"/>
      <c r="Q753" s="541"/>
      <c r="R753" s="541"/>
      <c r="S753" s="541"/>
      <c r="T753" s="541"/>
      <c r="U753" s="541"/>
      <c r="V753" s="541"/>
      <c r="W753" s="541"/>
      <c r="X753" s="541"/>
      <c r="Y753" s="541"/>
      <c r="Z753" s="541"/>
      <c r="AA753" s="541"/>
      <c r="AB753" s="541"/>
      <c r="AC753" s="541"/>
      <c r="AD753" s="541"/>
      <c r="AE753" s="541"/>
      <c r="AF753" s="541"/>
      <c r="AG753" s="541"/>
      <c r="AH753" s="541"/>
      <c r="AI753" s="461"/>
      <c r="AJ753" s="461"/>
      <c r="AK753" s="461"/>
      <c r="AL753" s="461"/>
      <c r="AM753" s="475"/>
      <c r="AN753" s="459"/>
      <c r="AO753" s="26"/>
      <c r="AP753" s="14"/>
      <c r="AQ753" s="14"/>
      <c r="AR753" s="14"/>
      <c r="AS753" s="14"/>
      <c r="AT753" s="14"/>
      <c r="AU753" s="14"/>
      <c r="AV753" s="14"/>
      <c r="AW753" s="14"/>
      <c r="AX753" s="14"/>
      <c r="AY753" s="14"/>
      <c r="AZ753" s="14"/>
      <c r="BA753" s="14"/>
      <c r="BB753" s="14"/>
      <c r="BC753" s="14"/>
      <c r="BD753" s="28"/>
      <c r="BE753" s="28"/>
      <c r="BF753" s="28"/>
      <c r="BG753" s="28"/>
      <c r="BH753" s="28"/>
      <c r="BI753" s="14"/>
      <c r="BJ753" s="14"/>
      <c r="BK753" s="14"/>
      <c r="BL753" s="14"/>
      <c r="BM753" s="14"/>
      <c r="BN753" s="14"/>
      <c r="BO753" s="14"/>
      <c r="BP753" s="14"/>
      <c r="BQ753" s="14"/>
      <c r="BR753" s="14"/>
      <c r="BS753" s="14"/>
      <c r="BT753" s="14"/>
      <c r="BU753" s="14"/>
      <c r="BV753" s="14"/>
    </row>
    <row r="754" spans="1:74" s="495" customFormat="1" ht="14.1" customHeight="1">
      <c r="A754" s="531"/>
      <c r="B754" s="590"/>
      <c r="C754" s="875"/>
      <c r="D754" s="590"/>
      <c r="E754" s="590"/>
      <c r="F754" s="590"/>
      <c r="G754" s="590"/>
      <c r="H754" s="590"/>
      <c r="I754" s="590"/>
      <c r="J754" s="590"/>
      <c r="K754" s="590"/>
      <c r="L754" s="590"/>
      <c r="M754" s="590"/>
      <c r="N754" s="590"/>
      <c r="O754" s="590"/>
      <c r="P754" s="590"/>
      <c r="Q754" s="590"/>
      <c r="R754" s="590"/>
      <c r="S754" s="590"/>
      <c r="T754" s="590"/>
      <c r="U754" s="590"/>
      <c r="V754" s="590"/>
      <c r="W754" s="590"/>
      <c r="X754" s="590"/>
      <c r="Y754" s="590"/>
      <c r="Z754" s="590"/>
      <c r="AA754" s="590"/>
      <c r="AB754" s="590"/>
      <c r="AC754" s="590"/>
      <c r="AD754" s="590"/>
      <c r="AE754" s="590"/>
      <c r="AF754" s="590"/>
      <c r="AG754" s="590"/>
      <c r="AH754" s="526"/>
      <c r="AI754" s="490" t="s">
        <v>2373</v>
      </c>
      <c r="AJ754" s="1660">
        <f>VLOOKUP($H$752,$AO$686:$AP$688,2,FALSE)</f>
        <v>2</v>
      </c>
      <c r="AK754" s="1662"/>
      <c r="AL754" s="520"/>
      <c r="AM754" s="475"/>
      <c r="AN754" s="459"/>
      <c r="AO754" s="26"/>
      <c r="AP754" s="14"/>
      <c r="AQ754" s="14"/>
      <c r="AR754" s="14"/>
      <c r="AS754" s="14"/>
      <c r="AT754" s="14"/>
      <c r="AU754" s="14"/>
      <c r="AV754" s="14"/>
      <c r="AW754" s="14"/>
      <c r="AX754" s="14"/>
      <c r="AY754" s="14"/>
      <c r="AZ754" s="14"/>
      <c r="BA754" s="14"/>
      <c r="BB754" s="14"/>
      <c r="BC754" s="14"/>
      <c r="BD754" s="28"/>
      <c r="BE754" s="28"/>
      <c r="BF754" s="28"/>
      <c r="BG754" s="28"/>
      <c r="BH754" s="28"/>
      <c r="BI754" s="14"/>
      <c r="BJ754" s="14"/>
      <c r="BK754" s="14"/>
      <c r="BL754" s="14"/>
      <c r="BM754" s="14"/>
      <c r="BN754" s="14"/>
      <c r="BO754" s="14"/>
      <c r="BP754" s="14"/>
      <c r="BQ754" s="14"/>
      <c r="BR754" s="14"/>
      <c r="BS754" s="14"/>
      <c r="BT754" s="14"/>
      <c r="BU754" s="14"/>
      <c r="BV754" s="14"/>
    </row>
    <row r="755" spans="1:74" s="495" customFormat="1">
      <c r="A755" s="475"/>
      <c r="B755" s="541"/>
      <c r="C755" s="860"/>
      <c r="D755" s="541"/>
      <c r="E755" s="541"/>
      <c r="F755" s="541"/>
      <c r="G755" s="541"/>
      <c r="H755" s="541"/>
      <c r="I755" s="541"/>
      <c r="J755" s="541"/>
      <c r="K755" s="541"/>
      <c r="L755" s="541"/>
      <c r="M755" s="541"/>
      <c r="N755" s="541"/>
      <c r="O755" s="541"/>
      <c r="P755" s="541"/>
      <c r="Q755" s="541"/>
      <c r="R755" s="541"/>
      <c r="S755" s="541"/>
      <c r="T755" s="541"/>
      <c r="U755" s="541"/>
      <c r="V755" s="541"/>
      <c r="W755" s="541"/>
      <c r="X755" s="541"/>
      <c r="Y755" s="541"/>
      <c r="Z755" s="541"/>
      <c r="AA755" s="541"/>
      <c r="AB755" s="541"/>
      <c r="AC755" s="541"/>
      <c r="AD755" s="541"/>
      <c r="AE755" s="541"/>
      <c r="AF755" s="541"/>
      <c r="AG755" s="541"/>
      <c r="AH755" s="461"/>
      <c r="AI755" s="468"/>
      <c r="AJ755" s="520"/>
      <c r="AK755" s="520"/>
      <c r="AL755" s="520"/>
      <c r="AM755" s="475"/>
      <c r="AN755" s="459"/>
      <c r="AO755" s="26"/>
      <c r="AP755" s="14"/>
      <c r="AQ755" s="14"/>
      <c r="AR755" s="14"/>
      <c r="AS755" s="14"/>
      <c r="AT755" s="14"/>
      <c r="AU755" s="14"/>
      <c r="AV755" s="14"/>
      <c r="AW755" s="14"/>
      <c r="AX755" s="14"/>
      <c r="AY755" s="14"/>
      <c r="AZ755" s="14"/>
      <c r="BA755" s="14"/>
      <c r="BB755" s="14"/>
      <c r="BC755" s="14"/>
      <c r="BD755" s="28"/>
      <c r="BE755" s="28"/>
      <c r="BF755" s="28"/>
      <c r="BG755" s="28"/>
      <c r="BH755" s="28"/>
      <c r="BI755" s="14"/>
      <c r="BJ755" s="14"/>
      <c r="BK755" s="14"/>
      <c r="BL755" s="14"/>
      <c r="BM755" s="14"/>
      <c r="BN755" s="14"/>
      <c r="BO755" s="14"/>
      <c r="BP755" s="14"/>
      <c r="BQ755" s="14"/>
      <c r="BR755" s="14"/>
      <c r="BS755" s="14"/>
      <c r="BT755" s="14"/>
      <c r="BU755" s="14"/>
      <c r="BV755" s="14"/>
    </row>
    <row r="756" spans="1:74" s="495" customFormat="1">
      <c r="A756" s="475"/>
      <c r="B756" s="541"/>
      <c r="C756" s="464" t="s">
        <v>2360</v>
      </c>
      <c r="D756" s="541"/>
      <c r="E756" s="541"/>
      <c r="F756" s="541"/>
      <c r="G756" s="541"/>
      <c r="H756" s="541"/>
      <c r="I756" s="541"/>
      <c r="J756" s="541"/>
      <c r="K756" s="541"/>
      <c r="L756" s="541"/>
      <c r="M756" s="541"/>
      <c r="N756" s="541"/>
      <c r="O756" s="541"/>
      <c r="P756" s="541"/>
      <c r="Q756" s="541"/>
      <c r="R756" s="541"/>
      <c r="S756" s="541"/>
      <c r="T756" s="541"/>
      <c r="U756" s="541"/>
      <c r="V756" s="541"/>
      <c r="W756" s="541"/>
      <c r="X756" s="541"/>
      <c r="Y756" s="541"/>
      <c r="Z756" s="541"/>
      <c r="AA756" s="541"/>
      <c r="AB756" s="541"/>
      <c r="AC756" s="541"/>
      <c r="AD756" s="541"/>
      <c r="AE756" s="541"/>
      <c r="AF756" s="541"/>
      <c r="AG756" s="541"/>
      <c r="AH756" s="461"/>
      <c r="AI756" s="468"/>
      <c r="AJ756" s="520"/>
      <c r="AK756" s="520"/>
      <c r="AL756" s="520"/>
      <c r="AM756" s="475"/>
      <c r="AN756" s="459"/>
      <c r="AO756" s="26"/>
      <c r="AP756" s="14"/>
      <c r="AQ756" s="14"/>
      <c r="AR756" s="14"/>
      <c r="AS756" s="14"/>
      <c r="AT756" s="14"/>
      <c r="AU756" s="14"/>
      <c r="AV756" s="14"/>
      <c r="AW756" s="14"/>
      <c r="AX756" s="14"/>
      <c r="AY756" s="14"/>
      <c r="AZ756" s="14"/>
      <c r="BA756" s="14"/>
      <c r="BB756" s="14"/>
      <c r="BC756" s="14"/>
      <c r="BD756" s="28"/>
      <c r="BE756" s="28"/>
      <c r="BF756" s="28"/>
      <c r="BG756" s="28"/>
      <c r="BH756" s="28"/>
      <c r="BI756" s="14"/>
      <c r="BJ756" s="14"/>
      <c r="BK756" s="14"/>
      <c r="BL756" s="14"/>
      <c r="BM756" s="14"/>
      <c r="BN756" s="14"/>
      <c r="BO756" s="14"/>
      <c r="BP756" s="14"/>
      <c r="BQ756" s="14"/>
      <c r="BR756" s="14"/>
      <c r="BS756" s="14"/>
      <c r="BT756" s="14"/>
      <c r="BU756" s="14"/>
      <c r="BV756" s="14"/>
    </row>
    <row r="757" spans="1:74" s="495" customFormat="1">
      <c r="A757" s="475"/>
      <c r="B757" s="541"/>
      <c r="C757" s="860"/>
      <c r="D757" s="541"/>
      <c r="E757" s="541"/>
      <c r="F757" s="541"/>
      <c r="G757" s="541"/>
      <c r="H757" s="541"/>
      <c r="I757" s="541"/>
      <c r="J757" s="541"/>
      <c r="K757" s="541"/>
      <c r="L757" s="541"/>
      <c r="M757" s="541"/>
      <c r="N757" s="541"/>
      <c r="O757" s="541"/>
      <c r="P757" s="541"/>
      <c r="Q757" s="541"/>
      <c r="R757" s="541"/>
      <c r="S757" s="541"/>
      <c r="T757" s="541"/>
      <c r="U757" s="541"/>
      <c r="V757" s="541"/>
      <c r="W757" s="541"/>
      <c r="X757" s="541"/>
      <c r="Y757" s="541"/>
      <c r="Z757" s="541"/>
      <c r="AA757" s="541"/>
      <c r="AB757" s="541"/>
      <c r="AC757" s="541"/>
      <c r="AD757" s="541"/>
      <c r="AE757" s="541"/>
      <c r="AF757" s="541"/>
      <c r="AG757" s="541"/>
      <c r="AH757" s="461"/>
      <c r="AI757" s="468"/>
      <c r="AJ757" s="520"/>
      <c r="AK757" s="520"/>
      <c r="AL757" s="520"/>
      <c r="AM757" s="475"/>
      <c r="AN757" s="609"/>
    </row>
    <row r="758" spans="1:74" s="495" customFormat="1" ht="13.7" customHeight="1">
      <c r="A758" s="475"/>
      <c r="B758" s="541"/>
      <c r="C758" s="860"/>
      <c r="D758" s="588" t="s">
        <v>21</v>
      </c>
      <c r="E758" s="1653" t="s">
        <v>2374</v>
      </c>
      <c r="F758" s="1653"/>
      <c r="G758" s="1653"/>
      <c r="H758" s="1653"/>
      <c r="I758" s="1653"/>
      <c r="J758" s="1653"/>
      <c r="K758" s="1653"/>
      <c r="L758" s="1653"/>
      <c r="M758" s="1653"/>
      <c r="N758" s="1653"/>
      <c r="O758" s="1653"/>
      <c r="P758" s="1653"/>
      <c r="Q758" s="1653"/>
      <c r="R758" s="1653"/>
      <c r="S758" s="1653"/>
      <c r="T758" s="1653"/>
      <c r="U758" s="1653"/>
      <c r="V758" s="1653"/>
      <c r="W758" s="1653"/>
      <c r="X758" s="1653"/>
      <c r="Y758" s="1653"/>
      <c r="Z758" s="1653"/>
      <c r="AA758" s="1653"/>
      <c r="AB758" s="1653"/>
      <c r="AC758" s="1653"/>
      <c r="AD758" s="1653"/>
      <c r="AE758" s="461"/>
      <c r="AF758" s="1733" t="s">
        <v>2318</v>
      </c>
      <c r="AG758" s="1733"/>
      <c r="AH758" s="1733"/>
      <c r="AI758" s="1733"/>
      <c r="AJ758" s="1733"/>
      <c r="AK758" s="1733"/>
      <c r="AL758" s="1733"/>
      <c r="AM758" s="538"/>
      <c r="AN758" s="609"/>
      <c r="AO758" s="475" t="s">
        <v>299</v>
      </c>
      <c r="AP758" s="598">
        <v>0</v>
      </c>
    </row>
    <row r="759" spans="1:74" s="495" customFormat="1" ht="13.7" customHeight="1">
      <c r="A759" s="475"/>
      <c r="B759" s="541"/>
      <c r="C759" s="860"/>
      <c r="D759" s="588"/>
      <c r="E759" s="1653"/>
      <c r="F759" s="1653"/>
      <c r="G759" s="1653"/>
      <c r="H759" s="1653"/>
      <c r="I759" s="1653"/>
      <c r="J759" s="1653"/>
      <c r="K759" s="1653"/>
      <c r="L759" s="1653"/>
      <c r="M759" s="1653"/>
      <c r="N759" s="1653"/>
      <c r="O759" s="1653"/>
      <c r="P759" s="1653"/>
      <c r="Q759" s="1653"/>
      <c r="R759" s="1653"/>
      <c r="S759" s="1653"/>
      <c r="T759" s="1653"/>
      <c r="U759" s="1653"/>
      <c r="V759" s="1653"/>
      <c r="W759" s="1653"/>
      <c r="X759" s="1653"/>
      <c r="Y759" s="1653"/>
      <c r="Z759" s="1653"/>
      <c r="AA759" s="1653"/>
      <c r="AB759" s="1653"/>
      <c r="AC759" s="1653"/>
      <c r="AD759" s="1653"/>
      <c r="AE759" s="461"/>
      <c r="AF759" s="519"/>
      <c r="AG759" s="519"/>
      <c r="AH759" s="519"/>
      <c r="AI759" s="519"/>
      <c r="AJ759" s="519"/>
      <c r="AK759" s="519"/>
      <c r="AL759" s="519"/>
      <c r="AM759" s="538"/>
      <c r="AN759" s="609"/>
      <c r="AO759" s="536" t="s">
        <v>21</v>
      </c>
      <c r="AP759" s="475">
        <v>2</v>
      </c>
    </row>
    <row r="760" spans="1:74" s="495" customFormat="1">
      <c r="A760" s="475"/>
      <c r="B760" s="541"/>
      <c r="C760" s="860"/>
      <c r="D760" s="588"/>
      <c r="E760" s="1653"/>
      <c r="F760" s="1653"/>
      <c r="G760" s="1653"/>
      <c r="H760" s="1653"/>
      <c r="I760" s="1653"/>
      <c r="J760" s="1653"/>
      <c r="K760" s="1653"/>
      <c r="L760" s="1653"/>
      <c r="M760" s="1653"/>
      <c r="N760" s="1653"/>
      <c r="O760" s="1653"/>
      <c r="P760" s="1653"/>
      <c r="Q760" s="1653"/>
      <c r="R760" s="1653"/>
      <c r="S760" s="1653"/>
      <c r="T760" s="1653"/>
      <c r="U760" s="1653"/>
      <c r="V760" s="1653"/>
      <c r="W760" s="1653"/>
      <c r="X760" s="1653"/>
      <c r="Y760" s="1653"/>
      <c r="Z760" s="1653"/>
      <c r="AA760" s="1653"/>
      <c r="AB760" s="1653"/>
      <c r="AC760" s="1653"/>
      <c r="AD760" s="1653"/>
      <c r="AE760" s="461"/>
      <c r="AF760" s="461"/>
      <c r="AG760" s="461"/>
      <c r="AH760" s="461"/>
      <c r="AI760" s="461"/>
      <c r="AJ760" s="461"/>
      <c r="AK760" s="461"/>
      <c r="AL760" s="519"/>
      <c r="AM760" s="538"/>
      <c r="AN760" s="459"/>
      <c r="AO760" s="536" t="s">
        <v>26</v>
      </c>
      <c r="AP760" s="475">
        <v>3</v>
      </c>
      <c r="AQ760" s="14"/>
      <c r="AR760" s="14"/>
      <c r="AS760" s="14"/>
      <c r="AT760" s="14"/>
      <c r="AU760" s="14"/>
      <c r="AV760" s="14"/>
      <c r="AW760" s="14"/>
      <c r="AX760" s="14"/>
      <c r="AY760" s="14"/>
      <c r="AZ760" s="14"/>
      <c r="BA760" s="14"/>
      <c r="BB760" s="14"/>
      <c r="BC760" s="14"/>
      <c r="BD760" s="28"/>
      <c r="BE760" s="28"/>
      <c r="BF760" s="28"/>
      <c r="BG760" s="28"/>
      <c r="BH760" s="28"/>
      <c r="BI760" s="14"/>
      <c r="BJ760" s="14"/>
      <c r="BK760" s="14"/>
      <c r="BL760" s="14"/>
      <c r="BM760" s="14"/>
      <c r="BN760" s="14"/>
      <c r="BO760" s="14"/>
      <c r="BP760" s="14"/>
      <c r="BQ760" s="14"/>
      <c r="BR760" s="14"/>
      <c r="BS760" s="14"/>
      <c r="BT760" s="14"/>
      <c r="BU760" s="14"/>
    </row>
    <row r="761" spans="1:74" s="495" customFormat="1" ht="18.75" customHeight="1">
      <c r="A761" s="475"/>
      <c r="B761" s="541"/>
      <c r="C761" s="860"/>
      <c r="D761" s="588"/>
      <c r="E761" s="1653"/>
      <c r="F761" s="1653"/>
      <c r="G761" s="1653"/>
      <c r="H761" s="1653"/>
      <c r="I761" s="1653"/>
      <c r="J761" s="1653"/>
      <c r="K761" s="1653"/>
      <c r="L761" s="1653"/>
      <c r="M761" s="1653"/>
      <c r="N761" s="1653"/>
      <c r="O761" s="1653"/>
      <c r="P761" s="1653"/>
      <c r="Q761" s="1653"/>
      <c r="R761" s="1653"/>
      <c r="S761" s="1653"/>
      <c r="T761" s="1653"/>
      <c r="U761" s="1653"/>
      <c r="V761" s="1653"/>
      <c r="W761" s="1653"/>
      <c r="X761" s="1653"/>
      <c r="Y761" s="1653"/>
      <c r="Z761" s="1653"/>
      <c r="AA761" s="1653"/>
      <c r="AB761" s="1653"/>
      <c r="AC761" s="1653"/>
      <c r="AD761" s="1653"/>
      <c r="AE761" s="519"/>
      <c r="AF761" s="519"/>
      <c r="AG761" s="519"/>
      <c r="AH761" s="519"/>
      <c r="AI761" s="519"/>
      <c r="AJ761" s="519"/>
      <c r="AK761" s="519"/>
      <c r="AL761" s="519"/>
      <c r="AM761" s="538"/>
      <c r="AN761" s="459"/>
      <c r="AO761" s="26"/>
      <c r="AP761" s="14"/>
      <c r="AQ761" s="14"/>
      <c r="AR761" s="14"/>
      <c r="AS761" s="14"/>
      <c r="AT761" s="14"/>
      <c r="AU761" s="14"/>
      <c r="AV761" s="14"/>
      <c r="AW761" s="14"/>
      <c r="AX761" s="14"/>
      <c r="AY761" s="14"/>
      <c r="AZ761" s="14"/>
      <c r="BA761" s="14"/>
      <c r="BB761" s="14"/>
      <c r="BC761" s="14"/>
      <c r="BD761" s="28"/>
      <c r="BE761" s="28"/>
      <c r="BF761" s="28"/>
      <c r="BG761" s="28"/>
      <c r="BH761" s="28"/>
      <c r="BI761" s="14"/>
      <c r="BJ761" s="14"/>
      <c r="BK761" s="14"/>
      <c r="BL761" s="14"/>
      <c r="BM761" s="14"/>
      <c r="BN761" s="14"/>
      <c r="BO761" s="14"/>
      <c r="BP761" s="14"/>
      <c r="BQ761" s="14"/>
      <c r="BR761" s="14"/>
      <c r="BS761" s="14"/>
      <c r="BT761" s="14"/>
      <c r="BU761" s="14"/>
    </row>
    <row r="762" spans="1:74" s="475" customFormat="1" ht="12.75" customHeight="1">
      <c r="B762" s="541"/>
      <c r="C762" s="860"/>
      <c r="D762" s="588"/>
      <c r="E762" s="830"/>
      <c r="F762" s="830"/>
      <c r="G762" s="830"/>
      <c r="H762" s="830"/>
      <c r="I762" s="830"/>
      <c r="J762" s="830"/>
      <c r="K762" s="830"/>
      <c r="L762" s="830"/>
      <c r="M762" s="830"/>
      <c r="N762" s="830"/>
      <c r="O762" s="830"/>
      <c r="P762" s="830"/>
      <c r="Q762" s="830"/>
      <c r="R762" s="830"/>
      <c r="S762" s="830"/>
      <c r="T762" s="830"/>
      <c r="U762" s="830"/>
      <c r="V762" s="830"/>
      <c r="W762" s="830"/>
      <c r="X762" s="830"/>
      <c r="Y762" s="830"/>
      <c r="Z762" s="830"/>
      <c r="AA762" s="830"/>
      <c r="AB762" s="830"/>
      <c r="AC762" s="830"/>
      <c r="AD762" s="830"/>
      <c r="AE762" s="519"/>
      <c r="AF762" s="461"/>
      <c r="AG762" s="461"/>
      <c r="AH762" s="461"/>
      <c r="AI762" s="461"/>
      <c r="AJ762" s="461"/>
      <c r="AK762" s="461"/>
      <c r="AL762" s="461"/>
      <c r="AM762" s="538"/>
      <c r="AN762" s="522"/>
    </row>
    <row r="763" spans="1:74" s="475" customFormat="1" ht="12.75" customHeight="1">
      <c r="B763" s="541"/>
      <c r="C763" s="860"/>
      <c r="D763" s="588" t="s">
        <v>26</v>
      </c>
      <c r="E763" s="1765" t="s">
        <v>2375</v>
      </c>
      <c r="F763" s="1765"/>
      <c r="G763" s="1765"/>
      <c r="H763" s="1765"/>
      <c r="I763" s="1765"/>
      <c r="J763" s="1765"/>
      <c r="K763" s="1765"/>
      <c r="L763" s="1765"/>
      <c r="M763" s="1765"/>
      <c r="N763" s="1765"/>
      <c r="O763" s="1765"/>
      <c r="P763" s="1765"/>
      <c r="Q763" s="1765"/>
      <c r="R763" s="1765"/>
      <c r="S763" s="1765"/>
      <c r="T763" s="1765"/>
      <c r="U763" s="1765"/>
      <c r="V763" s="1765"/>
      <c r="W763" s="1765"/>
      <c r="X763" s="1765"/>
      <c r="Y763" s="1765"/>
      <c r="Z763" s="1765"/>
      <c r="AA763" s="1765"/>
      <c r="AB763" s="1765"/>
      <c r="AC763" s="1765"/>
      <c r="AD763" s="1765"/>
      <c r="AE763" s="461"/>
      <c r="AF763" s="1733" t="s">
        <v>2029</v>
      </c>
      <c r="AG763" s="1733"/>
      <c r="AH763" s="1733"/>
      <c r="AI763" s="1733"/>
      <c r="AJ763" s="1733"/>
      <c r="AK763" s="1733"/>
      <c r="AL763" s="1733"/>
      <c r="AM763" s="538"/>
      <c r="AN763" s="522"/>
    </row>
    <row r="764" spans="1:74" s="475" customFormat="1" ht="12.75" customHeight="1">
      <c r="B764" s="541"/>
      <c r="C764" s="860"/>
      <c r="D764" s="588"/>
      <c r="E764" s="1765"/>
      <c r="F764" s="1765"/>
      <c r="G764" s="1765"/>
      <c r="H764" s="1765"/>
      <c r="I764" s="1765"/>
      <c r="J764" s="1765"/>
      <c r="K764" s="1765"/>
      <c r="L764" s="1765"/>
      <c r="M764" s="1765"/>
      <c r="N764" s="1765"/>
      <c r="O764" s="1765"/>
      <c r="P764" s="1765"/>
      <c r="Q764" s="1765"/>
      <c r="R764" s="1765"/>
      <c r="S764" s="1765"/>
      <c r="T764" s="1765"/>
      <c r="U764" s="1765"/>
      <c r="V764" s="1765"/>
      <c r="W764" s="1765"/>
      <c r="X764" s="1765"/>
      <c r="Y764" s="1765"/>
      <c r="Z764" s="1765"/>
      <c r="AA764" s="1765"/>
      <c r="AB764" s="1765"/>
      <c r="AC764" s="1765"/>
      <c r="AD764" s="1765"/>
      <c r="AE764" s="519"/>
      <c r="AF764" s="519"/>
      <c r="AG764" s="519"/>
      <c r="AH764" s="519"/>
      <c r="AI764" s="519"/>
      <c r="AJ764" s="519"/>
      <c r="AK764" s="519"/>
      <c r="AL764" s="519"/>
      <c r="AM764" s="538"/>
      <c r="AN764" s="522"/>
    </row>
    <row r="765" spans="1:74" s="475" customFormat="1" ht="12.75" customHeight="1">
      <c r="B765" s="541"/>
      <c r="C765" s="860"/>
      <c r="D765" s="588"/>
      <c r="E765" s="1765"/>
      <c r="F765" s="1765"/>
      <c r="G765" s="1765"/>
      <c r="H765" s="1765"/>
      <c r="I765" s="1765"/>
      <c r="J765" s="1765"/>
      <c r="K765" s="1765"/>
      <c r="L765" s="1765"/>
      <c r="M765" s="1765"/>
      <c r="N765" s="1765"/>
      <c r="O765" s="1765"/>
      <c r="P765" s="1765"/>
      <c r="Q765" s="1765"/>
      <c r="R765" s="1765"/>
      <c r="S765" s="1765"/>
      <c r="T765" s="1765"/>
      <c r="U765" s="1765"/>
      <c r="V765" s="1765"/>
      <c r="W765" s="1765"/>
      <c r="X765" s="1765"/>
      <c r="Y765" s="1765"/>
      <c r="Z765" s="1765"/>
      <c r="AA765" s="1765"/>
      <c r="AB765" s="1765"/>
      <c r="AC765" s="1765"/>
      <c r="AD765" s="1765"/>
      <c r="AE765" s="519"/>
      <c r="AF765" s="519"/>
      <c r="AG765" s="519"/>
      <c r="AH765" s="519"/>
      <c r="AI765" s="519"/>
      <c r="AJ765" s="519"/>
      <c r="AK765" s="519"/>
      <c r="AL765" s="519"/>
      <c r="AM765" s="538"/>
      <c r="AN765" s="522"/>
    </row>
    <row r="766" spans="1:74" s="475" customFormat="1" ht="12.75" customHeight="1">
      <c r="B766" s="541"/>
      <c r="C766" s="860"/>
      <c r="D766" s="588"/>
      <c r="E766" s="1765"/>
      <c r="F766" s="1765"/>
      <c r="G766" s="1765"/>
      <c r="H766" s="1765"/>
      <c r="I766" s="1765"/>
      <c r="J766" s="1765"/>
      <c r="K766" s="1765"/>
      <c r="L766" s="1765"/>
      <c r="M766" s="1765"/>
      <c r="N766" s="1765"/>
      <c r="O766" s="1765"/>
      <c r="P766" s="1765"/>
      <c r="Q766" s="1765"/>
      <c r="R766" s="1765"/>
      <c r="S766" s="1765"/>
      <c r="T766" s="1765"/>
      <c r="U766" s="1765"/>
      <c r="V766" s="1765"/>
      <c r="W766" s="1765"/>
      <c r="X766" s="1765"/>
      <c r="Y766" s="1765"/>
      <c r="Z766" s="1765"/>
      <c r="AA766" s="1765"/>
      <c r="AB766" s="1765"/>
      <c r="AC766" s="1765"/>
      <c r="AD766" s="1765"/>
      <c r="AE766" s="519"/>
      <c r="AF766" s="519"/>
      <c r="AG766" s="519"/>
      <c r="AH766" s="519"/>
      <c r="AI766" s="519"/>
      <c r="AJ766" s="519"/>
      <c r="AK766" s="519"/>
      <c r="AL766" s="519"/>
      <c r="AM766" s="538"/>
      <c r="AN766" s="522"/>
    </row>
    <row r="767" spans="1:74" s="475" customFormat="1" ht="12.75" customHeight="1">
      <c r="A767" s="495"/>
      <c r="B767" s="461"/>
      <c r="C767" s="461"/>
      <c r="D767" s="461"/>
      <c r="E767" s="461"/>
      <c r="F767" s="461"/>
      <c r="G767" s="461"/>
      <c r="H767" s="461"/>
      <c r="I767" s="461"/>
      <c r="J767" s="461"/>
      <c r="K767" s="461"/>
      <c r="L767" s="461"/>
      <c r="M767" s="461"/>
      <c r="N767" s="461"/>
      <c r="O767" s="461"/>
      <c r="P767" s="461"/>
      <c r="Q767" s="461"/>
      <c r="R767" s="461"/>
      <c r="S767" s="461"/>
      <c r="T767" s="461"/>
      <c r="U767" s="461"/>
      <c r="V767" s="461"/>
      <c r="W767" s="461"/>
      <c r="X767" s="461"/>
      <c r="Y767" s="461"/>
      <c r="Z767" s="461"/>
      <c r="AA767" s="461"/>
      <c r="AB767" s="461"/>
      <c r="AC767" s="461"/>
      <c r="AD767" s="461"/>
      <c r="AE767" s="461"/>
      <c r="AF767" s="461"/>
      <c r="AG767" s="461"/>
      <c r="AH767" s="461"/>
      <c r="AI767" s="461"/>
      <c r="AJ767" s="461"/>
      <c r="AK767" s="461"/>
      <c r="AL767" s="461"/>
      <c r="AM767" s="495"/>
      <c r="AN767" s="522"/>
    </row>
    <row r="768" spans="1:74" s="475" customFormat="1" ht="12.75" customHeight="1">
      <c r="B768" s="541"/>
      <c r="C768" s="860"/>
      <c r="D768" s="461" t="s">
        <v>2304</v>
      </c>
      <c r="E768" s="856"/>
      <c r="F768" s="856"/>
      <c r="G768" s="856"/>
      <c r="H768" s="1677" t="s">
        <v>299</v>
      </c>
      <c r="I768" s="1677"/>
      <c r="J768" s="568"/>
      <c r="K768" s="568"/>
      <c r="L768" s="568"/>
      <c r="M768" s="568"/>
      <c r="N768" s="568"/>
      <c r="O768" s="568"/>
      <c r="P768" s="568"/>
      <c r="Q768" s="568"/>
      <c r="R768" s="568"/>
      <c r="S768" s="568"/>
      <c r="T768" s="568"/>
      <c r="U768" s="568"/>
      <c r="V768" s="568"/>
      <c r="W768" s="568"/>
      <c r="X768" s="568"/>
      <c r="Y768" s="568"/>
      <c r="Z768" s="568"/>
      <c r="AA768" s="568"/>
      <c r="AB768" s="568"/>
      <c r="AC768" s="568"/>
      <c r="AD768" s="568"/>
      <c r="AE768" s="568"/>
      <c r="AF768" s="568"/>
      <c r="AG768" s="541"/>
      <c r="AH768" s="461"/>
      <c r="AI768" s="468"/>
      <c r="AJ768" s="520"/>
      <c r="AK768" s="520"/>
      <c r="AL768" s="520"/>
      <c r="AN768" s="522"/>
    </row>
    <row r="769" spans="1:81" s="475" customFormat="1" ht="12.75" customHeight="1">
      <c r="B769" s="541"/>
      <c r="C769" s="860"/>
      <c r="D769" s="541"/>
      <c r="E769" s="541"/>
      <c r="F769" s="541"/>
      <c r="G769" s="541"/>
      <c r="H769" s="541"/>
      <c r="I769" s="541"/>
      <c r="J769" s="541"/>
      <c r="K769" s="541"/>
      <c r="L769" s="541"/>
      <c r="M769" s="541"/>
      <c r="N769" s="541"/>
      <c r="O769" s="541"/>
      <c r="P769" s="541"/>
      <c r="Q769" s="541"/>
      <c r="R769" s="541"/>
      <c r="S769" s="541"/>
      <c r="T769" s="541"/>
      <c r="U769" s="541"/>
      <c r="V769" s="541"/>
      <c r="W769" s="541"/>
      <c r="X769" s="541"/>
      <c r="Y769" s="541"/>
      <c r="Z769" s="541"/>
      <c r="AA769" s="541"/>
      <c r="AB769" s="541"/>
      <c r="AC769" s="541"/>
      <c r="AD769" s="541"/>
      <c r="AE769" s="541"/>
      <c r="AF769" s="541"/>
      <c r="AG769" s="541"/>
      <c r="AH769" s="461"/>
      <c r="AI769" s="468"/>
      <c r="AJ769" s="520"/>
      <c r="AK769" s="520"/>
      <c r="AL769" s="520"/>
      <c r="AN769" s="522"/>
    </row>
    <row r="770" spans="1:81" s="475" customFormat="1" ht="12.75" customHeight="1">
      <c r="A770" s="531"/>
      <c r="B770" s="590"/>
      <c r="C770" s="875"/>
      <c r="D770" s="590"/>
      <c r="E770" s="590"/>
      <c r="F770" s="590"/>
      <c r="G770" s="590"/>
      <c r="H770" s="590"/>
      <c r="I770" s="590"/>
      <c r="J770" s="590"/>
      <c r="K770" s="590"/>
      <c r="L770" s="590"/>
      <c r="M770" s="590"/>
      <c r="N770" s="590"/>
      <c r="O770" s="590"/>
      <c r="P770" s="590"/>
      <c r="Q770" s="590"/>
      <c r="R770" s="590"/>
      <c r="S770" s="590"/>
      <c r="T770" s="590"/>
      <c r="U770" s="590"/>
      <c r="V770" s="590"/>
      <c r="W770" s="590"/>
      <c r="X770" s="590"/>
      <c r="Y770" s="590"/>
      <c r="Z770" s="590"/>
      <c r="AA770" s="590"/>
      <c r="AB770" s="590"/>
      <c r="AC770" s="590"/>
      <c r="AD770" s="590"/>
      <c r="AE770" s="590"/>
      <c r="AF770" s="590"/>
      <c r="AG770" s="590"/>
      <c r="AH770" s="526"/>
      <c r="AI770" s="490" t="s">
        <v>2376</v>
      </c>
      <c r="AJ770" s="1660">
        <f>VLOOKUP($H$768,$AO$758:$AP$760,2,FALSE)</f>
        <v>0</v>
      </c>
      <c r="AK770" s="1662"/>
      <c r="AL770" s="520"/>
      <c r="AN770" s="522"/>
    </row>
    <row r="771" spans="1:81" s="495" customFormat="1">
      <c r="A771" s="475"/>
      <c r="B771" s="541"/>
      <c r="C771" s="860"/>
      <c r="D771" s="541"/>
      <c r="E771" s="541"/>
      <c r="F771" s="541"/>
      <c r="G771" s="541"/>
      <c r="H771" s="541"/>
      <c r="I771" s="541"/>
      <c r="J771" s="541"/>
      <c r="K771" s="541"/>
      <c r="L771" s="541"/>
      <c r="M771" s="541"/>
      <c r="N771" s="541"/>
      <c r="O771" s="541"/>
      <c r="P771" s="541"/>
      <c r="Q771" s="541"/>
      <c r="R771" s="541"/>
      <c r="S771" s="541"/>
      <c r="T771" s="541"/>
      <c r="U771" s="541"/>
      <c r="V771" s="541"/>
      <c r="W771" s="541"/>
      <c r="X771" s="541"/>
      <c r="Y771" s="541"/>
      <c r="Z771" s="541"/>
      <c r="AA771" s="541"/>
      <c r="AB771" s="541"/>
      <c r="AC771" s="541"/>
      <c r="AD771" s="541"/>
      <c r="AE771" s="541"/>
      <c r="AF771" s="541"/>
      <c r="AG771" s="541"/>
      <c r="AH771" s="461"/>
      <c r="AI771" s="468"/>
      <c r="AJ771" s="520"/>
      <c r="AK771" s="520"/>
      <c r="AL771" s="520"/>
      <c r="AM771" s="475"/>
      <c r="AN771" s="609"/>
      <c r="AS771" s="599"/>
      <c r="AT771" s="599"/>
      <c r="AU771" s="599"/>
      <c r="AV771" s="599"/>
      <c r="AW771" s="599"/>
      <c r="AX771" s="599"/>
      <c r="AY771" s="599"/>
      <c r="AZ771" s="599"/>
      <c r="BA771" s="599"/>
      <c r="BB771" s="599"/>
      <c r="BC771" s="599"/>
      <c r="BD771" s="615"/>
      <c r="BE771" s="615"/>
      <c r="BF771" s="615"/>
      <c r="BG771" s="615"/>
      <c r="BH771" s="615"/>
      <c r="BI771" s="599"/>
      <c r="BJ771" s="599"/>
      <c r="BK771" s="599"/>
      <c r="BL771" s="599"/>
      <c r="BM771" s="599"/>
      <c r="BN771" s="599"/>
      <c r="BO771" s="599"/>
      <c r="BP771" s="599"/>
      <c r="BQ771" s="599"/>
      <c r="BR771" s="599"/>
      <c r="BS771" s="599"/>
      <c r="BT771" s="599"/>
      <c r="BU771" s="599"/>
      <c r="BV771" s="599"/>
      <c r="BW771" s="599"/>
      <c r="BX771" s="599"/>
      <c r="BY771" s="599"/>
      <c r="BZ771" s="599"/>
      <c r="CA771" s="599"/>
      <c r="CB771" s="599"/>
      <c r="CC771" s="599"/>
    </row>
    <row r="772" spans="1:81" s="495" customFormat="1">
      <c r="A772" s="475"/>
      <c r="B772" s="541"/>
      <c r="C772" s="464" t="s">
        <v>2377</v>
      </c>
      <c r="D772" s="541"/>
      <c r="E772" s="541"/>
      <c r="F772" s="541"/>
      <c r="G772" s="541"/>
      <c r="H772" s="541"/>
      <c r="I772" s="541"/>
      <c r="J772" s="541"/>
      <c r="K772" s="541"/>
      <c r="L772" s="541"/>
      <c r="M772" s="541"/>
      <c r="N772" s="541"/>
      <c r="O772" s="541"/>
      <c r="P772" s="541"/>
      <c r="Q772" s="541"/>
      <c r="R772" s="541"/>
      <c r="S772" s="541"/>
      <c r="T772" s="541"/>
      <c r="U772" s="541"/>
      <c r="V772" s="541"/>
      <c r="W772" s="541"/>
      <c r="X772" s="541"/>
      <c r="Y772" s="541"/>
      <c r="Z772" s="541"/>
      <c r="AA772" s="541"/>
      <c r="AB772" s="541"/>
      <c r="AC772" s="541"/>
      <c r="AD772" s="541"/>
      <c r="AE772" s="541"/>
      <c r="AF772" s="541"/>
      <c r="AG772" s="541"/>
      <c r="AH772" s="461"/>
      <c r="AI772" s="468"/>
      <c r="AJ772" s="520"/>
      <c r="AK772" s="520"/>
      <c r="AL772" s="520"/>
      <c r="AM772" s="475"/>
      <c r="AN772" s="609"/>
      <c r="AT772" s="599"/>
      <c r="AU772" s="599"/>
      <c r="AV772" s="599"/>
      <c r="AW772" s="599"/>
      <c r="AX772" s="599"/>
      <c r="AY772" s="599"/>
      <c r="AZ772" s="599"/>
    </row>
    <row r="773" spans="1:81" s="495" customFormat="1">
      <c r="A773" s="475"/>
      <c r="B773" s="541"/>
      <c r="C773" s="860"/>
      <c r="D773" s="541"/>
      <c r="E773" s="541"/>
      <c r="F773" s="541"/>
      <c r="G773" s="541"/>
      <c r="H773" s="541"/>
      <c r="I773" s="541"/>
      <c r="J773" s="541"/>
      <c r="K773" s="541"/>
      <c r="L773" s="541"/>
      <c r="M773" s="541"/>
      <c r="N773" s="541"/>
      <c r="O773" s="541"/>
      <c r="P773" s="541"/>
      <c r="Q773" s="541"/>
      <c r="R773" s="541"/>
      <c r="S773" s="541"/>
      <c r="T773" s="541"/>
      <c r="U773" s="541"/>
      <c r="V773" s="541"/>
      <c r="W773" s="541"/>
      <c r="X773" s="541"/>
      <c r="Y773" s="541"/>
      <c r="Z773" s="541"/>
      <c r="AA773" s="541"/>
      <c r="AB773" s="541"/>
      <c r="AC773" s="541"/>
      <c r="AD773" s="541"/>
      <c r="AE773" s="461"/>
      <c r="AF773" s="461"/>
      <c r="AG773" s="461"/>
      <c r="AH773" s="461"/>
      <c r="AI773" s="461"/>
      <c r="AJ773" s="461"/>
      <c r="AK773" s="461"/>
      <c r="AL773" s="520"/>
      <c r="AM773" s="475"/>
      <c r="AN773" s="609"/>
      <c r="AO773" s="475" t="s">
        <v>299</v>
      </c>
      <c r="AP773" s="605">
        <v>0</v>
      </c>
      <c r="AS773" s="599"/>
      <c r="AT773" s="599"/>
      <c r="AU773" s="599"/>
      <c r="AV773" s="599"/>
      <c r="AW773" s="599"/>
      <c r="AX773" s="599"/>
      <c r="AY773" s="599"/>
      <c r="AZ773" s="599"/>
      <c r="BA773" s="599"/>
      <c r="BB773" s="599"/>
      <c r="BC773" s="599"/>
      <c r="BD773" s="615"/>
      <c r="BE773" s="615"/>
      <c r="BF773" s="615"/>
      <c r="BG773" s="615"/>
      <c r="BH773" s="615"/>
      <c r="BI773" s="599"/>
      <c r="BJ773" s="599"/>
      <c r="BK773" s="599"/>
      <c r="BL773" s="599"/>
      <c r="BM773" s="599"/>
      <c r="BN773" s="599"/>
      <c r="BO773" s="599"/>
      <c r="BP773" s="599"/>
      <c r="BQ773" s="599"/>
      <c r="BR773" s="599"/>
      <c r="BS773" s="599"/>
      <c r="BT773" s="599"/>
      <c r="BU773" s="599"/>
      <c r="BV773" s="599"/>
      <c r="BW773" s="599"/>
      <c r="BX773" s="599"/>
      <c r="BY773" s="599"/>
      <c r="BZ773" s="599"/>
      <c r="CA773" s="599"/>
      <c r="CB773" s="599"/>
      <c r="CC773" s="599"/>
    </row>
    <row r="774" spans="1:81" s="495" customFormat="1" ht="13.7" customHeight="1">
      <c r="A774" s="475"/>
      <c r="B774" s="541"/>
      <c r="C774" s="860"/>
      <c r="D774" s="588" t="s">
        <v>21</v>
      </c>
      <c r="E774" s="1653" t="s">
        <v>2378</v>
      </c>
      <c r="F774" s="1653"/>
      <c r="G774" s="1653"/>
      <c r="H774" s="1653"/>
      <c r="I774" s="1653"/>
      <c r="J774" s="1653"/>
      <c r="K774" s="1653"/>
      <c r="L774" s="1653"/>
      <c r="M774" s="1653"/>
      <c r="N774" s="1653"/>
      <c r="O774" s="1653"/>
      <c r="P774" s="1653"/>
      <c r="Q774" s="1653"/>
      <c r="R774" s="1653"/>
      <c r="S774" s="1653"/>
      <c r="T774" s="1653"/>
      <c r="U774" s="1653"/>
      <c r="V774" s="1653"/>
      <c r="W774" s="1653"/>
      <c r="X774" s="1653"/>
      <c r="Y774" s="1653"/>
      <c r="Z774" s="1653"/>
      <c r="AA774" s="1653"/>
      <c r="AB774" s="1653"/>
      <c r="AC774" s="1653"/>
      <c r="AD774" s="1653"/>
      <c r="AE774" s="461"/>
      <c r="AF774" s="1733" t="s">
        <v>2029</v>
      </c>
      <c r="AG774" s="1733"/>
      <c r="AH774" s="1733"/>
      <c r="AI774" s="1733"/>
      <c r="AJ774" s="1733"/>
      <c r="AK774" s="1733"/>
      <c r="AL774" s="1733"/>
      <c r="AM774" s="538"/>
      <c r="AN774" s="609"/>
      <c r="AO774" s="536" t="s">
        <v>837</v>
      </c>
      <c r="AP774" s="475">
        <v>3</v>
      </c>
      <c r="AT774" s="599"/>
      <c r="AU774" s="599"/>
      <c r="AV774" s="599"/>
      <c r="AW774" s="599"/>
      <c r="AX774" s="599"/>
      <c r="AY774" s="599"/>
      <c r="AZ774" s="599"/>
    </row>
    <row r="775" spans="1:81" s="495" customFormat="1" ht="13.7" customHeight="1">
      <c r="A775" s="475"/>
      <c r="B775" s="541"/>
      <c r="C775" s="860"/>
      <c r="D775" s="588"/>
      <c r="E775" s="1653"/>
      <c r="F775" s="1653"/>
      <c r="G775" s="1653"/>
      <c r="H775" s="1653"/>
      <c r="I775" s="1653"/>
      <c r="J775" s="1653"/>
      <c r="K775" s="1653"/>
      <c r="L775" s="1653"/>
      <c r="M775" s="1653"/>
      <c r="N775" s="1653"/>
      <c r="O775" s="1653"/>
      <c r="P775" s="1653"/>
      <c r="Q775" s="1653"/>
      <c r="R775" s="1653"/>
      <c r="S775" s="1653"/>
      <c r="T775" s="1653"/>
      <c r="U775" s="1653"/>
      <c r="V775" s="1653"/>
      <c r="W775" s="1653"/>
      <c r="X775" s="1653"/>
      <c r="Y775" s="1653"/>
      <c r="Z775" s="1653"/>
      <c r="AA775" s="1653"/>
      <c r="AB775" s="1653"/>
      <c r="AC775" s="1653"/>
      <c r="AD775" s="1653"/>
      <c r="AE775" s="461"/>
      <c r="AF775" s="519"/>
      <c r="AG775" s="519"/>
      <c r="AH775" s="519"/>
      <c r="AI775" s="519"/>
      <c r="AJ775" s="519"/>
      <c r="AK775" s="519"/>
      <c r="AL775" s="519"/>
      <c r="AM775" s="538"/>
      <c r="AN775" s="609"/>
      <c r="AO775" s="536"/>
      <c r="AP775" s="475"/>
      <c r="AT775" s="599"/>
      <c r="AU775" s="599"/>
      <c r="AV775" s="599"/>
      <c r="AW775" s="599"/>
      <c r="AX775" s="599"/>
      <c r="AY775" s="599"/>
      <c r="AZ775" s="599"/>
    </row>
    <row r="776" spans="1:81" s="495" customFormat="1">
      <c r="A776" s="475"/>
      <c r="B776" s="541"/>
      <c r="C776" s="860"/>
      <c r="D776" s="588"/>
      <c r="E776" s="1653"/>
      <c r="F776" s="1653"/>
      <c r="G776" s="1653"/>
      <c r="H776" s="1653"/>
      <c r="I776" s="1653"/>
      <c r="J776" s="1653"/>
      <c r="K776" s="1653"/>
      <c r="L776" s="1653"/>
      <c r="M776" s="1653"/>
      <c r="N776" s="1653"/>
      <c r="O776" s="1653"/>
      <c r="P776" s="1653"/>
      <c r="Q776" s="1653"/>
      <c r="R776" s="1653"/>
      <c r="S776" s="1653"/>
      <c r="T776" s="1653"/>
      <c r="U776" s="1653"/>
      <c r="V776" s="1653"/>
      <c r="W776" s="1653"/>
      <c r="X776" s="1653"/>
      <c r="Y776" s="1653"/>
      <c r="Z776" s="1653"/>
      <c r="AA776" s="1653"/>
      <c r="AB776" s="1653"/>
      <c r="AC776" s="1653"/>
      <c r="AD776" s="1653"/>
      <c r="AE776" s="519"/>
      <c r="AF776" s="519"/>
      <c r="AG776" s="519"/>
      <c r="AH776" s="519"/>
      <c r="AI776" s="519"/>
      <c r="AJ776" s="519"/>
      <c r="AK776" s="519"/>
      <c r="AL776" s="519"/>
      <c r="AM776" s="538"/>
      <c r="AN776" s="609"/>
      <c r="AO776" s="536"/>
      <c r="AP776" s="475"/>
      <c r="AT776" s="599"/>
      <c r="AU776" s="599"/>
      <c r="AV776" s="599"/>
      <c r="AW776" s="599"/>
      <c r="AX776" s="599"/>
      <c r="AY776" s="599"/>
      <c r="AZ776" s="599"/>
    </row>
    <row r="777" spans="1:81" s="495" customFormat="1">
      <c r="A777" s="475"/>
      <c r="B777" s="541"/>
      <c r="C777" s="860"/>
      <c r="D777" s="588"/>
      <c r="E777" s="1653"/>
      <c r="F777" s="1653"/>
      <c r="G777" s="1653"/>
      <c r="H777" s="1653"/>
      <c r="I777" s="1653"/>
      <c r="J777" s="1653"/>
      <c r="K777" s="1653"/>
      <c r="L777" s="1653"/>
      <c r="M777" s="1653"/>
      <c r="N777" s="1653"/>
      <c r="O777" s="1653"/>
      <c r="P777" s="1653"/>
      <c r="Q777" s="1653"/>
      <c r="R777" s="1653"/>
      <c r="S777" s="1653"/>
      <c r="T777" s="1653"/>
      <c r="U777" s="1653"/>
      <c r="V777" s="1653"/>
      <c r="W777" s="1653"/>
      <c r="X777" s="1653"/>
      <c r="Y777" s="1653"/>
      <c r="Z777" s="1653"/>
      <c r="AA777" s="1653"/>
      <c r="AB777" s="1653"/>
      <c r="AC777" s="1653"/>
      <c r="AD777" s="1653"/>
      <c r="AE777" s="519"/>
      <c r="AF777" s="519"/>
      <c r="AG777" s="519"/>
      <c r="AH777" s="519"/>
      <c r="AI777" s="519"/>
      <c r="AJ777" s="519"/>
      <c r="AK777" s="519"/>
      <c r="AL777" s="519"/>
      <c r="AM777" s="538"/>
      <c r="AN777" s="609"/>
      <c r="AO777" s="616"/>
      <c r="AT777" s="599"/>
      <c r="AU777" s="599"/>
      <c r="AV777" s="599"/>
      <c r="AW777" s="599"/>
      <c r="AX777" s="599"/>
      <c r="AY777" s="599"/>
      <c r="AZ777" s="599"/>
    </row>
    <row r="778" spans="1:81" s="495" customFormat="1">
      <c r="A778" s="475"/>
      <c r="B778" s="541"/>
      <c r="C778" s="860"/>
      <c r="D778" s="588"/>
      <c r="E778" s="568"/>
      <c r="F778" s="568"/>
      <c r="G778" s="568"/>
      <c r="H778" s="568"/>
      <c r="I778" s="568"/>
      <c r="J778" s="568"/>
      <c r="K778" s="568"/>
      <c r="L778" s="568"/>
      <c r="M778" s="568"/>
      <c r="N778" s="568"/>
      <c r="O778" s="568"/>
      <c r="P778" s="568"/>
      <c r="Q778" s="568"/>
      <c r="R778" s="568"/>
      <c r="S778" s="568"/>
      <c r="T778" s="568"/>
      <c r="U778" s="568"/>
      <c r="V778" s="568"/>
      <c r="W778" s="568"/>
      <c r="X778" s="568"/>
      <c r="Y778" s="568"/>
      <c r="Z778" s="568"/>
      <c r="AA778" s="568"/>
      <c r="AB778" s="568"/>
      <c r="AC778" s="568"/>
      <c r="AD778" s="568"/>
      <c r="AE778" s="519"/>
      <c r="AF778" s="519"/>
      <c r="AG778" s="519"/>
      <c r="AH778" s="519"/>
      <c r="AI778" s="519"/>
      <c r="AJ778" s="519"/>
      <c r="AK778" s="519"/>
      <c r="AL778" s="519"/>
      <c r="AM778" s="538"/>
      <c r="AN778" s="609"/>
      <c r="AO778" s="616"/>
      <c r="AT778" s="599"/>
      <c r="AU778" s="599"/>
      <c r="AV778" s="599"/>
      <c r="AW778" s="599"/>
      <c r="AX778" s="599"/>
      <c r="AY778" s="599"/>
      <c r="AZ778" s="599"/>
    </row>
    <row r="779" spans="1:81" s="495" customFormat="1">
      <c r="A779" s="475"/>
      <c r="B779" s="541"/>
      <c r="C779" s="860"/>
      <c r="D779" s="461" t="s">
        <v>2304</v>
      </c>
      <c r="E779" s="856"/>
      <c r="F779" s="856"/>
      <c r="G779" s="856"/>
      <c r="H779" s="1677" t="s">
        <v>837</v>
      </c>
      <c r="I779" s="1677"/>
      <c r="J779" s="541"/>
      <c r="K779" s="541"/>
      <c r="L779" s="541"/>
      <c r="M779" s="541"/>
      <c r="N779" s="541"/>
      <c r="O779" s="541"/>
      <c r="P779" s="541"/>
      <c r="Q779" s="541"/>
      <c r="R779" s="541"/>
      <c r="S779" s="541"/>
      <c r="T779" s="541"/>
      <c r="U779" s="541"/>
      <c r="V779" s="541"/>
      <c r="W779" s="541"/>
      <c r="X779" s="541"/>
      <c r="Y779" s="541"/>
      <c r="Z779" s="541"/>
      <c r="AA779" s="541"/>
      <c r="AB779" s="541"/>
      <c r="AC779" s="541"/>
      <c r="AD779" s="541"/>
      <c r="AE779" s="541"/>
      <c r="AF779" s="541"/>
      <c r="AG779" s="541"/>
      <c r="AH779" s="461"/>
      <c r="AI779" s="468"/>
      <c r="AJ779" s="520"/>
      <c r="AK779" s="520"/>
      <c r="AL779" s="520"/>
      <c r="AM779" s="475"/>
      <c r="AN779" s="609"/>
      <c r="AS779" s="599"/>
      <c r="AT779" s="599"/>
      <c r="AU779" s="599"/>
      <c r="AV779" s="599"/>
      <c r="AW779" s="599"/>
      <c r="AX779" s="599"/>
      <c r="AY779" s="599"/>
      <c r="AZ779" s="599"/>
      <c r="BA779" s="599"/>
      <c r="BB779" s="599"/>
      <c r="BC779" s="599"/>
      <c r="BD779" s="615"/>
      <c r="BE779" s="615"/>
      <c r="BF779" s="615"/>
      <c r="BG779" s="615"/>
      <c r="BH779" s="615"/>
      <c r="BI779" s="599"/>
      <c r="BJ779" s="599"/>
      <c r="BK779" s="599"/>
      <c r="BL779" s="599"/>
      <c r="BM779" s="599"/>
      <c r="BN779" s="599"/>
      <c r="BO779" s="599"/>
      <c r="BP779" s="599"/>
      <c r="BQ779" s="599"/>
      <c r="BR779" s="599"/>
      <c r="BS779" s="599"/>
      <c r="BT779" s="599"/>
      <c r="BU779" s="599"/>
      <c r="BV779" s="599"/>
      <c r="BW779" s="599"/>
      <c r="BX779" s="599"/>
      <c r="BY779" s="599"/>
      <c r="BZ779" s="599"/>
      <c r="CA779" s="599"/>
      <c r="CB779" s="599"/>
      <c r="CC779" s="599"/>
    </row>
    <row r="780" spans="1:81" s="495" customFormat="1">
      <c r="A780" s="475"/>
      <c r="B780" s="541"/>
      <c r="C780" s="613"/>
      <c r="D780" s="476"/>
      <c r="E780" s="476"/>
      <c r="F780" s="476"/>
      <c r="G780" s="476"/>
      <c r="H780" s="476"/>
      <c r="I780" s="476"/>
      <c r="J780" s="476"/>
      <c r="K780" s="476"/>
      <c r="L780" s="476"/>
      <c r="M780" s="476"/>
      <c r="N780" s="476"/>
      <c r="O780" s="476"/>
      <c r="P780" s="476"/>
      <c r="Q780" s="476"/>
      <c r="R780" s="476"/>
      <c r="S780" s="476"/>
      <c r="T780" s="476"/>
      <c r="U780" s="476"/>
      <c r="V780" s="476"/>
      <c r="W780" s="476"/>
      <c r="X780" s="476"/>
      <c r="Y780" s="476"/>
      <c r="Z780" s="476"/>
      <c r="AA780" s="476"/>
      <c r="AB780" s="476"/>
      <c r="AC780" s="476"/>
      <c r="AD780" s="541"/>
      <c r="AE780" s="476"/>
      <c r="AF780" s="476"/>
      <c r="AG780" s="476"/>
      <c r="AH780" s="476"/>
      <c r="AI780" s="475"/>
      <c r="AJ780" s="475"/>
      <c r="AK780" s="475"/>
      <c r="AL780" s="475"/>
      <c r="AM780" s="475"/>
      <c r="AN780" s="609"/>
      <c r="AT780" s="599"/>
      <c r="AU780" s="599"/>
      <c r="AV780" s="599"/>
      <c r="AW780" s="599"/>
      <c r="AX780" s="599"/>
      <c r="AY780" s="599"/>
      <c r="AZ780" s="599"/>
    </row>
    <row r="781" spans="1:81" s="495" customFormat="1">
      <c r="A781" s="531"/>
      <c r="B781" s="590"/>
      <c r="C781" s="614"/>
      <c r="D781" s="589"/>
      <c r="E781" s="589"/>
      <c r="F781" s="589"/>
      <c r="G781" s="589"/>
      <c r="H781" s="589"/>
      <c r="I781" s="589"/>
      <c r="J781" s="589"/>
      <c r="K781" s="589"/>
      <c r="L781" s="589"/>
      <c r="M781" s="589"/>
      <c r="N781" s="589"/>
      <c r="O781" s="589"/>
      <c r="P781" s="589"/>
      <c r="Q781" s="589"/>
      <c r="R781" s="589"/>
      <c r="S781" s="589"/>
      <c r="T781" s="589"/>
      <c r="U781" s="589"/>
      <c r="V781" s="589"/>
      <c r="W781" s="589"/>
      <c r="X781" s="589"/>
      <c r="Y781" s="589"/>
      <c r="Z781" s="589"/>
      <c r="AA781" s="589"/>
      <c r="AB781" s="589"/>
      <c r="AC781" s="590"/>
      <c r="AD781" s="589"/>
      <c r="AE781" s="589"/>
      <c r="AF781" s="589"/>
      <c r="AG781" s="589"/>
      <c r="AH781" s="489"/>
      <c r="AI781" s="490" t="s">
        <v>2379</v>
      </c>
      <c r="AJ781" s="1660">
        <f>VLOOKUP($H$779,$AO$773:$AP$774,2,FALSE)</f>
        <v>3</v>
      </c>
      <c r="AK781" s="1662"/>
      <c r="AL781" s="520"/>
      <c r="AM781" s="475"/>
      <c r="AN781" s="609"/>
      <c r="AS781" s="599"/>
      <c r="AT781" s="599"/>
      <c r="AU781" s="599"/>
      <c r="AV781" s="599"/>
      <c r="AW781" s="599"/>
      <c r="AX781" s="599"/>
      <c r="AY781" s="599"/>
      <c r="AZ781" s="599"/>
      <c r="BA781" s="599"/>
      <c r="BB781" s="599"/>
      <c r="BC781" s="599"/>
      <c r="BD781" s="615"/>
      <c r="BE781" s="615"/>
      <c r="BF781" s="615"/>
      <c r="BG781" s="615"/>
      <c r="BH781" s="615"/>
      <c r="BI781" s="599"/>
      <c r="BJ781" s="599"/>
      <c r="BK781" s="599"/>
      <c r="BL781" s="599"/>
      <c r="BM781" s="599"/>
      <c r="BN781" s="599"/>
      <c r="BO781" s="599"/>
      <c r="BP781" s="599"/>
      <c r="BQ781" s="599"/>
      <c r="BR781" s="599"/>
      <c r="BS781" s="599"/>
      <c r="BT781" s="599"/>
      <c r="BU781" s="599"/>
      <c r="BV781" s="599"/>
      <c r="BW781" s="599"/>
      <c r="BX781" s="599"/>
      <c r="BY781" s="599"/>
      <c r="BZ781" s="599"/>
      <c r="CA781" s="599"/>
      <c r="CB781" s="599"/>
      <c r="CC781" s="599"/>
    </row>
    <row r="782" spans="1:81" s="475" customFormat="1" ht="12.75" customHeight="1">
      <c r="B782" s="541"/>
      <c r="C782" s="613"/>
      <c r="D782" s="476"/>
      <c r="E782" s="476"/>
      <c r="F782" s="476"/>
      <c r="G782" s="476"/>
      <c r="H782" s="476"/>
      <c r="I782" s="476"/>
      <c r="J782" s="476"/>
      <c r="K782" s="476"/>
      <c r="L782" s="476"/>
      <c r="M782" s="476"/>
      <c r="N782" s="476"/>
      <c r="O782" s="476"/>
      <c r="P782" s="476"/>
      <c r="Q782" s="476"/>
      <c r="R782" s="476"/>
      <c r="S782" s="476"/>
      <c r="T782" s="476"/>
      <c r="U782" s="476"/>
      <c r="V782" s="476"/>
      <c r="W782" s="476"/>
      <c r="X782" s="476"/>
      <c r="Y782" s="476"/>
      <c r="Z782" s="476"/>
      <c r="AA782" s="476"/>
      <c r="AB782" s="476"/>
      <c r="AC782" s="476"/>
      <c r="AD782" s="541"/>
      <c r="AE782" s="476"/>
      <c r="AF782" s="476"/>
      <c r="AG782" s="476"/>
      <c r="AH782" s="476"/>
      <c r="AN782" s="522"/>
    </row>
    <row r="783" spans="1:81" s="475" customFormat="1" ht="12.75" customHeight="1">
      <c r="A783" s="531"/>
      <c r="B783" s="589"/>
      <c r="C783" s="589"/>
      <c r="D783" s="589"/>
      <c r="E783" s="589"/>
      <c r="F783" s="589"/>
      <c r="G783" s="589"/>
      <c r="H783" s="589"/>
      <c r="I783" s="589"/>
      <c r="J783" s="589"/>
      <c r="K783" s="589"/>
      <c r="L783" s="589"/>
      <c r="M783" s="589"/>
      <c r="N783" s="589"/>
      <c r="O783" s="589"/>
      <c r="P783" s="589"/>
      <c r="Q783" s="589"/>
      <c r="R783" s="589"/>
      <c r="S783" s="589"/>
      <c r="T783" s="589"/>
      <c r="U783" s="589"/>
      <c r="V783" s="589"/>
      <c r="W783" s="589"/>
      <c r="X783" s="589"/>
      <c r="Y783" s="589"/>
      <c r="Z783" s="589"/>
      <c r="AA783" s="589"/>
      <c r="AB783" s="589"/>
      <c r="AC783" s="590"/>
      <c r="AD783" s="589"/>
      <c r="AE783" s="489"/>
      <c r="AF783" s="489"/>
      <c r="AG783" s="489"/>
      <c r="AH783" s="489"/>
      <c r="AI783" s="490"/>
      <c r="AJ783" s="490" t="s">
        <v>2380</v>
      </c>
      <c r="AK783" s="1660">
        <f>IF(($AJ$610+$AJ$629+$AJ$641+$AJ$676+$AJ$700+$AJ$714+$AJ$726+$AJ$742+$AJ$754+$AJ$770+AJ781)&gt;10,10,($AJ$610+$AJ$629+$AJ$641+$AJ$676+$AJ$700+$AJ$714+$AJ$726+$AJ$742+$AJ$754+$AJ$770+AJ781))</f>
        <v>10</v>
      </c>
      <c r="AL783" s="1661"/>
      <c r="AM783" s="1662"/>
      <c r="AN783" s="522"/>
    </row>
    <row r="784" spans="1:81" s="475" customFormat="1" ht="12.75" customHeight="1">
      <c r="B784" s="476"/>
      <c r="C784" s="476"/>
      <c r="D784" s="476"/>
      <c r="E784" s="476"/>
      <c r="F784" s="476"/>
      <c r="G784" s="476"/>
      <c r="H784" s="476"/>
      <c r="I784" s="476"/>
      <c r="J784" s="476"/>
      <c r="K784" s="476"/>
      <c r="L784" s="476"/>
      <c r="M784" s="476"/>
      <c r="N784" s="476"/>
      <c r="O784" s="476"/>
      <c r="P784" s="476"/>
      <c r="Q784" s="476"/>
      <c r="R784" s="476"/>
      <c r="S784" s="476"/>
      <c r="T784" s="476"/>
      <c r="U784" s="476"/>
      <c r="V784" s="476"/>
      <c r="W784" s="476"/>
      <c r="X784" s="476"/>
      <c r="Y784" s="476"/>
      <c r="Z784" s="476"/>
      <c r="AA784" s="476"/>
      <c r="AB784" s="476"/>
      <c r="AC784" s="541"/>
      <c r="AD784" s="476"/>
      <c r="AI784" s="468"/>
      <c r="AJ784" s="468"/>
      <c r="AK784" s="520"/>
      <c r="AL784" s="520"/>
      <c r="AM784" s="520"/>
      <c r="AN784" s="522"/>
    </row>
    <row r="785" spans="1:43">
      <c r="B785" s="475"/>
      <c r="C785" s="475"/>
      <c r="D785" s="475"/>
      <c r="E785" s="475"/>
      <c r="F785" s="475"/>
      <c r="G785" s="475"/>
      <c r="H785" s="475"/>
      <c r="I785" s="475"/>
      <c r="J785" s="475"/>
      <c r="K785" s="475"/>
      <c r="L785" s="475"/>
      <c r="M785" s="475"/>
      <c r="N785" s="475"/>
      <c r="O785" s="475"/>
      <c r="P785" s="475"/>
      <c r="Q785" s="475"/>
      <c r="R785" s="475"/>
      <c r="S785" s="475"/>
      <c r="T785" s="475"/>
      <c r="U785" s="475"/>
      <c r="V785" s="475"/>
      <c r="W785" s="475"/>
      <c r="X785" s="475"/>
      <c r="Y785" s="475"/>
      <c r="Z785" s="475"/>
      <c r="AA785" s="475"/>
      <c r="AB785" s="475"/>
      <c r="AC785" s="475"/>
      <c r="AD785" s="475"/>
      <c r="AE785" s="475"/>
      <c r="AF785" s="475"/>
      <c r="AG785" s="475"/>
      <c r="AH785" s="475"/>
      <c r="AI785" s="475"/>
      <c r="AJ785" s="475"/>
      <c r="AK785" s="475"/>
      <c r="AL785" s="475"/>
      <c r="AM785" s="475"/>
    </row>
    <row r="786" spans="1:43">
      <c r="A786" s="1724" t="s">
        <v>2381</v>
      </c>
      <c r="B786" s="1725"/>
      <c r="C786" s="1725"/>
      <c r="D786" s="1725"/>
      <c r="E786" s="1725"/>
      <c r="F786" s="1725"/>
      <c r="G786" s="1725"/>
      <c r="H786" s="1725"/>
      <c r="I786" s="1725"/>
      <c r="J786" s="1725"/>
      <c r="K786" s="1725"/>
      <c r="L786" s="1725"/>
      <c r="M786" s="1725"/>
      <c r="N786" s="1725"/>
      <c r="O786" s="1725"/>
      <c r="P786" s="1725"/>
      <c r="Q786" s="1725"/>
      <c r="R786" s="1725"/>
      <c r="S786" s="1725"/>
      <c r="T786" s="1725"/>
      <c r="U786" s="1725"/>
      <c r="V786" s="1725"/>
      <c r="W786" s="1725"/>
      <c r="X786" s="1725"/>
      <c r="Y786" s="1725"/>
      <c r="Z786" s="1725"/>
      <c r="AA786" s="1725"/>
      <c r="AB786" s="1725"/>
      <c r="AC786" s="1725"/>
      <c r="AD786" s="1725"/>
      <c r="AE786" s="1725"/>
      <c r="AF786" s="1725"/>
      <c r="AG786" s="1725"/>
      <c r="AH786" s="1725"/>
      <c r="AI786" s="1725"/>
      <c r="AJ786" s="1725"/>
      <c r="AK786" s="1725"/>
      <c r="AL786" s="1725"/>
      <c r="AM786" s="1725"/>
    </row>
    <row r="787" spans="1:43">
      <c r="A787" s="1726"/>
      <c r="B787" s="1726"/>
      <c r="C787" s="1726"/>
      <c r="D787" s="1726"/>
      <c r="E787" s="1726"/>
      <c r="F787" s="1726"/>
      <c r="G787" s="1726"/>
      <c r="H787" s="1726"/>
      <c r="I787" s="1726"/>
      <c r="J787" s="1726"/>
      <c r="K787" s="1726"/>
      <c r="L787" s="1726"/>
      <c r="M787" s="1726"/>
      <c r="N787" s="1726"/>
      <c r="O787" s="1726"/>
      <c r="P787" s="1726"/>
      <c r="Q787" s="1726"/>
      <c r="R787" s="1726"/>
      <c r="S787" s="1726"/>
      <c r="T787" s="1726"/>
      <c r="U787" s="1726"/>
      <c r="V787" s="1726"/>
      <c r="W787" s="1726"/>
      <c r="X787" s="1726"/>
      <c r="Y787" s="1726"/>
      <c r="Z787" s="1726"/>
      <c r="AA787" s="1726"/>
      <c r="AB787" s="1726"/>
      <c r="AC787" s="1726"/>
      <c r="AD787" s="1726"/>
      <c r="AE787" s="1726"/>
      <c r="AF787" s="1726"/>
      <c r="AG787" s="1726"/>
      <c r="AH787" s="1726"/>
      <c r="AI787" s="1726"/>
      <c r="AJ787" s="1726"/>
      <c r="AK787" s="1726"/>
      <c r="AL787" s="1726"/>
      <c r="AM787" s="1726"/>
      <c r="AO787" s="741"/>
      <c r="AP787" s="741"/>
      <c r="AQ787" s="741"/>
    </row>
    <row r="788" spans="1:43">
      <c r="A788" s="475"/>
      <c r="B788" s="496"/>
      <c r="C788" s="497"/>
      <c r="D788" s="497"/>
      <c r="E788" s="497"/>
      <c r="F788" s="497"/>
      <c r="G788" s="497"/>
      <c r="H788" s="497"/>
      <c r="I788" s="498"/>
      <c r="J788" s="498"/>
      <c r="K788" s="498"/>
      <c r="L788" s="498"/>
      <c r="M788" s="498"/>
      <c r="N788" s="498"/>
      <c r="O788" s="498"/>
      <c r="P788" s="498"/>
      <c r="Q788" s="498"/>
      <c r="S788" s="464"/>
      <c r="T788" s="464"/>
      <c r="U788" s="464"/>
      <c r="V788" s="464"/>
      <c r="W788" s="464"/>
      <c r="X788" s="464"/>
      <c r="Y788" s="464"/>
      <c r="Z788" s="464"/>
      <c r="AA788" s="464"/>
      <c r="AB788" s="464"/>
      <c r="AC788" s="464"/>
      <c r="AD788" s="464"/>
      <c r="AE788" s="464"/>
      <c r="AG788" s="464"/>
      <c r="AH788" s="464"/>
      <c r="AI788" s="464"/>
      <c r="AJ788" s="464"/>
      <c r="AK788" s="475"/>
      <c r="AL788" s="475"/>
      <c r="AM788" s="462"/>
      <c r="AO788" s="741"/>
      <c r="AP788" s="741"/>
      <c r="AQ788" s="741"/>
    </row>
    <row r="789" spans="1:43">
      <c r="A789" s="1663"/>
      <c r="B789" s="1663"/>
      <c r="C789" s="1663"/>
      <c r="D789" s="1663"/>
      <c r="E789" s="1663"/>
      <c r="F789" s="1663"/>
      <c r="G789" s="1663"/>
      <c r="H789" s="1663"/>
      <c r="I789" s="1663"/>
      <c r="J789" s="1663"/>
      <c r="K789" s="1663"/>
      <c r="L789" s="1663"/>
      <c r="M789" s="1663"/>
      <c r="N789" s="1663"/>
      <c r="O789" s="1663"/>
      <c r="P789" s="1663"/>
      <c r="Q789" s="1663"/>
      <c r="R789" s="1663"/>
      <c r="S789" s="1663"/>
      <c r="T789" s="1663"/>
      <c r="U789" s="1663"/>
      <c r="V789" s="1663"/>
      <c r="W789" s="1663"/>
      <c r="X789" s="1663"/>
      <c r="Y789" s="1663"/>
      <c r="Z789" s="1663"/>
      <c r="AA789" s="1663"/>
      <c r="AB789" s="1663"/>
      <c r="AC789" s="1663"/>
      <c r="AD789" s="1663"/>
      <c r="AE789" s="1663"/>
      <c r="AF789" s="1663"/>
      <c r="AG789" s="1663"/>
      <c r="AH789" s="1663"/>
      <c r="AI789" s="1663"/>
      <c r="AJ789" s="1663"/>
      <c r="AK789" s="1663"/>
      <c r="AL789" s="1663"/>
      <c r="AM789" s="1663"/>
      <c r="AP789" s="741"/>
      <c r="AQ789" s="741"/>
    </row>
    <row r="790" spans="1:43">
      <c r="A790" s="1663"/>
      <c r="B790" s="1663"/>
      <c r="C790" s="1663"/>
      <c r="D790" s="1663"/>
      <c r="E790" s="1663"/>
      <c r="F790" s="1663"/>
      <c r="G790" s="1663"/>
      <c r="H790" s="1663"/>
      <c r="I790" s="1663"/>
      <c r="J790" s="1663"/>
      <c r="K790" s="1663"/>
      <c r="L790" s="1663"/>
      <c r="M790" s="1663"/>
      <c r="N790" s="1663"/>
      <c r="O790" s="1663"/>
      <c r="P790" s="1663"/>
      <c r="Q790" s="1663"/>
      <c r="R790" s="1663"/>
      <c r="S790" s="1663"/>
      <c r="T790" s="1663"/>
      <c r="U790" s="1663"/>
      <c r="V790" s="1663"/>
      <c r="W790" s="1663"/>
      <c r="X790" s="1663"/>
      <c r="Y790" s="1663"/>
      <c r="Z790" s="1663"/>
      <c r="AA790" s="1663"/>
      <c r="AB790" s="1663"/>
      <c r="AC790" s="1663"/>
      <c r="AD790" s="1663"/>
      <c r="AE790" s="1663"/>
      <c r="AF790" s="1663"/>
      <c r="AG790" s="1663"/>
      <c r="AH790" s="1663"/>
      <c r="AI790" s="1663"/>
      <c r="AJ790" s="1663"/>
      <c r="AK790" s="1663"/>
      <c r="AL790" s="1663"/>
      <c r="AM790" s="1663"/>
      <c r="AO790" s="741"/>
      <c r="AQ790" s="741"/>
    </row>
    <row r="791" spans="1:43">
      <c r="A791" s="742"/>
      <c r="B791" s="592"/>
      <c r="C791" s="592"/>
      <c r="D791" s="592"/>
      <c r="E791" s="592"/>
      <c r="F791" s="592"/>
      <c r="G791" s="592"/>
      <c r="H791" s="592"/>
      <c r="I791" s="592"/>
      <c r="J791" s="592"/>
      <c r="K791" s="592"/>
      <c r="L791" s="592"/>
      <c r="M791" s="592"/>
      <c r="N791" s="592"/>
      <c r="O791" s="592"/>
      <c r="P791" s="592"/>
      <c r="Q791" s="592"/>
      <c r="R791" s="592"/>
      <c r="S791" s="594"/>
      <c r="T791" s="1727" t="s">
        <v>2382</v>
      </c>
      <c r="U791" s="1728"/>
      <c r="V791" s="1728"/>
      <c r="W791" s="1728"/>
      <c r="X791" s="1728"/>
      <c r="Y791" s="1729"/>
      <c r="Z791" s="1727" t="s">
        <v>2383</v>
      </c>
      <c r="AA791" s="1728"/>
      <c r="AB791" s="1728"/>
      <c r="AC791" s="1728"/>
      <c r="AD791" s="1728"/>
      <c r="AE791" s="1729"/>
      <c r="AF791" s="1727" t="s">
        <v>2384</v>
      </c>
      <c r="AG791" s="1728"/>
      <c r="AH791" s="1728"/>
      <c r="AI791" s="1728"/>
      <c r="AJ791" s="1728"/>
      <c r="AK791" s="1729"/>
      <c r="AL791" s="743"/>
      <c r="AM791" s="521"/>
      <c r="AO791" s="741"/>
      <c r="AP791" s="741"/>
      <c r="AQ791" s="741"/>
    </row>
    <row r="792" spans="1:43">
      <c r="A792" s="744"/>
      <c r="B792" s="619"/>
      <c r="C792" s="619"/>
      <c r="D792" s="619"/>
      <c r="E792" s="619"/>
      <c r="F792" s="619"/>
      <c r="G792" s="619"/>
      <c r="H792" s="619"/>
      <c r="I792" s="619"/>
      <c r="J792" s="619"/>
      <c r="K792" s="619"/>
      <c r="L792" s="619"/>
      <c r="M792" s="619"/>
      <c r="N792" s="619"/>
      <c r="O792" s="619"/>
      <c r="P792" s="619"/>
      <c r="Q792" s="619"/>
      <c r="R792" s="619"/>
      <c r="S792" s="633"/>
      <c r="T792" s="1730"/>
      <c r="U792" s="1731"/>
      <c r="V792" s="1731"/>
      <c r="W792" s="1731"/>
      <c r="X792" s="1731"/>
      <c r="Y792" s="1732"/>
      <c r="Z792" s="1730"/>
      <c r="AA792" s="1731"/>
      <c r="AB792" s="1731"/>
      <c r="AC792" s="1731"/>
      <c r="AD792" s="1731"/>
      <c r="AE792" s="1732"/>
      <c r="AF792" s="1730"/>
      <c r="AG792" s="1731"/>
      <c r="AH792" s="1731"/>
      <c r="AI792" s="1731"/>
      <c r="AJ792" s="1731"/>
      <c r="AK792" s="1732"/>
      <c r="AL792" s="743"/>
      <c r="AM792" s="521"/>
      <c r="AO792" s="741"/>
      <c r="AP792" s="741"/>
      <c r="AQ792" s="741"/>
    </row>
    <row r="793" spans="1:43">
      <c r="A793" s="744" t="s">
        <v>52</v>
      </c>
      <c r="B793" s="1684" t="s">
        <v>1947</v>
      </c>
      <c r="C793" s="1684"/>
      <c r="D793" s="1684"/>
      <c r="E793" s="1684"/>
      <c r="F793" s="1684"/>
      <c r="G793" s="1684"/>
      <c r="H793" s="1684"/>
      <c r="I793" s="1684"/>
      <c r="J793" s="1684"/>
      <c r="K793" s="1684"/>
      <c r="L793" s="1684"/>
      <c r="M793" s="1684"/>
      <c r="N793" s="1684"/>
      <c r="O793" s="1684"/>
      <c r="P793" s="1684"/>
      <c r="Q793" s="1684"/>
      <c r="R793" s="1684"/>
      <c r="S793" s="1685"/>
      <c r="T793" s="1712">
        <f>AK56</f>
        <v>0</v>
      </c>
      <c r="U793" s="1688"/>
      <c r="V793" s="1688"/>
      <c r="W793" s="1688"/>
      <c r="X793" s="1688"/>
      <c r="Y793" s="1689"/>
      <c r="Z793" s="1687">
        <v>20</v>
      </c>
      <c r="AA793" s="1688"/>
      <c r="AB793" s="1688"/>
      <c r="AC793" s="1688"/>
      <c r="AD793" s="1688"/>
      <c r="AE793" s="1689"/>
      <c r="AF793" s="1673">
        <f>IF(T793&gt;Z793,Z793,T793)</f>
        <v>0</v>
      </c>
      <c r="AG793" s="1673"/>
      <c r="AH793" s="1673"/>
      <c r="AI793" s="1673"/>
      <c r="AJ793" s="1673"/>
      <c r="AK793" s="1673"/>
      <c r="AL793" s="743"/>
      <c r="AM793" s="521"/>
      <c r="AO793" s="741"/>
      <c r="AP793" s="741"/>
      <c r="AQ793" s="741"/>
    </row>
    <row r="794" spans="1:43">
      <c r="A794" s="744" t="s">
        <v>2235</v>
      </c>
      <c r="B794" s="1684" t="s">
        <v>785</v>
      </c>
      <c r="C794" s="1684"/>
      <c r="D794" s="1684"/>
      <c r="E794" s="1684"/>
      <c r="F794" s="1684"/>
      <c r="G794" s="1684"/>
      <c r="H794" s="1684"/>
      <c r="I794" s="1684"/>
      <c r="J794" s="1684"/>
      <c r="K794" s="1684"/>
      <c r="L794" s="1684"/>
      <c r="M794" s="1684"/>
      <c r="N794" s="1684"/>
      <c r="O794" s="1684"/>
      <c r="P794" s="1684"/>
      <c r="Q794" s="1684"/>
      <c r="R794" s="1684"/>
      <c r="S794" s="1685"/>
      <c r="T794" s="1712">
        <f>AK78</f>
        <v>10</v>
      </c>
      <c r="U794" s="1688"/>
      <c r="V794" s="1688"/>
      <c r="W794" s="1688"/>
      <c r="X794" s="1688"/>
      <c r="Y794" s="1689"/>
      <c r="Z794" s="1687">
        <v>10</v>
      </c>
      <c r="AA794" s="1688"/>
      <c r="AB794" s="1688"/>
      <c r="AC794" s="1688"/>
      <c r="AD794" s="1688"/>
      <c r="AE794" s="1689"/>
      <c r="AF794" s="1673">
        <f>IF(T794&gt;Z794,Z794,T794)</f>
        <v>10</v>
      </c>
      <c r="AG794" s="1673"/>
      <c r="AH794" s="1673"/>
      <c r="AI794" s="1673"/>
      <c r="AJ794" s="1673"/>
      <c r="AK794" s="1673"/>
      <c r="AL794" s="743"/>
      <c r="AM794" s="521"/>
      <c r="AO794" s="741"/>
      <c r="AP794" s="741"/>
      <c r="AQ794" s="741"/>
    </row>
    <row r="795" spans="1:43">
      <c r="A795" s="744" t="s">
        <v>2244</v>
      </c>
      <c r="B795" s="1684" t="s">
        <v>1985</v>
      </c>
      <c r="C795" s="1684"/>
      <c r="D795" s="1684"/>
      <c r="E795" s="1684"/>
      <c r="F795" s="1684"/>
      <c r="G795" s="1684"/>
      <c r="H795" s="1684"/>
      <c r="I795" s="1684"/>
      <c r="J795" s="1684"/>
      <c r="K795" s="1684"/>
      <c r="L795" s="1684"/>
      <c r="M795" s="1684"/>
      <c r="N795" s="1684"/>
      <c r="O795" s="1684"/>
      <c r="P795" s="1684"/>
      <c r="Q795" s="1684"/>
      <c r="R795" s="1684"/>
      <c r="S795" s="1685"/>
      <c r="T795" s="1712">
        <f ca="1">AK103</f>
        <v>20</v>
      </c>
      <c r="U795" s="1688"/>
      <c r="V795" s="1688"/>
      <c r="W795" s="1688"/>
      <c r="X795" s="1688"/>
      <c r="Y795" s="1689"/>
      <c r="Z795" s="1687">
        <v>20</v>
      </c>
      <c r="AA795" s="1688"/>
      <c r="AB795" s="1688"/>
      <c r="AC795" s="1688"/>
      <c r="AD795" s="1688"/>
      <c r="AE795" s="1689"/>
      <c r="AF795" s="1673">
        <f ca="1">IF(T795&gt;Z795,Z795,T795)</f>
        <v>20</v>
      </c>
      <c r="AG795" s="1673"/>
      <c r="AH795" s="1673"/>
      <c r="AI795" s="1673"/>
      <c r="AJ795" s="1673"/>
      <c r="AK795" s="1673"/>
      <c r="AL795" s="743"/>
      <c r="AM795" s="521"/>
      <c r="AO795" s="741"/>
      <c r="AP795" s="741"/>
      <c r="AQ795" s="741"/>
    </row>
    <row r="796" spans="1:43">
      <c r="A796" s="744" t="s">
        <v>2385</v>
      </c>
      <c r="B796" s="1684" t="s">
        <v>1996</v>
      </c>
      <c r="C796" s="1684"/>
      <c r="D796" s="1684"/>
      <c r="E796" s="1684"/>
      <c r="F796" s="1684"/>
      <c r="G796" s="1684"/>
      <c r="H796" s="1684"/>
      <c r="I796" s="1684"/>
      <c r="J796" s="1684"/>
      <c r="K796" s="1684"/>
      <c r="L796" s="1684"/>
      <c r="M796" s="1684"/>
      <c r="N796" s="1684"/>
      <c r="O796" s="1684"/>
      <c r="P796" s="1684"/>
      <c r="Q796" s="1684"/>
      <c r="R796" s="1684"/>
      <c r="S796" s="1685"/>
      <c r="T796" s="1712">
        <f>AK137</f>
        <v>10</v>
      </c>
      <c r="U796" s="1688"/>
      <c r="V796" s="1688"/>
      <c r="W796" s="1688"/>
      <c r="X796" s="1688"/>
      <c r="Y796" s="1689"/>
      <c r="Z796" s="1687">
        <v>10</v>
      </c>
      <c r="AA796" s="1688"/>
      <c r="AB796" s="1688"/>
      <c r="AC796" s="1688"/>
      <c r="AD796" s="1688"/>
      <c r="AE796" s="1689"/>
      <c r="AF796" s="1673">
        <f>IF(T796&gt;Z796,Z796,T796)</f>
        <v>10</v>
      </c>
      <c r="AG796" s="1673"/>
      <c r="AH796" s="1673"/>
      <c r="AI796" s="1673"/>
      <c r="AJ796" s="1673"/>
      <c r="AK796" s="1673"/>
      <c r="AL796" s="743"/>
      <c r="AM796" s="521"/>
      <c r="AO796" s="741"/>
      <c r="AP796" s="741"/>
      <c r="AQ796" s="741"/>
    </row>
    <row r="797" spans="1:43">
      <c r="A797" s="745" t="s">
        <v>2386</v>
      </c>
      <c r="B797" s="1684" t="s">
        <v>2387</v>
      </c>
      <c r="C797" s="1684"/>
      <c r="D797" s="1684"/>
      <c r="E797" s="1684"/>
      <c r="F797" s="1684"/>
      <c r="G797" s="1684"/>
      <c r="H797" s="1684"/>
      <c r="I797" s="1684"/>
      <c r="J797" s="1684"/>
      <c r="K797" s="1684"/>
      <c r="L797" s="1684"/>
      <c r="M797" s="1684"/>
      <c r="N797" s="1684"/>
      <c r="O797" s="1684"/>
      <c r="P797" s="1684"/>
      <c r="Q797" s="1684"/>
      <c r="R797" s="1684"/>
      <c r="S797" s="1685"/>
      <c r="T797" s="1686">
        <f>SUM(T798:Y799)</f>
        <v>10</v>
      </c>
      <c r="U797" s="1686"/>
      <c r="V797" s="1686"/>
      <c r="W797" s="1686"/>
      <c r="X797" s="1686"/>
      <c r="Y797" s="1686"/>
      <c r="Z797" s="1673">
        <v>10</v>
      </c>
      <c r="AA797" s="1673"/>
      <c r="AB797" s="1673"/>
      <c r="AC797" s="1673"/>
      <c r="AD797" s="1673"/>
      <c r="AE797" s="1673"/>
      <c r="AF797" s="1673">
        <f>IF(T797&gt;Z797,Z797,T797)</f>
        <v>10</v>
      </c>
      <c r="AG797" s="1673"/>
      <c r="AH797" s="1673"/>
      <c r="AI797" s="1673"/>
      <c r="AJ797" s="1673"/>
      <c r="AK797" s="1673"/>
      <c r="AL797" s="743"/>
      <c r="AM797" s="521"/>
    </row>
    <row r="798" spans="1:43">
      <c r="A798" s="460"/>
      <c r="B798" s="526"/>
      <c r="C798" s="1690" t="s">
        <v>2388</v>
      </c>
      <c r="D798" s="1690"/>
      <c r="E798" s="1690"/>
      <c r="F798" s="1690"/>
      <c r="G798" s="1690"/>
      <c r="H798" s="1690"/>
      <c r="I798" s="1690"/>
      <c r="J798" s="1690"/>
      <c r="K798" s="1690"/>
      <c r="L798" s="1690"/>
      <c r="M798" s="1690"/>
      <c r="N798" s="1690"/>
      <c r="O798" s="1690"/>
      <c r="P798" s="1690"/>
      <c r="Q798" s="1690"/>
      <c r="R798" s="1690"/>
      <c r="S798" s="1691"/>
      <c r="T798" s="1692">
        <f>AJ155</f>
        <v>7</v>
      </c>
      <c r="U798" s="1692"/>
      <c r="V798" s="1692"/>
      <c r="W798" s="1692"/>
      <c r="X798" s="1692"/>
      <c r="Y798" s="1692"/>
      <c r="Z798" s="1693">
        <v>7</v>
      </c>
      <c r="AA798" s="1693"/>
      <c r="AB798" s="1693"/>
      <c r="AC798" s="1693"/>
      <c r="AD798" s="1693"/>
      <c r="AE798" s="1693"/>
      <c r="AF798" s="1694"/>
      <c r="AG798" s="1694"/>
      <c r="AH798" s="1694"/>
      <c r="AI798" s="1694"/>
      <c r="AJ798" s="1694"/>
      <c r="AK798" s="1694"/>
      <c r="AL798" s="743"/>
      <c r="AM798" s="521"/>
    </row>
    <row r="799" spans="1:43">
      <c r="A799" s="525"/>
      <c r="B799" s="526"/>
      <c r="C799" s="1690" t="s">
        <v>2389</v>
      </c>
      <c r="D799" s="1690"/>
      <c r="E799" s="1690"/>
      <c r="F799" s="1690"/>
      <c r="G799" s="1690"/>
      <c r="H799" s="1690"/>
      <c r="I799" s="1690"/>
      <c r="J799" s="1690"/>
      <c r="K799" s="1690"/>
      <c r="L799" s="1690"/>
      <c r="M799" s="1690"/>
      <c r="N799" s="1690"/>
      <c r="O799" s="1690"/>
      <c r="P799" s="1690"/>
      <c r="Q799" s="1690"/>
      <c r="R799" s="1690"/>
      <c r="S799" s="1691"/>
      <c r="T799" s="1692">
        <f>AJ169</f>
        <v>3</v>
      </c>
      <c r="U799" s="1692"/>
      <c r="V799" s="1692"/>
      <c r="W799" s="1692"/>
      <c r="X799" s="1692"/>
      <c r="Y799" s="1692"/>
      <c r="Z799" s="1693">
        <v>3</v>
      </c>
      <c r="AA799" s="1693"/>
      <c r="AB799" s="1693"/>
      <c r="AC799" s="1693"/>
      <c r="AD799" s="1693"/>
      <c r="AE799" s="1693"/>
      <c r="AF799" s="1694"/>
      <c r="AG799" s="1694"/>
      <c r="AH799" s="1694"/>
      <c r="AI799" s="1694"/>
      <c r="AJ799" s="1694"/>
      <c r="AK799" s="1694"/>
      <c r="AL799" s="743"/>
      <c r="AM799" s="521"/>
      <c r="AO799" s="475"/>
    </row>
    <row r="800" spans="1:43">
      <c r="A800" s="745" t="s">
        <v>2041</v>
      </c>
      <c r="B800" s="1684" t="s">
        <v>2390</v>
      </c>
      <c r="C800" s="1684"/>
      <c r="D800" s="1684"/>
      <c r="E800" s="1684"/>
      <c r="F800" s="1684"/>
      <c r="G800" s="1684"/>
      <c r="H800" s="1684"/>
      <c r="I800" s="1684"/>
      <c r="J800" s="1684"/>
      <c r="K800" s="1684"/>
      <c r="L800" s="1684"/>
      <c r="M800" s="1684"/>
      <c r="N800" s="1684"/>
      <c r="O800" s="1684"/>
      <c r="P800" s="1684"/>
      <c r="Q800" s="1684"/>
      <c r="R800" s="1684"/>
      <c r="S800" s="1685"/>
      <c r="T800" s="1686">
        <f>AK180</f>
        <v>10</v>
      </c>
      <c r="U800" s="1686"/>
      <c r="V800" s="1686"/>
      <c r="W800" s="1686"/>
      <c r="X800" s="1686"/>
      <c r="Y800" s="1686"/>
      <c r="Z800" s="1673">
        <v>10</v>
      </c>
      <c r="AA800" s="1673"/>
      <c r="AB800" s="1673"/>
      <c r="AC800" s="1673"/>
      <c r="AD800" s="1673"/>
      <c r="AE800" s="1673"/>
      <c r="AF800" s="1673">
        <f>IF(T800&gt;Z800,Z800,T800)</f>
        <v>10</v>
      </c>
      <c r="AG800" s="1673"/>
      <c r="AH800" s="1673"/>
      <c r="AI800" s="1673"/>
      <c r="AJ800" s="1673"/>
      <c r="AK800" s="1673"/>
      <c r="AL800" s="743"/>
      <c r="AM800" s="521"/>
    </row>
    <row r="801" spans="1:81">
      <c r="A801" s="744" t="s">
        <v>2051</v>
      </c>
      <c r="B801" s="1684" t="s">
        <v>2052</v>
      </c>
      <c r="C801" s="1684"/>
      <c r="D801" s="1684"/>
      <c r="E801" s="1684"/>
      <c r="F801" s="1684"/>
      <c r="G801" s="1684"/>
      <c r="H801" s="1684"/>
      <c r="I801" s="1684"/>
      <c r="J801" s="1684"/>
      <c r="K801" s="1684"/>
      <c r="L801" s="1684"/>
      <c r="M801" s="1684"/>
      <c r="N801" s="1684"/>
      <c r="O801" s="1684"/>
      <c r="P801" s="1684"/>
      <c r="Q801" s="1684"/>
      <c r="R801" s="1684"/>
      <c r="S801" s="1685"/>
      <c r="T801" s="1686">
        <f>AK262</f>
        <v>8</v>
      </c>
      <c r="U801" s="1686"/>
      <c r="V801" s="1686"/>
      <c r="W801" s="1686"/>
      <c r="X801" s="1686"/>
      <c r="Y801" s="1686"/>
      <c r="Z801" s="1687">
        <v>8</v>
      </c>
      <c r="AA801" s="1688"/>
      <c r="AB801" s="1688"/>
      <c r="AC801" s="1688"/>
      <c r="AD801" s="1688"/>
      <c r="AE801" s="1689"/>
      <c r="AF801" s="1673">
        <f>IF(T801&gt;Z801,Z801,T801)</f>
        <v>8</v>
      </c>
      <c r="AG801" s="1673"/>
      <c r="AH801" s="1673"/>
      <c r="AI801" s="1673"/>
      <c r="AJ801" s="1673"/>
      <c r="AK801" s="1673"/>
      <c r="AL801" s="743"/>
      <c r="AM801" s="521"/>
    </row>
    <row r="802" spans="1:81" s="459" customFormat="1" hidden="1">
      <c r="A802" s="745" t="s">
        <v>1057</v>
      </c>
      <c r="B802" s="1684" t="s">
        <v>2391</v>
      </c>
      <c r="C802" s="1684"/>
      <c r="D802" s="1684"/>
      <c r="E802" s="1684"/>
      <c r="F802" s="1684"/>
      <c r="G802" s="1684"/>
      <c r="H802" s="1684"/>
      <c r="I802" s="1684"/>
      <c r="J802" s="1684"/>
      <c r="K802" s="1684"/>
      <c r="L802" s="1684"/>
      <c r="M802" s="1684"/>
      <c r="N802" s="1684"/>
      <c r="O802" s="1684"/>
      <c r="P802" s="1684"/>
      <c r="Q802" s="1684"/>
      <c r="R802" s="1684"/>
      <c r="S802" s="1685"/>
      <c r="T802" s="1686">
        <f>IF(AK524&gt;5,5,AK524)</f>
        <v>0</v>
      </c>
      <c r="U802" s="1686"/>
      <c r="V802" s="1686"/>
      <c r="W802" s="1686"/>
      <c r="X802" s="1686"/>
      <c r="Y802" s="1686"/>
      <c r="Z802" s="1673">
        <v>5</v>
      </c>
      <c r="AA802" s="1673"/>
      <c r="AB802" s="1673"/>
      <c r="AC802" s="1673"/>
      <c r="AD802" s="1673"/>
      <c r="AE802" s="1673"/>
      <c r="AF802" s="1673">
        <f>IF(T802&gt;Z802,5,T802)</f>
        <v>0</v>
      </c>
      <c r="AG802" s="1673"/>
      <c r="AH802" s="1673"/>
      <c r="AI802" s="1673"/>
      <c r="AJ802" s="1673"/>
      <c r="AK802" s="1673"/>
      <c r="AL802" s="743"/>
      <c r="AM802" s="521"/>
      <c r="AO802" s="26"/>
      <c r="AP802" s="14"/>
      <c r="AQ802" s="14"/>
      <c r="AR802" s="14"/>
      <c r="AS802" s="14"/>
      <c r="AT802" s="14"/>
      <c r="AU802" s="14"/>
      <c r="AV802" s="14"/>
      <c r="AW802" s="14"/>
      <c r="AX802" s="14"/>
      <c r="AY802" s="14"/>
      <c r="AZ802" s="14"/>
      <c r="BA802" s="14"/>
      <c r="BB802" s="14"/>
      <c r="BC802" s="14"/>
      <c r="BD802" s="28"/>
      <c r="BE802" s="28"/>
      <c r="BF802" s="28"/>
      <c r="BG802" s="28"/>
      <c r="BH802" s="28"/>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459" customFormat="1">
      <c r="A803" s="744" t="s">
        <v>2103</v>
      </c>
      <c r="B803" s="1684" t="s">
        <v>2392</v>
      </c>
      <c r="C803" s="1684"/>
      <c r="D803" s="1684"/>
      <c r="E803" s="1684"/>
      <c r="F803" s="1684"/>
      <c r="G803" s="1684"/>
      <c r="H803" s="1684"/>
      <c r="I803" s="1684"/>
      <c r="J803" s="1684"/>
      <c r="K803" s="1684"/>
      <c r="L803" s="1684"/>
      <c r="M803" s="1684"/>
      <c r="N803" s="1684"/>
      <c r="O803" s="1684"/>
      <c r="P803" s="1684"/>
      <c r="Q803" s="1684"/>
      <c r="R803" s="1684"/>
      <c r="S803" s="1685"/>
      <c r="T803" s="1686">
        <f>AK274</f>
        <v>10</v>
      </c>
      <c r="U803" s="1686"/>
      <c r="V803" s="1686"/>
      <c r="W803" s="1686"/>
      <c r="X803" s="1686"/>
      <c r="Y803" s="1686"/>
      <c r="Z803" s="1673">
        <v>10</v>
      </c>
      <c r="AA803" s="1673"/>
      <c r="AB803" s="1673"/>
      <c r="AC803" s="1673"/>
      <c r="AD803" s="1673"/>
      <c r="AE803" s="1673"/>
      <c r="AF803" s="1695">
        <f>IF(T803&gt;Z803,Z803,T803)</f>
        <v>10</v>
      </c>
      <c r="AG803" s="1696"/>
      <c r="AH803" s="1696"/>
      <c r="AI803" s="1696"/>
      <c r="AJ803" s="1696"/>
      <c r="AK803" s="1697"/>
      <c r="AL803" s="743"/>
      <c r="AM803" s="521"/>
      <c r="AO803" s="26"/>
      <c r="AP803" s="14"/>
      <c r="AQ803" s="14"/>
      <c r="AR803" s="14"/>
      <c r="AS803" s="14"/>
      <c r="AT803" s="14"/>
      <c r="AU803" s="14"/>
      <c r="AV803" s="14"/>
      <c r="AW803" s="14"/>
      <c r="AX803" s="14"/>
      <c r="AY803" s="14"/>
      <c r="AZ803" s="14"/>
      <c r="BA803" s="14"/>
      <c r="BB803" s="14"/>
      <c r="BC803" s="14"/>
      <c r="BD803" s="28"/>
      <c r="BE803" s="28"/>
      <c r="BF803" s="28"/>
      <c r="BG803" s="28"/>
      <c r="BH803" s="28"/>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459" customFormat="1">
      <c r="A804" s="745" t="s">
        <v>2107</v>
      </c>
      <c r="B804" s="1684" t="s">
        <v>2393</v>
      </c>
      <c r="C804" s="1684"/>
      <c r="D804" s="1684"/>
      <c r="E804" s="1684"/>
      <c r="F804" s="1684"/>
      <c r="G804" s="1684"/>
      <c r="H804" s="1684"/>
      <c r="I804" s="1684"/>
      <c r="J804" s="1684"/>
      <c r="K804" s="1684"/>
      <c r="L804" s="1684"/>
      <c r="M804" s="1684"/>
      <c r="N804" s="1684"/>
      <c r="O804" s="1684"/>
      <c r="P804" s="1684"/>
      <c r="Q804" s="1684"/>
      <c r="R804" s="1684"/>
      <c r="S804" s="1685"/>
      <c r="T804" s="1686">
        <f>AK327</f>
        <v>10</v>
      </c>
      <c r="U804" s="1686"/>
      <c r="V804" s="1686"/>
      <c r="W804" s="1686"/>
      <c r="X804" s="1686"/>
      <c r="Y804" s="1686"/>
      <c r="Z804" s="1695">
        <v>10</v>
      </c>
      <c r="AA804" s="1696"/>
      <c r="AB804" s="1696"/>
      <c r="AC804" s="1696"/>
      <c r="AD804" s="1696"/>
      <c r="AE804" s="1697"/>
      <c r="AF804" s="1695">
        <f>IF(T804&gt;Z804,Z804,T804)</f>
        <v>10</v>
      </c>
      <c r="AG804" s="1696"/>
      <c r="AH804" s="1696"/>
      <c r="AI804" s="1696"/>
      <c r="AJ804" s="1696"/>
      <c r="AK804" s="1697"/>
      <c r="AL804" s="464"/>
      <c r="AM804" s="521"/>
      <c r="AO804" s="26"/>
      <c r="AP804" s="14"/>
      <c r="AQ804" s="14"/>
      <c r="AR804" s="14"/>
      <c r="AS804" s="14"/>
      <c r="AT804" s="14"/>
      <c r="AU804" s="14"/>
      <c r="AV804" s="14"/>
      <c r="AW804" s="14"/>
      <c r="AX804" s="14"/>
      <c r="AY804" s="14"/>
      <c r="AZ804" s="14"/>
      <c r="BA804" s="14"/>
      <c r="BB804" s="14"/>
      <c r="BC804" s="14"/>
      <c r="BD804" s="28"/>
      <c r="BE804" s="28"/>
      <c r="BF804" s="28"/>
      <c r="BG804" s="28"/>
      <c r="BH804" s="28"/>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459" customFormat="1" hidden="1">
      <c r="A805" s="745"/>
      <c r="B805" s="746"/>
      <c r="C805" s="747" t="s">
        <v>2394</v>
      </c>
      <c r="D805" s="748"/>
      <c r="E805" s="748"/>
      <c r="F805" s="748"/>
      <c r="G805" s="748"/>
      <c r="H805" s="748"/>
      <c r="I805" s="748"/>
      <c r="J805" s="748"/>
      <c r="K805" s="748"/>
      <c r="L805" s="748"/>
      <c r="M805" s="748"/>
      <c r="N805" s="748"/>
      <c r="O805" s="748"/>
      <c r="P805" s="748"/>
      <c r="Q805" s="748"/>
      <c r="R805" s="746"/>
      <c r="S805" s="749"/>
      <c r="T805" s="1692">
        <f>AK327</f>
        <v>10</v>
      </c>
      <c r="U805" s="1692"/>
      <c r="V805" s="1692"/>
      <c r="W805" s="1692"/>
      <c r="X805" s="1692"/>
      <c r="Y805" s="1692"/>
      <c r="Z805" s="1660">
        <v>20</v>
      </c>
      <c r="AA805" s="1661"/>
      <c r="AB805" s="1661"/>
      <c r="AC805" s="1661"/>
      <c r="AD805" s="1661"/>
      <c r="AE805" s="1662"/>
      <c r="AF805" s="1694"/>
      <c r="AG805" s="1694"/>
      <c r="AH805" s="1694"/>
      <c r="AI805" s="1694"/>
      <c r="AJ805" s="1694"/>
      <c r="AK805" s="1694"/>
      <c r="AL805" s="464"/>
      <c r="AM805" s="521"/>
      <c r="AO805" s="26"/>
      <c r="AP805" s="14"/>
      <c r="AQ805" s="14"/>
      <c r="AR805" s="14"/>
      <c r="AS805" s="14"/>
      <c r="AT805" s="14"/>
      <c r="AU805" s="14"/>
      <c r="AV805" s="14"/>
      <c r="AW805" s="14"/>
      <c r="AX805" s="14"/>
      <c r="AY805" s="14"/>
      <c r="AZ805" s="14"/>
      <c r="BA805" s="14"/>
      <c r="BB805" s="14"/>
      <c r="BC805" s="14"/>
      <c r="BD805" s="28"/>
      <c r="BE805" s="28"/>
      <c r="BF805" s="28"/>
      <c r="BG805" s="28"/>
      <c r="BH805" s="28"/>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459" customFormat="1">
      <c r="A806" s="745" t="s">
        <v>2137</v>
      </c>
      <c r="B806" s="1684" t="s">
        <v>2138</v>
      </c>
      <c r="C806" s="1684"/>
      <c r="D806" s="1684"/>
      <c r="E806" s="1684"/>
      <c r="F806" s="1684"/>
      <c r="G806" s="1684"/>
      <c r="H806" s="1684"/>
      <c r="I806" s="1684"/>
      <c r="J806" s="1684"/>
      <c r="K806" s="1684"/>
      <c r="L806" s="1684"/>
      <c r="M806" s="1684"/>
      <c r="N806" s="1684"/>
      <c r="O806" s="1684"/>
      <c r="P806" s="1684"/>
      <c r="Q806" s="1684"/>
      <c r="R806" s="1684"/>
      <c r="S806" s="1685"/>
      <c r="T806" s="1686">
        <f>AK458</f>
        <v>10</v>
      </c>
      <c r="U806" s="1686"/>
      <c r="V806" s="1686"/>
      <c r="W806" s="1686"/>
      <c r="X806" s="1686"/>
      <c r="Y806" s="1686"/>
      <c r="Z806" s="1695">
        <v>10</v>
      </c>
      <c r="AA806" s="1696"/>
      <c r="AB806" s="1696"/>
      <c r="AC806" s="1696"/>
      <c r="AD806" s="1696"/>
      <c r="AE806" s="1697"/>
      <c r="AF806" s="1673">
        <f>IF(T806&gt;Z806,Z806,T806)</f>
        <v>10</v>
      </c>
      <c r="AG806" s="1673"/>
      <c r="AH806" s="1673"/>
      <c r="AI806" s="1673"/>
      <c r="AJ806" s="1673"/>
      <c r="AK806" s="1673"/>
      <c r="AL806" s="464"/>
      <c r="AM806" s="521"/>
      <c r="AO806" s="26"/>
      <c r="AP806" s="14"/>
      <c r="AQ806" s="14"/>
      <c r="AR806" s="14"/>
      <c r="AS806" s="14"/>
      <c r="AT806" s="14"/>
      <c r="AU806" s="14"/>
      <c r="AV806" s="14"/>
      <c r="AW806" s="14"/>
      <c r="AX806" s="14"/>
      <c r="AY806" s="14"/>
      <c r="AZ806" s="14"/>
      <c r="BA806" s="14"/>
      <c r="BB806" s="14"/>
      <c r="BC806" s="14"/>
      <c r="BD806" s="28"/>
      <c r="BE806" s="28"/>
      <c r="BF806" s="28"/>
      <c r="BG806" s="28"/>
      <c r="BH806" s="28"/>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459" customFormat="1">
      <c r="A807" s="745" t="s">
        <v>2254</v>
      </c>
      <c r="B807" s="1684" t="s">
        <v>2255</v>
      </c>
      <c r="C807" s="1684"/>
      <c r="D807" s="1684"/>
      <c r="E807" s="1684"/>
      <c r="F807" s="1684"/>
      <c r="G807" s="1684"/>
      <c r="H807" s="1684"/>
      <c r="I807" s="1684"/>
      <c r="J807" s="1684"/>
      <c r="K807" s="1684"/>
      <c r="L807" s="1684"/>
      <c r="M807" s="1684"/>
      <c r="N807" s="1684"/>
      <c r="O807" s="1684"/>
      <c r="P807" s="1684"/>
      <c r="Q807" s="1684"/>
      <c r="R807" s="1684"/>
      <c r="S807" s="1685"/>
      <c r="T807" s="1686">
        <f>AK548</f>
        <v>12</v>
      </c>
      <c r="U807" s="1686"/>
      <c r="V807" s="1686"/>
      <c r="W807" s="1686"/>
      <c r="X807" s="1686"/>
      <c r="Y807" s="1686"/>
      <c r="Z807" s="1695">
        <v>12</v>
      </c>
      <c r="AA807" s="1696"/>
      <c r="AB807" s="1696"/>
      <c r="AC807" s="1696"/>
      <c r="AD807" s="1696"/>
      <c r="AE807" s="1697"/>
      <c r="AF807" s="1673">
        <f>IF(T807&gt;Z807,Z807,T807)</f>
        <v>12</v>
      </c>
      <c r="AG807" s="1673"/>
      <c r="AH807" s="1673"/>
      <c r="AI807" s="1673"/>
      <c r="AJ807" s="1673"/>
      <c r="AK807" s="1673"/>
      <c r="AL807" s="464"/>
      <c r="AM807" s="521"/>
      <c r="AO807" s="26"/>
      <c r="AP807" s="14"/>
      <c r="AQ807" s="14"/>
      <c r="AR807" s="14"/>
      <c r="AS807" s="14"/>
      <c r="AT807" s="14"/>
      <c r="AU807" s="14"/>
      <c r="AV807" s="14"/>
      <c r="AW807" s="14"/>
      <c r="AX807" s="14"/>
      <c r="AY807" s="14"/>
      <c r="AZ807" s="14"/>
      <c r="BA807" s="14"/>
      <c r="BB807" s="14"/>
      <c r="BC807" s="14"/>
      <c r="BD807" s="28"/>
      <c r="BE807" s="28"/>
      <c r="BF807" s="28"/>
      <c r="BG807" s="28"/>
      <c r="BH807" s="28"/>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459" customFormat="1">
      <c r="A808" s="745" t="s">
        <v>2395</v>
      </c>
      <c r="B808" s="1684" t="s">
        <v>2396</v>
      </c>
      <c r="C808" s="1684"/>
      <c r="D808" s="1684"/>
      <c r="E808" s="1684"/>
      <c r="F808" s="1684"/>
      <c r="G808" s="1684"/>
      <c r="H808" s="1684"/>
      <c r="I808" s="1684"/>
      <c r="J808" s="1684"/>
      <c r="K808" s="1684"/>
      <c r="L808" s="1684"/>
      <c r="M808" s="1684"/>
      <c r="N808" s="1684"/>
      <c r="O808" s="1684"/>
      <c r="P808" s="1684"/>
      <c r="Q808" s="1684"/>
      <c r="R808" s="1684"/>
      <c r="S808" s="1685"/>
      <c r="T808" s="1686">
        <f>AK783</f>
        <v>10</v>
      </c>
      <c r="U808" s="1686"/>
      <c r="V808" s="1686"/>
      <c r="W808" s="1686"/>
      <c r="X808" s="1686"/>
      <c r="Y808" s="1686"/>
      <c r="Z808" s="1695">
        <v>10</v>
      </c>
      <c r="AA808" s="1696"/>
      <c r="AB808" s="1696"/>
      <c r="AC808" s="1696"/>
      <c r="AD808" s="1696"/>
      <c r="AE808" s="1697"/>
      <c r="AF808" s="1673">
        <f>IF(T808&gt;Z808,Z808,T808)</f>
        <v>10</v>
      </c>
      <c r="AG808" s="1673"/>
      <c r="AH808" s="1673"/>
      <c r="AI808" s="1673"/>
      <c r="AJ808" s="1673"/>
      <c r="AK808" s="1673"/>
      <c r="AL808" s="464"/>
      <c r="AM808" s="521"/>
      <c r="AO808" s="26"/>
      <c r="AP808" s="14"/>
      <c r="AQ808" s="14"/>
      <c r="AR808" s="14"/>
      <c r="AS808" s="14"/>
      <c r="AT808" s="14"/>
      <c r="AU808" s="14"/>
      <c r="AV808" s="14"/>
      <c r="AW808" s="14"/>
      <c r="AX808" s="14"/>
      <c r="AY808" s="14"/>
      <c r="AZ808" s="14"/>
      <c r="BA808" s="14"/>
      <c r="BB808" s="14"/>
      <c r="BC808" s="14"/>
      <c r="BD808" s="28"/>
      <c r="BE808" s="28"/>
      <c r="BF808" s="28"/>
      <c r="BG808" s="28"/>
      <c r="BH808" s="28"/>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459" customFormat="1">
      <c r="A809" s="1698" t="s">
        <v>2397</v>
      </c>
      <c r="B809" s="1684"/>
      <c r="C809" s="1684"/>
      <c r="D809" s="1684"/>
      <c r="E809" s="1684"/>
      <c r="F809" s="1684"/>
      <c r="G809" s="1684"/>
      <c r="H809" s="1684"/>
      <c r="I809" s="1684"/>
      <c r="J809" s="1684"/>
      <c r="K809" s="1684"/>
      <c r="L809" s="1684"/>
      <c r="M809" s="1684"/>
      <c r="N809" s="1684"/>
      <c r="O809" s="1684"/>
      <c r="P809" s="1684"/>
      <c r="Q809" s="1684"/>
      <c r="R809" s="1684"/>
      <c r="S809" s="1685"/>
      <c r="T809" s="1699"/>
      <c r="U809" s="1699"/>
      <c r="V809" s="1699"/>
      <c r="W809" s="1699"/>
      <c r="X809" s="1699"/>
      <c r="Y809" s="1699"/>
      <c r="Z809" s="1693" t="s">
        <v>2398</v>
      </c>
      <c r="AA809" s="1693"/>
      <c r="AB809" s="1693"/>
      <c r="AC809" s="1693"/>
      <c r="AD809" s="1693"/>
      <c r="AE809" s="1693"/>
      <c r="AF809" s="1695">
        <f>IF(T809&gt;0,T809,0)</f>
        <v>0</v>
      </c>
      <c r="AG809" s="1696"/>
      <c r="AH809" s="1696"/>
      <c r="AI809" s="1696"/>
      <c r="AJ809" s="1696"/>
      <c r="AK809" s="1697"/>
      <c r="AL809" s="516"/>
      <c r="AM809" s="521"/>
      <c r="AO809" s="26"/>
      <c r="AP809" s="14"/>
      <c r="AQ809" s="14"/>
      <c r="AR809" s="14"/>
      <c r="AS809" s="14"/>
      <c r="AT809" s="14"/>
      <c r="AU809" s="14"/>
      <c r="AV809" s="14"/>
      <c r="AW809" s="14"/>
      <c r="AX809" s="14"/>
      <c r="AY809" s="14"/>
      <c r="AZ809" s="14"/>
      <c r="BA809" s="14"/>
      <c r="BB809" s="14"/>
      <c r="BC809" s="14"/>
      <c r="BD809" s="28"/>
      <c r="BE809" s="28"/>
      <c r="BF809" s="28"/>
      <c r="BG809" s="28"/>
      <c r="BH809" s="28"/>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459" customFormat="1" ht="15.95">
      <c r="A810" s="1700" t="s">
        <v>2399</v>
      </c>
      <c r="B810" s="1701"/>
      <c r="C810" s="1701"/>
      <c r="D810" s="1701"/>
      <c r="E810" s="1701"/>
      <c r="F810" s="1701"/>
      <c r="G810" s="1701"/>
      <c r="H810" s="1701"/>
      <c r="I810" s="1701"/>
      <c r="J810" s="1701"/>
      <c r="K810" s="1701"/>
      <c r="L810" s="1701"/>
      <c r="M810" s="1701"/>
      <c r="N810" s="1701"/>
      <c r="O810" s="1701"/>
      <c r="P810" s="1701"/>
      <c r="Q810" s="1701"/>
      <c r="R810" s="1701"/>
      <c r="S810" s="1701"/>
      <c r="T810" s="1701"/>
      <c r="U810" s="1701"/>
      <c r="V810" s="1701"/>
      <c r="W810" s="1701"/>
      <c r="X810" s="1701"/>
      <c r="Y810" s="1701"/>
      <c r="Z810" s="1701"/>
      <c r="AA810" s="1701"/>
      <c r="AB810" s="1701"/>
      <c r="AC810" s="1701"/>
      <c r="AD810" s="1701"/>
      <c r="AE810" s="1702"/>
      <c r="AF810" s="1706">
        <f ca="1">SUM(AF793:AK808)-AF809</f>
        <v>120</v>
      </c>
      <c r="AG810" s="1707"/>
      <c r="AH810" s="1707"/>
      <c r="AI810" s="1707"/>
      <c r="AJ810" s="1707"/>
      <c r="AK810" s="1708"/>
      <c r="AL810" s="750"/>
      <c r="AM810" s="475"/>
      <c r="AO810" s="26"/>
      <c r="AP810" s="14"/>
      <c r="AQ810" s="14"/>
      <c r="AR810" s="14"/>
      <c r="AS810" s="14"/>
      <c r="AT810" s="14"/>
      <c r="AU810" s="14"/>
      <c r="AV810" s="14"/>
      <c r="AW810" s="14"/>
      <c r="AX810" s="14"/>
      <c r="AY810" s="14"/>
      <c r="AZ810" s="14"/>
      <c r="BA810" s="14"/>
      <c r="BB810" s="14"/>
      <c r="BC810" s="14"/>
      <c r="BD810" s="28"/>
      <c r="BE810" s="28"/>
      <c r="BF810" s="28"/>
      <c r="BG810" s="28"/>
      <c r="BH810" s="28"/>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459" customFormat="1" ht="15.95">
      <c r="A811" s="1703"/>
      <c r="B811" s="1704"/>
      <c r="C811" s="1704"/>
      <c r="D811" s="1704"/>
      <c r="E811" s="1704"/>
      <c r="F811" s="1704"/>
      <c r="G811" s="1704"/>
      <c r="H811" s="1704"/>
      <c r="I811" s="1704"/>
      <c r="J811" s="1704"/>
      <c r="K811" s="1704"/>
      <c r="L811" s="1704"/>
      <c r="M811" s="1704"/>
      <c r="N811" s="1704"/>
      <c r="O811" s="1704"/>
      <c r="P811" s="1704"/>
      <c r="Q811" s="1704"/>
      <c r="R811" s="1704"/>
      <c r="S811" s="1704"/>
      <c r="T811" s="1704"/>
      <c r="U811" s="1704"/>
      <c r="V811" s="1704"/>
      <c r="W811" s="1704"/>
      <c r="X811" s="1704"/>
      <c r="Y811" s="1704"/>
      <c r="Z811" s="1704"/>
      <c r="AA811" s="1704"/>
      <c r="AB811" s="1704"/>
      <c r="AC811" s="1704"/>
      <c r="AD811" s="1704"/>
      <c r="AE811" s="1705"/>
      <c r="AF811" s="1709"/>
      <c r="AG811" s="1710"/>
      <c r="AH811" s="1710"/>
      <c r="AI811" s="1710"/>
      <c r="AJ811" s="1710"/>
      <c r="AK811" s="1711"/>
      <c r="AL811" s="750"/>
      <c r="AM811" s="475"/>
      <c r="AO811" s="26"/>
      <c r="AP811" s="14"/>
      <c r="AQ811" s="14"/>
      <c r="AR811" s="14"/>
      <c r="AS811" s="14"/>
      <c r="AT811" s="14"/>
      <c r="AU811" s="14"/>
      <c r="AV811" s="14"/>
      <c r="AW811" s="14"/>
      <c r="AX811" s="14"/>
      <c r="AY811" s="14"/>
      <c r="AZ811" s="14"/>
      <c r="BA811" s="14"/>
      <c r="BB811" s="14"/>
      <c r="BC811" s="14"/>
      <c r="BD811" s="28"/>
      <c r="BE811" s="28"/>
      <c r="BF811" s="28"/>
      <c r="BG811" s="28"/>
      <c r="BH811" s="28"/>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459" customFormat="1">
      <c r="A812" s="588"/>
      <c r="B812" s="588"/>
      <c r="C812" s="588"/>
      <c r="D812" s="588"/>
      <c r="E812" s="588"/>
      <c r="F812" s="588"/>
      <c r="G812" s="588"/>
      <c r="H812" s="588"/>
      <c r="I812" s="588"/>
      <c r="J812" s="588"/>
      <c r="K812" s="588"/>
      <c r="L812" s="588"/>
      <c r="M812" s="588"/>
      <c r="N812" s="588"/>
      <c r="O812" s="588"/>
      <c r="P812" s="588"/>
      <c r="Q812" s="588"/>
      <c r="R812" s="588"/>
      <c r="S812" s="588"/>
      <c r="T812" s="588"/>
      <c r="U812" s="588"/>
      <c r="V812" s="588"/>
      <c r="W812" s="588"/>
      <c r="X812" s="588"/>
      <c r="Y812" s="588"/>
      <c r="Z812" s="588"/>
      <c r="AA812" s="588"/>
      <c r="AB812" s="588"/>
      <c r="AC812" s="588"/>
      <c r="AD812" s="588"/>
      <c r="AE812" s="588"/>
      <c r="AF812" s="588"/>
      <c r="AG812" s="588"/>
      <c r="AH812" s="588"/>
      <c r="AI812" s="588"/>
      <c r="AJ812" s="588"/>
      <c r="AK812" s="588"/>
      <c r="AL812" s="588"/>
      <c r="AM812" s="751"/>
      <c r="AO812" s="26"/>
      <c r="AP812" s="14"/>
      <c r="AQ812" s="14"/>
      <c r="AR812" s="14"/>
      <c r="AS812" s="14"/>
      <c r="AT812" s="14"/>
      <c r="AU812" s="14"/>
      <c r="AV812" s="14"/>
      <c r="AW812" s="14"/>
      <c r="AX812" s="14"/>
      <c r="AY812" s="14"/>
      <c r="AZ812" s="14"/>
      <c r="BA812" s="14"/>
      <c r="BB812" s="14"/>
      <c r="BC812" s="14"/>
      <c r="BD812" s="28"/>
      <c r="BE812" s="28"/>
      <c r="BF812" s="28"/>
      <c r="BG812" s="28"/>
      <c r="BH812" s="28"/>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28" priority="1">
      <formula>AND(NOT($AO$684),OR($H$698="(ii)",$H$698="(iii)"))</formula>
    </cfRule>
  </conditionalFormatting>
  <conditionalFormatting sqref="Q595">
    <cfRule type="expression" dxfId="27" priority="2">
      <formula>$H$595="(iv)"</formula>
    </cfRule>
  </conditionalFormatting>
  <conditionalFormatting sqref="R595:W595">
    <cfRule type="expression" dxfId="26" priority="3">
      <formula>$H$595="(iv)"</formula>
    </cfRule>
  </conditionalFormatting>
  <conditionalFormatting sqref="T801:Y801">
    <cfRule type="expression" dxfId="25" priority="10" stopIfTrue="1">
      <formula>ISERROR(T801)</formula>
    </cfRule>
  </conditionalFormatting>
  <conditionalFormatting sqref="T806:Z808">
    <cfRule type="expression" dxfId="24" priority="4" stopIfTrue="1">
      <formula>ISERROR(T806)</formula>
    </cfRule>
  </conditionalFormatting>
  <conditionalFormatting sqref="AF793:AK796">
    <cfRule type="expression" dxfId="23" priority="6" stopIfTrue="1">
      <formula>ISERROR(AF793)</formula>
    </cfRule>
  </conditionalFormatting>
  <conditionalFormatting sqref="AF801:AK801">
    <cfRule type="expression" dxfId="22" priority="11" stopIfTrue="1">
      <formula>ISERROR(AF801)</formula>
    </cfRule>
  </conditionalFormatting>
  <conditionalFormatting sqref="AF806:AK808">
    <cfRule type="expression" dxfId="21" priority="12" stopIfTrue="1">
      <formula>ISERROR(AF806)</formula>
    </cfRule>
  </conditionalFormatting>
  <conditionalFormatting sqref="AN444:AN448 AU460 AV461:AV463 T797:AK797 T798:AF800 AG800:AK800 T802:AK804 T805:AF805 AF808:AF810 T809:AE809 AG809:AL809">
    <cfRule type="expression" dxfId="20" priority="16" stopIfTrue="1">
      <formula>ISERROR(T444)</formula>
    </cfRule>
  </conditionalFormatting>
  <conditionalFormatting sqref="AP460">
    <cfRule type="expression" dxfId="19"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11" workbookViewId="0">
      <selection activeCell="I27" sqref="I27"/>
    </sheetView>
  </sheetViews>
  <sheetFormatPr defaultColWidth="9.140625" defaultRowHeight="14.1"/>
  <cols>
    <col min="1" max="1" width="2.28515625" style="960" customWidth="1"/>
    <col min="2" max="9" width="14.7109375" style="960" customWidth="1"/>
    <col min="10" max="10" width="2.28515625" style="960" customWidth="1"/>
    <col min="11" max="11" width="11.85546875" style="961" customWidth="1"/>
    <col min="12" max="12" width="10.7109375" style="960" customWidth="1"/>
    <col min="13" max="13" width="10.28515625" style="960" customWidth="1"/>
    <col min="14" max="14" width="10.85546875" style="960" customWidth="1"/>
    <col min="15" max="16384" width="9.140625" style="960"/>
  </cols>
  <sheetData>
    <row r="1" spans="1:13" ht="30" customHeight="1">
      <c r="A1" s="1883" t="s">
        <v>2400</v>
      </c>
      <c r="B1" s="1883"/>
      <c r="C1" s="1883"/>
      <c r="D1" s="1883"/>
      <c r="E1" s="1883"/>
      <c r="F1" s="1883"/>
      <c r="G1" s="1883"/>
      <c r="H1" s="1883"/>
      <c r="I1" s="1883"/>
      <c r="J1" s="1883"/>
    </row>
    <row r="2" spans="1:13" ht="15" customHeight="1" thickBot="1">
      <c r="A2" s="962"/>
      <c r="B2" s="962"/>
      <c r="I2" s="963"/>
      <c r="K2" s="964"/>
    </row>
    <row r="3" spans="1:13" s="967" customFormat="1" ht="20.25" customHeight="1">
      <c r="A3" s="1020"/>
      <c r="B3" s="1021"/>
      <c r="C3" s="1022"/>
      <c r="D3" s="1027"/>
      <c r="E3" s="1022"/>
      <c r="F3" s="1023" t="s">
        <v>2401</v>
      </c>
      <c r="G3" s="1022"/>
      <c r="H3" s="1024">
        <f>E16</f>
        <v>19805770</v>
      </c>
      <c r="I3" s="1025"/>
    </row>
    <row r="4" spans="1:13" s="967" customFormat="1" ht="20.25" customHeight="1">
      <c r="B4" s="1014"/>
      <c r="D4" s="1028"/>
      <c r="F4" s="1012" t="s">
        <v>2402</v>
      </c>
      <c r="G4" s="1011" t="s">
        <v>2403</v>
      </c>
      <c r="H4" s="1013">
        <f>I16</f>
        <v>20467333.335130718</v>
      </c>
      <c r="I4" s="1015"/>
      <c r="K4" s="971"/>
    </row>
    <row r="5" spans="1:13" s="967" customFormat="1" ht="20.25" customHeight="1" thickBot="1">
      <c r="B5" s="1016"/>
      <c r="C5" s="1017"/>
      <c r="D5" s="1029"/>
      <c r="E5" s="1018"/>
      <c r="F5" s="1029" t="s">
        <v>2404</v>
      </c>
      <c r="G5" s="1030"/>
      <c r="H5" s="1026">
        <f>H3/H4</f>
        <v>0.96767711140976087</v>
      </c>
      <c r="I5" s="1019"/>
      <c r="K5" s="971"/>
    </row>
    <row r="6" spans="1:13" s="967" customFormat="1" ht="15" customHeight="1">
      <c r="B6" s="968"/>
      <c r="C6" s="969"/>
      <c r="F6" s="970"/>
      <c r="K6" s="971"/>
    </row>
    <row r="7" spans="1:13" s="967" customFormat="1" ht="15" customHeight="1">
      <c r="E7" s="972"/>
      <c r="F7" s="970"/>
      <c r="K7" s="973"/>
    </row>
    <row r="8" spans="1:13" s="967" customFormat="1" ht="15" customHeight="1">
      <c r="A8" s="974"/>
      <c r="B8" s="1884" t="s">
        <v>2405</v>
      </c>
      <c r="C8" s="1885"/>
      <c r="D8" s="1885"/>
      <c r="E8" s="1886"/>
      <c r="G8" s="1887" t="s">
        <v>2406</v>
      </c>
      <c r="H8" s="1888"/>
      <c r="I8" s="1889"/>
      <c r="K8" s="973"/>
    </row>
    <row r="9" spans="1:13" ht="15" customHeight="1">
      <c r="A9" s="962"/>
      <c r="B9" s="1878" t="s">
        <v>2407</v>
      </c>
      <c r="C9" s="1878"/>
      <c r="D9" s="1878"/>
      <c r="E9" s="975">
        <f>G31</f>
        <v>2937500</v>
      </c>
      <c r="G9" s="1881" t="s">
        <v>2408</v>
      </c>
      <c r="H9" s="1881"/>
      <c r="I9" s="976">
        <f>Application!AM554</f>
        <v>16993197</v>
      </c>
      <c r="K9" s="977"/>
      <c r="M9" s="978"/>
    </row>
    <row r="10" spans="1:13" ht="15" customHeight="1" thickBot="1">
      <c r="A10" s="962"/>
      <c r="B10" s="1878" t="s">
        <v>2409</v>
      </c>
      <c r="C10" s="1878"/>
      <c r="D10" s="1878"/>
      <c r="E10" s="976">
        <f>G40</f>
        <v>11414520</v>
      </c>
      <c r="G10" s="1881" t="s">
        <v>2410</v>
      </c>
      <c r="H10" s="1881"/>
      <c r="I10" s="1062">
        <f>'Basis &amp; Credits'!AB78</f>
        <v>8617124</v>
      </c>
      <c r="M10" s="978"/>
    </row>
    <row r="11" spans="1:13" ht="15" customHeight="1">
      <c r="A11" s="979"/>
      <c r="B11" s="1878" t="s">
        <v>2411</v>
      </c>
      <c r="C11" s="1878"/>
      <c r="D11" s="1878"/>
      <c r="E11" s="976">
        <f>G49</f>
        <v>120000</v>
      </c>
      <c r="G11" s="1881" t="s">
        <v>2412</v>
      </c>
      <c r="H11" s="1881"/>
      <c r="I11" s="1061">
        <f>I9+I10</f>
        <v>25610321</v>
      </c>
      <c r="M11" s="978"/>
    </row>
    <row r="12" spans="1:13" ht="15" customHeight="1">
      <c r="A12" s="965"/>
      <c r="B12" s="1878" t="s">
        <v>2413</v>
      </c>
      <c r="C12" s="1878"/>
      <c r="D12" s="1878"/>
      <c r="E12" s="976">
        <f>G58</f>
        <v>340000</v>
      </c>
      <c r="G12" s="1063" t="s">
        <v>2414</v>
      </c>
      <c r="H12" s="1064"/>
      <c r="M12" s="978"/>
    </row>
    <row r="13" spans="1:13" ht="15" customHeight="1">
      <c r="A13" s="962"/>
      <c r="B13" s="1878" t="s">
        <v>2415</v>
      </c>
      <c r="C13" s="1878"/>
      <c r="D13" s="1878"/>
      <c r="E13" s="981">
        <f>G83</f>
        <v>3818750</v>
      </c>
      <c r="G13" s="1882" t="s">
        <v>1826</v>
      </c>
      <c r="H13" s="1882"/>
      <c r="I13" s="980">
        <f>15%*(AND(G111="Yes",G113&lt;&gt;""))</f>
        <v>0.15</v>
      </c>
      <c r="M13" s="978"/>
    </row>
    <row r="14" spans="1:13" ht="15" customHeight="1">
      <c r="A14" s="962"/>
      <c r="B14" s="1878" t="s">
        <v>2416</v>
      </c>
      <c r="C14" s="1878"/>
      <c r="D14" s="1878"/>
      <c r="E14" s="976">
        <f>IF(G96&gt;G106,G96,0)</f>
        <v>1175000</v>
      </c>
      <c r="G14" s="1059" t="s">
        <v>2417</v>
      </c>
      <c r="H14" s="1059"/>
      <c r="I14" s="980">
        <f>IF(Application!AJ1031&gt;0,10%,IF(Application!AJ1035&gt;0,5%,0))</f>
        <v>0.05</v>
      </c>
      <c r="M14" s="978"/>
    </row>
    <row r="15" spans="1:13" ht="15" customHeight="1" thickBot="1">
      <c r="A15" s="962"/>
      <c r="B15" s="1879" t="s">
        <v>2418</v>
      </c>
      <c r="C15" s="1879"/>
      <c r="D15" s="1879"/>
      <c r="E15" s="1031">
        <f>IF(E14&gt;0,0,G106)</f>
        <v>0</v>
      </c>
      <c r="G15" s="1876" t="s">
        <v>2419</v>
      </c>
      <c r="H15" s="1877"/>
      <c r="I15" s="1033">
        <f>G123</f>
        <v>8.1699346405228761E-4</v>
      </c>
      <c r="M15" s="978"/>
    </row>
    <row r="16" spans="1:13" ht="15" customHeight="1">
      <c r="A16" s="962"/>
      <c r="B16" s="1880" t="s">
        <v>2420</v>
      </c>
      <c r="C16" s="1880"/>
      <c r="D16" s="1880"/>
      <c r="E16" s="1032">
        <f>SUM(E9:E15)</f>
        <v>19805770</v>
      </c>
      <c r="G16" s="1060" t="s">
        <v>2421</v>
      </c>
      <c r="H16" s="1060"/>
      <c r="I16" s="1034">
        <f>I11-((I11*I13)+(I11*I14)+(I11*I15))</f>
        <v>20467333.335130718</v>
      </c>
    </row>
    <row r="17" spans="1:20" ht="15" customHeight="1">
      <c r="A17" s="962"/>
      <c r="B17" s="962"/>
      <c r="E17" s="982"/>
      <c r="H17" s="983"/>
      <c r="I17" s="984"/>
    </row>
    <row r="18" spans="1:20" ht="15" customHeight="1">
      <c r="B18" s="985" t="str">
        <f>B9</f>
        <v>A. Unit Production Benefit</v>
      </c>
      <c r="C18" s="986"/>
      <c r="D18" s="986"/>
      <c r="E18" s="986"/>
      <c r="F18" s="986"/>
      <c r="G18" s="986"/>
      <c r="H18" s="986"/>
      <c r="I18" s="987"/>
      <c r="M18" s="982">
        <f>SUM(Cdlac[Quantity])</f>
        <v>47</v>
      </c>
      <c r="O18" s="1005" t="s">
        <v>982</v>
      </c>
      <c r="P18" s="960">
        <f>MATCH(Application!T189,Application!BV490:BV547,0)</f>
        <v>37</v>
      </c>
      <c r="S18" s="982">
        <f>SUM(Cdlac[Population])</f>
        <v>12</v>
      </c>
    </row>
    <row r="19" spans="1:20" ht="15" customHeight="1">
      <c r="A19" s="962"/>
      <c r="B19" s="962"/>
      <c r="I19" s="988"/>
      <c r="L19" s="960" t="s">
        <v>2422</v>
      </c>
      <c r="M19" s="960" t="s">
        <v>2423</v>
      </c>
      <c r="N19" s="960" t="s">
        <v>2424</v>
      </c>
      <c r="O19" s="960" t="s">
        <v>2425</v>
      </c>
      <c r="P19" s="960" t="s">
        <v>2426</v>
      </c>
      <c r="Q19" s="960" t="s">
        <v>2427</v>
      </c>
      <c r="R19" s="960" t="s">
        <v>2428</v>
      </c>
      <c r="S19" s="960" t="s">
        <v>2429</v>
      </c>
      <c r="T19" s="960" t="s">
        <v>1044</v>
      </c>
    </row>
    <row r="20" spans="1:20" ht="15" customHeight="1">
      <c r="A20" s="965"/>
      <c r="C20" s="1874" t="s">
        <v>2430</v>
      </c>
      <c r="D20" s="1874" t="s">
        <v>2431</v>
      </c>
      <c r="E20" s="1874" t="s">
        <v>2432</v>
      </c>
      <c r="F20" s="1874" t="s">
        <v>2433</v>
      </c>
      <c r="G20" s="1874" t="s">
        <v>2434</v>
      </c>
      <c r="H20" s="989"/>
      <c r="I20" s="988"/>
      <c r="L20" s="960">
        <f>IFERROR(MIN(4,MATCH(Application!B718,UnitSizes,0)-1),"")</f>
        <v>1</v>
      </c>
      <c r="M20" s="982">
        <f>Application!G718</f>
        <v>12</v>
      </c>
      <c r="N20" s="990">
        <f>Application!AC718</f>
        <v>0.3</v>
      </c>
      <c r="O20" s="990">
        <f>IF(Cdlac[[#This Row],[Quantity]]&gt;0,IF(Cdlac[[#This Row],[Federal]],30%,IF($G$36,40%,Cdlac[[#This Row],[iAMI]])),"")</f>
        <v>0.3</v>
      </c>
      <c r="P20" s="982" cm="1">
        <f t="array" ref="P20">IF(Cdlac[[#This Row],[Quantity]]&gt;0,INDEX(TcacRents,$P$18,Cdlac[[#This Row],[Bedrooms]]+1)*Cdlac[[#This Row],[AMI]],"")</f>
        <v>852</v>
      </c>
      <c r="Q20" s="982" cm="1">
        <f t="array" ref="Q20">IF(Cdlac[[#This Row],[Quantity]]&gt;0,INDEX(HudFmrs,$P$18,Cdlac[[#This Row],[Bedrooms]]+1),"")</f>
        <v>2248</v>
      </c>
      <c r="R20" s="982">
        <f>IF(Cdlac[[#This Row],[Quantity]]&gt;0,MAX(0,Cdlac[[#This Row],[Fair Market Rent]]-Cdlac[[#This Row],[Restricted Rent]]),"")</f>
        <v>1396</v>
      </c>
      <c r="S20" s="960">
        <f>IF(Cdlac[[#This Row],[Quantity]]&gt;0,AND(Application!AK718&lt;&gt;"N/A",Application!AK718&lt;&gt;"")*Cdlac[[#This Row],[Quantity]],"")</f>
        <v>12</v>
      </c>
      <c r="T20" s="960" t="b">
        <f>AND('Subsidy Contract Calculation'!F4&gt;0,'Subsidy Contract Calculation'!C4="Federal",Cdlac[[#This Row],[Quantity]]&gt;0)</f>
        <v>1</v>
      </c>
    </row>
    <row r="21" spans="1:20" ht="15" customHeight="1">
      <c r="A21" s="965"/>
      <c r="C21" s="1875"/>
      <c r="D21" s="1875"/>
      <c r="E21" s="1875"/>
      <c r="F21" s="1875"/>
      <c r="G21" s="1875"/>
      <c r="H21" s="989"/>
      <c r="I21" s="988"/>
      <c r="L21" s="960">
        <f>IFERROR(MIN(4,MATCH(Application!B719,UnitSizes,0)-1),"")</f>
        <v>2</v>
      </c>
      <c r="M21" s="982">
        <f>Application!G719</f>
        <v>12</v>
      </c>
      <c r="N21" s="990">
        <f>Application!AC719</f>
        <v>0.6</v>
      </c>
      <c r="O21" s="990">
        <f>IF(Cdlac[[#This Row],[Quantity]]&gt;0,IF(Cdlac[[#This Row],[Federal]],30%,IF($G$36,40%,Cdlac[[#This Row],[iAMI]])),"")</f>
        <v>0.6</v>
      </c>
      <c r="P21" s="982" cm="1">
        <f t="array" ref="P21">IF(Cdlac[[#This Row],[Quantity]]&gt;0,INDEX(TcacRents,$P$18,Cdlac[[#This Row],[Bedrooms]]+1)*Cdlac[[#This Row],[AMI]],"")</f>
        <v>2046</v>
      </c>
      <c r="Q21" s="982" cm="1">
        <f t="array" ref="Q21">IF(Cdlac[[#This Row],[Quantity]]&gt;0,INDEX(HudFmrs,$P$18,Cdlac[[#This Row],[Bedrooms]]+1),"")</f>
        <v>2833</v>
      </c>
      <c r="R21" s="982">
        <f>IF(Cdlac[[#This Row],[Quantity]]&gt;0,MAX(0,Cdlac[[#This Row],[Fair Market Rent]]-Cdlac[[#This Row],[Restricted Rent]]),"")</f>
        <v>787</v>
      </c>
      <c r="S21" s="960">
        <f>IF(Cdlac[[#This Row],[Quantity]]&gt;0,AND(Application!AK719&lt;&gt;"N/A",Application!AK719&lt;&gt;"")*Cdlac[[#This Row],[Quantity]],"")</f>
        <v>0</v>
      </c>
      <c r="T21" s="960" t="b">
        <f>AND('Subsidy Contract Calculation'!F5&gt;0,'Subsidy Contract Calculation'!C5="Federal",Cdlac[[#This Row],[Quantity]]&gt;0)</f>
        <v>0</v>
      </c>
    </row>
    <row r="22" spans="1:20" ht="15" customHeight="1">
      <c r="C22" s="991">
        <v>0</v>
      </c>
      <c r="D22" s="992">
        <v>0.9</v>
      </c>
      <c r="E22" s="991">
        <f>SUMIFS(Cdlac[Quantity],Cdlac[Bedrooms],C22)</f>
        <v>0</v>
      </c>
      <c r="F22" s="991">
        <f>E22</f>
        <v>0</v>
      </c>
      <c r="G22" s="991">
        <f>D22*F22</f>
        <v>0</v>
      </c>
      <c r="L22" s="960">
        <f>IFERROR(MIN(4,MATCH(Application!B720,UnitSizes,0)-1),"")</f>
        <v>2</v>
      </c>
      <c r="M22" s="982">
        <f>Application!G720</f>
        <v>4</v>
      </c>
      <c r="N22" s="990">
        <f>Application!AC720</f>
        <v>0.5</v>
      </c>
      <c r="O22" s="990">
        <f>IF(Cdlac[[#This Row],[Quantity]]&gt;0,IF(Cdlac[[#This Row],[Federal]],30%,IF($G$36,40%,Cdlac[[#This Row],[iAMI]])),"")</f>
        <v>0.5</v>
      </c>
      <c r="P22" s="982" cm="1">
        <f t="array" ref="P22">IF(Cdlac[[#This Row],[Quantity]]&gt;0,INDEX(TcacRents,$P$18,Cdlac[[#This Row],[Bedrooms]]+1)*Cdlac[[#This Row],[AMI]],"")</f>
        <v>1705</v>
      </c>
      <c r="Q22" s="982" cm="1">
        <f t="array" ref="Q22">IF(Cdlac[[#This Row],[Quantity]]&gt;0,INDEX(HudFmrs,$P$18,Cdlac[[#This Row],[Bedrooms]]+1),"")</f>
        <v>2833</v>
      </c>
      <c r="R22" s="982">
        <f>IF(Cdlac[[#This Row],[Quantity]]&gt;0,MAX(0,Cdlac[[#This Row],[Fair Market Rent]]-Cdlac[[#This Row],[Restricted Rent]]),"")</f>
        <v>1128</v>
      </c>
      <c r="S22" s="960">
        <f>IF(Cdlac[[#This Row],[Quantity]]&gt;0,AND(Application!AK720&lt;&gt;"N/A",Application!AK720&lt;&gt;"")*Cdlac[[#This Row],[Quantity]],"")</f>
        <v>0</v>
      </c>
      <c r="T22" s="960" t="b">
        <f>AND('Subsidy Contract Calculation'!F6&gt;0,'Subsidy Contract Calculation'!C6="Federal",Cdlac[[#This Row],[Quantity]]&gt;0)</f>
        <v>0</v>
      </c>
    </row>
    <row r="23" spans="1:20" ht="15" customHeight="1">
      <c r="C23" s="991">
        <v>1</v>
      </c>
      <c r="D23" s="992">
        <v>1</v>
      </c>
      <c r="E23" s="991">
        <f>SUMIFS(Cdlac[Quantity],Cdlac[Bedrooms],C23)</f>
        <v>12</v>
      </c>
      <c r="F23" s="991">
        <f>E23</f>
        <v>12</v>
      </c>
      <c r="G23" s="991">
        <f>D23*F23</f>
        <v>12</v>
      </c>
      <c r="L23" s="960">
        <f>IFERROR(MIN(4,MATCH(Application!B721,UnitSizes,0)-1),"")</f>
        <v>2</v>
      </c>
      <c r="M23" s="982">
        <f>Application!G721</f>
        <v>4</v>
      </c>
      <c r="N23" s="990">
        <f>Application!AC721</f>
        <v>0.4</v>
      </c>
      <c r="O23" s="990">
        <f>IF(Cdlac[[#This Row],[Quantity]]&gt;0,IF(Cdlac[[#This Row],[Federal]],30%,IF($G$36,40%,Cdlac[[#This Row],[iAMI]])),"")</f>
        <v>0.4</v>
      </c>
      <c r="P23" s="982" cm="1">
        <f t="array" ref="P23">IF(Cdlac[[#This Row],[Quantity]]&gt;0,INDEX(TcacRents,$P$18,Cdlac[[#This Row],[Bedrooms]]+1)*Cdlac[[#This Row],[AMI]],"")</f>
        <v>1364</v>
      </c>
      <c r="Q23" s="982" cm="1">
        <f t="array" ref="Q23">IF(Cdlac[[#This Row],[Quantity]]&gt;0,INDEX(HudFmrs,$P$18,Cdlac[[#This Row],[Bedrooms]]+1),"")</f>
        <v>2833</v>
      </c>
      <c r="R23" s="982">
        <f>IF(Cdlac[[#This Row],[Quantity]]&gt;0,MAX(0,Cdlac[[#This Row],[Fair Market Rent]]-Cdlac[[#This Row],[Restricted Rent]]),"")</f>
        <v>1469</v>
      </c>
      <c r="S23" s="960">
        <f>IF(Cdlac[[#This Row],[Quantity]]&gt;0,AND(Application!AK721&lt;&gt;"N/A",Application!AK721&lt;&gt;"")*Cdlac[[#This Row],[Quantity]],"")</f>
        <v>0</v>
      </c>
      <c r="T23" s="960" t="b">
        <f>AND('Subsidy Contract Calculation'!F7&gt;0,'Subsidy Contract Calculation'!C7="Federal",Cdlac[[#This Row],[Quantity]]&gt;0)</f>
        <v>0</v>
      </c>
    </row>
    <row r="24" spans="1:20" ht="15" customHeight="1">
      <c r="A24" s="993"/>
      <c r="C24" s="994">
        <v>2</v>
      </c>
      <c r="D24" s="992">
        <v>1.25</v>
      </c>
      <c r="E24" s="991">
        <f>SUMIFS(Cdlac[Quantity],Cdlac[Bedrooms],C24)</f>
        <v>23</v>
      </c>
      <c r="F24" s="994">
        <f>SUM(E24:E26)-SUM(F25:F26)</f>
        <v>23</v>
      </c>
      <c r="G24" s="991">
        <f>D24*F24</f>
        <v>28.75</v>
      </c>
      <c r="H24" s="993"/>
      <c r="I24" s="993"/>
      <c r="L24" s="960">
        <f>IFERROR(MIN(4,MATCH(Application!B722,UnitSizes,0)-1),"")</f>
        <v>2</v>
      </c>
      <c r="M24" s="982">
        <f>Application!G722</f>
        <v>3</v>
      </c>
      <c r="N24" s="990">
        <f>Application!AC722</f>
        <v>0.3</v>
      </c>
      <c r="O24" s="990">
        <f>IF(Cdlac[[#This Row],[Quantity]]&gt;0,IF(Cdlac[[#This Row],[Federal]],30%,IF($G$36,40%,Cdlac[[#This Row],[iAMI]])),"")</f>
        <v>0.3</v>
      </c>
      <c r="P24" s="982" cm="1">
        <f t="array" ref="P24">IF(Cdlac[[#This Row],[Quantity]]&gt;0,INDEX(TcacRents,$P$18,Cdlac[[#This Row],[Bedrooms]]+1)*Cdlac[[#This Row],[AMI]],"")</f>
        <v>1023</v>
      </c>
      <c r="Q24" s="982" cm="1">
        <f t="array" ref="Q24">IF(Cdlac[[#This Row],[Quantity]]&gt;0,INDEX(HudFmrs,$P$18,Cdlac[[#This Row],[Bedrooms]]+1),"")</f>
        <v>2833</v>
      </c>
      <c r="R24" s="982">
        <f>IF(Cdlac[[#This Row],[Quantity]]&gt;0,MAX(0,Cdlac[[#This Row],[Fair Market Rent]]-Cdlac[[#This Row],[Restricted Rent]]),"")</f>
        <v>1810</v>
      </c>
      <c r="S24" s="960">
        <f>IF(Cdlac[[#This Row],[Quantity]]&gt;0,AND(Application!AK722&lt;&gt;"N/A",Application!AK722&lt;&gt;"")*Cdlac[[#This Row],[Quantity]],"")</f>
        <v>0</v>
      </c>
      <c r="T24" s="960" t="b">
        <f>AND('Subsidy Contract Calculation'!F8&gt;0,'Subsidy Contract Calculation'!C8="Federal",Cdlac[[#This Row],[Quantity]]&gt;0)</f>
        <v>0</v>
      </c>
    </row>
    <row r="25" spans="1:20" ht="15" customHeight="1">
      <c r="A25" s="993"/>
      <c r="C25" s="994">
        <v>3</v>
      </c>
      <c r="D25" s="992">
        <f>1.5+0.25*0</f>
        <v>1.5</v>
      </c>
      <c r="E25" s="991">
        <f>SUMIFS(Cdlac[Quantity],Cdlac[Bedrooms],C25)</f>
        <v>12</v>
      </c>
      <c r="F25" s="994">
        <f>MIN(E25,ROUNDDOWN(E27*30%,0))</f>
        <v>12</v>
      </c>
      <c r="G25" s="991">
        <f>D25*F25</f>
        <v>18</v>
      </c>
      <c r="H25" s="993"/>
      <c r="I25" s="993"/>
      <c r="L25" s="960">
        <f>IFERROR(MIN(4,MATCH(Application!B723,UnitSizes,0)-1),"")</f>
        <v>3</v>
      </c>
      <c r="M25" s="982">
        <f>Application!G723</f>
        <v>6</v>
      </c>
      <c r="N25" s="990">
        <f>Application!AC723</f>
        <v>0.6</v>
      </c>
      <c r="O25" s="990">
        <f>IF(Cdlac[[#This Row],[Quantity]]&gt;0,IF(Cdlac[[#This Row],[Federal]],30%,IF($G$36,40%,Cdlac[[#This Row],[iAMI]])),"")</f>
        <v>0.6</v>
      </c>
      <c r="P25" s="982" cm="1">
        <f t="array" ref="P25">IF(Cdlac[[#This Row],[Quantity]]&gt;0,INDEX(TcacRents,$P$18,Cdlac[[#This Row],[Bedrooms]]+1)*Cdlac[[#This Row],[AMI]],"")</f>
        <v>2364</v>
      </c>
      <c r="Q25" s="982" cm="1">
        <f t="array" ref="Q25">IF(Cdlac[[#This Row],[Quantity]]&gt;0,INDEX(HudFmrs,$P$18,Cdlac[[#This Row],[Bedrooms]]+1),"")</f>
        <v>3819</v>
      </c>
      <c r="R25" s="982">
        <f>IF(Cdlac[[#This Row],[Quantity]]&gt;0,MAX(0,Cdlac[[#This Row],[Fair Market Rent]]-Cdlac[[#This Row],[Restricted Rent]]),"")</f>
        <v>1455</v>
      </c>
      <c r="S25" s="960">
        <f>IF(Cdlac[[#This Row],[Quantity]]&gt;0,AND(Application!AK723&lt;&gt;"N/A",Application!AK723&lt;&gt;"")*Cdlac[[#This Row],[Quantity]],"")</f>
        <v>0</v>
      </c>
      <c r="T25" s="960" t="b">
        <f>AND('Subsidy Contract Calculation'!F9&gt;0,'Subsidy Contract Calculation'!C9="Federal",Cdlac[[#This Row],[Quantity]]&gt;0)</f>
        <v>0</v>
      </c>
    </row>
    <row r="26" spans="1:20" ht="15" customHeight="1" thickBot="1">
      <c r="A26" s="993"/>
      <c r="C26" s="1006">
        <v>4</v>
      </c>
      <c r="D26" s="1007">
        <f>1.75+0.25*0</f>
        <v>1.75</v>
      </c>
      <c r="E26" s="1008">
        <f>SUMIFS(Cdlac[Quantity],Cdlac[Bedrooms],C26)</f>
        <v>0</v>
      </c>
      <c r="F26" s="1006">
        <f>MIN(E26,ROUNDDOWN(E27*10%,0))</f>
        <v>0</v>
      </c>
      <c r="G26" s="1008">
        <f>D26*F26</f>
        <v>0</v>
      </c>
      <c r="H26" s="993"/>
      <c r="I26" s="993"/>
      <c r="L26" s="960">
        <f>IFERROR(MIN(4,MATCH(Application!B724,UnitSizes,0)-1),"")</f>
        <v>3</v>
      </c>
      <c r="M26" s="982">
        <f>Application!G724</f>
        <v>4</v>
      </c>
      <c r="N26" s="990">
        <f>Application!AC724</f>
        <v>0.5</v>
      </c>
      <c r="O26" s="990">
        <f>IF(Cdlac[[#This Row],[Quantity]]&gt;0,IF(Cdlac[[#This Row],[Federal]],30%,IF($G$36,40%,Cdlac[[#This Row],[iAMI]])),"")</f>
        <v>0.5</v>
      </c>
      <c r="P26" s="982" cm="1">
        <f t="array" ref="P26">IF(Cdlac[[#This Row],[Quantity]]&gt;0,INDEX(TcacRents,$P$18,Cdlac[[#This Row],[Bedrooms]]+1)*Cdlac[[#This Row],[AMI]],"")</f>
        <v>1970</v>
      </c>
      <c r="Q26" s="982" cm="1">
        <f t="array" ref="Q26">IF(Cdlac[[#This Row],[Quantity]]&gt;0,INDEX(HudFmrs,$P$18,Cdlac[[#This Row],[Bedrooms]]+1),"")</f>
        <v>3819</v>
      </c>
      <c r="R26" s="982">
        <f>IF(Cdlac[[#This Row],[Quantity]]&gt;0,MAX(0,Cdlac[[#This Row],[Fair Market Rent]]-Cdlac[[#This Row],[Restricted Rent]]),"")</f>
        <v>1849</v>
      </c>
      <c r="S26" s="960">
        <f>IF(Cdlac[[#This Row],[Quantity]]&gt;0,AND(Application!AK724&lt;&gt;"N/A",Application!AK724&lt;&gt;"")*Cdlac[[#This Row],[Quantity]],"")</f>
        <v>0</v>
      </c>
      <c r="T26" s="960" t="b">
        <f>AND('Subsidy Contract Calculation'!F10&gt;0,'Subsidy Contract Calculation'!C10="Federal",Cdlac[[#This Row],[Quantity]]&gt;0)</f>
        <v>0</v>
      </c>
    </row>
    <row r="27" spans="1:20" ht="15" customHeight="1">
      <c r="A27" s="993"/>
      <c r="C27" s="1890" t="s">
        <v>2435</v>
      </c>
      <c r="D27" s="1891"/>
      <c r="E27" s="1009">
        <f>SUM(E22:E26)</f>
        <v>47</v>
      </c>
      <c r="F27" s="1009">
        <f>SUM(F22:F26)</f>
        <v>47</v>
      </c>
      <c r="G27" s="1010">
        <f>SUMPRODUCT(D22:D26,F22:F26)</f>
        <v>58.75</v>
      </c>
      <c r="H27" s="993"/>
      <c r="I27" s="993"/>
      <c r="L27" s="960">
        <f>IFERROR(MIN(4,MATCH(Application!B725,UnitSizes,0)-1),"")</f>
        <v>3</v>
      </c>
      <c r="M27" s="982">
        <f>Application!G725</f>
        <v>2</v>
      </c>
      <c r="N27" s="990">
        <f>Application!AC725</f>
        <v>0.3</v>
      </c>
      <c r="O27" s="990">
        <f>IF(Cdlac[[#This Row],[Quantity]]&gt;0,IF(Cdlac[[#This Row],[Federal]],30%,IF($G$36,40%,Cdlac[[#This Row],[iAMI]])),"")</f>
        <v>0.3</v>
      </c>
      <c r="P27" s="982" cm="1">
        <f t="array" ref="P27">IF(Cdlac[[#This Row],[Quantity]]&gt;0,INDEX(TcacRents,$P$18,Cdlac[[#This Row],[Bedrooms]]+1)*Cdlac[[#This Row],[AMI]],"")</f>
        <v>1182</v>
      </c>
      <c r="Q27" s="982" cm="1">
        <f t="array" ref="Q27">IF(Cdlac[[#This Row],[Quantity]]&gt;0,INDEX(HudFmrs,$P$18,Cdlac[[#This Row],[Bedrooms]]+1),"")</f>
        <v>3819</v>
      </c>
      <c r="R27" s="982">
        <f>IF(Cdlac[[#This Row],[Quantity]]&gt;0,MAX(0,Cdlac[[#This Row],[Fair Market Rent]]-Cdlac[[#This Row],[Restricted Rent]]),"")</f>
        <v>2637</v>
      </c>
      <c r="S27" s="960">
        <f>IF(Cdlac[[#This Row],[Quantity]]&gt;0,AND(Application!AK725&lt;&gt;"N/A",Application!AK725&lt;&gt;"")*Cdlac[[#This Row],[Quantity]],"")</f>
        <v>0</v>
      </c>
      <c r="T27" s="960" t="b">
        <f>AND('Subsidy Contract Calculation'!F11&gt;0,'Subsidy Contract Calculation'!C11="Federal",Cdlac[[#This Row],[Quantity]]&gt;0)</f>
        <v>0</v>
      </c>
    </row>
    <row r="28" spans="1:20" ht="15" customHeight="1">
      <c r="A28" s="993"/>
      <c r="C28" s="993"/>
      <c r="D28" s="993"/>
      <c r="E28" s="993"/>
      <c r="F28" s="993"/>
      <c r="G28" s="993"/>
      <c r="H28" s="993"/>
      <c r="I28" s="993"/>
      <c r="L28" s="960" t="str">
        <f>IFERROR(MIN(4,MATCH(Application!B726,UnitSizes,0)-1),"")</f>
        <v/>
      </c>
      <c r="M28" s="982">
        <f>Application!G726</f>
        <v>0</v>
      </c>
      <c r="N28" s="990">
        <f>Application!AC726</f>
        <v>0</v>
      </c>
      <c r="O28" s="990" t="str">
        <f>IF(Cdlac[[#This Row],[Quantity]]&gt;0,IF(Cdlac[[#This Row],[Federal]],30%,IF($G$36,40%,Cdlac[[#This Row],[iAMI]])),"")</f>
        <v/>
      </c>
      <c r="P28" s="982" t="str" cm="1">
        <f t="array" ref="P28">IF(Cdlac[[#This Row],[Quantity]]&gt;0,INDEX(TcacRents,$P$18,Cdlac[[#This Row],[Bedrooms]]+1)*Cdlac[[#This Row],[AMI]],"")</f>
        <v/>
      </c>
      <c r="Q28" s="982" t="str" cm="1">
        <f t="array" ref="Q28">IF(Cdlac[[#This Row],[Quantity]]&gt;0,INDEX(HudFmrs,$P$18,Cdlac[[#This Row],[Bedrooms]]+1),"")</f>
        <v/>
      </c>
      <c r="R28" s="982" t="str">
        <f>IF(Cdlac[[#This Row],[Quantity]]&gt;0,MAX(0,Cdlac[[#This Row],[Fair Market Rent]]-Cdlac[[#This Row],[Restricted Rent]]),"")</f>
        <v/>
      </c>
      <c r="S28" s="960" t="str">
        <f>IF(Cdlac[[#This Row],[Quantity]]&gt;0,AND(Application!AK726&lt;&gt;"N/A",Application!AK726&lt;&gt;"")*Cdlac[[#This Row],[Quantity]],"")</f>
        <v/>
      </c>
      <c r="T28" s="960" t="b">
        <f>AND('Subsidy Contract Calculation'!F12&gt;0,'Subsidy Contract Calculation'!C12="Federal",Cdlac[[#This Row],[Quantity]]&gt;0)</f>
        <v>0</v>
      </c>
    </row>
    <row r="29" spans="1:20" ht="15" customHeight="1">
      <c r="A29" s="993"/>
      <c r="E29" s="1039" t="s">
        <v>2434</v>
      </c>
      <c r="G29" s="1036">
        <f>G27</f>
        <v>58.75</v>
      </c>
      <c r="H29" s="993"/>
      <c r="I29" s="993"/>
      <c r="L29" s="960" t="str">
        <f>IFERROR(MIN(4,MATCH(Application!B727,UnitSizes,0)-1),"")</f>
        <v/>
      </c>
      <c r="M29" s="982">
        <f>Application!G727</f>
        <v>0</v>
      </c>
      <c r="N29" s="990">
        <f>Application!AC727</f>
        <v>0</v>
      </c>
      <c r="O29" s="990" t="str">
        <f>IF(Cdlac[[#This Row],[Quantity]]&gt;0,IF(Cdlac[[#This Row],[Federal]],30%,IF($G$36,40%,Cdlac[[#This Row],[iAMI]])),"")</f>
        <v/>
      </c>
      <c r="P29" s="982" t="str" cm="1">
        <f t="array" ref="P29">IF(Cdlac[[#This Row],[Quantity]]&gt;0,INDEX(TcacRents,$P$18,Cdlac[[#This Row],[Bedrooms]]+1)*Cdlac[[#This Row],[AMI]],"")</f>
        <v/>
      </c>
      <c r="Q29" s="982" t="str" cm="1">
        <f t="array" ref="Q29">IF(Cdlac[[#This Row],[Quantity]]&gt;0,INDEX(HudFmrs,$P$18,Cdlac[[#This Row],[Bedrooms]]+1),"")</f>
        <v/>
      </c>
      <c r="R29" s="982" t="str">
        <f>IF(Cdlac[[#This Row],[Quantity]]&gt;0,MAX(0,Cdlac[[#This Row],[Fair Market Rent]]-Cdlac[[#This Row],[Restricted Rent]]),"")</f>
        <v/>
      </c>
      <c r="S29" s="960" t="str">
        <f>IF(Cdlac[[#This Row],[Quantity]]&gt;0,AND(Application!AK727&lt;&gt;"N/A",Application!AK727&lt;&gt;"")*Cdlac[[#This Row],[Quantity]],"")</f>
        <v/>
      </c>
      <c r="T29" s="960" t="b">
        <f>AND('Subsidy Contract Calculation'!F13&gt;0,'Subsidy Contract Calculation'!C13="Federal",Cdlac[[#This Row],[Quantity]]&gt;0)</f>
        <v>0</v>
      </c>
    </row>
    <row r="30" spans="1:20" ht="15" customHeight="1">
      <c r="A30" s="993"/>
      <c r="E30" s="1039" t="s">
        <v>2436</v>
      </c>
      <c r="F30" s="1035" t="s">
        <v>2437</v>
      </c>
      <c r="G30" s="1037">
        <v>50000</v>
      </c>
      <c r="H30" s="993"/>
      <c r="I30" s="993"/>
      <c r="L30" s="960" t="str">
        <f>IFERROR(MIN(4,MATCH(Application!B728,UnitSizes,0)-1),"")</f>
        <v/>
      </c>
      <c r="M30" s="982">
        <f>Application!G728</f>
        <v>0</v>
      </c>
      <c r="N30" s="990">
        <f>Application!AC728</f>
        <v>0</v>
      </c>
      <c r="O30" s="990" t="str">
        <f>IF(Cdlac[[#This Row],[Quantity]]&gt;0,IF(Cdlac[[#This Row],[Federal]],30%,IF($G$36,40%,Cdlac[[#This Row],[iAMI]])),"")</f>
        <v/>
      </c>
      <c r="P30" s="982" t="str" cm="1">
        <f t="array" ref="P30">IF(Cdlac[[#This Row],[Quantity]]&gt;0,INDEX(TcacRents,$P$18,Cdlac[[#This Row],[Bedrooms]]+1)*Cdlac[[#This Row],[AMI]],"")</f>
        <v/>
      </c>
      <c r="Q30" s="982" t="str" cm="1">
        <f t="array" ref="Q30">IF(Cdlac[[#This Row],[Quantity]]&gt;0,INDEX(HudFmrs,$P$18,Cdlac[[#This Row],[Bedrooms]]+1),"")</f>
        <v/>
      </c>
      <c r="R30" s="982" t="str">
        <f>IF(Cdlac[[#This Row],[Quantity]]&gt;0,MAX(0,Cdlac[[#This Row],[Fair Market Rent]]-Cdlac[[#This Row],[Restricted Rent]]),"")</f>
        <v/>
      </c>
      <c r="S30" s="960" t="str">
        <f>IF(Cdlac[[#This Row],[Quantity]]&gt;0,AND(Application!AK728&lt;&gt;"N/A",Application!AK728&lt;&gt;"")*Cdlac[[#This Row],[Quantity]],"")</f>
        <v/>
      </c>
      <c r="T30" s="960" t="b">
        <f>AND('Subsidy Contract Calculation'!F14&gt;0,'Subsidy Contract Calculation'!C14="Federal",Cdlac[[#This Row],[Quantity]]&gt;0)</f>
        <v>0</v>
      </c>
    </row>
    <row r="31" spans="1:20" ht="15" customHeight="1">
      <c r="A31" s="993"/>
      <c r="E31" s="1040" t="s">
        <v>2438</v>
      </c>
      <c r="F31" s="962"/>
      <c r="G31" s="1041">
        <f>G30*G29</f>
        <v>2937500</v>
      </c>
      <c r="H31" s="993"/>
      <c r="I31" s="993"/>
      <c r="L31" s="960" t="str">
        <f>IFERROR(MIN(4,MATCH(Application!B729,UnitSizes,0)-1),"")</f>
        <v/>
      </c>
      <c r="M31" s="982">
        <f>Application!G729</f>
        <v>0</v>
      </c>
      <c r="N31" s="990">
        <f>Application!AC729</f>
        <v>0</v>
      </c>
      <c r="O31" s="990" t="str">
        <f>IF(Cdlac[[#This Row],[Quantity]]&gt;0,IF(Cdlac[[#This Row],[Federal]],30%,IF($G$36,40%,Cdlac[[#This Row],[iAMI]])),"")</f>
        <v/>
      </c>
      <c r="P31" s="982" t="str" cm="1">
        <f t="array" ref="P31">IF(Cdlac[[#This Row],[Quantity]]&gt;0,INDEX(TcacRents,$P$18,Cdlac[[#This Row],[Bedrooms]]+1)*Cdlac[[#This Row],[AMI]],"")</f>
        <v/>
      </c>
      <c r="Q31" s="982" t="str" cm="1">
        <f t="array" ref="Q31">IF(Cdlac[[#This Row],[Quantity]]&gt;0,INDEX(HudFmrs,$P$18,Cdlac[[#This Row],[Bedrooms]]+1),"")</f>
        <v/>
      </c>
      <c r="R31" s="982" t="str">
        <f>IF(Cdlac[[#This Row],[Quantity]]&gt;0,MAX(0,Cdlac[[#This Row],[Fair Market Rent]]-Cdlac[[#This Row],[Restricted Rent]]),"")</f>
        <v/>
      </c>
      <c r="S31" s="960" t="str">
        <f>IF(Cdlac[[#This Row],[Quantity]]&gt;0,AND(Application!AK729&lt;&gt;"N/A",Application!AK729&lt;&gt;"")*Cdlac[[#This Row],[Quantity]],"")</f>
        <v/>
      </c>
      <c r="T31" s="960" t="b">
        <f>AND('Subsidy Contract Calculation'!F15&gt;0,'Subsidy Contract Calculation'!C15="Federal",Cdlac[[#This Row],[Quantity]]&gt;0)</f>
        <v>0</v>
      </c>
    </row>
    <row r="32" spans="1:20" ht="15" customHeight="1">
      <c r="A32" s="993"/>
      <c r="B32" s="993"/>
      <c r="C32" s="993"/>
      <c r="D32" s="993"/>
      <c r="E32" s="993"/>
      <c r="F32" s="993"/>
      <c r="G32" s="993"/>
      <c r="H32" s="993"/>
      <c r="I32" s="993"/>
      <c r="L32" s="960" t="str">
        <f>IFERROR(MIN(4,MATCH(Application!B730,UnitSizes,0)-1),"")</f>
        <v/>
      </c>
      <c r="M32" s="982">
        <f>Application!G730</f>
        <v>0</v>
      </c>
      <c r="N32" s="990">
        <f>Application!AC730</f>
        <v>0</v>
      </c>
      <c r="O32" s="990" t="str">
        <f>IF(Cdlac[[#This Row],[Quantity]]&gt;0,IF(Cdlac[[#This Row],[Federal]],30%,IF($G$36,40%,Cdlac[[#This Row],[iAMI]])),"")</f>
        <v/>
      </c>
      <c r="P32" s="982" t="str" cm="1">
        <f t="array" ref="P32">IF(Cdlac[[#This Row],[Quantity]]&gt;0,INDEX(TcacRents,$P$18,Cdlac[[#This Row],[Bedrooms]]+1)*Cdlac[[#This Row],[AMI]],"")</f>
        <v/>
      </c>
      <c r="Q32" s="982" t="str" cm="1">
        <f t="array" ref="Q32">IF(Cdlac[[#This Row],[Quantity]]&gt;0,INDEX(HudFmrs,$P$18,Cdlac[[#This Row],[Bedrooms]]+1),"")</f>
        <v/>
      </c>
      <c r="R32" s="982" t="str">
        <f>IF(Cdlac[[#This Row],[Quantity]]&gt;0,MAX(0,Cdlac[[#This Row],[Fair Market Rent]]-Cdlac[[#This Row],[Restricted Rent]]),"")</f>
        <v/>
      </c>
      <c r="S32" s="960" t="str">
        <f>IF(Cdlac[[#This Row],[Quantity]]&gt;0,AND(Application!AK730&lt;&gt;"N/A",Application!AK730&lt;&gt;"")*Cdlac[[#This Row],[Quantity]],"")</f>
        <v/>
      </c>
      <c r="T32" s="960" t="b">
        <f>AND('Subsidy Contract Calculation'!F16&gt;0,'Subsidy Contract Calculation'!C16="Federal",Cdlac[[#This Row],[Quantity]]&gt;0)</f>
        <v>0</v>
      </c>
    </row>
    <row r="33" spans="2:20" ht="15" customHeight="1">
      <c r="B33" s="985" t="str">
        <f>B10</f>
        <v>B. Rent Savings Benefit</v>
      </c>
      <c r="C33" s="986"/>
      <c r="D33" s="986"/>
      <c r="E33" s="986"/>
      <c r="F33" s="986"/>
      <c r="G33" s="986"/>
      <c r="H33" s="986"/>
      <c r="I33" s="987"/>
      <c r="L33" s="960" t="str">
        <f>IFERROR(MIN(4,MATCH(Application!B731,UnitSizes,0)-1),"")</f>
        <v/>
      </c>
      <c r="M33" s="982">
        <f>Application!G731</f>
        <v>0</v>
      </c>
      <c r="N33" s="990">
        <f>Application!AC731</f>
        <v>0</v>
      </c>
      <c r="O33" s="990" t="str">
        <f>IF(Cdlac[[#This Row],[Quantity]]&gt;0,IF(Cdlac[[#This Row],[Federal]],30%,IF($G$36,40%,Cdlac[[#This Row],[iAMI]])),"")</f>
        <v/>
      </c>
      <c r="P33" s="982" t="str" cm="1">
        <f t="array" ref="P33">IF(Cdlac[[#This Row],[Quantity]]&gt;0,INDEX(TcacRents,$P$18,Cdlac[[#This Row],[Bedrooms]]+1)*Cdlac[[#This Row],[AMI]],"")</f>
        <v/>
      </c>
      <c r="Q33" s="982" t="str" cm="1">
        <f t="array" ref="Q33">IF(Cdlac[[#This Row],[Quantity]]&gt;0,INDEX(HudFmrs,$P$18,Cdlac[[#This Row],[Bedrooms]]+1),"")</f>
        <v/>
      </c>
      <c r="R33" s="982" t="str">
        <f>IF(Cdlac[[#This Row],[Quantity]]&gt;0,MAX(0,Cdlac[[#This Row],[Fair Market Rent]]-Cdlac[[#This Row],[Restricted Rent]]),"")</f>
        <v/>
      </c>
      <c r="S33" s="960" t="str">
        <f>IF(Cdlac[[#This Row],[Quantity]]&gt;0,AND(Application!AK731&lt;&gt;"N/A",Application!AK731&lt;&gt;"")*Cdlac[[#This Row],[Quantity]],"")</f>
        <v/>
      </c>
      <c r="T33" s="960" t="b">
        <f>AND('Subsidy Contract Calculation'!F17&gt;0,'Subsidy Contract Calculation'!C17="Federal",Cdlac[[#This Row],[Quantity]]&gt;0)</f>
        <v>0</v>
      </c>
    </row>
    <row r="34" spans="2:20" ht="15" customHeight="1">
      <c r="L34" s="960" t="str">
        <f>IFERROR(MIN(4,MATCH(Application!B732,UnitSizes,0)-1),"")</f>
        <v/>
      </c>
      <c r="M34" s="982">
        <f>Application!G732</f>
        <v>0</v>
      </c>
      <c r="N34" s="990">
        <f>Application!AC732</f>
        <v>0</v>
      </c>
      <c r="O34" s="990" t="str">
        <f>IF(Cdlac[[#This Row],[Quantity]]&gt;0,IF(Cdlac[[#This Row],[Federal]],30%,IF($G$36,40%,Cdlac[[#This Row],[iAMI]])),"")</f>
        <v/>
      </c>
      <c r="P34" s="982" t="str" cm="1">
        <f t="array" ref="P34">IF(Cdlac[[#This Row],[Quantity]]&gt;0,INDEX(TcacRents,$P$18,Cdlac[[#This Row],[Bedrooms]]+1)*Cdlac[[#This Row],[AMI]],"")</f>
        <v/>
      </c>
      <c r="Q34" s="982" t="str" cm="1">
        <f t="array" ref="Q34">IF(Cdlac[[#This Row],[Quantity]]&gt;0,INDEX(HudFmrs,$P$18,Cdlac[[#This Row],[Bedrooms]]+1),"")</f>
        <v/>
      </c>
      <c r="R34" s="982" t="str">
        <f>IF(Cdlac[[#This Row],[Quantity]]&gt;0,MAX(0,Cdlac[[#This Row],[Fair Market Rent]]-Cdlac[[#This Row],[Restricted Rent]]),"")</f>
        <v/>
      </c>
      <c r="S34" s="960" t="str">
        <f>IF(Cdlac[[#This Row],[Quantity]]&gt;0,AND(Application!AK732&lt;&gt;"N/A",Application!AK732&lt;&gt;"")*Cdlac[[#This Row],[Quantity]],"")</f>
        <v/>
      </c>
      <c r="T34" s="960" t="b">
        <f>AND('Subsidy Contract Calculation'!F18&gt;0,'Subsidy Contract Calculation'!C18="Federal",Cdlac[[#This Row],[Quantity]]&gt;0)</f>
        <v>0</v>
      </c>
    </row>
    <row r="35" spans="2:20" ht="15" customHeight="1">
      <c r="E35" s="1005" t="s">
        <v>2439</v>
      </c>
      <c r="G35" s="1042" cm="1">
        <f t="array" ref="G35">SUMPRODUCT(Cdlac[Quantity],Cdlac[iAMI],IF(Cdlac[Federal],0,1))/SUMIFS(Cdlac[Quantity],Cdlac[Federal],FALSE)</f>
        <v>0.51142857142857134</v>
      </c>
      <c r="L35" s="960" t="str">
        <f>IFERROR(MIN(4,MATCH(Application!B733,UnitSizes,0)-1),"")</f>
        <v/>
      </c>
      <c r="M35" s="982">
        <f>Application!G733</f>
        <v>0</v>
      </c>
      <c r="N35" s="990">
        <f>Application!AC733</f>
        <v>0</v>
      </c>
      <c r="O35" s="990" t="str">
        <f>IF(Cdlac[[#This Row],[Quantity]]&gt;0,IF(Cdlac[[#This Row],[Federal]],30%,IF($G$36,40%,Cdlac[[#This Row],[iAMI]])),"")</f>
        <v/>
      </c>
      <c r="P35" s="982" t="str" cm="1">
        <f t="array" ref="P35">IF(Cdlac[[#This Row],[Quantity]]&gt;0,INDEX(TcacRents,$P$18,Cdlac[[#This Row],[Bedrooms]]+1)*Cdlac[[#This Row],[AMI]],"")</f>
        <v/>
      </c>
      <c r="Q35" s="982" t="str" cm="1">
        <f t="array" ref="Q35">IF(Cdlac[[#This Row],[Quantity]]&gt;0,INDEX(HudFmrs,$P$18,Cdlac[[#This Row],[Bedrooms]]+1),"")</f>
        <v/>
      </c>
      <c r="R35" s="982" t="str">
        <f>IF(Cdlac[[#This Row],[Quantity]]&gt;0,MAX(0,Cdlac[[#This Row],[Fair Market Rent]]-Cdlac[[#This Row],[Restricted Rent]]),"")</f>
        <v/>
      </c>
      <c r="S35" s="960" t="str">
        <f>IF(Cdlac[[#This Row],[Quantity]]&gt;0,AND(Application!AK733&lt;&gt;"N/A",Application!AK733&lt;&gt;"")*Cdlac[[#This Row],[Quantity]],"")</f>
        <v/>
      </c>
      <c r="T35" s="960" t="b">
        <f>AND('Subsidy Contract Calculation'!F19&gt;0,'Subsidy Contract Calculation'!C19="Federal",Cdlac[[#This Row],[Quantity]]&gt;0)</f>
        <v>0</v>
      </c>
    </row>
    <row r="36" spans="2:20" ht="15" customHeight="1">
      <c r="E36" s="1005" t="s">
        <v>2440</v>
      </c>
      <c r="G36" s="1000" t="b">
        <f>G35&lt;40%</f>
        <v>0</v>
      </c>
      <c r="L36" s="960" t="str">
        <f>IFERROR(MIN(4,MATCH(Application!B734,UnitSizes,0)-1),"")</f>
        <v/>
      </c>
      <c r="M36" s="982">
        <f>Application!G734</f>
        <v>0</v>
      </c>
      <c r="N36" s="990">
        <f>Application!AC734</f>
        <v>0</v>
      </c>
      <c r="O36" s="990" t="str">
        <f>IF(Cdlac[[#This Row],[Quantity]]&gt;0,IF(Cdlac[[#This Row],[Federal]],30%,IF($G$36,40%,Cdlac[[#This Row],[iAMI]])),"")</f>
        <v/>
      </c>
      <c r="P36" s="982" t="str" cm="1">
        <f t="array" ref="P36">IF(Cdlac[[#This Row],[Quantity]]&gt;0,INDEX(TcacRents,$P$18,Cdlac[[#This Row],[Bedrooms]]+1)*Cdlac[[#This Row],[AMI]],"")</f>
        <v/>
      </c>
      <c r="Q36" s="982" t="str" cm="1">
        <f t="array" ref="Q36">IF(Cdlac[[#This Row],[Quantity]]&gt;0,INDEX(HudFmrs,$P$18,Cdlac[[#This Row],[Bedrooms]]+1),"")</f>
        <v/>
      </c>
      <c r="R36" s="982" t="str">
        <f>IF(Cdlac[[#This Row],[Quantity]]&gt;0,MAX(0,Cdlac[[#This Row],[Fair Market Rent]]-Cdlac[[#This Row],[Restricted Rent]]),"")</f>
        <v/>
      </c>
      <c r="S36" s="960" t="str">
        <f>IF(Cdlac[[#This Row],[Quantity]]&gt;0,AND(Application!AK734&lt;&gt;"N/A",Application!AK734&lt;&gt;"")*Cdlac[[#This Row],[Quantity]],"")</f>
        <v/>
      </c>
      <c r="T36" s="960" t="b">
        <f>AND('Subsidy Contract Calculation'!F20&gt;0,'Subsidy Contract Calculation'!C20="Federal",Cdlac[[#This Row],[Quantity]]&gt;0)</f>
        <v>0</v>
      </c>
    </row>
    <row r="37" spans="2:20" ht="15" customHeight="1">
      <c r="L37" s="960" t="str">
        <f>IFERROR(MIN(4,MATCH(Application!B735,UnitSizes,0)-1),"")</f>
        <v/>
      </c>
      <c r="M37" s="982">
        <f>Application!G735</f>
        <v>0</v>
      </c>
      <c r="N37" s="990">
        <f>Application!AC735</f>
        <v>0</v>
      </c>
      <c r="O37" s="990" t="str">
        <f>IF(Cdlac[[#This Row],[Quantity]]&gt;0,IF(Cdlac[[#This Row],[Federal]],30%,IF($G$36,40%,Cdlac[[#This Row],[iAMI]])),"")</f>
        <v/>
      </c>
      <c r="P37" s="982" t="str" cm="1">
        <f t="array" ref="P37">IF(Cdlac[[#This Row],[Quantity]]&gt;0,INDEX(TcacRents,$P$18,Cdlac[[#This Row],[Bedrooms]]+1)*Cdlac[[#This Row],[AMI]],"")</f>
        <v/>
      </c>
      <c r="Q37" s="982" t="str" cm="1">
        <f t="array" ref="Q37">IF(Cdlac[[#This Row],[Quantity]]&gt;0,INDEX(HudFmrs,$P$18,Cdlac[[#This Row],[Bedrooms]]+1),"")</f>
        <v/>
      </c>
      <c r="R37" s="982" t="str">
        <f>IF(Cdlac[[#This Row],[Quantity]]&gt;0,MAX(0,Cdlac[[#This Row],[Fair Market Rent]]-Cdlac[[#This Row],[Restricted Rent]]),"")</f>
        <v/>
      </c>
      <c r="S37" s="960" t="str">
        <f>IF(Cdlac[[#This Row],[Quantity]]&gt;0,AND(Application!AK735&lt;&gt;"N/A",Application!AK735&lt;&gt;"")*Cdlac[[#This Row],[Quantity]],"")</f>
        <v/>
      </c>
      <c r="T37" s="960" t="b">
        <f>AND('Subsidy Contract Calculation'!F21&gt;0,'Subsidy Contract Calculation'!C21="Federal",Cdlac[[#This Row],[Quantity]]&gt;0)</f>
        <v>0</v>
      </c>
    </row>
    <row r="38" spans="2:20" ht="15" customHeight="1">
      <c r="E38" s="1005" t="s">
        <v>2441</v>
      </c>
      <c r="G38" s="997">
        <f>SUMPRODUCT(Cdlac[Quantity],Cdlac[Delta])</f>
        <v>63414</v>
      </c>
      <c r="L38" s="960" t="str">
        <f>IFERROR(MIN(4,MATCH(Application!B736,UnitSizes,0)-1),"")</f>
        <v/>
      </c>
      <c r="M38" s="982">
        <f>Application!G736</f>
        <v>0</v>
      </c>
      <c r="N38" s="990">
        <f>Application!AC736</f>
        <v>0</v>
      </c>
      <c r="O38" s="990" t="str">
        <f>IF(Cdlac[[#This Row],[Quantity]]&gt;0,IF(Cdlac[[#This Row],[Federal]],30%,IF($G$36,40%,Cdlac[[#This Row],[iAMI]])),"")</f>
        <v/>
      </c>
      <c r="P38" s="982" t="str" cm="1">
        <f t="array" ref="P38">IF(Cdlac[[#This Row],[Quantity]]&gt;0,INDEX(TcacRents,$P$18,Cdlac[[#This Row],[Bedrooms]]+1)*Cdlac[[#This Row],[AMI]],"")</f>
        <v/>
      </c>
      <c r="Q38" s="982" t="str" cm="1">
        <f t="array" ref="Q38">IF(Cdlac[[#This Row],[Quantity]]&gt;0,INDEX(HudFmrs,$P$18,Cdlac[[#This Row],[Bedrooms]]+1),"")</f>
        <v/>
      </c>
      <c r="R38" s="982" t="str">
        <f>IF(Cdlac[[#This Row],[Quantity]]&gt;0,MAX(0,Cdlac[[#This Row],[Fair Market Rent]]-Cdlac[[#This Row],[Restricted Rent]]),"")</f>
        <v/>
      </c>
      <c r="S38" s="960" t="str">
        <f>IF(Cdlac[[#This Row],[Quantity]]&gt;0,AND(Application!AK736&lt;&gt;"N/A",Application!AK736&lt;&gt;"")*Cdlac[[#This Row],[Quantity]],"")</f>
        <v/>
      </c>
      <c r="T38" s="960" t="b">
        <f>AND('Subsidy Contract Calculation'!F22&gt;0,'Subsidy Contract Calculation'!C22="Federal",Cdlac[[#This Row],[Quantity]]&gt;0)</f>
        <v>0</v>
      </c>
    </row>
    <row r="39" spans="2:20" ht="15" customHeight="1">
      <c r="E39" s="1039" t="s">
        <v>2442</v>
      </c>
      <c r="F39" s="1035" t="s">
        <v>2437</v>
      </c>
      <c r="G39" s="1043">
        <f>12*15</f>
        <v>180</v>
      </c>
      <c r="L39" s="960" t="str">
        <f>IFERROR(MIN(4,MATCH(Application!B737,UnitSizes,0)-1),"")</f>
        <v/>
      </c>
      <c r="M39" s="982">
        <f>Application!G737</f>
        <v>0</v>
      </c>
      <c r="N39" s="990">
        <f>Application!AC737</f>
        <v>0</v>
      </c>
      <c r="O39" s="990" t="str">
        <f>IF(Cdlac[[#This Row],[Quantity]]&gt;0,IF(Cdlac[[#This Row],[Federal]],30%,IF($G$36,40%,Cdlac[[#This Row],[iAMI]])),"")</f>
        <v/>
      </c>
      <c r="P39" s="982" t="str" cm="1">
        <f t="array" ref="P39">IF(Cdlac[[#This Row],[Quantity]]&gt;0,INDEX(TcacRents,$P$18,Cdlac[[#This Row],[Bedrooms]]+1)*Cdlac[[#This Row],[AMI]],"")</f>
        <v/>
      </c>
      <c r="Q39" s="982" t="str" cm="1">
        <f t="array" ref="Q39">IF(Cdlac[[#This Row],[Quantity]]&gt;0,INDEX(HudFmrs,$P$18,Cdlac[[#This Row],[Bedrooms]]+1),"")</f>
        <v/>
      </c>
      <c r="R39" s="982" t="str">
        <f>IF(Cdlac[[#This Row],[Quantity]]&gt;0,MAX(0,Cdlac[[#This Row],[Fair Market Rent]]-Cdlac[[#This Row],[Restricted Rent]]),"")</f>
        <v/>
      </c>
      <c r="S39" s="960" t="str">
        <f>IF(Cdlac[[#This Row],[Quantity]]&gt;0,AND(Application!AK737&lt;&gt;"N/A",Application!AK737&lt;&gt;"")*Cdlac[[#This Row],[Quantity]],"")</f>
        <v/>
      </c>
      <c r="T39" s="960" t="b">
        <f>AND('Subsidy Contract Calculation'!F23&gt;0,'Subsidy Contract Calculation'!C23="Federal",Cdlac[[#This Row],[Quantity]]&gt;0)</f>
        <v>0</v>
      </c>
    </row>
    <row r="40" spans="2:20" ht="15" customHeight="1">
      <c r="E40" s="1044" t="s">
        <v>2443</v>
      </c>
      <c r="F40" s="962"/>
      <c r="G40" s="1045">
        <f>G38*G39</f>
        <v>11414520</v>
      </c>
      <c r="L40" s="960" t="str">
        <f>IFERROR(MIN(4,MATCH(Application!B738,UnitSizes,0)-1),"")</f>
        <v/>
      </c>
      <c r="M40" s="982">
        <f>Application!G738</f>
        <v>0</v>
      </c>
      <c r="N40" s="990">
        <f>Application!AC738</f>
        <v>0</v>
      </c>
      <c r="O40" s="990" t="str">
        <f>IF(Cdlac[[#This Row],[Quantity]]&gt;0,IF(Cdlac[[#This Row],[Federal]],30%,IF($G$36,40%,Cdlac[[#This Row],[iAMI]])),"")</f>
        <v/>
      </c>
      <c r="P40" s="982" t="str" cm="1">
        <f t="array" ref="P40">IF(Cdlac[[#This Row],[Quantity]]&gt;0,INDEX(TcacRents,$P$18,Cdlac[[#This Row],[Bedrooms]]+1)*Cdlac[[#This Row],[AMI]],"")</f>
        <v/>
      </c>
      <c r="Q40" s="982" t="str" cm="1">
        <f t="array" ref="Q40">IF(Cdlac[[#This Row],[Quantity]]&gt;0,INDEX(HudFmrs,$P$18,Cdlac[[#This Row],[Bedrooms]]+1),"")</f>
        <v/>
      </c>
      <c r="R40" s="982" t="str">
        <f>IF(Cdlac[[#This Row],[Quantity]]&gt;0,MAX(0,Cdlac[[#This Row],[Fair Market Rent]]-Cdlac[[#This Row],[Restricted Rent]]),"")</f>
        <v/>
      </c>
      <c r="S40" s="960" t="str">
        <f>IF(Cdlac[[#This Row],[Quantity]]&gt;0,AND(Application!AK738&lt;&gt;"N/A",Application!AK738&lt;&gt;"")*Cdlac[[#This Row],[Quantity]],"")</f>
        <v/>
      </c>
      <c r="T40" s="960" t="b">
        <f>AND('Subsidy Contract Calculation'!F24&gt;0,'Subsidy Contract Calculation'!C24="Federal",Cdlac[[#This Row],[Quantity]]&gt;0)</f>
        <v>0</v>
      </c>
    </row>
    <row r="41" spans="2:20" ht="15" customHeight="1">
      <c r="L41" s="960" t="str">
        <f>IFERROR(MIN(4,MATCH(Application!B739,UnitSizes,0)-1),"")</f>
        <v/>
      </c>
      <c r="M41" s="982">
        <f>Application!G739</f>
        <v>0</v>
      </c>
      <c r="N41" s="990">
        <f>Application!AC739</f>
        <v>0</v>
      </c>
      <c r="O41" s="990" t="str">
        <f>IF(Cdlac[[#This Row],[Quantity]]&gt;0,IF(Cdlac[[#This Row],[Federal]],30%,IF($G$36,40%,Cdlac[[#This Row],[iAMI]])),"")</f>
        <v/>
      </c>
      <c r="P41" s="982" t="str" cm="1">
        <f t="array" ref="P41">IF(Cdlac[[#This Row],[Quantity]]&gt;0,INDEX(TcacRents,$P$18,Cdlac[[#This Row],[Bedrooms]]+1)*Cdlac[[#This Row],[AMI]],"")</f>
        <v/>
      </c>
      <c r="Q41" s="982" t="str" cm="1">
        <f t="array" ref="Q41">IF(Cdlac[[#This Row],[Quantity]]&gt;0,INDEX(HudFmrs,$P$18,Cdlac[[#This Row],[Bedrooms]]+1),"")</f>
        <v/>
      </c>
      <c r="R41" s="982" t="str">
        <f>IF(Cdlac[[#This Row],[Quantity]]&gt;0,MAX(0,Cdlac[[#This Row],[Fair Market Rent]]-Cdlac[[#This Row],[Restricted Rent]]),"")</f>
        <v/>
      </c>
      <c r="S41" s="960" t="str">
        <f>IF(Cdlac[[#This Row],[Quantity]]&gt;0,AND(Application!AK739&lt;&gt;"N/A",Application!AK739&lt;&gt;"")*Cdlac[[#This Row],[Quantity]],"")</f>
        <v/>
      </c>
      <c r="T41" s="960" t="b">
        <f>AND('Subsidy Contract Calculation'!F25&gt;0,'Subsidy Contract Calculation'!C25="Federal",Cdlac[[#This Row],[Quantity]]&gt;0)</f>
        <v>0</v>
      </c>
    </row>
    <row r="42" spans="2:20" ht="15" customHeight="1">
      <c r="B42" s="985" t="str">
        <f>B11</f>
        <v>C. Special Needs Population Benefit</v>
      </c>
      <c r="C42" s="986"/>
      <c r="D42" s="986"/>
      <c r="E42" s="986"/>
      <c r="F42" s="986"/>
      <c r="G42" s="986"/>
      <c r="H42" s="986"/>
      <c r="I42" s="987"/>
      <c r="L42" s="960" t="str">
        <f>IFERROR(MIN(4,MATCH(Application!B740,UnitSizes,0)-1),"")</f>
        <v/>
      </c>
      <c r="M42" s="982">
        <f>Application!G740</f>
        <v>0</v>
      </c>
      <c r="N42" s="990">
        <f>Application!AC740</f>
        <v>0</v>
      </c>
      <c r="O42" s="990" t="str">
        <f>IF(Cdlac[[#This Row],[Quantity]]&gt;0,IF(Cdlac[[#This Row],[Federal]],30%,IF($G$36,40%,Cdlac[[#This Row],[iAMI]])),"")</f>
        <v/>
      </c>
      <c r="P42" s="982" t="str" cm="1">
        <f t="array" ref="P42">IF(Cdlac[[#This Row],[Quantity]]&gt;0,INDEX(TcacRents,$P$18,Cdlac[[#This Row],[Bedrooms]]+1)*Cdlac[[#This Row],[AMI]],"")</f>
        <v/>
      </c>
      <c r="Q42" s="982" t="str" cm="1">
        <f t="array" ref="Q42">IF(Cdlac[[#This Row],[Quantity]]&gt;0,INDEX(HudFmrs,$P$18,Cdlac[[#This Row],[Bedrooms]]+1),"")</f>
        <v/>
      </c>
      <c r="R42" s="982" t="str">
        <f>IF(Cdlac[[#This Row],[Quantity]]&gt;0,MAX(0,Cdlac[[#This Row],[Fair Market Rent]]-Cdlac[[#This Row],[Restricted Rent]]),"")</f>
        <v/>
      </c>
      <c r="S42" s="960" t="str">
        <f>IF(Cdlac[[#This Row],[Quantity]]&gt;0,AND(Application!AK740&lt;&gt;"N/A",Application!AK740&lt;&gt;"")*Cdlac[[#This Row],[Quantity]],"")</f>
        <v/>
      </c>
      <c r="T42" s="960" t="b">
        <f>AND('Subsidy Contract Calculation'!F26&gt;0,'Subsidy Contract Calculation'!C26="Federal",Cdlac[[#This Row],[Quantity]]&gt;0)</f>
        <v>0</v>
      </c>
    </row>
    <row r="43" spans="2:20" ht="15" customHeight="1">
      <c r="L43" s="960" t="str">
        <f>IFERROR(MIN(4,MATCH(Application!B741,UnitSizes,0)-1),"")</f>
        <v/>
      </c>
      <c r="M43" s="982">
        <f>Application!G741</f>
        <v>0</v>
      </c>
      <c r="N43" s="990">
        <f>Application!AC741</f>
        <v>0</v>
      </c>
      <c r="O43" s="990" t="str">
        <f>IF(Cdlac[[#This Row],[Quantity]]&gt;0,IF(Cdlac[[#This Row],[Federal]],30%,IF($G$36,40%,Cdlac[[#This Row],[iAMI]])),"")</f>
        <v/>
      </c>
      <c r="P43" s="982" t="str" cm="1">
        <f t="array" ref="P43">IF(Cdlac[[#This Row],[Quantity]]&gt;0,INDEX(TcacRents,$P$18,Cdlac[[#This Row],[Bedrooms]]+1)*Cdlac[[#This Row],[AMI]],"")</f>
        <v/>
      </c>
      <c r="Q43" s="982" t="str" cm="1">
        <f t="array" ref="Q43">IF(Cdlac[[#This Row],[Quantity]]&gt;0,INDEX(HudFmrs,$P$18,Cdlac[[#This Row],[Bedrooms]]+1),"")</f>
        <v/>
      </c>
      <c r="R43" s="982" t="str">
        <f>IF(Cdlac[[#This Row],[Quantity]]&gt;0,MAX(0,Cdlac[[#This Row],[Fair Market Rent]]-Cdlac[[#This Row],[Restricted Rent]]),"")</f>
        <v/>
      </c>
      <c r="S43" s="960" t="str">
        <f>IF(Cdlac[[#This Row],[Quantity]]&gt;0,AND(Application!AK741&lt;&gt;"N/A",Application!AK741&lt;&gt;"")*Cdlac[[#This Row],[Quantity]],"")</f>
        <v/>
      </c>
      <c r="T43" s="960" t="b">
        <f>AND('Subsidy Contract Calculation'!F27&gt;0,'Subsidy Contract Calculation'!C27="Federal",Cdlac[[#This Row],[Quantity]]&gt;0)</f>
        <v>0</v>
      </c>
    </row>
    <row r="44" spans="2:20" ht="15" customHeight="1">
      <c r="E44" s="1039" t="s">
        <v>2444</v>
      </c>
      <c r="G44" s="1047">
        <f>S18</f>
        <v>12</v>
      </c>
      <c r="L44" s="960" t="str">
        <f>IFERROR(MIN(4,MATCH(Application!B752,UnitSizes,0)-1),"")</f>
        <v/>
      </c>
      <c r="M44" s="982">
        <f>Application!G752</f>
        <v>0</v>
      </c>
      <c r="N44" s="990">
        <f>Application!AC752</f>
        <v>0</v>
      </c>
      <c r="O44" s="1001" t="str">
        <f>IF(Cdlac[[#This Row],[Quantity]]&gt;0,IF(Cdlac[[#This Row],[Federal]],30%,IF($G$36,40%,Cdlac[[#This Row],[iAMI]])),"")</f>
        <v/>
      </c>
      <c r="P44" s="982" t="str" cm="1">
        <f t="array" ref="P44">IF(Cdlac[[#This Row],[Quantity]]&gt;0,INDEX(TcacRents,$P$18,Cdlac[[#This Row],[Bedrooms]]+1)*Cdlac[[#This Row],[AMI]],"")</f>
        <v/>
      </c>
      <c r="Q44" s="982" t="str" cm="1">
        <f t="array" ref="Q44">IF(Cdlac[[#This Row],[Quantity]]&gt;0,INDEX(HudFmrs,$P$18,Cdlac[[#This Row],[Bedrooms]]+1),"")</f>
        <v/>
      </c>
      <c r="R44" s="982" t="str">
        <f>IF(Cdlac[[#This Row],[Quantity]]&gt;0,MAX(0,Cdlac[[#This Row],[Fair Market Rent]]-Cdlac[[#This Row],[Restricted Rent]]),"")</f>
        <v/>
      </c>
      <c r="S44" s="960" t="str">
        <f>IF(Cdlac[[#This Row],[Quantity]]&gt;0,AND(Application!AK752&lt;&gt;"N/A",Application!AK752&lt;&gt;"")*Cdlac[[#This Row],[Quantity]],"")</f>
        <v/>
      </c>
      <c r="T44" s="960" t="b">
        <f>AND('Subsidy Contract Calculation'!F38&gt;0,'Subsidy Contract Calculation'!C38="Federal",Cdlac[[#This Row],[Quantity]]&gt;0)</f>
        <v>0</v>
      </c>
    </row>
    <row r="45" spans="2:20" ht="15" customHeight="1">
      <c r="E45" s="1039" t="s">
        <v>2445</v>
      </c>
      <c r="G45" s="1047">
        <f>ROUNDDOWN(E27*50%,0)</f>
        <v>23</v>
      </c>
    </row>
    <row r="46" spans="2:20" ht="15" customHeight="1">
      <c r="E46" s="1039"/>
      <c r="G46" s="1047"/>
    </row>
    <row r="47" spans="2:20" ht="15" customHeight="1">
      <c r="E47" s="1039" t="s">
        <v>2446</v>
      </c>
      <c r="G47" s="1036">
        <f>MIN(G44:G45)</f>
        <v>12</v>
      </c>
    </row>
    <row r="48" spans="2:20" ht="15" customHeight="1">
      <c r="E48" s="1039" t="s">
        <v>2436</v>
      </c>
      <c r="F48" s="1035" t="s">
        <v>2437</v>
      </c>
      <c r="G48" s="1046">
        <v>10000</v>
      </c>
    </row>
    <row r="49" spans="2:14" ht="15" customHeight="1">
      <c r="E49" s="1040" t="s">
        <v>2447</v>
      </c>
      <c r="F49" s="962"/>
      <c r="G49" s="1045">
        <f>G47*G48</f>
        <v>120000</v>
      </c>
    </row>
    <row r="50" spans="2:14" ht="15" customHeight="1"/>
    <row r="51" spans="2:14" ht="15" customHeight="1">
      <c r="B51" s="985" t="str">
        <f>B12</f>
        <v>D. Extremely Low Income Benefit</v>
      </c>
      <c r="C51" s="986"/>
      <c r="D51" s="986"/>
      <c r="E51" s="986"/>
      <c r="F51" s="986"/>
      <c r="G51" s="986"/>
      <c r="H51" s="986"/>
      <c r="I51" s="987"/>
    </row>
    <row r="52" spans="2:14" ht="15" customHeight="1"/>
    <row r="53" spans="2:14" ht="15" customHeight="1">
      <c r="E53" s="1039" t="s">
        <v>2448</v>
      </c>
      <c r="G53" s="998">
        <f>SUMIFS(Cdlac[Quantity],Cdlac[iAMI],"&lt;=30%")</f>
        <v>17</v>
      </c>
    </row>
    <row r="54" spans="2:14" ht="15" customHeight="1">
      <c r="E54" s="1039" t="s">
        <v>2445</v>
      </c>
      <c r="G54" s="998">
        <f>ROUNDDOWN(E27*50%,0)</f>
        <v>23</v>
      </c>
    </row>
    <row r="55" spans="2:14" ht="15" customHeight="1">
      <c r="E55" s="1039"/>
      <c r="G55" s="998"/>
    </row>
    <row r="56" spans="2:14" ht="15" customHeight="1">
      <c r="E56" s="1039" t="s">
        <v>2446</v>
      </c>
      <c r="G56" s="1036">
        <f>MIN(G53:G54)</f>
        <v>17</v>
      </c>
    </row>
    <row r="57" spans="2:14" ht="15" customHeight="1">
      <c r="E57" s="1039" t="s">
        <v>2436</v>
      </c>
      <c r="F57" s="1035" t="s">
        <v>2437</v>
      </c>
      <c r="G57" s="1046">
        <v>20000</v>
      </c>
    </row>
    <row r="58" spans="2:14" ht="15" customHeight="1">
      <c r="E58" s="1040" t="s">
        <v>2449</v>
      </c>
      <c r="F58" s="962"/>
      <c r="G58" s="1045">
        <f>G56*G57</f>
        <v>340000</v>
      </c>
    </row>
    <row r="59" spans="2:14" ht="15" customHeight="1"/>
    <row r="60" spans="2:14" ht="15" customHeight="1">
      <c r="B60" s="985" t="str">
        <f>B13</f>
        <v>E. Sustainability Benefit</v>
      </c>
      <c r="C60" s="986"/>
      <c r="D60" s="986"/>
      <c r="E60" s="986"/>
      <c r="F60" s="986"/>
      <c r="G60" s="986"/>
      <c r="H60" s="986"/>
      <c r="I60" s="987"/>
    </row>
    <row r="61" spans="2:14" ht="15" customHeight="1" thickBot="1"/>
    <row r="62" spans="2:14" ht="15" customHeight="1">
      <c r="E62" s="1005" t="s">
        <v>2450</v>
      </c>
      <c r="G62" s="1036">
        <f>VLOOKUP('Points System'!$H$595,'Points System'!$AO$575:$AP$580,2,FALSE)</f>
        <v>7</v>
      </c>
      <c r="L62" s="1049" t="str">
        <f>'Points System'!H627</f>
        <v>(i)</v>
      </c>
      <c r="M62" s="2584" t="s">
        <v>2314</v>
      </c>
      <c r="N62" s="2585"/>
    </row>
    <row r="63" spans="2:14" ht="15" customHeight="1">
      <c r="E63" s="1005" t="s">
        <v>2436</v>
      </c>
      <c r="F63" s="1035" t="s">
        <v>2437</v>
      </c>
      <c r="G63" s="995">
        <v>4000</v>
      </c>
      <c r="L63" s="1050" t="str">
        <f>'Points System'!H639</f>
        <v>N/A</v>
      </c>
      <c r="M63" s="2586" t="s">
        <v>2451</v>
      </c>
      <c r="N63" s="2587"/>
    </row>
    <row r="64" spans="2:14" ht="15" customHeight="1">
      <c r="E64" s="1005" t="s">
        <v>2452</v>
      </c>
      <c r="F64" s="1035" t="s">
        <v>2437</v>
      </c>
      <c r="G64" s="1048">
        <f>G27</f>
        <v>58.75</v>
      </c>
      <c r="L64" s="1050" t="str">
        <f>'Points System'!H674</f>
        <v>(ii)</v>
      </c>
      <c r="M64" s="2586" t="s">
        <v>2453</v>
      </c>
      <c r="N64" s="2587"/>
    </row>
    <row r="65" spans="2:14" ht="15" customHeight="1">
      <c r="E65" s="1040" t="s">
        <v>2454</v>
      </c>
      <c r="F65" s="962"/>
      <c r="G65" s="1045">
        <f>G62*G63*G64</f>
        <v>1645000</v>
      </c>
      <c r="L65" s="1050" t="str">
        <f>IF(OR('Points System'!H698="(ii)",'Points System'!H698="(i)"),"(i)","N/A")</f>
        <v>N/A</v>
      </c>
      <c r="M65" s="2586" t="s">
        <v>2455</v>
      </c>
      <c r="N65" s="2587"/>
    </row>
    <row r="66" spans="2:14" ht="15" customHeight="1">
      <c r="C66" s="996"/>
      <c r="G66" s="1036"/>
      <c r="L66" s="1051" t="str">
        <f>'Points System'!H712</f>
        <v>N/A</v>
      </c>
      <c r="M66" s="2586" t="s">
        <v>2355</v>
      </c>
      <c r="N66" s="2587"/>
    </row>
    <row r="67" spans="2:14" ht="15" customHeight="1">
      <c r="E67" s="1005" t="s">
        <v>2456</v>
      </c>
      <c r="G67" s="1048">
        <f>COUNTIFS(L62:L69,"(i)")</f>
        <v>3</v>
      </c>
      <c r="L67" s="1050" t="str">
        <f>'Points System'!H724</f>
        <v>N/A</v>
      </c>
      <c r="M67" s="2586" t="s">
        <v>2457</v>
      </c>
      <c r="N67" s="2587"/>
    </row>
    <row r="68" spans="2:14" ht="15" customHeight="1">
      <c r="E68" s="1005" t="s">
        <v>2436</v>
      </c>
      <c r="F68" s="1035" t="s">
        <v>2437</v>
      </c>
      <c r="G68" s="1046">
        <v>4000</v>
      </c>
      <c r="L68" s="1050" t="str">
        <f>'Points System'!H740</f>
        <v>(i)</v>
      </c>
      <c r="M68" s="2586" t="s">
        <v>2458</v>
      </c>
      <c r="N68" s="2587"/>
    </row>
    <row r="69" spans="2:14" ht="15" customHeight="1" thickBot="1">
      <c r="E69" s="1040" t="s">
        <v>2459</v>
      </c>
      <c r="F69" s="962"/>
      <c r="G69" s="1045">
        <f>G64*G67*G68</f>
        <v>705000</v>
      </c>
      <c r="L69" s="1052" t="str">
        <f>'Points System'!H752</f>
        <v>(i)</v>
      </c>
      <c r="M69" s="2588" t="s">
        <v>2359</v>
      </c>
      <c r="N69" s="2589"/>
    </row>
    <row r="70" spans="2:14" ht="15" customHeight="1"/>
    <row r="71" spans="2:14" ht="15" customHeight="1">
      <c r="C71" s="999" t="s">
        <v>2460</v>
      </c>
    </row>
    <row r="72" spans="2:14" ht="15" customHeight="1">
      <c r="C72" s="996" t="s">
        <v>2461</v>
      </c>
      <c r="G72" s="959"/>
    </row>
    <row r="73" spans="2:14" ht="15" customHeight="1">
      <c r="C73" s="996" t="s">
        <v>2462</v>
      </c>
      <c r="G73" s="959"/>
    </row>
    <row r="74" spans="2:14" ht="15" customHeight="1">
      <c r="C74" s="996" t="s">
        <v>2463</v>
      </c>
      <c r="G74" s="959" t="s">
        <v>837</v>
      </c>
    </row>
    <row r="75" spans="2:14" ht="15" customHeight="1">
      <c r="C75" s="996" t="s">
        <v>2464</v>
      </c>
      <c r="G75" s="959"/>
    </row>
    <row r="76" spans="2:14" ht="15" customHeight="1"/>
    <row r="77" spans="2:14" ht="15" customHeight="1">
      <c r="B77" s="997"/>
      <c r="C77" s="996"/>
      <c r="E77" s="1005" t="s">
        <v>2465</v>
      </c>
      <c r="G77" s="998" t="b">
        <f>COUNTIFS(G72:G75,"Yes")&gt;=1</f>
        <v>1</v>
      </c>
    </row>
    <row r="78" spans="2:14" ht="15" customHeight="1">
      <c r="E78" s="996"/>
    </row>
    <row r="79" spans="2:14" ht="15" customHeight="1">
      <c r="E79" s="1005" t="s">
        <v>2452</v>
      </c>
      <c r="F79" s="1035" t="s">
        <v>2437</v>
      </c>
      <c r="G79" s="1036">
        <f>G27</f>
        <v>58.75</v>
      </c>
    </row>
    <row r="80" spans="2:14" ht="15" customHeight="1">
      <c r="E80" s="1005" t="s">
        <v>2436</v>
      </c>
      <c r="F80" s="1035" t="s">
        <v>2437</v>
      </c>
      <c r="G80" s="1046">
        <v>25000</v>
      </c>
    </row>
    <row r="81" spans="2:14" ht="15" customHeight="1">
      <c r="E81" s="1040" t="s">
        <v>2466</v>
      </c>
      <c r="F81" s="962"/>
      <c r="G81" s="1045">
        <f>G77*G80*G64</f>
        <v>1468750</v>
      </c>
    </row>
    <row r="82" spans="2:14" ht="15" customHeight="1">
      <c r="C82" s="996"/>
      <c r="E82" s="996"/>
    </row>
    <row r="83" spans="2:14" ht="15" customHeight="1">
      <c r="E83" s="1040" t="s">
        <v>2467</v>
      </c>
      <c r="G83" s="1045">
        <f>G81+G69+G65</f>
        <v>3818750</v>
      </c>
    </row>
    <row r="84" spans="2:14" ht="15" customHeight="1"/>
    <row r="85" spans="2:14" ht="15" customHeight="1">
      <c r="B85" s="985" t="str">
        <f>B14</f>
        <v>F. Opportunity Benefit</v>
      </c>
      <c r="C85" s="986"/>
      <c r="D85" s="986"/>
      <c r="E85" s="986"/>
      <c r="F85" s="986"/>
      <c r="G85" s="986"/>
      <c r="H85" s="986"/>
      <c r="I85" s="987"/>
    </row>
    <row r="86" spans="2:14" ht="15" customHeight="1" thickBot="1"/>
    <row r="87" spans="2:14" ht="15" customHeight="1">
      <c r="C87" s="996" t="s">
        <v>2468</v>
      </c>
      <c r="G87" s="959" t="s">
        <v>837</v>
      </c>
      <c r="L87" s="1899" t="s">
        <v>930</v>
      </c>
      <c r="M87" s="1900"/>
      <c r="N87" s="1053">
        <v>30000</v>
      </c>
    </row>
    <row r="88" spans="2:14" ht="15" customHeight="1">
      <c r="C88" s="996" t="s">
        <v>2469</v>
      </c>
      <c r="G88" s="1000" t="str">
        <f>IF(Application!D211="Large Family","Yes","No")</f>
        <v>Yes</v>
      </c>
      <c r="L88" s="1895" t="s">
        <v>934</v>
      </c>
      <c r="M88" s="1896"/>
      <c r="N88" s="1054">
        <v>20000</v>
      </c>
    </row>
    <row r="89" spans="2:14" ht="15" customHeight="1" thickBot="1">
      <c r="C89" s="996" t="s">
        <v>2470</v>
      </c>
      <c r="G89" s="959"/>
      <c r="L89" s="1897" t="s">
        <v>941</v>
      </c>
      <c r="M89" s="1898"/>
      <c r="N89" s="1055">
        <v>10000</v>
      </c>
    </row>
    <row r="90" spans="2:14" ht="15" customHeight="1">
      <c r="C90" s="996" t="s">
        <v>2471</v>
      </c>
      <c r="G90" s="960" t="str">
        <f>Application!T193</f>
        <v>High Resource</v>
      </c>
    </row>
    <row r="91" spans="2:14" ht="15" customHeight="1">
      <c r="C91" s="996"/>
    </row>
    <row r="92" spans="2:14" ht="15" customHeight="1">
      <c r="E92" s="1005" t="s">
        <v>2465</v>
      </c>
      <c r="G92" s="998" t="b">
        <f>AND(COUNTIFS(G88:G89,"Yes")&gt;=1,G87="Yes")</f>
        <v>1</v>
      </c>
    </row>
    <row r="93" spans="2:14" ht="15" customHeight="1">
      <c r="E93" s="1005"/>
      <c r="G93" s="998"/>
    </row>
    <row r="94" spans="2:14" ht="15" customHeight="1">
      <c r="E94" s="1005" t="s">
        <v>2436</v>
      </c>
      <c r="G94" s="997">
        <f>IFERROR(INDEX(N87:N89,MATCH(LEFT(G90,17),L87:L89,0)),0)</f>
        <v>20000</v>
      </c>
    </row>
    <row r="95" spans="2:14" ht="15" customHeight="1">
      <c r="E95" s="1005" t="str">
        <f>E64</f>
        <v>Bedroom-Adjusted Low-Income Units</v>
      </c>
      <c r="F95" s="1035" t="s">
        <v>2437</v>
      </c>
      <c r="G95" s="1036">
        <f>G27</f>
        <v>58.75</v>
      </c>
    </row>
    <row r="96" spans="2:14" ht="15" customHeight="1">
      <c r="D96" s="962"/>
      <c r="E96" s="1040" t="s">
        <v>2472</v>
      </c>
      <c r="F96" s="962"/>
      <c r="G96" s="1045">
        <f>G95*G94*G92</f>
        <v>1175000</v>
      </c>
    </row>
    <row r="97" spans="2:9" ht="15" customHeight="1"/>
    <row r="98" spans="2:9" ht="15" customHeight="1">
      <c r="B98" s="985" t="s">
        <v>2473</v>
      </c>
      <c r="C98" s="986"/>
      <c r="D98" s="986"/>
      <c r="E98" s="986"/>
      <c r="F98" s="986"/>
      <c r="G98" s="986"/>
      <c r="H98" s="986"/>
      <c r="I98" s="987"/>
    </row>
    <row r="99" spans="2:9" ht="15" customHeight="1"/>
    <row r="100" spans="2:9" ht="15" customHeight="1">
      <c r="F100" s="1038" t="s">
        <v>2474</v>
      </c>
      <c r="G100" s="959"/>
    </row>
    <row r="101" spans="2:9" ht="15" customHeight="1">
      <c r="F101" s="1038"/>
    </row>
    <row r="102" spans="2:9" ht="15" customHeight="1">
      <c r="E102" s="1005" t="s">
        <v>2465</v>
      </c>
      <c r="G102" s="998" t="b">
        <f>G100="Yes"</f>
        <v>0</v>
      </c>
    </row>
    <row r="103" spans="2:9" ht="15" customHeight="1"/>
    <row r="104" spans="2:9" ht="15" customHeight="1">
      <c r="E104" s="1005" t="str">
        <f>E64</f>
        <v>Bedroom-Adjusted Low-Income Units</v>
      </c>
      <c r="G104" s="1036">
        <f>G27</f>
        <v>58.75</v>
      </c>
    </row>
    <row r="105" spans="2:9" ht="15" customHeight="1">
      <c r="E105" s="1005" t="s">
        <v>2436</v>
      </c>
      <c r="F105" s="1035" t="s">
        <v>2437</v>
      </c>
      <c r="G105" s="966">
        <v>20000</v>
      </c>
    </row>
    <row r="106" spans="2:9" ht="15" customHeight="1">
      <c r="E106" s="1040" t="s">
        <v>2475</v>
      </c>
      <c r="F106" s="962"/>
      <c r="G106" s="1045">
        <f>G102*G105*G104</f>
        <v>0</v>
      </c>
    </row>
    <row r="107" spans="2:9" ht="15" customHeight="1"/>
    <row r="108" spans="2:9" ht="15" customHeight="1">
      <c r="B108" s="985" t="s">
        <v>1826</v>
      </c>
      <c r="C108" s="986"/>
      <c r="D108" s="986"/>
      <c r="E108" s="986"/>
      <c r="F108" s="986"/>
      <c r="G108" s="986"/>
      <c r="H108" s="986"/>
      <c r="I108" s="987"/>
    </row>
    <row r="109" spans="2:9" ht="15" customHeight="1"/>
    <row r="110" spans="2:9" ht="15" customHeight="1">
      <c r="C110" s="1892" t="s">
        <v>2476</v>
      </c>
      <c r="D110" s="1892"/>
      <c r="E110" s="1892"/>
      <c r="F110" s="1892"/>
    </row>
    <row r="111" spans="2:9" ht="15" customHeight="1">
      <c r="C111" s="1892"/>
      <c r="D111" s="1892"/>
      <c r="E111" s="1892"/>
      <c r="F111" s="1892"/>
      <c r="G111" s="959" t="s">
        <v>837</v>
      </c>
    </row>
    <row r="112" spans="2:9" ht="15" customHeight="1"/>
    <row r="113" spans="2:9" ht="15" customHeight="1">
      <c r="C113" s="960" t="s">
        <v>2477</v>
      </c>
      <c r="G113" s="1893" t="s">
        <v>869</v>
      </c>
      <c r="H113" s="1893"/>
    </row>
    <row r="114" spans="2:9" ht="15" customHeight="1">
      <c r="G114" s="1893"/>
      <c r="H114" s="1893"/>
    </row>
    <row r="115" spans="2:9" ht="15" customHeight="1">
      <c r="G115" s="1894"/>
      <c r="H115" s="1894"/>
    </row>
    <row r="116" spans="2:9" ht="15" customHeight="1">
      <c r="G116" s="1143"/>
      <c r="H116" s="1143"/>
    </row>
    <row r="117" spans="2:9" ht="15" customHeight="1">
      <c r="B117" s="985" t="s">
        <v>2478</v>
      </c>
      <c r="C117" s="986"/>
      <c r="D117" s="986"/>
      <c r="E117" s="986"/>
      <c r="F117" s="986"/>
      <c r="G117" s="986"/>
      <c r="H117" s="986"/>
      <c r="I117" s="987"/>
    </row>
    <row r="118" spans="2:9" ht="15" customHeight="1"/>
    <row r="119" spans="2:9" ht="15" customHeight="1">
      <c r="E119" s="1005" t="s">
        <v>982</v>
      </c>
      <c r="G119" s="960" t="str">
        <f>IF(Application!T189="","",Application!T189)</f>
        <v>San Diego</v>
      </c>
    </row>
    <row r="120" spans="2:9" ht="15" customHeight="1">
      <c r="E120" s="1005"/>
      <c r="G120" s="997"/>
    </row>
    <row r="121" spans="2:9" ht="15" customHeight="1">
      <c r="E121" s="1005" t="str">
        <f>"2-Bedroom "&amp;G119&amp;" County Basis Limit"</f>
        <v>2-Bedroom San Diego County Basis Limit</v>
      </c>
      <c r="G121" s="997">
        <f>Application!R987</f>
        <v>491200</v>
      </c>
    </row>
    <row r="122" spans="2:9" ht="15" customHeight="1">
      <c r="E122" s="1005" t="s">
        <v>2479</v>
      </c>
      <c r="G122" s="997">
        <f>MEDIAN((Application!BR806:BR863))</f>
        <v>489600</v>
      </c>
    </row>
    <row r="123" spans="2:9" ht="15" customHeight="1">
      <c r="D123" s="962"/>
      <c r="E123" s="1040" t="s">
        <v>2480</v>
      </c>
      <c r="F123" s="1056"/>
      <c r="G123" s="1057">
        <f>((G121-G122)/G122)*0.25</f>
        <v>8.1699346405228761E-4</v>
      </c>
      <c r="H123" s="958"/>
      <c r="I123" s="958"/>
    </row>
    <row r="124" spans="2:9" ht="15" customHeight="1">
      <c r="D124" s="961"/>
      <c r="E124" s="961"/>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18" priority="1">
      <formula>$M20=0</formula>
    </cfRule>
  </conditionalFormatting>
  <conditionalFormatting sqref="T20:T44">
    <cfRule type="cellIs" dxfId="17"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 Online</Application>
  <Manager/>
  <Company>California State Treasurer's Office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Deepa Vasan</cp:lastModifiedBy>
  <cp:revision/>
  <dcterms:created xsi:type="dcterms:W3CDTF">2007-12-27T18:26:28Z</dcterms:created>
  <dcterms:modified xsi:type="dcterms:W3CDTF">2024-08-23T05:12:45Z</dcterms:modified>
  <cp:category/>
  <cp:contentStatus/>
</cp:coreProperties>
</file>